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amt\Desktop\Excel Project\"/>
    </mc:Choice>
  </mc:AlternateContent>
  <xr:revisionPtr revIDLastSave="0" documentId="13_ncr:1_{693E3780-61FC-48D7-A736-C1341DF4A350}" xr6:coauthVersionLast="46" xr6:coauthVersionMax="46" xr10:uidLastSave="{00000000-0000-0000-0000-000000000000}"/>
  <bookViews>
    <workbookView xWindow="-23148" yWindow="3240" windowWidth="23256" windowHeight="13176" firstSheet="1" activeTab="6" xr2:uid="{A7BB11B2-A5B5-40F4-86C9-8E0F169EFDA0}"/>
  </bookViews>
  <sheets>
    <sheet name="Distributions" sheetId="1" r:id="rId1"/>
    <sheet name="Stock_Risk" sheetId="3" r:id="rId2"/>
    <sheet name="Portfolio_Return" sheetId="4" r:id="rId3"/>
    <sheet name="Portfolio_Risk" sheetId="5" r:id="rId4"/>
    <sheet name="Covariance_Matrix" sheetId="6" r:id="rId5"/>
    <sheet name="Charting" sheetId="7" r:id="rId6"/>
    <sheet name="Returns" sheetId="2" r:id="rId7"/>
  </sheets>
  <definedNames>
    <definedName name="ABT">Returns!$E$7:$E$66</definedName>
    <definedName name="EBAY">Returns!$D$7:$D$66</definedName>
    <definedName name="EBAY6">Returns!$D$7:$D$12</definedName>
    <definedName name="MRK">Returns!$F$7:$F$66</definedName>
    <definedName name="MSFT">Returns!$C$7:$C$66</definedName>
    <definedName name="MSFT6">Returns!$C$7:$C$12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7" l="1"/>
  <c r="K14" i="7"/>
  <c r="K13" i="7"/>
  <c r="K12" i="7"/>
  <c r="K11" i="7"/>
  <c r="K10" i="7"/>
  <c r="K9" i="7"/>
  <c r="K8" i="7"/>
  <c r="K7" i="7"/>
  <c r="K6" i="7"/>
  <c r="K5" i="7"/>
  <c r="J15" i="7"/>
  <c r="J14" i="7"/>
  <c r="J13" i="7"/>
  <c r="J12" i="7"/>
  <c r="J11" i="7"/>
  <c r="J10" i="7"/>
  <c r="J9" i="7"/>
  <c r="J8" i="7"/>
  <c r="J7" i="7"/>
  <c r="J6" i="7"/>
  <c r="J5" i="7"/>
  <c r="I15" i="7"/>
  <c r="I14" i="7"/>
  <c r="I13" i="7"/>
  <c r="I12" i="7"/>
  <c r="I11" i="7"/>
  <c r="I10" i="7"/>
  <c r="I9" i="7"/>
  <c r="I8" i="7"/>
  <c r="I7" i="7"/>
  <c r="I6" i="7"/>
  <c r="I5" i="7"/>
  <c r="H15" i="7"/>
  <c r="H14" i="7"/>
  <c r="H13" i="7"/>
  <c r="H12" i="7"/>
  <c r="H11" i="7"/>
  <c r="H10" i="7"/>
  <c r="H9" i="7"/>
  <c r="H8" i="7"/>
  <c r="H7" i="7"/>
  <c r="H6" i="7"/>
  <c r="H5" i="7"/>
  <c r="G15" i="7"/>
  <c r="G14" i="7"/>
  <c r="G13" i="7"/>
  <c r="G12" i="7"/>
  <c r="G11" i="7"/>
  <c r="G10" i="7"/>
  <c r="G9" i="7"/>
  <c r="G8" i="7"/>
  <c r="G7" i="7"/>
  <c r="G6" i="7"/>
  <c r="G5" i="7"/>
  <c r="F15" i="7"/>
  <c r="F14" i="7"/>
  <c r="F13" i="7"/>
  <c r="F12" i="7"/>
  <c r="F11" i="7"/>
  <c r="F10" i="7"/>
  <c r="F9" i="7"/>
  <c r="F8" i="7"/>
  <c r="F7" i="7"/>
  <c r="F6" i="7"/>
  <c r="F5" i="7"/>
  <c r="E15" i="7"/>
  <c r="E14" i="7"/>
  <c r="E13" i="7"/>
  <c r="E12" i="7"/>
  <c r="E11" i="7"/>
  <c r="E10" i="7"/>
  <c r="E9" i="7"/>
  <c r="E8" i="7"/>
  <c r="E7" i="7"/>
  <c r="E6" i="7"/>
  <c r="E5" i="7"/>
  <c r="D15" i="7"/>
  <c r="D14" i="7"/>
  <c r="D13" i="7"/>
  <c r="D12" i="7"/>
  <c r="D11" i="7"/>
  <c r="D10" i="7"/>
  <c r="D9" i="7"/>
  <c r="D8" i="7"/>
  <c r="D7" i="7"/>
  <c r="D6" i="7"/>
  <c r="D5" i="7"/>
  <c r="G23" i="6"/>
  <c r="F23" i="6"/>
  <c r="F22" i="6"/>
  <c r="E23" i="6"/>
  <c r="E22" i="6"/>
  <c r="E21" i="6"/>
  <c r="D23" i="6"/>
  <c r="D22" i="6"/>
  <c r="D21" i="6"/>
  <c r="D20" i="6"/>
  <c r="G15" i="6"/>
  <c r="G14" i="6"/>
  <c r="G13" i="6"/>
  <c r="G12" i="6"/>
  <c r="F15" i="6"/>
  <c r="F14" i="6"/>
  <c r="F13" i="6"/>
  <c r="F12" i="6"/>
  <c r="E15" i="6"/>
  <c r="E14" i="6"/>
  <c r="E13" i="6"/>
  <c r="E12" i="6"/>
  <c r="D15" i="6"/>
  <c r="D14" i="6"/>
  <c r="D13" i="6"/>
  <c r="D12" i="6"/>
  <c r="D7" i="6"/>
  <c r="E7" i="6" s="1"/>
  <c r="D6" i="6"/>
  <c r="E6" i="6" s="1"/>
  <c r="D5" i="6"/>
  <c r="E5" i="6" s="1"/>
  <c r="D4" i="6"/>
  <c r="E4" i="6" s="1"/>
  <c r="F25" i="5"/>
  <c r="F22" i="5"/>
  <c r="F21" i="5"/>
  <c r="F20" i="5"/>
  <c r="F19" i="5"/>
  <c r="G14" i="5"/>
  <c r="D14" i="5"/>
  <c r="C14" i="5"/>
  <c r="E10" i="5"/>
  <c r="D10" i="5"/>
  <c r="C10" i="5"/>
  <c r="E9" i="5"/>
  <c r="D9" i="5"/>
  <c r="C9" i="5"/>
  <c r="E8" i="5"/>
  <c r="D8" i="5"/>
  <c r="C8" i="5"/>
  <c r="E7" i="5"/>
  <c r="D7" i="5"/>
  <c r="C7" i="5"/>
  <c r="E6" i="5"/>
  <c r="D6" i="5"/>
  <c r="C6" i="5"/>
  <c r="E5" i="5"/>
  <c r="D5" i="5"/>
  <c r="C5" i="5"/>
  <c r="E4" i="5"/>
  <c r="D4" i="5"/>
  <c r="C4" i="5"/>
  <c r="I24" i="4"/>
  <c r="H25" i="4"/>
  <c r="H24" i="4"/>
  <c r="H23" i="4"/>
  <c r="G24" i="4"/>
  <c r="F24" i="4"/>
  <c r="E24" i="4"/>
  <c r="D24" i="4"/>
  <c r="F17" i="4"/>
  <c r="F16" i="4"/>
  <c r="F15" i="4"/>
  <c r="E17" i="4"/>
  <c r="D17" i="4"/>
  <c r="E16" i="4"/>
  <c r="D16" i="4"/>
  <c r="E15" i="4"/>
  <c r="D15" i="4"/>
  <c r="J10" i="4"/>
  <c r="J9" i="4"/>
  <c r="J8" i="4"/>
  <c r="J7" i="4"/>
  <c r="J6" i="4"/>
  <c r="J5" i="4"/>
  <c r="I5" i="4"/>
  <c r="H6" i="4"/>
  <c r="I6" i="4"/>
  <c r="H7" i="4"/>
  <c r="I7" i="4"/>
  <c r="H8" i="4"/>
  <c r="I8" i="4"/>
  <c r="H9" i="4"/>
  <c r="I9" i="4"/>
  <c r="H10" i="4"/>
  <c r="I10" i="4"/>
  <c r="H5" i="4"/>
  <c r="C5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E4" i="4"/>
  <c r="D4" i="4"/>
  <c r="C4" i="4"/>
  <c r="L29" i="3"/>
  <c r="J29" i="3"/>
  <c r="J28" i="3"/>
  <c r="J27" i="3"/>
  <c r="J26" i="3"/>
  <c r="J25" i="3"/>
  <c r="J24" i="3"/>
  <c r="J23" i="3"/>
  <c r="J22" i="3"/>
  <c r="J2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E5" i="3"/>
  <c r="D5" i="3"/>
  <c r="C5" i="3"/>
  <c r="E4" i="3"/>
  <c r="D4" i="3"/>
  <c r="C4" i="3"/>
  <c r="D4" i="1" a="1"/>
  <c r="D4" i="1" s="1"/>
  <c r="D11" i="1" s="1"/>
  <c r="G4" i="1" a="1"/>
  <c r="G4" i="1" s="1"/>
  <c r="G11" i="1" s="1"/>
  <c r="F4" i="1" a="1"/>
  <c r="F4" i="1" s="1"/>
  <c r="F11" i="1" s="1"/>
  <c r="E4" i="1" a="1"/>
  <c r="E4" i="1" s="1"/>
  <c r="E11" i="1" s="1"/>
  <c r="I25" i="3" l="1"/>
  <c r="E11" i="3"/>
  <c r="D11" i="3"/>
  <c r="F7" i="3" s="1"/>
  <c r="H7" i="3" s="1"/>
  <c r="J7" i="3" s="1"/>
  <c r="G10" i="3"/>
  <c r="I10" i="3" s="1"/>
  <c r="K10" i="3" s="1"/>
  <c r="G6" i="3"/>
  <c r="I6" i="3" s="1"/>
  <c r="K6" i="3" s="1"/>
  <c r="G7" i="3"/>
  <c r="G9" i="3"/>
  <c r="G5" i="3"/>
  <c r="G8" i="3"/>
  <c r="I8" i="3" s="1"/>
  <c r="K8" i="3" s="1"/>
  <c r="I5" i="3" l="1"/>
  <c r="K5" i="3" s="1"/>
  <c r="I20" i="3"/>
  <c r="I9" i="3"/>
  <c r="K9" i="3" s="1"/>
  <c r="I24" i="3"/>
  <c r="I21" i="3"/>
  <c r="I23" i="3"/>
  <c r="I7" i="3"/>
  <c r="K7" i="3" s="1"/>
  <c r="I22" i="3"/>
  <c r="H22" i="3"/>
  <c r="F9" i="3"/>
  <c r="F10" i="3"/>
  <c r="F5" i="3"/>
  <c r="F8" i="3"/>
  <c r="F6" i="3"/>
  <c r="K12" i="3"/>
  <c r="K11" i="3"/>
  <c r="H5" i="3" l="1"/>
  <c r="J5" i="3" s="1"/>
  <c r="H20" i="3"/>
  <c r="J20" i="3" s="1"/>
  <c r="H9" i="3"/>
  <c r="J9" i="3" s="1"/>
  <c r="H24" i="3"/>
  <c r="H10" i="3"/>
  <c r="J10" i="3" s="1"/>
  <c r="H25" i="3"/>
  <c r="H6" i="3"/>
  <c r="J6" i="3" s="1"/>
  <c r="H21" i="3"/>
  <c r="H8" i="3"/>
  <c r="J8" i="3" s="1"/>
  <c r="H23" i="3"/>
  <c r="K13" i="3"/>
  <c r="K14" i="3" s="1"/>
  <c r="J11" i="3" l="1"/>
  <c r="J12" i="3"/>
  <c r="J13" i="3" l="1"/>
  <c r="J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<sst xmlns="http://schemas.openxmlformats.org/spreadsheetml/2006/main" count="201" uniqueCount="127">
  <si>
    <t>Date</t>
  </si>
  <si>
    <t>MSFT</t>
  </si>
  <si>
    <t>EBAY</t>
  </si>
  <si>
    <t>ABT</t>
  </si>
  <si>
    <t>MRK</t>
  </si>
  <si>
    <t>Market</t>
  </si>
  <si>
    <t>Tbill</t>
  </si>
  <si>
    <t>Stock Returns, Distributions &amp; History</t>
  </si>
  <si>
    <t>Return</t>
  </si>
  <si>
    <t>Bins_array</t>
  </si>
  <si>
    <t>&lt;-10%</t>
  </si>
  <si>
    <t>&gt;-10% and &lt;-5%</t>
  </si>
  <si>
    <t>&gt;-5% and &lt;0%</t>
  </si>
  <si>
    <t>&gt;0% and &lt;5%</t>
  </si>
  <si>
    <t>&gt;5% and &lt;10%</t>
  </si>
  <si>
    <t>&gt;10%</t>
  </si>
  <si>
    <t>Total</t>
  </si>
  <si>
    <t>1. Frequency Distribution</t>
  </si>
  <si>
    <t>Define bins_array &amp; data_array</t>
  </si>
  <si>
    <t>Input array function</t>
  </si>
  <si>
    <t>verify totals</t>
  </si>
  <si>
    <t>2. Create Histogram</t>
  </si>
  <si>
    <t>Stock Risk Measures</t>
  </si>
  <si>
    <t xml:space="preserve">Stock Monthly Returns </t>
  </si>
  <si>
    <t>Average Returns</t>
  </si>
  <si>
    <t xml:space="preserve">Calculating variance and standard deviation for two stocks over a six month period </t>
  </si>
  <si>
    <t>Ret - Avg</t>
  </si>
  <si>
    <t>Observations</t>
  </si>
  <si>
    <t>Variance</t>
  </si>
  <si>
    <t>Std.  Deviation</t>
  </si>
  <si>
    <t>Variance Calculation</t>
  </si>
  <si>
    <t>SUM</t>
  </si>
  <si>
    <t>Average</t>
  </si>
  <si>
    <t xml:space="preserve">Calculate covariance and correlation for the same stocks and period </t>
  </si>
  <si>
    <t>1. Variance and Std. Deviation calculation</t>
  </si>
  <si>
    <t>2. Covariance and Correlation</t>
  </si>
  <si>
    <t>3. Stock risk analysis / interpret results</t>
  </si>
  <si>
    <t>Ret- Avg</t>
  </si>
  <si>
    <t>Product</t>
  </si>
  <si>
    <t>Covariance</t>
  </si>
  <si>
    <t>Correlation</t>
  </si>
  <si>
    <t>R-Squared</t>
  </si>
  <si>
    <t>Math:</t>
  </si>
  <si>
    <t>a. Variance</t>
  </si>
  <si>
    <t>∑(Stock Return-Avg. Stock)^2/obs</t>
  </si>
  <si>
    <t>b. Standard Deviation</t>
  </si>
  <si>
    <t>Sqrt(Variance)</t>
  </si>
  <si>
    <t>c. Covariance</t>
  </si>
  <si>
    <t>Cov(Stock1|Stock2)/(Std.dev1*Std.dev2)</t>
  </si>
  <si>
    <t>d. R Squared</t>
  </si>
  <si>
    <t>Correlation^2</t>
  </si>
  <si>
    <t>Portfolio Return</t>
  </si>
  <si>
    <t>1. Monthly Portfolio Returns</t>
  </si>
  <si>
    <t>a. stock returns</t>
  </si>
  <si>
    <t>b. portfolio weights</t>
  </si>
  <si>
    <t>c. portfolio return calculation</t>
  </si>
  <si>
    <t>Monthly Portfolio Returns</t>
  </si>
  <si>
    <t>Stock Returns</t>
  </si>
  <si>
    <t>Portfolio Weights</t>
  </si>
  <si>
    <t>Portfolio Returns</t>
  </si>
  <si>
    <t>Return Calculation</t>
  </si>
  <si>
    <t>Portfolio</t>
  </si>
  <si>
    <t>SUM()</t>
  </si>
  <si>
    <t>COUNT()</t>
  </si>
  <si>
    <t>Avg. Return</t>
  </si>
  <si>
    <t>2. Average Porfolio Returns</t>
  </si>
  <si>
    <t xml:space="preserve">a. Historical period </t>
  </si>
  <si>
    <t>b. Arithmetic average return</t>
  </si>
  <si>
    <t>c. Risk and return plot</t>
  </si>
  <si>
    <t>3. Analyse Rebalancing</t>
  </si>
  <si>
    <t>a. Portfolio drift</t>
  </si>
  <si>
    <t xml:space="preserve">b. Portfolio rebalancing </t>
  </si>
  <si>
    <t>c. Portfolio turnover</t>
  </si>
  <si>
    <t>Calculate portfolio weights at the end of April and turnover rate to a 50/50 weight</t>
  </si>
  <si>
    <t xml:space="preserve">Portfolio </t>
  </si>
  <si>
    <t>Turnover</t>
  </si>
  <si>
    <t>a. Porfolio Return</t>
  </si>
  <si>
    <t>(Ret1 * Weight)+(Ret2*weight)</t>
  </si>
  <si>
    <t xml:space="preserve">b. Avg. Porfolio Return </t>
  </si>
  <si>
    <t>∑(returns/obs)</t>
  </si>
  <si>
    <t>c. Porfolio turnover</t>
  </si>
  <si>
    <t>Porfolio sells/ Portfolio value</t>
  </si>
  <si>
    <t>Portfolio Risk</t>
  </si>
  <si>
    <t>1. Calculate Portfolio Variance</t>
  </si>
  <si>
    <t>Calculate portfolio Variance for a two-stock portfolio for the period ending 9/30/03</t>
  </si>
  <si>
    <t xml:space="preserve">Variance </t>
  </si>
  <si>
    <t>Weights</t>
  </si>
  <si>
    <t>MSFT|EBAY</t>
  </si>
  <si>
    <t xml:space="preserve">MSFT </t>
  </si>
  <si>
    <t>Result</t>
  </si>
  <si>
    <t>2(w(1)*w(2)*cov(1|2)</t>
  </si>
  <si>
    <t>w(1)^2*σ(1)</t>
  </si>
  <si>
    <t>w(2)^2*σ(2)</t>
  </si>
  <si>
    <t>Porfolio Variance</t>
  </si>
  <si>
    <t>Formula</t>
  </si>
  <si>
    <r>
      <rPr>
        <b/>
        <sz val="11"/>
        <color theme="1"/>
        <rFont val="Calibri"/>
        <family val="2"/>
        <scheme val="minor"/>
      </rPr>
      <t>Portfolio Variance</t>
    </r>
    <r>
      <rPr>
        <sz val="11"/>
        <color theme="1"/>
        <rFont val="Calibri"/>
        <family val="2"/>
        <scheme val="minor"/>
      </rPr>
      <t xml:space="preserve"> = w(1)^2 * σ(1) + w(2)^2 * σ(2) + 2 * (w(1)*w(2)*cov(1|2))</t>
    </r>
  </si>
  <si>
    <t>Porfolio Standard Deviation</t>
  </si>
  <si>
    <t>(units are in returned-squared)</t>
  </si>
  <si>
    <t>(risk of 50/50 Porfolio)</t>
  </si>
  <si>
    <t>2. Derive Standard Deviation</t>
  </si>
  <si>
    <t>Covariance Matrix</t>
  </si>
  <si>
    <t xml:space="preserve">Calculate sample variance and standard deviation for all stocks and dates </t>
  </si>
  <si>
    <t>Std. Dev</t>
  </si>
  <si>
    <t>1. Measures for Stock returns</t>
  </si>
  <si>
    <t>a. sample variance</t>
  </si>
  <si>
    <t>b. derive std. deviation</t>
  </si>
  <si>
    <t>2. Covariance Matrix</t>
  </si>
  <si>
    <t xml:space="preserve">Create covariance matrix for four stocks </t>
  </si>
  <si>
    <t>3. Correlation Matrix</t>
  </si>
  <si>
    <t xml:space="preserve">Create correlation matrix (drop repeated calculations) </t>
  </si>
  <si>
    <t>Interpretation:</t>
  </si>
  <si>
    <t>1 or -1 = High Relationship</t>
  </si>
  <si>
    <t>0 = No Relationship</t>
  </si>
  <si>
    <t>Covariance(1|2) / Std. Dev1 * Std. Dev2)</t>
  </si>
  <si>
    <t>Correlation=</t>
  </si>
  <si>
    <t>Charting Portfolios</t>
  </si>
  <si>
    <t>1. Eleven 2-Stock Porfolio</t>
  </si>
  <si>
    <t>Create Eleven 2-Stock portfolios with different allocations for the period ending 9/30/03</t>
  </si>
  <si>
    <t xml:space="preserve">Stock Variances &amp; Covariances </t>
  </si>
  <si>
    <t>Risk</t>
  </si>
  <si>
    <t>a. Portfolio Weights</t>
  </si>
  <si>
    <t>b. Stock returns</t>
  </si>
  <si>
    <t>c. Variance &amp; Covariance</t>
  </si>
  <si>
    <t xml:space="preserve">d. Portfolio risk </t>
  </si>
  <si>
    <t>e. Portfolio return</t>
  </si>
  <si>
    <t>2. Risk - Return Plot</t>
  </si>
  <si>
    <t>Chart Results using X Y 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</si>
</sst>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0_-;\-* #,##0.00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1" fillId="4" borderId="0" xfId="5"/>
    <xf numFmtId="0" fontId="3" fillId="3" borderId="1" xfId="4" applyBorder="1"/>
    <xf numFmtId="0" fontId="0" fillId="0" borderId="1" xfId="0" applyBorder="1"/>
    <xf numFmtId="0" fontId="1" fillId="4" borderId="3" xfId="5" applyBorder="1"/>
    <xf numFmtId="0" fontId="1" fillId="4" borderId="2" xfId="5" applyBorder="1"/>
    <xf numFmtId="0" fontId="0" fillId="0" borderId="3" xfId="0" applyBorder="1"/>
    <xf numFmtId="0" fontId="0" fillId="0" borderId="2" xfId="0" applyBorder="1"/>
    <xf numFmtId="0" fontId="1" fillId="4" borderId="0" xfId="5" applyBorder="1"/>
    <xf numFmtId="0" fontId="2" fillId="2" borderId="0" xfId="3"/>
    <xf numFmtId="0" fontId="2" fillId="2" borderId="0" xfId="3" applyAlignment="1">
      <alignment horizontal="left" indent="1"/>
    </xf>
    <xf numFmtId="0" fontId="5" fillId="2" borderId="0" xfId="3" applyFont="1"/>
    <xf numFmtId="0" fontId="6" fillId="2" borderId="0" xfId="3" applyFont="1"/>
    <xf numFmtId="0" fontId="7" fillId="2" borderId="0" xfId="3" applyFont="1"/>
    <xf numFmtId="10" fontId="0" fillId="0" borderId="0" xfId="2" applyNumberFormat="1" applyFont="1"/>
    <xf numFmtId="10" fontId="0" fillId="0" borderId="4" xfId="2" applyNumberFormat="1" applyFont="1" applyBorder="1"/>
    <xf numFmtId="14" fontId="0" fillId="0" borderId="4" xfId="0" applyNumberFormat="1" applyBorder="1"/>
    <xf numFmtId="10" fontId="0" fillId="0" borderId="0" xfId="0" applyNumberFormat="1"/>
    <xf numFmtId="10" fontId="0" fillId="0" borderId="4" xfId="0" applyNumberFormat="1" applyBorder="1"/>
    <xf numFmtId="14" fontId="0" fillId="0" borderId="2" xfId="0" applyNumberFormat="1" applyBorder="1"/>
    <xf numFmtId="10" fontId="0" fillId="0" borderId="3" xfId="2" applyNumberFormat="1" applyFont="1" applyBorder="1"/>
    <xf numFmtId="10" fontId="0" fillId="0" borderId="2" xfId="2" applyNumberFormat="1" applyFont="1" applyBorder="1"/>
    <xf numFmtId="10" fontId="0" fillId="0" borderId="3" xfId="0" applyNumberFormat="1" applyBorder="1"/>
    <xf numFmtId="10" fontId="0" fillId="0" borderId="2" xfId="0" applyNumberFormat="1" applyBorder="1"/>
    <xf numFmtId="0" fontId="0" fillId="0" borderId="0" xfId="0" applyFill="1" applyBorder="1"/>
    <xf numFmtId="0" fontId="8" fillId="2" borderId="0" xfId="3" applyFont="1"/>
    <xf numFmtId="0" fontId="4" fillId="4" borderId="3" xfId="5" applyFont="1" applyBorder="1"/>
    <xf numFmtId="0" fontId="4" fillId="4" borderId="2" xfId="5" applyFont="1" applyBorder="1"/>
    <xf numFmtId="0" fontId="1" fillId="4" borderId="0" xfId="5" applyAlignment="1">
      <alignment horizontal="center"/>
    </xf>
    <xf numFmtId="0" fontId="4" fillId="4" borderId="5" xfId="5" applyFont="1" applyBorder="1" applyAlignment="1">
      <alignment horizontal="right"/>
    </xf>
    <xf numFmtId="0" fontId="4" fillId="4" borderId="4" xfId="5" applyFont="1" applyBorder="1" applyAlignment="1">
      <alignment horizontal="right"/>
    </xf>
    <xf numFmtId="0" fontId="1" fillId="5" borderId="0" xfId="6" applyBorder="1"/>
    <xf numFmtId="0" fontId="1" fillId="5" borderId="0" xfId="6"/>
    <xf numFmtId="0" fontId="1" fillId="5" borderId="4" xfId="6" applyBorder="1"/>
    <xf numFmtId="0" fontId="1" fillId="5" borderId="0" xfId="6" applyAlignment="1">
      <alignment horizontal="center"/>
    </xf>
    <xf numFmtId="164" fontId="0" fillId="0" borderId="0" xfId="1" applyNumberFormat="1" applyFont="1"/>
    <xf numFmtId="0" fontId="0" fillId="0" borderId="0" xfId="0" applyNumberFormat="1"/>
    <xf numFmtId="43" fontId="0" fillId="0" borderId="0" xfId="0" applyNumberFormat="1"/>
    <xf numFmtId="165" fontId="0" fillId="0" borderId="0" xfId="0" applyNumberFormat="1"/>
    <xf numFmtId="0" fontId="4" fillId="4" borderId="0" xfId="5" applyFont="1"/>
    <xf numFmtId="0" fontId="4" fillId="4" borderId="0" xfId="5" applyFont="1" applyAlignment="1">
      <alignment horizontal="right"/>
    </xf>
    <xf numFmtId="0" fontId="9" fillId="2" borderId="0" xfId="3" applyFont="1" applyAlignment="1">
      <alignment horizontal="left" indent="1"/>
    </xf>
    <xf numFmtId="0" fontId="4" fillId="4" borderId="4" xfId="5" applyFont="1" applyBorder="1"/>
    <xf numFmtId="0" fontId="0" fillId="0" borderId="4" xfId="0" applyBorder="1" applyAlignment="1">
      <alignment horizontal="right"/>
    </xf>
    <xf numFmtId="9" fontId="0" fillId="0" borderId="0" xfId="2" applyFont="1"/>
    <xf numFmtId="0" fontId="1" fillId="6" borderId="0" xfId="7"/>
    <xf numFmtId="0" fontId="1" fillId="6" borderId="4" xfId="7" applyBorder="1"/>
    <xf numFmtId="0" fontId="1" fillId="4" borderId="4" xfId="5" applyBorder="1"/>
    <xf numFmtId="0" fontId="0" fillId="0" borderId="4" xfId="0" applyBorder="1"/>
    <xf numFmtId="0" fontId="1" fillId="6" borderId="2" xfId="7" applyBorder="1"/>
    <xf numFmtId="0" fontId="1" fillId="6" borderId="3" xfId="7" applyBorder="1"/>
    <xf numFmtId="0" fontId="9" fillId="2" borderId="0" xfId="3" applyFont="1"/>
    <xf numFmtId="0" fontId="1" fillId="6" borderId="6" xfId="7" applyBorder="1"/>
    <xf numFmtId="0" fontId="0" fillId="0" borderId="6" xfId="0" applyBorder="1"/>
    <xf numFmtId="0" fontId="4" fillId="0" borderId="0" xfId="0" applyFont="1"/>
    <xf numFmtId="0" fontId="1" fillId="8" borderId="0" xfId="9"/>
    <xf numFmtId="0" fontId="4" fillId="5" borderId="0" xfId="6" applyFont="1"/>
    <xf numFmtId="0" fontId="1" fillId="8" borderId="3" xfId="9" applyBorder="1"/>
    <xf numFmtId="0" fontId="1" fillId="6" borderId="3" xfId="7" applyBorder="1" applyAlignment="1">
      <alignment horizontal="right"/>
    </xf>
    <xf numFmtId="0" fontId="1" fillId="7" borderId="0" xfId="8"/>
    <xf numFmtId="0" fontId="0" fillId="7" borderId="0" xfId="8" applyFont="1"/>
    <xf numFmtId="10" fontId="4" fillId="0" borderId="0" xfId="2" applyNumberFormat="1" applyFont="1"/>
    <xf numFmtId="9" fontId="0" fillId="0" borderId="4" xfId="2" applyFont="1" applyBorder="1"/>
    <xf numFmtId="0" fontId="1" fillId="4" borderId="7" xfId="5" applyBorder="1"/>
  </cellXfs>
  <cellStyles count="10">
    <cellStyle name="20% - Accent1" xfId="5" builtinId="30"/>
    <cellStyle name="20% - Accent4" xfId="8" builtinId="42"/>
    <cellStyle name="40% - Accent1" xfId="7" builtinId="31"/>
    <cellStyle name="40% - Accent4" xfId="9" builtinId="43"/>
    <cellStyle name="60% - Accent1" xfId="6" builtinId="32"/>
    <cellStyle name="Bad" xfId="4" builtinId="27"/>
    <cellStyle name="Comma" xfId="1" builtinId="3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Histogram of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Distributions!$D$3</c:f>
              <c:strCache>
                <c:ptCount val="1"/>
                <c:pt idx="0">
                  <c:v>MSFT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Distributions!$C$4:$C$9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&gt;-5% and &lt;0%</c:v>
                </c:pt>
                <c:pt idx="3">
                  <c:v>&gt;0% and &lt;5%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Distributions!$D$4:$D$9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22</c:v>
                </c:pt>
                <c:pt idx="4">
                  <c:v>11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F-42FF-87AA-49F145B6FB75}"/>
            </c:ext>
          </c:extLst>
        </c:ser>
        <c:ser>
          <c:idx val="1"/>
          <c:order val="1"/>
          <c:tx>
            <c:strRef>
              <c:f>Distributions!$E$3</c:f>
              <c:strCache>
                <c:ptCount val="1"/>
                <c:pt idx="0">
                  <c:v>EBAY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Distributions!$C$4:$C$9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&gt;-5% and &lt;0%</c:v>
                </c:pt>
                <c:pt idx="3">
                  <c:v>&gt;0% and &lt;5%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Distributions!$E$4:$E$9</c:f>
              <c:numCache>
                <c:formatCode>General</c:formatCode>
                <c:ptCount val="6"/>
                <c:pt idx="0">
                  <c:v>9</c:v>
                </c:pt>
                <c:pt idx="1">
                  <c:v>4</c:v>
                </c:pt>
                <c:pt idx="2">
                  <c:v>13</c:v>
                </c:pt>
                <c:pt idx="3">
                  <c:v>15</c:v>
                </c:pt>
                <c:pt idx="4">
                  <c:v>7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8F-42FF-87AA-49F145B6FB75}"/>
            </c:ext>
          </c:extLst>
        </c:ser>
        <c:ser>
          <c:idx val="2"/>
          <c:order val="2"/>
          <c:tx>
            <c:strRef>
              <c:f>Distributions!$F$3</c:f>
              <c:strCache>
                <c:ptCount val="1"/>
                <c:pt idx="0">
                  <c:v>ABT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Distributions!$C$4:$C$9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&gt;-5% and &lt;0%</c:v>
                </c:pt>
                <c:pt idx="3">
                  <c:v>&gt;0% and &lt;5%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Distributions!$F$4:$F$9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20</c:v>
                </c:pt>
                <c:pt idx="3">
                  <c:v>23</c:v>
                </c:pt>
                <c:pt idx="4">
                  <c:v>11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8F-42FF-87AA-49F145B6FB75}"/>
            </c:ext>
          </c:extLst>
        </c:ser>
        <c:ser>
          <c:idx val="3"/>
          <c:order val="3"/>
          <c:tx>
            <c:strRef>
              <c:f>Distributions!$G$3</c:f>
              <c:strCache>
                <c:ptCount val="1"/>
                <c:pt idx="0">
                  <c:v>MRK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Distributions!$C$4:$C$9</c:f>
              <c:strCache>
                <c:ptCount val="6"/>
                <c:pt idx="0">
                  <c:v>&lt;-10%</c:v>
                </c:pt>
                <c:pt idx="1">
                  <c:v>&gt;-10% and &lt;-5%</c:v>
                </c:pt>
                <c:pt idx="2">
                  <c:v>&gt;-5% and &lt;0%</c:v>
                </c:pt>
                <c:pt idx="3">
                  <c:v>&gt;0% and &lt;5%</c:v>
                </c:pt>
                <c:pt idx="4">
                  <c:v>&gt;5% and &lt;10%</c:v>
                </c:pt>
                <c:pt idx="5">
                  <c:v>&gt;10%</c:v>
                </c:pt>
              </c:strCache>
            </c:strRef>
          </c:cat>
          <c:val>
            <c:numRef>
              <c:f>Distributions!$G$4:$G$9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16</c:v>
                </c:pt>
                <c:pt idx="3">
                  <c:v>19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8F-42FF-87AA-49F145B6F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3345167"/>
        <c:axId val="1343331439"/>
      </c:barChart>
      <c:catAx>
        <c:axId val="134334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331439"/>
        <c:crosses val="autoZero"/>
        <c:auto val="1"/>
        <c:lblAlgn val="ctr"/>
        <c:lblOffset val="100"/>
        <c:noMultiLvlLbl val="0"/>
      </c:catAx>
      <c:valAx>
        <c:axId val="13433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34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Scatter plot for MSFT &amp;</a:t>
            </a:r>
            <a:r>
              <a:rPr lang="en-GB" baseline="0"/>
              <a:t> EBAY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Stock_Risk!$E$4</c:f>
              <c:strCache>
                <c:ptCount val="1"/>
                <c:pt idx="0">
                  <c:v>EBAY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Stock_Risk!$D$5:$D$10</c:f>
              <c:numCache>
                <c:formatCode>0.00%</c:formatCode>
                <c:ptCount val="6"/>
                <c:pt idx="0">
                  <c:v>5.6175000000000003E-2</c:v>
                </c:pt>
                <c:pt idx="1">
                  <c:v>-3.7544000000000001E-2</c:v>
                </c:pt>
                <c:pt idx="2">
                  <c:v>4.1853000000000001E-2</c:v>
                </c:pt>
                <c:pt idx="3">
                  <c:v>3.0030999999999999E-2</c:v>
                </c:pt>
                <c:pt idx="4">
                  <c:v>4.1650000000000003E-3</c:v>
                </c:pt>
                <c:pt idx="5">
                  <c:v>4.8265000000000002E-2</c:v>
                </c:pt>
              </c:numCache>
            </c:numRef>
          </c:xVal>
          <c:yVal>
            <c:numRef>
              <c:f>Stock_Risk!$E$5:$E$10</c:f>
              <c:numCache>
                <c:formatCode>0.00%</c:formatCode>
                <c:ptCount val="6"/>
                <c:pt idx="0">
                  <c:v>8.9087E-2</c:v>
                </c:pt>
                <c:pt idx="1">
                  <c:v>9.4070000000000001E-2</c:v>
                </c:pt>
                <c:pt idx="2">
                  <c:v>2.3119000000000001E-2</c:v>
                </c:pt>
                <c:pt idx="3">
                  <c:v>3.1731000000000002E-2</c:v>
                </c:pt>
                <c:pt idx="4">
                  <c:v>3.2805000000000001E-2</c:v>
                </c:pt>
                <c:pt idx="5">
                  <c:v>-3.1944E-2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4-416C-A3B1-A4ABC936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770223"/>
        <c:axId val="1234792687"/>
      </c:scatterChart>
      <c:valAx>
        <c:axId val="123477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792687"/>
        <c:crosses val="autoZero"/>
        <c:crossBetween val="midCat"/>
      </c:valAx>
      <c:valAx>
        <c:axId val="12347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EBAY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77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Charting!$K$4</c:f>
              <c:strCache>
                <c:ptCount val="1"/>
                <c:pt idx="0">
                  <c:v>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MSFT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934-4F21-A800-3239B4BC53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D934-4F21-A800-3239B4BC53B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EBAY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934-4F21-A800-3239B4BC5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Charting!$J$5:$J$15</c:f>
              <c:numCache>
                <c:formatCode>0.00%</c:formatCode>
                <c:ptCount val="11"/>
                <c:pt idx="0">
                  <c:v>3.2041715197622549E-2</c:v>
                </c:pt>
                <c:pt idx="1">
                  <c:v>2.7179236518245366E-2</c:v>
                </c:pt>
                <c:pt idx="2">
                  <c:v>2.307268071233453E-2</c:v>
                </c:pt>
                <c:pt idx="3">
                  <c:v>2.0188724710129391E-2</c:v>
                </c:pt>
                <c:pt idx="4">
                  <c:v>1.9089759773734429E-2</c:v>
                </c:pt>
                <c:pt idx="5">
                  <c:v>2.0071162488651061E-2</c:v>
                </c:pt>
                <c:pt idx="6">
                  <c:v>2.2866624405500309E-2</c:v>
                </c:pt>
                <c:pt idx="7">
                  <c:v>2.6916756349680316E-2</c:v>
                </c:pt>
                <c:pt idx="8">
                  <c:v>3.1744910548044292E-2</c:v>
                </c:pt>
                <c:pt idx="9">
                  <c:v>3.7048147479301255E-2</c:v>
                </c:pt>
                <c:pt idx="10">
                  <c:v>4.2649612310339029E-2</c:v>
                </c:pt>
              </c:numCache>
            </c:numRef>
          </c:xVal>
          <c:yVal>
            <c:numRef>
              <c:f>Charting!$K$5:$K$15</c:f>
              <c:numCache>
                <c:formatCode>0.00%</c:formatCode>
                <c:ptCount val="11"/>
                <c:pt idx="0">
                  <c:v>2.3824166666666664E-2</c:v>
                </c:pt>
                <c:pt idx="1">
                  <c:v>2.5422883333333333E-2</c:v>
                </c:pt>
                <c:pt idx="2">
                  <c:v>2.70216E-2</c:v>
                </c:pt>
                <c:pt idx="3">
                  <c:v>2.8620316666666666E-2</c:v>
                </c:pt>
                <c:pt idx="4">
                  <c:v>3.0219033333333336E-2</c:v>
                </c:pt>
                <c:pt idx="5">
                  <c:v>3.1817750000000006E-2</c:v>
                </c:pt>
                <c:pt idx="6">
                  <c:v>3.3416466666666672E-2</c:v>
                </c:pt>
                <c:pt idx="7">
                  <c:v>3.5015183333333338E-2</c:v>
                </c:pt>
                <c:pt idx="8">
                  <c:v>3.6613900000000005E-2</c:v>
                </c:pt>
                <c:pt idx="9">
                  <c:v>3.8212616666666678E-2</c:v>
                </c:pt>
                <c:pt idx="10">
                  <c:v>3.9811333333333344E-2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4-4F21-A800-3239B4BC5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40944"/>
        <c:axId val="1568256752"/>
      </c:scatterChart>
      <c:valAx>
        <c:axId val="156824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 (Standard</a:t>
                </a:r>
                <a:r>
                  <a:rPr lang="en-GB" baseline="0"/>
                  <a:t> Deviation)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56752"/>
        <c:crosses val="autoZero"/>
        <c:crossBetween val="midCat"/>
      </c:valAx>
      <c:valAx>
        <c:axId val="1568256752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4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11</xdr:row>
      <xdr:rowOff>179070</xdr:rowOff>
    </xdr:from>
    <xdr:to>
      <xdr:col>8</xdr:col>
      <xdr:colOff>470535</xdr:colOff>
      <xdr:row>26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D41A9-1A87-4784-81A2-6241EC6C4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135255</xdr:rowOff>
    </xdr:from>
    <xdr:to>
      <xdr:col>19</xdr:col>
      <xdr:colOff>310515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44CD85-73C9-4B8B-8FAC-D76F5C535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173355</xdr:colOff>
      <xdr:row>18</xdr:row>
      <xdr:rowOff>156210</xdr:rowOff>
    </xdr:from>
    <xdr:to>
      <xdr:col>8</xdr:col>
      <xdr:colOff>537210</xdr:colOff>
      <xdr:row>33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8AA135-51F2-45FC-8F46-73E0A604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C72B-F722-4BB9-9711-F800C1117AF0}">
  <dimension ref="A1:H26"/>
  <sheetViews>
    <sheetView workbookViewId="0">
      <selection activeCell="D4" sqref="D4"/>
    </sheetView>
  </sheetViews>
  <sheetFormatPr defaultRowHeight="15" x14ac:dyDescent="0.25"/>
  <cols>
    <col min="1" max="1" width="37.140625" customWidth="1"/>
    <col min="2" max="2" width="7" customWidth="1"/>
    <col min="3" max="3" width="14.85546875" bestFit="1" customWidth="1"/>
    <col min="8" max="8" width="10.140625" bestFit="1" customWidth="1"/>
    <col min="10" max="10" width="20.140625" bestFit="1" customWidth="1"/>
    <col min="12" max="12" width="11" bestFit="1" customWidth="1"/>
  </cols>
  <sheetData>
    <row r="1" spans="1:8" x14ac:dyDescent="0.25">
      <c r="A1" s="10"/>
    </row>
    <row r="2" spans="1:8" ht="15.75" x14ac:dyDescent="0.25">
      <c r="A2" s="14" t="s">
        <v>7</v>
      </c>
    </row>
    <row r="3" spans="1:8" x14ac:dyDescent="0.25">
      <c r="A3" s="10"/>
      <c r="C3" s="5" t="s">
        <v>8</v>
      </c>
      <c r="D3" s="5" t="s">
        <v>1</v>
      </c>
      <c r="E3" s="5" t="s">
        <v>2</v>
      </c>
      <c r="F3" s="5" t="s">
        <v>3</v>
      </c>
      <c r="G3" s="6" t="s">
        <v>4</v>
      </c>
      <c r="H3" s="3" t="s">
        <v>9</v>
      </c>
    </row>
    <row r="4" spans="1:8" x14ac:dyDescent="0.25">
      <c r="A4" s="13" t="s">
        <v>17</v>
      </c>
      <c r="C4" s="2" t="s">
        <v>10</v>
      </c>
      <c r="D4" cm="1">
        <f t="array" ref="D4:D9">FREQUENCY(Returns!C7:C66,Distributions!H4:H8)</f>
        <v>2</v>
      </c>
      <c r="E4" cm="1">
        <f t="array" ref="E4:E9">FREQUENCY(Returns!D7:D66,Distributions!H4:H8)</f>
        <v>9</v>
      </c>
      <c r="F4" cm="1">
        <f t="array" ref="F4:F9">FREQUENCY(Returns!E7:E66,Distributions!H4:H8)</f>
        <v>2</v>
      </c>
      <c r="G4" cm="1">
        <f t="array" ref="G4:G9">FREQUENCY(Returns!F7:F66,Distributions!H4:H8)</f>
        <v>6</v>
      </c>
      <c r="H4" s="4">
        <v>-0.1</v>
      </c>
    </row>
    <row r="5" spans="1:8" x14ac:dyDescent="0.25">
      <c r="A5" s="11" t="s">
        <v>18</v>
      </c>
      <c r="C5" s="2" t="s">
        <v>11</v>
      </c>
      <c r="D5">
        <v>8</v>
      </c>
      <c r="E5">
        <v>4</v>
      </c>
      <c r="F5">
        <v>3</v>
      </c>
      <c r="G5">
        <v>5</v>
      </c>
      <c r="H5" s="4">
        <v>-0.05</v>
      </c>
    </row>
    <row r="6" spans="1:8" x14ac:dyDescent="0.25">
      <c r="A6" s="11" t="s">
        <v>19</v>
      </c>
      <c r="C6" s="2" t="s">
        <v>12</v>
      </c>
      <c r="D6">
        <v>16</v>
      </c>
      <c r="E6">
        <v>13</v>
      </c>
      <c r="F6">
        <v>20</v>
      </c>
      <c r="G6">
        <v>16</v>
      </c>
      <c r="H6" s="4">
        <v>0</v>
      </c>
    </row>
    <row r="7" spans="1:8" x14ac:dyDescent="0.25">
      <c r="A7" s="11" t="s">
        <v>20</v>
      </c>
      <c r="C7" s="2" t="s">
        <v>13</v>
      </c>
      <c r="D7">
        <v>22</v>
      </c>
      <c r="E7">
        <v>15</v>
      </c>
      <c r="F7">
        <v>23</v>
      </c>
      <c r="G7">
        <v>19</v>
      </c>
      <c r="H7" s="4">
        <v>0.05</v>
      </c>
    </row>
    <row r="8" spans="1:8" x14ac:dyDescent="0.25">
      <c r="A8" s="10"/>
      <c r="C8" s="2" t="s">
        <v>14</v>
      </c>
      <c r="D8">
        <v>11</v>
      </c>
      <c r="E8">
        <v>7</v>
      </c>
      <c r="F8">
        <v>11</v>
      </c>
      <c r="G8">
        <v>8</v>
      </c>
      <c r="H8" s="4">
        <v>0.1</v>
      </c>
    </row>
    <row r="9" spans="1:8" x14ac:dyDescent="0.25">
      <c r="A9" s="10"/>
      <c r="C9" s="5" t="s">
        <v>15</v>
      </c>
      <c r="D9" s="7">
        <v>1</v>
      </c>
      <c r="E9" s="7">
        <v>12</v>
      </c>
      <c r="F9" s="7">
        <v>1</v>
      </c>
      <c r="G9" s="8">
        <v>6</v>
      </c>
      <c r="H9" s="4"/>
    </row>
    <row r="10" spans="1:8" x14ac:dyDescent="0.25">
      <c r="A10" s="10"/>
    </row>
    <row r="11" spans="1:8" x14ac:dyDescent="0.25">
      <c r="A11" s="10"/>
      <c r="C11" s="9" t="s">
        <v>16</v>
      </c>
      <c r="D11">
        <f>SUM(D4:D9)</f>
        <v>60</v>
      </c>
      <c r="E11">
        <f t="shared" ref="E11:G11" si="0">SUM(E4:E9)</f>
        <v>60</v>
      </c>
      <c r="F11">
        <f t="shared" si="0"/>
        <v>60</v>
      </c>
      <c r="G11">
        <f t="shared" si="0"/>
        <v>60</v>
      </c>
    </row>
    <row r="12" spans="1:8" x14ac:dyDescent="0.25">
      <c r="A12" s="10"/>
    </row>
    <row r="13" spans="1:8" x14ac:dyDescent="0.25">
      <c r="A13" s="13" t="s">
        <v>21</v>
      </c>
    </row>
    <row r="14" spans="1:8" x14ac:dyDescent="0.25">
      <c r="A14" s="10"/>
    </row>
    <row r="15" spans="1:8" x14ac:dyDescent="0.25">
      <c r="A15" s="10"/>
    </row>
    <row r="16" spans="1:8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9104-6F30-4FED-A9B1-2367B25578C6}">
  <dimension ref="A1:L29"/>
  <sheetViews>
    <sheetView workbookViewId="0">
      <selection activeCell="K14" sqref="K14"/>
    </sheetView>
  </sheetViews>
  <sheetFormatPr defaultRowHeight="15" x14ac:dyDescent="0.25"/>
  <cols>
    <col min="1" max="1" width="38.28515625" style="10" bestFit="1" customWidth="1"/>
    <col min="3" max="3" width="21.7109375" bestFit="1" customWidth="1"/>
    <col min="4" max="5" width="9.140625" customWidth="1"/>
    <col min="10" max="10" width="13.5703125" customWidth="1"/>
    <col min="11" max="11" width="12" bestFit="1" customWidth="1"/>
  </cols>
  <sheetData>
    <row r="1" spans="1:11" ht="18.75" x14ac:dyDescent="0.3">
      <c r="A1" s="26" t="s">
        <v>22</v>
      </c>
      <c r="B1" s="10"/>
      <c r="C1" s="10" t="s">
        <v>25</v>
      </c>
      <c r="D1" s="10"/>
      <c r="E1" s="10"/>
      <c r="F1" s="10"/>
      <c r="G1" s="10"/>
      <c r="H1" s="10"/>
      <c r="I1" s="10"/>
      <c r="J1" s="10"/>
      <c r="K1" s="10"/>
    </row>
    <row r="3" spans="1:11" x14ac:dyDescent="0.25">
      <c r="A3" s="10" t="s">
        <v>34</v>
      </c>
      <c r="C3" s="32" t="s">
        <v>23</v>
      </c>
      <c r="D3" s="33"/>
      <c r="E3" s="34"/>
      <c r="F3" s="33" t="s">
        <v>24</v>
      </c>
      <c r="G3" s="34"/>
      <c r="H3" s="35" t="s">
        <v>26</v>
      </c>
      <c r="I3" s="34"/>
      <c r="J3" s="33" t="s">
        <v>30</v>
      </c>
      <c r="K3" s="33"/>
    </row>
    <row r="4" spans="1:11" x14ac:dyDescent="0.25">
      <c r="A4" s="10" t="s">
        <v>35</v>
      </c>
      <c r="C4" s="27" t="str">
        <f>Returns!B6</f>
        <v>Date</v>
      </c>
      <c r="D4" s="27" t="str">
        <f>Returns!C6</f>
        <v>MSFT</v>
      </c>
      <c r="E4" s="28" t="str">
        <f>Returns!D6</f>
        <v>EBAY</v>
      </c>
      <c r="F4" s="27" t="s">
        <v>1</v>
      </c>
      <c r="G4" s="28" t="s">
        <v>2</v>
      </c>
      <c r="H4" s="27" t="s">
        <v>1</v>
      </c>
      <c r="I4" s="28" t="s">
        <v>2</v>
      </c>
      <c r="J4" s="27" t="s">
        <v>1</v>
      </c>
      <c r="K4" s="27" t="s">
        <v>2</v>
      </c>
    </row>
    <row r="5" spans="1:11" x14ac:dyDescent="0.25">
      <c r="A5" s="10" t="s">
        <v>36</v>
      </c>
      <c r="C5" s="17">
        <f>Returns!B7</f>
        <v>37741</v>
      </c>
      <c r="D5" s="15">
        <f>Returns!C7</f>
        <v>5.6175000000000003E-2</v>
      </c>
      <c r="E5" s="16">
        <f>Returns!D7</f>
        <v>8.9087E-2</v>
      </c>
      <c r="F5" s="18">
        <f>$D$11</f>
        <v>2.3824166666666664E-2</v>
      </c>
      <c r="G5" s="19">
        <f>$E$11</f>
        <v>3.9811333333333344E-2</v>
      </c>
      <c r="H5" s="18">
        <f>D5-F5</f>
        <v>3.2350833333333343E-2</v>
      </c>
      <c r="I5" s="19">
        <f>E5-G5</f>
        <v>4.9275666666666655E-2</v>
      </c>
      <c r="J5">
        <f>H5^2</f>
        <v>1.0465764173611116E-3</v>
      </c>
      <c r="K5">
        <f>I5^2</f>
        <v>2.4280913254444434E-3</v>
      </c>
    </row>
    <row r="6" spans="1:11" x14ac:dyDescent="0.25">
      <c r="C6" s="17">
        <f>Returns!B8</f>
        <v>37771</v>
      </c>
      <c r="D6" s="15">
        <f>Returns!C8</f>
        <v>-3.7544000000000001E-2</v>
      </c>
      <c r="E6" s="16">
        <f>Returns!D8</f>
        <v>9.4070000000000001E-2</v>
      </c>
      <c r="F6" s="18">
        <f t="shared" ref="F6:F10" si="0">$D$11</f>
        <v>2.3824166666666664E-2</v>
      </c>
      <c r="G6" s="19">
        <f t="shared" ref="G6:G10" si="1">$E$11</f>
        <v>3.9811333333333344E-2</v>
      </c>
      <c r="H6" s="18">
        <f t="shared" ref="H6:H10" si="2">D6-F6</f>
        <v>-6.1368166666666668E-2</v>
      </c>
      <c r="I6" s="19">
        <f t="shared" ref="I6:I10" si="3">E6-G6</f>
        <v>5.4258666666666656E-2</v>
      </c>
      <c r="J6">
        <f t="shared" ref="J6:J10" si="4">H6^2</f>
        <v>3.7660518800277779E-3</v>
      </c>
      <c r="K6">
        <f t="shared" ref="K6:K10" si="5">I6^2</f>
        <v>2.9440029084444432E-3</v>
      </c>
    </row>
    <row r="7" spans="1:11" x14ac:dyDescent="0.25">
      <c r="C7" s="17">
        <f>Returns!B9</f>
        <v>37802</v>
      </c>
      <c r="D7" s="15">
        <f>Returns!C9</f>
        <v>4.1853000000000001E-2</v>
      </c>
      <c r="E7" s="16">
        <f>Returns!D9</f>
        <v>2.3119000000000001E-2</v>
      </c>
      <c r="F7" s="18">
        <f t="shared" si="0"/>
        <v>2.3824166666666664E-2</v>
      </c>
      <c r="G7" s="19">
        <f t="shared" si="1"/>
        <v>3.9811333333333344E-2</v>
      </c>
      <c r="H7" s="18">
        <f t="shared" si="2"/>
        <v>1.8028833333333338E-2</v>
      </c>
      <c r="I7" s="19">
        <f t="shared" si="3"/>
        <v>-1.6692333333333344E-2</v>
      </c>
      <c r="J7">
        <f t="shared" si="4"/>
        <v>3.2503883136111129E-4</v>
      </c>
      <c r="K7">
        <f t="shared" si="5"/>
        <v>2.7863399211111144E-4</v>
      </c>
    </row>
    <row r="8" spans="1:11" ht="15.75" x14ac:dyDescent="0.25">
      <c r="A8" s="14" t="s">
        <v>42</v>
      </c>
      <c r="C8" s="17">
        <f>Returns!B10</f>
        <v>37833</v>
      </c>
      <c r="D8" s="15">
        <f>Returns!C10</f>
        <v>3.0030999999999999E-2</v>
      </c>
      <c r="E8" s="16">
        <f>Returns!D10</f>
        <v>3.1731000000000002E-2</v>
      </c>
      <c r="F8" s="18">
        <f t="shared" si="0"/>
        <v>2.3824166666666664E-2</v>
      </c>
      <c r="G8" s="19">
        <f t="shared" si="1"/>
        <v>3.9811333333333344E-2</v>
      </c>
      <c r="H8" s="18">
        <f t="shared" si="2"/>
        <v>6.206833333333335E-3</v>
      </c>
      <c r="I8" s="19">
        <f t="shared" si="3"/>
        <v>-8.0803333333333421E-3</v>
      </c>
      <c r="J8">
        <f t="shared" si="4"/>
        <v>3.8524780027777801E-5</v>
      </c>
      <c r="K8">
        <f t="shared" si="5"/>
        <v>6.529178677777792E-5</v>
      </c>
    </row>
    <row r="9" spans="1:11" x14ac:dyDescent="0.25">
      <c r="A9" s="12" t="s">
        <v>43</v>
      </c>
      <c r="C9" s="17">
        <f>Returns!B11</f>
        <v>37862</v>
      </c>
      <c r="D9" s="15">
        <f>Returns!C11</f>
        <v>4.1650000000000003E-3</v>
      </c>
      <c r="E9" s="16">
        <f>Returns!D11</f>
        <v>3.2805000000000001E-2</v>
      </c>
      <c r="F9" s="18">
        <f t="shared" si="0"/>
        <v>2.3824166666666664E-2</v>
      </c>
      <c r="G9" s="19">
        <f t="shared" si="1"/>
        <v>3.9811333333333344E-2</v>
      </c>
      <c r="H9" s="18">
        <f t="shared" si="2"/>
        <v>-1.9659166666666665E-2</v>
      </c>
      <c r="I9" s="19">
        <f t="shared" si="3"/>
        <v>-7.0063333333333436E-3</v>
      </c>
      <c r="J9">
        <f t="shared" si="4"/>
        <v>3.8648283402777773E-4</v>
      </c>
      <c r="K9">
        <f t="shared" si="5"/>
        <v>4.908870677777792E-5</v>
      </c>
    </row>
    <row r="10" spans="1:11" x14ac:dyDescent="0.25">
      <c r="A10" s="42" t="s">
        <v>44</v>
      </c>
      <c r="C10" s="20">
        <f>Returns!B12</f>
        <v>37894</v>
      </c>
      <c r="D10" s="21">
        <f>Returns!C12</f>
        <v>4.8265000000000002E-2</v>
      </c>
      <c r="E10" s="22">
        <f>Returns!D12</f>
        <v>-3.1944E-2</v>
      </c>
      <c r="F10" s="23">
        <f t="shared" si="0"/>
        <v>2.3824166666666664E-2</v>
      </c>
      <c r="G10" s="24">
        <f t="shared" si="1"/>
        <v>3.9811333333333344E-2</v>
      </c>
      <c r="H10" s="23">
        <f t="shared" si="2"/>
        <v>2.4440833333333339E-2</v>
      </c>
      <c r="I10" s="24">
        <f t="shared" si="3"/>
        <v>-7.1755333333333338E-2</v>
      </c>
      <c r="J10" s="7">
        <f t="shared" si="4"/>
        <v>5.9735433402777801E-4</v>
      </c>
      <c r="K10" s="7">
        <f t="shared" si="5"/>
        <v>5.1488278617777784E-3</v>
      </c>
    </row>
    <row r="11" spans="1:11" x14ac:dyDescent="0.25">
      <c r="A11" s="12" t="s">
        <v>45</v>
      </c>
      <c r="C11" s="29" t="s">
        <v>32</v>
      </c>
      <c r="D11" s="18">
        <f>AVERAGE(D5:D10)</f>
        <v>2.3824166666666664E-2</v>
      </c>
      <c r="E11" s="18">
        <f>AVERAGE(E5:E10)</f>
        <v>3.9811333333333344E-2</v>
      </c>
      <c r="H11" s="2"/>
      <c r="I11" s="30" t="s">
        <v>31</v>
      </c>
      <c r="J11" s="25">
        <f>SUM(J5:J10)</f>
        <v>6.1600290768333349E-3</v>
      </c>
      <c r="K11" s="25">
        <f>SUM(K5:K10)</f>
        <v>1.0913936581333331E-2</v>
      </c>
    </row>
    <row r="12" spans="1:11" x14ac:dyDescent="0.25">
      <c r="A12" s="11" t="s">
        <v>46</v>
      </c>
      <c r="H12" s="2"/>
      <c r="I12" s="31" t="s">
        <v>27</v>
      </c>
      <c r="J12" s="25">
        <f>COUNT(J5:J10)</f>
        <v>6</v>
      </c>
      <c r="K12" s="25">
        <f>COUNT(K5:K10)</f>
        <v>6</v>
      </c>
    </row>
    <row r="13" spans="1:11" x14ac:dyDescent="0.25">
      <c r="A13" s="12" t="s">
        <v>47</v>
      </c>
      <c r="H13" s="2"/>
      <c r="I13" s="31" t="s">
        <v>28</v>
      </c>
      <c r="J13">
        <f>J11/J12</f>
        <v>1.0266715128055559E-3</v>
      </c>
      <c r="K13">
        <f>K11/K12</f>
        <v>1.8189894302222218E-3</v>
      </c>
    </row>
    <row r="14" spans="1:11" x14ac:dyDescent="0.25">
      <c r="A14" s="11" t="s">
        <v>48</v>
      </c>
      <c r="H14" s="2"/>
      <c r="I14" s="31" t="s">
        <v>29</v>
      </c>
      <c r="J14" s="15">
        <f>J13^0.5</f>
        <v>3.2041715197622549E-2</v>
      </c>
      <c r="K14" s="15">
        <f>K13^0.5</f>
        <v>4.2649612310339022E-2</v>
      </c>
    </row>
    <row r="15" spans="1:11" x14ac:dyDescent="0.25">
      <c r="A15" s="12" t="s">
        <v>49</v>
      </c>
    </row>
    <row r="16" spans="1:11" x14ac:dyDescent="0.25">
      <c r="A16" s="11" t="s">
        <v>50</v>
      </c>
      <c r="B16" s="10"/>
      <c r="C16" s="10" t="s">
        <v>33</v>
      </c>
      <c r="D16" s="10"/>
      <c r="E16" s="10"/>
      <c r="F16" s="10"/>
      <c r="G16" s="10"/>
      <c r="H16" s="10"/>
      <c r="I16" s="10"/>
      <c r="J16" s="10"/>
      <c r="K16" s="10"/>
    </row>
    <row r="18" spans="8:12" x14ac:dyDescent="0.25">
      <c r="H18" s="33" t="s">
        <v>37</v>
      </c>
      <c r="I18" s="34"/>
      <c r="J18" s="33"/>
    </row>
    <row r="19" spans="8:12" x14ac:dyDescent="0.25">
      <c r="H19" s="40" t="s">
        <v>1</v>
      </c>
      <c r="I19" s="43" t="s">
        <v>2</v>
      </c>
      <c r="J19" s="40" t="s">
        <v>38</v>
      </c>
    </row>
    <row r="20" spans="8:12" x14ac:dyDescent="0.25">
      <c r="H20" s="18">
        <f t="shared" ref="H20:I25" si="6">D5-F5</f>
        <v>3.2350833333333343E-2</v>
      </c>
      <c r="I20" s="19">
        <f t="shared" si="6"/>
        <v>4.9275666666666655E-2</v>
      </c>
      <c r="J20" s="37">
        <f>H20*I20</f>
        <v>1.5941088797222223E-3</v>
      </c>
    </row>
    <row r="21" spans="8:12" x14ac:dyDescent="0.25">
      <c r="H21" s="18">
        <f t="shared" si="6"/>
        <v>-6.1368166666666668E-2</v>
      </c>
      <c r="I21" s="19">
        <f t="shared" si="6"/>
        <v>5.4258666666666656E-2</v>
      </c>
      <c r="J21" s="37">
        <f t="shared" ref="J21:J25" si="7">H21*I21</f>
        <v>-3.3297548991111105E-3</v>
      </c>
    </row>
    <row r="22" spans="8:12" x14ac:dyDescent="0.25">
      <c r="H22" s="18">
        <f t="shared" si="6"/>
        <v>1.8028833333333338E-2</v>
      </c>
      <c r="I22" s="19">
        <f t="shared" si="6"/>
        <v>-1.6692333333333344E-2</v>
      </c>
      <c r="J22" s="37">
        <f t="shared" si="7"/>
        <v>-3.0094329561111135E-4</v>
      </c>
    </row>
    <row r="23" spans="8:12" x14ac:dyDescent="0.25">
      <c r="H23" s="18">
        <f t="shared" si="6"/>
        <v>6.206833333333335E-3</v>
      </c>
      <c r="I23" s="19">
        <f t="shared" si="6"/>
        <v>-8.0803333333333421E-3</v>
      </c>
      <c r="J23" s="37">
        <f t="shared" si="7"/>
        <v>-5.0153282277777845E-5</v>
      </c>
    </row>
    <row r="24" spans="8:12" x14ac:dyDescent="0.25">
      <c r="H24" s="18">
        <f t="shared" si="6"/>
        <v>-1.9659166666666665E-2</v>
      </c>
      <c r="I24" s="19">
        <f t="shared" si="6"/>
        <v>-7.0063333333333436E-3</v>
      </c>
      <c r="J24" s="37">
        <f t="shared" si="7"/>
        <v>1.3773867472222242E-4</v>
      </c>
    </row>
    <row r="25" spans="8:12" x14ac:dyDescent="0.25">
      <c r="H25" s="18">
        <f t="shared" si="6"/>
        <v>2.4440833333333339E-2</v>
      </c>
      <c r="I25" s="19">
        <f t="shared" si="6"/>
        <v>-7.1755333333333338E-2</v>
      </c>
      <c r="J25" s="37">
        <f t="shared" si="7"/>
        <v>-1.7537601427777784E-3</v>
      </c>
    </row>
    <row r="26" spans="8:12" x14ac:dyDescent="0.25">
      <c r="I26" s="44" t="s">
        <v>31</v>
      </c>
      <c r="J26" s="37">
        <f>SUM(J20:J25)</f>
        <v>-3.7027640653333332E-3</v>
      </c>
    </row>
    <row r="27" spans="8:12" x14ac:dyDescent="0.25">
      <c r="H27" s="40"/>
      <c r="I27" s="31" t="s">
        <v>27</v>
      </c>
      <c r="J27" s="36">
        <f>COUNT(J20:J25)</f>
        <v>6</v>
      </c>
    </row>
    <row r="28" spans="8:12" x14ac:dyDescent="0.25">
      <c r="H28" s="40"/>
      <c r="I28" s="31" t="s">
        <v>39</v>
      </c>
      <c r="J28" s="39">
        <f>J26/J27</f>
        <v>-6.1712734422222221E-4</v>
      </c>
    </row>
    <row r="29" spans="8:12" x14ac:dyDescent="0.25">
      <c r="H29" s="40"/>
      <c r="I29" s="31" t="s">
        <v>40</v>
      </c>
      <c r="J29" s="38">
        <f>J28/(_xlfn.STDEV.P(D5:D10)*_xlfn.STDEV.P(E5:E10))</f>
        <v>-0.45158961523900704</v>
      </c>
      <c r="K29" s="41" t="s">
        <v>41</v>
      </c>
      <c r="L29" s="38">
        <f>J29^2</f>
        <v>0.20393318059171442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7298-2DF9-4BDD-AFAF-18A0B16B2748}">
  <dimension ref="A1:L26"/>
  <sheetViews>
    <sheetView topLeftCell="A6" workbookViewId="0">
      <selection activeCell="E24" sqref="E24"/>
    </sheetView>
  </sheetViews>
  <sheetFormatPr defaultRowHeight="15" x14ac:dyDescent="0.25"/>
  <cols>
    <col min="1" max="1" width="26.5703125" style="10" bestFit="1" customWidth="1"/>
    <col min="3" max="3" width="12.5703125" customWidth="1"/>
    <col min="4" max="4" width="11" bestFit="1" customWidth="1"/>
    <col min="6" max="6" width="11" bestFit="1" customWidth="1"/>
    <col min="8" max="8" width="10" bestFit="1" customWidth="1"/>
  </cols>
  <sheetData>
    <row r="1" spans="1:12" ht="18.75" x14ac:dyDescent="0.3">
      <c r="A1" s="26" t="s">
        <v>51</v>
      </c>
      <c r="B1" s="10"/>
      <c r="C1" s="10" t="s">
        <v>56</v>
      </c>
      <c r="D1" s="10"/>
      <c r="E1" s="10"/>
      <c r="F1" s="10"/>
      <c r="G1" s="10"/>
      <c r="H1" s="10"/>
      <c r="I1" s="10"/>
      <c r="J1" s="10"/>
      <c r="K1" s="10"/>
      <c r="L1" s="10"/>
    </row>
    <row r="3" spans="1:12" x14ac:dyDescent="0.25">
      <c r="A3" s="12" t="s">
        <v>52</v>
      </c>
      <c r="C3" s="50"/>
      <c r="D3" s="51" t="s">
        <v>57</v>
      </c>
      <c r="E3" s="50"/>
      <c r="F3" s="51" t="s">
        <v>58</v>
      </c>
      <c r="G3" s="50"/>
      <c r="H3" s="51" t="s">
        <v>59</v>
      </c>
      <c r="I3" s="50"/>
      <c r="J3" s="51" t="s">
        <v>60</v>
      </c>
      <c r="K3" s="51"/>
    </row>
    <row r="4" spans="1:12" x14ac:dyDescent="0.25">
      <c r="A4" s="11" t="s">
        <v>53</v>
      </c>
      <c r="C4" s="48" t="str">
        <f>Returns!B6</f>
        <v>Date</v>
      </c>
      <c r="D4" s="2" t="str">
        <f>Returns!C6</f>
        <v>MSFT</v>
      </c>
      <c r="E4" s="48" t="str">
        <f>Returns!D6</f>
        <v>EBAY</v>
      </c>
      <c r="F4" s="2" t="s">
        <v>1</v>
      </c>
      <c r="G4" s="48" t="s">
        <v>2</v>
      </c>
      <c r="H4" s="2" t="s">
        <v>1</v>
      </c>
      <c r="I4" s="48" t="s">
        <v>2</v>
      </c>
      <c r="J4" s="2" t="s">
        <v>61</v>
      </c>
      <c r="K4" s="2"/>
    </row>
    <row r="5" spans="1:12" x14ac:dyDescent="0.25">
      <c r="A5" s="11" t="s">
        <v>54</v>
      </c>
      <c r="C5" s="17">
        <f>Returns!B7</f>
        <v>37741</v>
      </c>
      <c r="D5" s="15">
        <f>Returns!C7</f>
        <v>5.6175000000000003E-2</v>
      </c>
      <c r="E5" s="16">
        <f>Returns!D7</f>
        <v>8.9087E-2</v>
      </c>
      <c r="F5">
        <v>0.5</v>
      </c>
      <c r="G5" s="49">
        <v>0.5</v>
      </c>
      <c r="H5" s="15">
        <f>D5*F5</f>
        <v>2.8087500000000001E-2</v>
      </c>
      <c r="I5" s="16">
        <f t="shared" ref="I5:I10" si="0">E5*G5</f>
        <v>4.45435E-2</v>
      </c>
      <c r="J5" s="18">
        <f>H5+I5</f>
        <v>7.2631000000000001E-2</v>
      </c>
    </row>
    <row r="6" spans="1:12" x14ac:dyDescent="0.25">
      <c r="A6" s="11" t="s">
        <v>55</v>
      </c>
      <c r="C6" s="17">
        <f>Returns!B8</f>
        <v>37771</v>
      </c>
      <c r="D6" s="15">
        <f>Returns!C8</f>
        <v>-3.7544000000000001E-2</v>
      </c>
      <c r="E6" s="16">
        <f>Returns!D8</f>
        <v>9.4070000000000001E-2</v>
      </c>
      <c r="F6">
        <v>0.5</v>
      </c>
      <c r="G6" s="49">
        <v>0.5</v>
      </c>
      <c r="H6" s="15">
        <f t="shared" ref="H6:H10" si="1">D6*F6</f>
        <v>-1.8772E-2</v>
      </c>
      <c r="I6" s="16">
        <f t="shared" si="0"/>
        <v>4.7035E-2</v>
      </c>
      <c r="J6" s="18">
        <f t="shared" ref="J6:J10" si="2">H6+I6</f>
        <v>2.8263E-2</v>
      </c>
    </row>
    <row r="7" spans="1:12" x14ac:dyDescent="0.25">
      <c r="C7" s="17">
        <f>Returns!B9</f>
        <v>37802</v>
      </c>
      <c r="D7" s="15">
        <f>Returns!C9</f>
        <v>4.1853000000000001E-2</v>
      </c>
      <c r="E7" s="16">
        <f>Returns!D9</f>
        <v>2.3119000000000001E-2</v>
      </c>
      <c r="F7">
        <v>0.5</v>
      </c>
      <c r="G7" s="49">
        <v>0.5</v>
      </c>
      <c r="H7" s="15">
        <f t="shared" si="1"/>
        <v>2.0926500000000001E-2</v>
      </c>
      <c r="I7" s="16">
        <f t="shared" si="0"/>
        <v>1.15595E-2</v>
      </c>
      <c r="J7" s="18">
        <f t="shared" si="2"/>
        <v>3.2486000000000001E-2</v>
      </c>
    </row>
    <row r="8" spans="1:12" x14ac:dyDescent="0.25">
      <c r="A8" s="12" t="s">
        <v>65</v>
      </c>
      <c r="C8" s="17">
        <f>Returns!B10</f>
        <v>37833</v>
      </c>
      <c r="D8" s="15">
        <f>Returns!C10</f>
        <v>3.0030999999999999E-2</v>
      </c>
      <c r="E8" s="16">
        <f>Returns!D10</f>
        <v>3.1731000000000002E-2</v>
      </c>
      <c r="F8">
        <v>0.5</v>
      </c>
      <c r="G8" s="49">
        <v>0.5</v>
      </c>
      <c r="H8" s="15">
        <f t="shared" si="1"/>
        <v>1.5015499999999999E-2</v>
      </c>
      <c r="I8" s="16">
        <f t="shared" si="0"/>
        <v>1.5865500000000001E-2</v>
      </c>
      <c r="J8" s="18">
        <f t="shared" si="2"/>
        <v>3.0880999999999999E-2</v>
      </c>
    </row>
    <row r="9" spans="1:12" x14ac:dyDescent="0.25">
      <c r="A9" s="11" t="s">
        <v>66</v>
      </c>
      <c r="C9" s="17">
        <f>Returns!B11</f>
        <v>37862</v>
      </c>
      <c r="D9" s="15">
        <f>Returns!C11</f>
        <v>4.1650000000000003E-3</v>
      </c>
      <c r="E9" s="16">
        <f>Returns!D11</f>
        <v>3.2805000000000001E-2</v>
      </c>
      <c r="F9">
        <v>0.5</v>
      </c>
      <c r="G9" s="49">
        <v>0.5</v>
      </c>
      <c r="H9" s="15">
        <f t="shared" si="1"/>
        <v>2.0825000000000001E-3</v>
      </c>
      <c r="I9" s="16">
        <f t="shared" si="0"/>
        <v>1.64025E-2</v>
      </c>
      <c r="J9" s="18">
        <f t="shared" si="2"/>
        <v>1.8485000000000001E-2</v>
      </c>
    </row>
    <row r="10" spans="1:12" x14ac:dyDescent="0.25">
      <c r="A10" s="11" t="s">
        <v>67</v>
      </c>
      <c r="C10" s="17">
        <f>Returns!B12</f>
        <v>37894</v>
      </c>
      <c r="D10" s="15">
        <f>Returns!C12</f>
        <v>4.8265000000000002E-2</v>
      </c>
      <c r="E10" s="16">
        <f>Returns!D12</f>
        <v>-3.1944E-2</v>
      </c>
      <c r="F10">
        <v>0.5</v>
      </c>
      <c r="G10" s="49">
        <v>0.5</v>
      </c>
      <c r="H10" s="15">
        <f t="shared" si="1"/>
        <v>2.4132500000000001E-2</v>
      </c>
      <c r="I10" s="16">
        <f t="shared" si="0"/>
        <v>-1.5972E-2</v>
      </c>
      <c r="J10" s="18">
        <f t="shared" si="2"/>
        <v>8.1605000000000011E-3</v>
      </c>
    </row>
    <row r="11" spans="1:12" x14ac:dyDescent="0.25">
      <c r="A11" s="11" t="s">
        <v>68</v>
      </c>
    </row>
    <row r="12" spans="1:12" x14ac:dyDescent="0.25">
      <c r="B12" s="10"/>
      <c r="C12" s="10" t="s">
        <v>24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2" t="s">
        <v>69</v>
      </c>
    </row>
    <row r="14" spans="1:12" x14ac:dyDescent="0.25">
      <c r="A14" s="10" t="s">
        <v>70</v>
      </c>
      <c r="C14" s="6"/>
      <c r="D14" s="5" t="s">
        <v>1</v>
      </c>
      <c r="E14" s="5" t="s">
        <v>2</v>
      </c>
      <c r="F14" s="5" t="s">
        <v>61</v>
      </c>
    </row>
    <row r="15" spans="1:12" x14ac:dyDescent="0.25">
      <c r="A15" s="10" t="s">
        <v>71</v>
      </c>
      <c r="C15" s="48" t="s">
        <v>62</v>
      </c>
      <c r="D15" s="18">
        <f>SUM(D5:D10)</f>
        <v>0.14294499999999999</v>
      </c>
      <c r="E15" s="18">
        <f>SUM(E5:E10)</f>
        <v>0.23886800000000005</v>
      </c>
      <c r="F15" s="18">
        <f>SUM(J5:J10)</f>
        <v>0.19090649999999998</v>
      </c>
    </row>
    <row r="16" spans="1:12" x14ac:dyDescent="0.25">
      <c r="A16" s="10" t="s">
        <v>72</v>
      </c>
      <c r="C16" s="6" t="s">
        <v>63</v>
      </c>
      <c r="D16" s="7">
        <f>COUNT(D5:D10)</f>
        <v>6</v>
      </c>
      <c r="E16" s="7">
        <f>COUNT(E5:E10)</f>
        <v>6</v>
      </c>
      <c r="F16" s="7">
        <f>COUNT(J5:J10)</f>
        <v>6</v>
      </c>
    </row>
    <row r="17" spans="1:12" x14ac:dyDescent="0.25">
      <c r="C17" s="47" t="s">
        <v>64</v>
      </c>
      <c r="D17" s="15">
        <f>D15/D16</f>
        <v>2.3824166666666664E-2</v>
      </c>
      <c r="E17" s="15">
        <f>E15/E16</f>
        <v>3.9811333333333344E-2</v>
      </c>
      <c r="F17" s="15">
        <f>F15/F16</f>
        <v>3.1817749999999999E-2</v>
      </c>
    </row>
    <row r="18" spans="1:12" x14ac:dyDescent="0.25">
      <c r="A18" s="10" t="s">
        <v>42</v>
      </c>
    </row>
    <row r="19" spans="1:12" x14ac:dyDescent="0.25">
      <c r="A19" s="10" t="s">
        <v>76</v>
      </c>
      <c r="B19" s="10"/>
      <c r="C19" s="10" t="s">
        <v>73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 t="s">
        <v>77</v>
      </c>
    </row>
    <row r="21" spans="1:12" x14ac:dyDescent="0.25">
      <c r="C21" s="47"/>
      <c r="D21" s="46" t="s">
        <v>57</v>
      </c>
      <c r="E21" s="47"/>
      <c r="F21" s="46" t="s">
        <v>58</v>
      </c>
      <c r="G21" s="47"/>
      <c r="H21" s="53"/>
      <c r="I21" s="46"/>
    </row>
    <row r="22" spans="1:12" x14ac:dyDescent="0.25">
      <c r="A22" s="10" t="s">
        <v>78</v>
      </c>
      <c r="C22" s="6" t="s">
        <v>0</v>
      </c>
      <c r="D22" s="5" t="s">
        <v>1</v>
      </c>
      <c r="E22" s="6" t="s">
        <v>2</v>
      </c>
      <c r="F22" s="5" t="s">
        <v>1</v>
      </c>
      <c r="G22" s="6" t="s">
        <v>2</v>
      </c>
      <c r="H22" s="64" t="s">
        <v>74</v>
      </c>
      <c r="I22" s="27" t="s">
        <v>75</v>
      </c>
    </row>
    <row r="23" spans="1:12" x14ac:dyDescent="0.25">
      <c r="A23" s="52" t="s">
        <v>79</v>
      </c>
      <c r="C23" s="17">
        <v>37711</v>
      </c>
      <c r="E23" s="49"/>
      <c r="F23">
        <v>0.5</v>
      </c>
      <c r="G23" s="49">
        <v>0.5</v>
      </c>
      <c r="H23" s="54">
        <f>F23+G23</f>
        <v>1</v>
      </c>
    </row>
    <row r="24" spans="1:12" x14ac:dyDescent="0.25">
      <c r="C24" s="17">
        <v>37741</v>
      </c>
      <c r="D24">
        <f>Returns!C7</f>
        <v>5.6175000000000003E-2</v>
      </c>
      <c r="E24" s="49">
        <f>Returns!D7</f>
        <v>8.9087E-2</v>
      </c>
      <c r="F24">
        <f>F23*(1+D24)</f>
        <v>0.52808750000000004</v>
      </c>
      <c r="G24" s="49">
        <f>G23*(1+E24)</f>
        <v>0.54454349999999996</v>
      </c>
      <c r="H24" s="54">
        <f>F24+G24</f>
        <v>1.0726309999999999</v>
      </c>
      <c r="I24" s="55">
        <f>G24-(H24*G25)</f>
        <v>8.2280000000000131E-3</v>
      </c>
    </row>
    <row r="25" spans="1:12" x14ac:dyDescent="0.25">
      <c r="A25" s="10" t="s">
        <v>80</v>
      </c>
      <c r="C25" s="17">
        <v>37741</v>
      </c>
      <c r="E25" s="49"/>
      <c r="F25">
        <v>0.5</v>
      </c>
      <c r="G25" s="49">
        <v>0.5</v>
      </c>
      <c r="H25" s="54">
        <f>F25+G25</f>
        <v>1</v>
      </c>
    </row>
    <row r="26" spans="1:12" x14ac:dyDescent="0.25">
      <c r="A26" s="10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7F9D-BA0C-4406-99B8-DC2A63221242}">
  <dimension ref="A1:J25"/>
  <sheetViews>
    <sheetView workbookViewId="0">
      <selection activeCell="A6" sqref="A6"/>
    </sheetView>
  </sheetViews>
  <sheetFormatPr defaultRowHeight="15" x14ac:dyDescent="0.25"/>
  <cols>
    <col min="1" max="1" width="28.140625" style="10" bestFit="1" customWidth="1"/>
    <col min="3" max="3" width="10.7109375" customWidth="1"/>
    <col min="5" max="5" width="10.28515625" customWidth="1"/>
    <col min="6" max="6" width="12.7109375" bestFit="1" customWidth="1"/>
    <col min="7" max="7" width="10.7109375" bestFit="1" customWidth="1"/>
  </cols>
  <sheetData>
    <row r="1" spans="1:10" ht="18.75" x14ac:dyDescent="0.3">
      <c r="A1" s="26" t="s">
        <v>82</v>
      </c>
      <c r="B1" s="10"/>
      <c r="C1" s="10" t="s">
        <v>84</v>
      </c>
      <c r="D1" s="10"/>
      <c r="E1" s="10"/>
      <c r="F1" s="10"/>
      <c r="G1" s="10"/>
      <c r="H1" s="10"/>
      <c r="I1" s="10"/>
      <c r="J1" s="10"/>
    </row>
    <row r="3" spans="1:10" x14ac:dyDescent="0.25">
      <c r="A3" s="10" t="s">
        <v>83</v>
      </c>
      <c r="C3" s="47"/>
      <c r="D3" s="46" t="s">
        <v>57</v>
      </c>
      <c r="E3" s="47"/>
      <c r="F3" s="46" t="s">
        <v>58</v>
      </c>
      <c r="G3" s="46"/>
    </row>
    <row r="4" spans="1:10" x14ac:dyDescent="0.25">
      <c r="C4" s="48" t="str">
        <f>Returns!B6</f>
        <v>Date</v>
      </c>
      <c r="D4" s="2" t="str">
        <f>Returns!C6</f>
        <v>MSFT</v>
      </c>
      <c r="E4" s="48" t="str">
        <f>Returns!D6</f>
        <v>EBAY</v>
      </c>
      <c r="F4" s="2" t="s">
        <v>1</v>
      </c>
      <c r="G4" s="2" t="s">
        <v>2</v>
      </c>
    </row>
    <row r="5" spans="1:10" x14ac:dyDescent="0.25">
      <c r="A5" s="10" t="s">
        <v>99</v>
      </c>
      <c r="C5" s="17">
        <f>Returns!B7</f>
        <v>37741</v>
      </c>
      <c r="D5" s="15">
        <f>Returns!C7</f>
        <v>5.6175000000000003E-2</v>
      </c>
      <c r="E5" s="16">
        <f>Returns!D7</f>
        <v>8.9087E-2</v>
      </c>
      <c r="F5">
        <v>0.5</v>
      </c>
      <c r="G5">
        <v>0.5</v>
      </c>
    </row>
    <row r="6" spans="1:10" x14ac:dyDescent="0.25">
      <c r="C6" s="17">
        <f>Returns!B8</f>
        <v>37771</v>
      </c>
      <c r="D6" s="15">
        <f>Returns!C8</f>
        <v>-3.7544000000000001E-2</v>
      </c>
      <c r="E6" s="16">
        <f>Returns!D8</f>
        <v>9.4070000000000001E-2</v>
      </c>
      <c r="F6">
        <v>0.5</v>
      </c>
      <c r="G6">
        <v>0.5</v>
      </c>
    </row>
    <row r="7" spans="1:10" x14ac:dyDescent="0.25">
      <c r="C7" s="17">
        <f>Returns!B9</f>
        <v>37802</v>
      </c>
      <c r="D7" s="15">
        <f>Returns!C9</f>
        <v>4.1853000000000001E-2</v>
      </c>
      <c r="E7" s="16">
        <f>Returns!D9</f>
        <v>2.3119000000000001E-2</v>
      </c>
      <c r="F7">
        <v>0.5</v>
      </c>
      <c r="G7">
        <v>0.5</v>
      </c>
    </row>
    <row r="8" spans="1:10" x14ac:dyDescent="0.25">
      <c r="C8" s="17">
        <f>Returns!B10</f>
        <v>37833</v>
      </c>
      <c r="D8" s="15">
        <f>Returns!C10</f>
        <v>3.0030999999999999E-2</v>
      </c>
      <c r="E8" s="16">
        <f>Returns!D10</f>
        <v>3.1731000000000002E-2</v>
      </c>
      <c r="F8">
        <v>0.5</v>
      </c>
      <c r="G8">
        <v>0.5</v>
      </c>
    </row>
    <row r="9" spans="1:10" x14ac:dyDescent="0.25">
      <c r="C9" s="17">
        <f>Returns!B11</f>
        <v>37862</v>
      </c>
      <c r="D9" s="15">
        <f>Returns!C11</f>
        <v>4.1650000000000003E-3</v>
      </c>
      <c r="E9" s="16">
        <f>Returns!D11</f>
        <v>3.2805000000000001E-2</v>
      </c>
      <c r="F9">
        <v>0.5</v>
      </c>
      <c r="G9">
        <v>0.5</v>
      </c>
    </row>
    <row r="10" spans="1:10" x14ac:dyDescent="0.25">
      <c r="C10" s="17">
        <f>Returns!B12</f>
        <v>37894</v>
      </c>
      <c r="D10" s="15">
        <f>Returns!C12</f>
        <v>4.8265000000000002E-2</v>
      </c>
      <c r="E10" s="16">
        <f>Returns!D12</f>
        <v>-3.1944E-2</v>
      </c>
      <c r="F10">
        <v>0.5</v>
      </c>
      <c r="G10">
        <v>0.5</v>
      </c>
    </row>
    <row r="12" spans="1:10" x14ac:dyDescent="0.25">
      <c r="C12" s="46" t="s">
        <v>28</v>
      </c>
      <c r="D12" s="47"/>
      <c r="E12" s="46" t="s">
        <v>86</v>
      </c>
      <c r="F12" s="47"/>
      <c r="G12" s="46" t="s">
        <v>39</v>
      </c>
    </row>
    <row r="13" spans="1:10" x14ac:dyDescent="0.25">
      <c r="C13" s="2" t="s">
        <v>1</v>
      </c>
      <c r="D13" s="48" t="s">
        <v>2</v>
      </c>
      <c r="E13" s="2" t="s">
        <v>1</v>
      </c>
      <c r="F13" s="48" t="s">
        <v>2</v>
      </c>
      <c r="G13" s="2" t="s">
        <v>87</v>
      </c>
    </row>
    <row r="14" spans="1:10" x14ac:dyDescent="0.25">
      <c r="C14">
        <f>_xlfn.VAR.P(D5:D10)</f>
        <v>1.0266715128055559E-3</v>
      </c>
      <c r="D14" s="49">
        <f>_xlfn.VAR.P(E5:E10)</f>
        <v>1.8189894302222225E-3</v>
      </c>
      <c r="E14">
        <v>0.5</v>
      </c>
      <c r="F14" s="49">
        <v>0.5</v>
      </c>
      <c r="G14">
        <f>_xlfn.COVARIANCE.P(D5:D10,E5:E10)</f>
        <v>-6.1712734422222221E-4</v>
      </c>
    </row>
    <row r="16" spans="1:10" x14ac:dyDescent="0.25">
      <c r="C16" s="61" t="s">
        <v>95</v>
      </c>
      <c r="D16" s="60"/>
      <c r="E16" s="60"/>
      <c r="F16" s="60"/>
      <c r="G16" s="60"/>
      <c r="H16" s="60"/>
      <c r="I16" s="60"/>
      <c r="J16" s="60"/>
    </row>
    <row r="18" spans="3:7" x14ac:dyDescent="0.25">
      <c r="C18" s="51"/>
      <c r="D18" s="51" t="s">
        <v>94</v>
      </c>
      <c r="E18" s="51"/>
      <c r="F18" s="59" t="s">
        <v>89</v>
      </c>
    </row>
    <row r="19" spans="3:7" x14ac:dyDescent="0.25">
      <c r="C19" s="2" t="s">
        <v>1</v>
      </c>
      <c r="D19" s="56" t="s">
        <v>91</v>
      </c>
      <c r="E19" s="56"/>
      <c r="F19">
        <f>E14^2*C14</f>
        <v>2.5666787820138897E-4</v>
      </c>
    </row>
    <row r="20" spans="3:7" x14ac:dyDescent="0.25">
      <c r="C20" s="2" t="s">
        <v>2</v>
      </c>
      <c r="D20" s="56" t="s">
        <v>92</v>
      </c>
      <c r="E20" s="56"/>
      <c r="F20">
        <f>F14^2*D14</f>
        <v>4.5474735755555561E-4</v>
      </c>
    </row>
    <row r="21" spans="3:7" x14ac:dyDescent="0.25">
      <c r="C21" s="5" t="s">
        <v>87</v>
      </c>
      <c r="D21" s="58" t="s">
        <v>90</v>
      </c>
      <c r="E21" s="58"/>
      <c r="F21" s="7">
        <f>2*(E14*F14*G14)</f>
        <v>-3.085636721111111E-4</v>
      </c>
    </row>
    <row r="22" spans="3:7" x14ac:dyDescent="0.25">
      <c r="C22" s="57" t="s">
        <v>93</v>
      </c>
      <c r="D22" s="33"/>
      <c r="E22" s="33"/>
      <c r="F22" s="55">
        <f>SUM(F19:F21)</f>
        <v>4.0285156364583343E-4</v>
      </c>
      <c r="G22" t="s">
        <v>97</v>
      </c>
    </row>
    <row r="25" spans="3:7" x14ac:dyDescent="0.25">
      <c r="C25" s="57" t="s">
        <v>96</v>
      </c>
      <c r="D25" s="57"/>
      <c r="E25" s="57"/>
      <c r="F25" s="62">
        <f>F22^0.5</f>
        <v>2.0071162488651061E-2</v>
      </c>
      <c r="G2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7492-B31C-4AB2-8826-3659EF7B55B2}">
  <dimension ref="A1:I26"/>
  <sheetViews>
    <sheetView workbookViewId="0">
      <selection activeCell="D20" sqref="D20"/>
    </sheetView>
  </sheetViews>
  <sheetFormatPr defaultRowHeight="15" x14ac:dyDescent="0.25"/>
  <cols>
    <col min="1" max="1" width="36.85546875" style="10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9" ht="18.75" x14ac:dyDescent="0.3">
      <c r="A1" s="26" t="s">
        <v>100</v>
      </c>
      <c r="B1" s="10"/>
      <c r="C1" s="10" t="s">
        <v>101</v>
      </c>
      <c r="D1" s="10"/>
      <c r="E1" s="10"/>
      <c r="F1" s="10"/>
      <c r="G1" s="10"/>
      <c r="H1" s="10"/>
      <c r="I1" s="10"/>
    </row>
    <row r="3" spans="1:9" x14ac:dyDescent="0.25">
      <c r="A3" s="10" t="s">
        <v>103</v>
      </c>
      <c r="C3" s="6"/>
      <c r="D3" s="5" t="s">
        <v>85</v>
      </c>
      <c r="E3" s="5" t="s">
        <v>102</v>
      </c>
    </row>
    <row r="4" spans="1:9" x14ac:dyDescent="0.25">
      <c r="A4" s="11" t="s">
        <v>104</v>
      </c>
      <c r="C4" s="48" t="s">
        <v>1</v>
      </c>
      <c r="D4">
        <f>_xlfn.VAR.S(Returns!C7:C66)</f>
        <v>3.8376630611581929E-3</v>
      </c>
      <c r="E4" s="15">
        <f>SQRT(D4)</f>
        <v>6.1948874575396384E-2</v>
      </c>
    </row>
    <row r="5" spans="1:9" x14ac:dyDescent="0.25">
      <c r="A5" s="11" t="s">
        <v>105</v>
      </c>
      <c r="C5" s="48" t="s">
        <v>2</v>
      </c>
      <c r="D5">
        <f>_xlfn.VAR.S(Returns!D7:D66)</f>
        <v>1.0731585381320902E-2</v>
      </c>
      <c r="E5" s="15">
        <f t="shared" ref="E5:E7" si="0">SQRT(D5)</f>
        <v>0.10359336552753222</v>
      </c>
    </row>
    <row r="6" spans="1:9" x14ac:dyDescent="0.25">
      <c r="C6" s="48" t="s">
        <v>3</v>
      </c>
      <c r="D6">
        <f>_xlfn.VAR.S(Returns!E7:E66)</f>
        <v>2.3754650685141251E-3</v>
      </c>
      <c r="E6" s="15">
        <f t="shared" si="0"/>
        <v>4.8738742992758086E-2</v>
      </c>
    </row>
    <row r="7" spans="1:9" x14ac:dyDescent="0.25">
      <c r="C7" s="48" t="s">
        <v>4</v>
      </c>
      <c r="D7">
        <f>_xlfn.VAR.S(Returns!F7:F66)</f>
        <v>6.7275806763717532E-3</v>
      </c>
      <c r="E7" s="15">
        <f t="shared" si="0"/>
        <v>8.2021830486595171E-2</v>
      </c>
    </row>
    <row r="9" spans="1:9" x14ac:dyDescent="0.25">
      <c r="A9" s="10" t="s">
        <v>106</v>
      </c>
      <c r="B9" s="10"/>
      <c r="C9" s="10" t="s">
        <v>107</v>
      </c>
      <c r="D9" s="10"/>
      <c r="E9" s="10"/>
      <c r="F9" s="10"/>
      <c r="G9" s="10"/>
      <c r="H9" s="10"/>
      <c r="I9" s="10"/>
    </row>
    <row r="11" spans="1:9" x14ac:dyDescent="0.25">
      <c r="C11" s="33"/>
      <c r="D11" s="33" t="s">
        <v>1</v>
      </c>
      <c r="E11" s="33" t="s">
        <v>2</v>
      </c>
      <c r="F11" s="33" t="s">
        <v>3</v>
      </c>
      <c r="G11" s="33" t="s">
        <v>4</v>
      </c>
    </row>
    <row r="12" spans="1:9" x14ac:dyDescent="0.25">
      <c r="C12" s="33" t="s">
        <v>1</v>
      </c>
      <c r="D12" s="2">
        <f>_xlfn.COVARIANCE.S(MSFT,MSFT)</f>
        <v>3.8376630611581921E-3</v>
      </c>
      <c r="E12">
        <f>_xlfn.COVARIANCE.S(MSFT,EBAY)</f>
        <v>1.6455106346327686E-3</v>
      </c>
      <c r="F12">
        <f>_xlfn.COVARIANCE.S(MSFT,ABT)</f>
        <v>1.7883186212429381E-4</v>
      </c>
      <c r="G12">
        <f>_xlfn.COVARIANCE.S(MSFT,MRK)</f>
        <v>1.7656678576214689E-3</v>
      </c>
    </row>
    <row r="13" spans="1:9" x14ac:dyDescent="0.25">
      <c r="C13" s="33" t="s">
        <v>2</v>
      </c>
      <c r="D13">
        <f>_xlfn.COVARIANCE.S(EBAY,MSFT)</f>
        <v>1.6455106346327686E-3</v>
      </c>
      <c r="E13" s="2">
        <f>_xlfn.COVARIANCE.S(EBAY,MSFT)</f>
        <v>1.6455106346327686E-3</v>
      </c>
      <c r="F13">
        <f>_xlfn.COVARIANCE.S(EBAY,ABT)</f>
        <v>-2.4251390109604511E-4</v>
      </c>
      <c r="G13">
        <f>_xlfn.COVARIANCE.S(EBAY,MRK)</f>
        <v>8.9752506295367248E-4</v>
      </c>
    </row>
    <row r="14" spans="1:9" x14ac:dyDescent="0.25">
      <c r="C14" s="33" t="s">
        <v>3</v>
      </c>
      <c r="D14">
        <f>_xlfn.COVARIANCE.S(ABT,MSFT)</f>
        <v>1.7883186212429381E-4</v>
      </c>
      <c r="E14">
        <f>_xlfn.COVARIANCE.S(ABT,EBAY)</f>
        <v>-2.4251390109604511E-4</v>
      </c>
      <c r="F14" s="2">
        <f>_xlfn.COVARIANCE.S(ABT,ABT)</f>
        <v>2.3754650685141234E-3</v>
      </c>
      <c r="G14">
        <f>_xlfn.COVARIANCE.S(ABT,MRK)</f>
        <v>1.2372955264858757E-3</v>
      </c>
    </row>
    <row r="15" spans="1:9" x14ac:dyDescent="0.25">
      <c r="C15" s="33" t="s">
        <v>4</v>
      </c>
      <c r="D15">
        <f>_xlfn.COVARIANCE.S(MRK,MSFT)</f>
        <v>1.7656678576214689E-3</v>
      </c>
      <c r="E15">
        <f>_xlfn.COVARIANCE.S(MRK,EBAY)</f>
        <v>8.9752506295367248E-4</v>
      </c>
      <c r="F15">
        <f>_xlfn.COVARIANCE.S(MRK,ABT)</f>
        <v>1.2372955264858757E-3</v>
      </c>
      <c r="G15" s="2">
        <f>_xlfn.COVARIANCE.S(MRK,MRK)</f>
        <v>6.7275806763717498E-3</v>
      </c>
    </row>
    <row r="17" spans="1:9" x14ac:dyDescent="0.25">
      <c r="A17" s="10" t="s">
        <v>108</v>
      </c>
      <c r="B17" s="10"/>
      <c r="C17" s="10" t="s">
        <v>109</v>
      </c>
      <c r="D17" s="10"/>
      <c r="E17" s="10"/>
      <c r="F17" s="10"/>
      <c r="G17" s="10"/>
      <c r="H17" s="10"/>
      <c r="I17" s="10"/>
    </row>
    <row r="19" spans="1:9" x14ac:dyDescent="0.25">
      <c r="A19" s="10" t="s">
        <v>110</v>
      </c>
      <c r="C19" s="33"/>
      <c r="D19" s="33" t="s">
        <v>88</v>
      </c>
      <c r="E19" s="33" t="s">
        <v>2</v>
      </c>
      <c r="F19" s="33" t="s">
        <v>3</v>
      </c>
      <c r="G19" s="33" t="s">
        <v>4</v>
      </c>
    </row>
    <row r="20" spans="1:9" x14ac:dyDescent="0.25">
      <c r="A20" s="10" t="s">
        <v>111</v>
      </c>
      <c r="C20" s="33" t="s">
        <v>1</v>
      </c>
      <c r="D20" s="2">
        <f>CORREL(MSFT,MSFT)</f>
        <v>1</v>
      </c>
    </row>
    <row r="21" spans="1:9" x14ac:dyDescent="0.25">
      <c r="A21" s="10" t="s">
        <v>112</v>
      </c>
      <c r="C21" s="33" t="s">
        <v>2</v>
      </c>
      <c r="D21">
        <f>CORREL(EBAY,MSFT)</f>
        <v>0.25641021913870959</v>
      </c>
      <c r="E21" s="2">
        <f>CORREL(EBAY,EBAY)</f>
        <v>0.99999999999999989</v>
      </c>
    </row>
    <row r="22" spans="1:9" x14ac:dyDescent="0.25">
      <c r="C22" s="33" t="s">
        <v>3</v>
      </c>
      <c r="D22">
        <f>CORREL(ABT,MSFT)</f>
        <v>5.9229375499771031E-2</v>
      </c>
      <c r="E22">
        <f>CORREL(ABT,EBAY)</f>
        <v>-4.8031966862616071E-2</v>
      </c>
      <c r="F22" s="2">
        <f>CORREL(ABT,ABT)</f>
        <v>1</v>
      </c>
    </row>
    <row r="23" spans="1:9" x14ac:dyDescent="0.25">
      <c r="C23" s="33" t="s">
        <v>4</v>
      </c>
      <c r="D23">
        <f>CORREL(MRK,MSFT)</f>
        <v>0.34749305800343966</v>
      </c>
      <c r="E23">
        <f>CORREL(MRK,EBAY)</f>
        <v>0.10562949051310196</v>
      </c>
      <c r="F23">
        <f>CORREL(ABT,MRK)</f>
        <v>0.30950641954117952</v>
      </c>
      <c r="G23" s="2">
        <f>CORREL(MRK,MRK)</f>
        <v>1</v>
      </c>
    </row>
    <row r="24" spans="1:9" x14ac:dyDescent="0.25">
      <c r="A24" s="10" t="s">
        <v>42</v>
      </c>
    </row>
    <row r="25" spans="1:9" x14ac:dyDescent="0.25">
      <c r="A25" s="10" t="s">
        <v>114</v>
      </c>
    </row>
    <row r="26" spans="1:9" x14ac:dyDescent="0.25">
      <c r="A26" s="1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DAF-CD1C-4D4E-944E-23789246961A}">
  <dimension ref="A1:K17"/>
  <sheetViews>
    <sheetView workbookViewId="0">
      <selection activeCell="F5" sqref="F5"/>
    </sheetView>
  </sheetViews>
  <sheetFormatPr defaultRowHeight="15" x14ac:dyDescent="0.25"/>
  <cols>
    <col min="1" max="1" width="23" style="10" bestFit="1" customWidth="1"/>
    <col min="5" max="5" width="12" bestFit="1" customWidth="1"/>
    <col min="6" max="8" width="11" bestFit="1" customWidth="1"/>
    <col min="9" max="9" width="12" customWidth="1"/>
    <col min="10" max="10" width="12" bestFit="1" customWidth="1"/>
    <col min="11" max="11" width="8.5703125" customWidth="1"/>
  </cols>
  <sheetData>
    <row r="1" spans="1:11" ht="18.75" x14ac:dyDescent="0.3">
      <c r="A1" s="26" t="s">
        <v>115</v>
      </c>
      <c r="B1" s="10"/>
      <c r="C1" s="10" t="s">
        <v>117</v>
      </c>
      <c r="D1" s="10"/>
      <c r="E1" s="10"/>
      <c r="F1" s="10"/>
      <c r="G1" s="10"/>
      <c r="H1" s="10"/>
      <c r="I1" s="10"/>
      <c r="J1" s="10"/>
      <c r="K1" s="10"/>
    </row>
    <row r="3" spans="1:11" x14ac:dyDescent="0.25">
      <c r="A3" s="10" t="s">
        <v>116</v>
      </c>
      <c r="C3" s="46" t="s">
        <v>58</v>
      </c>
      <c r="D3" s="47"/>
      <c r="E3" s="46" t="s">
        <v>57</v>
      </c>
      <c r="F3" s="47"/>
      <c r="G3" s="46" t="s">
        <v>118</v>
      </c>
      <c r="H3" s="46"/>
      <c r="I3" s="47"/>
      <c r="J3" s="46" t="s">
        <v>61</v>
      </c>
      <c r="K3" s="46"/>
    </row>
    <row r="4" spans="1:11" x14ac:dyDescent="0.25">
      <c r="A4" s="10" t="s">
        <v>120</v>
      </c>
      <c r="C4" s="5" t="s">
        <v>1</v>
      </c>
      <c r="D4" s="6" t="s">
        <v>2</v>
      </c>
      <c r="E4" s="5" t="s">
        <v>1</v>
      </c>
      <c r="F4" s="6" t="s">
        <v>2</v>
      </c>
      <c r="G4" s="5" t="s">
        <v>1</v>
      </c>
      <c r="H4" s="5" t="s">
        <v>2</v>
      </c>
      <c r="I4" s="6" t="s">
        <v>87</v>
      </c>
      <c r="J4" s="5" t="s">
        <v>119</v>
      </c>
      <c r="K4" s="5" t="s">
        <v>8</v>
      </c>
    </row>
    <row r="5" spans="1:11" x14ac:dyDescent="0.25">
      <c r="A5" s="10" t="s">
        <v>121</v>
      </c>
      <c r="C5" s="45">
        <v>1</v>
      </c>
      <c r="D5" s="63">
        <f>1-C5</f>
        <v>0</v>
      </c>
      <c r="E5" s="15">
        <f>AVERAGE(MSFT6)</f>
        <v>2.3824166666666664E-2</v>
      </c>
      <c r="F5" s="16">
        <f>AVERAGE(EBAY6)</f>
        <v>3.9811333333333344E-2</v>
      </c>
      <c r="G5">
        <f>_xlfn.VAR.P(MSFT6)</f>
        <v>1.0266715128055559E-3</v>
      </c>
      <c r="H5">
        <f>_xlfn.VAR.P(EBAY6)</f>
        <v>1.8189894302222225E-3</v>
      </c>
      <c r="I5" s="49">
        <f>_xlfn.COVARIANCE.P(MSFT6,EBAY6)</f>
        <v>-6.1712734422222221E-4</v>
      </c>
      <c r="J5" s="15">
        <f>(C5^2*G5+D5^2*H5+2*C5*D5*I5)^0.5</f>
        <v>3.2041715197622549E-2</v>
      </c>
      <c r="K5" s="18">
        <f>C5*E5+D5*F5</f>
        <v>2.3824166666666664E-2</v>
      </c>
    </row>
    <row r="6" spans="1:11" x14ac:dyDescent="0.25">
      <c r="A6" s="10" t="s">
        <v>122</v>
      </c>
      <c r="C6" s="45">
        <v>0.9</v>
      </c>
      <c r="D6" s="63">
        <f t="shared" ref="D6:D15" si="0">1-C6</f>
        <v>9.9999999999999978E-2</v>
      </c>
      <c r="E6" s="15">
        <f>AVERAGE(MSFT6)</f>
        <v>2.3824166666666664E-2</v>
      </c>
      <c r="F6" s="16">
        <f>AVERAGE(EBAY6)</f>
        <v>3.9811333333333344E-2</v>
      </c>
      <c r="G6">
        <f>_xlfn.VAR.P(MSFT6)</f>
        <v>1.0266715128055559E-3</v>
      </c>
      <c r="H6">
        <f>_xlfn.VAR.P(EBAY6)</f>
        <v>1.8189894302222225E-3</v>
      </c>
      <c r="I6" s="49">
        <f>_xlfn.COVARIANCE.P(MSFT6,EBAY6)</f>
        <v>-6.1712734422222221E-4</v>
      </c>
      <c r="J6" s="15">
        <f t="shared" ref="J6:J15" si="1">(C6^2*G6+D6^2*H6+2*C6*D6*I6)^0.5</f>
        <v>2.7179236518245366E-2</v>
      </c>
      <c r="K6" s="18">
        <f t="shared" ref="K6:K15" si="2">C6*E6+D6*F6</f>
        <v>2.5422883333333333E-2</v>
      </c>
    </row>
    <row r="7" spans="1:11" x14ac:dyDescent="0.25">
      <c r="A7" s="10" t="s">
        <v>123</v>
      </c>
      <c r="C7" s="45">
        <v>0.8</v>
      </c>
      <c r="D7" s="63">
        <f t="shared" si="0"/>
        <v>0.19999999999999996</v>
      </c>
      <c r="E7" s="15">
        <f>AVERAGE(MSFT6)</f>
        <v>2.3824166666666664E-2</v>
      </c>
      <c r="F7" s="16">
        <f>AVERAGE(EBAY6)</f>
        <v>3.9811333333333344E-2</v>
      </c>
      <c r="G7">
        <f>_xlfn.VAR.P(MSFT6)</f>
        <v>1.0266715128055559E-3</v>
      </c>
      <c r="H7">
        <f>_xlfn.VAR.P(EBAY6)</f>
        <v>1.8189894302222225E-3</v>
      </c>
      <c r="I7" s="49">
        <f>_xlfn.COVARIANCE.P(MSFT6,EBAY6)</f>
        <v>-6.1712734422222221E-4</v>
      </c>
      <c r="J7" s="15">
        <f t="shared" si="1"/>
        <v>2.307268071233453E-2</v>
      </c>
      <c r="K7" s="18">
        <f t="shared" si="2"/>
        <v>2.70216E-2</v>
      </c>
    </row>
    <row r="8" spans="1:11" x14ac:dyDescent="0.25">
      <c r="A8" s="10" t="s">
        <v>124</v>
      </c>
      <c r="C8" s="45">
        <v>0.7</v>
      </c>
      <c r="D8" s="63">
        <f t="shared" si="0"/>
        <v>0.30000000000000004</v>
      </c>
      <c r="E8" s="15">
        <f>AVERAGE(MSFT6)</f>
        <v>2.3824166666666664E-2</v>
      </c>
      <c r="F8" s="16">
        <f>AVERAGE(EBAY6)</f>
        <v>3.9811333333333344E-2</v>
      </c>
      <c r="G8">
        <f>_xlfn.VAR.P(MSFT6)</f>
        <v>1.0266715128055559E-3</v>
      </c>
      <c r="H8">
        <f>_xlfn.VAR.P(EBAY6)</f>
        <v>1.8189894302222225E-3</v>
      </c>
      <c r="I8" s="49">
        <f>_xlfn.COVARIANCE.P(MSFT6,EBAY6)</f>
        <v>-6.1712734422222221E-4</v>
      </c>
      <c r="J8" s="15">
        <f t="shared" si="1"/>
        <v>2.0188724710129391E-2</v>
      </c>
      <c r="K8" s="18">
        <f t="shared" si="2"/>
        <v>2.8620316666666666E-2</v>
      </c>
    </row>
    <row r="9" spans="1:11" x14ac:dyDescent="0.25">
      <c r="C9" s="45">
        <v>0.6</v>
      </c>
      <c r="D9" s="63">
        <f t="shared" si="0"/>
        <v>0.4</v>
      </c>
      <c r="E9" s="15">
        <f>AVERAGE(MSFT6)</f>
        <v>2.3824166666666664E-2</v>
      </c>
      <c r="F9" s="16">
        <f>AVERAGE(EBAY6)</f>
        <v>3.9811333333333344E-2</v>
      </c>
      <c r="G9">
        <f>_xlfn.VAR.P(MSFT6)</f>
        <v>1.0266715128055559E-3</v>
      </c>
      <c r="H9">
        <f>_xlfn.VAR.P(EBAY6)</f>
        <v>1.8189894302222225E-3</v>
      </c>
      <c r="I9" s="49">
        <f>_xlfn.COVARIANCE.P(MSFT6,EBAY6)</f>
        <v>-6.1712734422222221E-4</v>
      </c>
      <c r="J9" s="15">
        <f t="shared" si="1"/>
        <v>1.9089759773734429E-2</v>
      </c>
      <c r="K9" s="18">
        <f t="shared" si="2"/>
        <v>3.0219033333333336E-2</v>
      </c>
    </row>
    <row r="10" spans="1:11" x14ac:dyDescent="0.25">
      <c r="C10" s="45">
        <v>0.5</v>
      </c>
      <c r="D10" s="63">
        <f t="shared" si="0"/>
        <v>0.5</v>
      </c>
      <c r="E10" s="15">
        <f>AVERAGE(MSFT6)</f>
        <v>2.3824166666666664E-2</v>
      </c>
      <c r="F10" s="16">
        <f>AVERAGE(EBAY6)</f>
        <v>3.9811333333333344E-2</v>
      </c>
      <c r="G10">
        <f>_xlfn.VAR.P(MSFT6)</f>
        <v>1.0266715128055559E-3</v>
      </c>
      <c r="H10">
        <f>_xlfn.VAR.P(EBAY6)</f>
        <v>1.8189894302222225E-3</v>
      </c>
      <c r="I10" s="49">
        <f>_xlfn.COVARIANCE.P(MSFT6,EBAY6)</f>
        <v>-6.1712734422222221E-4</v>
      </c>
      <c r="J10" s="15">
        <f t="shared" si="1"/>
        <v>2.0071162488651061E-2</v>
      </c>
      <c r="K10" s="18">
        <f t="shared" si="2"/>
        <v>3.1817750000000006E-2</v>
      </c>
    </row>
    <row r="11" spans="1:11" x14ac:dyDescent="0.25">
      <c r="C11" s="45">
        <v>0.4</v>
      </c>
      <c r="D11" s="63">
        <f t="shared" si="0"/>
        <v>0.6</v>
      </c>
      <c r="E11" s="15">
        <f>AVERAGE(MSFT6)</f>
        <v>2.3824166666666664E-2</v>
      </c>
      <c r="F11" s="16">
        <f>AVERAGE(EBAY6)</f>
        <v>3.9811333333333344E-2</v>
      </c>
      <c r="G11">
        <f>_xlfn.VAR.P(MSFT6)</f>
        <v>1.0266715128055559E-3</v>
      </c>
      <c r="H11">
        <f>_xlfn.VAR.P(EBAY6)</f>
        <v>1.8189894302222225E-3</v>
      </c>
      <c r="I11" s="49">
        <f>_xlfn.COVARIANCE.P(MSFT6,EBAY6)</f>
        <v>-6.1712734422222221E-4</v>
      </c>
      <c r="J11" s="15">
        <f t="shared" si="1"/>
        <v>2.2866624405500309E-2</v>
      </c>
      <c r="K11" s="18">
        <f t="shared" si="2"/>
        <v>3.3416466666666672E-2</v>
      </c>
    </row>
    <row r="12" spans="1:11" x14ac:dyDescent="0.25">
      <c r="C12" s="45">
        <v>0.3</v>
      </c>
      <c r="D12" s="63">
        <f t="shared" si="0"/>
        <v>0.7</v>
      </c>
      <c r="E12" s="15">
        <f>AVERAGE(MSFT6)</f>
        <v>2.3824166666666664E-2</v>
      </c>
      <c r="F12" s="16">
        <f>AVERAGE(EBAY6)</f>
        <v>3.9811333333333344E-2</v>
      </c>
      <c r="G12">
        <f>_xlfn.VAR.P(MSFT6)</f>
        <v>1.0266715128055559E-3</v>
      </c>
      <c r="H12">
        <f>_xlfn.VAR.P(EBAY6)</f>
        <v>1.8189894302222225E-3</v>
      </c>
      <c r="I12" s="49">
        <f>_xlfn.COVARIANCE.P(MSFT6,EBAY6)</f>
        <v>-6.1712734422222221E-4</v>
      </c>
      <c r="J12" s="15">
        <f t="shared" si="1"/>
        <v>2.6916756349680316E-2</v>
      </c>
      <c r="K12" s="18">
        <f t="shared" si="2"/>
        <v>3.5015183333333338E-2</v>
      </c>
    </row>
    <row r="13" spans="1:11" x14ac:dyDescent="0.25">
      <c r="C13" s="45">
        <v>0.2</v>
      </c>
      <c r="D13" s="63">
        <f t="shared" si="0"/>
        <v>0.8</v>
      </c>
      <c r="E13" s="15">
        <f>AVERAGE(MSFT6)</f>
        <v>2.3824166666666664E-2</v>
      </c>
      <c r="F13" s="16">
        <f>AVERAGE(EBAY6)</f>
        <v>3.9811333333333344E-2</v>
      </c>
      <c r="G13">
        <f>_xlfn.VAR.P(MSFT6)</f>
        <v>1.0266715128055559E-3</v>
      </c>
      <c r="H13">
        <f>_xlfn.VAR.P(EBAY6)</f>
        <v>1.8189894302222225E-3</v>
      </c>
      <c r="I13" s="49">
        <f>_xlfn.COVARIANCE.P(MSFT6,EBAY6)</f>
        <v>-6.1712734422222221E-4</v>
      </c>
      <c r="J13" s="15">
        <f t="shared" si="1"/>
        <v>3.1744910548044292E-2</v>
      </c>
      <c r="K13" s="18">
        <f t="shared" si="2"/>
        <v>3.6613900000000005E-2</v>
      </c>
    </row>
    <row r="14" spans="1:11" x14ac:dyDescent="0.25">
      <c r="C14" s="45">
        <v>0.1</v>
      </c>
      <c r="D14" s="63">
        <f t="shared" si="0"/>
        <v>0.9</v>
      </c>
      <c r="E14" s="15">
        <f>AVERAGE(MSFT6)</f>
        <v>2.3824166666666664E-2</v>
      </c>
      <c r="F14" s="16">
        <f>AVERAGE(EBAY6)</f>
        <v>3.9811333333333344E-2</v>
      </c>
      <c r="G14">
        <f>_xlfn.VAR.P(MSFT6)</f>
        <v>1.0266715128055559E-3</v>
      </c>
      <c r="H14">
        <f>_xlfn.VAR.P(EBAY6)</f>
        <v>1.8189894302222225E-3</v>
      </c>
      <c r="I14" s="49">
        <f>_xlfn.COVARIANCE.P(MSFT6,EBAY6)</f>
        <v>-6.1712734422222221E-4</v>
      </c>
      <c r="J14" s="15">
        <f t="shared" si="1"/>
        <v>3.7048147479301255E-2</v>
      </c>
      <c r="K14" s="18">
        <f t="shared" si="2"/>
        <v>3.8212616666666678E-2</v>
      </c>
    </row>
    <row r="15" spans="1:11" x14ac:dyDescent="0.25">
      <c r="C15" s="45">
        <v>0</v>
      </c>
      <c r="D15" s="63">
        <f t="shared" si="0"/>
        <v>1</v>
      </c>
      <c r="E15" s="15">
        <f>AVERAGE(MSFT6)</f>
        <v>2.3824166666666664E-2</v>
      </c>
      <c r="F15" s="16">
        <f>AVERAGE(EBAY6)</f>
        <v>3.9811333333333344E-2</v>
      </c>
      <c r="G15">
        <f>_xlfn.VAR.P(MSFT6)</f>
        <v>1.0266715128055559E-3</v>
      </c>
      <c r="H15">
        <f>_xlfn.VAR.P(EBAY6)</f>
        <v>1.8189894302222225E-3</v>
      </c>
      <c r="I15" s="49">
        <f>_xlfn.COVARIANCE.P(MSFT6,EBAY6)</f>
        <v>-6.1712734422222221E-4</v>
      </c>
      <c r="J15" s="15">
        <f t="shared" si="1"/>
        <v>4.2649612310339029E-2</v>
      </c>
      <c r="K15" s="18">
        <f t="shared" si="2"/>
        <v>3.9811333333333344E-2</v>
      </c>
    </row>
    <row r="17" spans="1:11" x14ac:dyDescent="0.25">
      <c r="A17" s="10" t="s">
        <v>125</v>
      </c>
      <c r="B17" s="10"/>
      <c r="C17" s="10" t="s">
        <v>126</v>
      </c>
      <c r="D17" s="10"/>
      <c r="E17" s="10"/>
      <c r="F17" s="10"/>
      <c r="G17" s="10"/>
      <c r="H17" s="10"/>
      <c r="I17" s="10"/>
      <c r="J17" s="10"/>
      <c r="K17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15F3-8366-4501-9068-0A3E0C7935FD}">
  <dimension ref="B6:H66"/>
  <sheetViews>
    <sheetView tabSelected="1" workbookViewId="0">
      <selection activeCell="J50" sqref="J50"/>
    </sheetView>
  </sheetViews>
  <sheetFormatPr defaultRowHeight="15" x14ac:dyDescent="0.25"/>
  <cols>
    <col min="2" max="2" width="10.85546875" bestFit="1" customWidth="1"/>
  </cols>
  <sheetData>
    <row r="6" spans="2:8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2:8" x14ac:dyDescent="0.25">
      <c r="B7" s="1">
        <v>37741</v>
      </c>
      <c r="C7">
        <v>5.6175000000000003E-2</v>
      </c>
      <c r="D7">
        <v>8.9087E-2</v>
      </c>
      <c r="E7">
        <v>8.3535999999999999E-2</v>
      </c>
      <c r="F7">
        <v>6.2066000000000003E-2</v>
      </c>
      <c r="G7">
        <v>7.2716000000000003E-2</v>
      </c>
      <c r="H7">
        <v>1E-3</v>
      </c>
    </row>
    <row r="8" spans="2:8" x14ac:dyDescent="0.25">
      <c r="B8" s="1">
        <v>37771</v>
      </c>
      <c r="C8">
        <v>-3.7544000000000001E-2</v>
      </c>
      <c r="D8">
        <v>9.4070000000000001E-2</v>
      </c>
      <c r="E8">
        <v>9.6479999999999996E-2</v>
      </c>
      <c r="F8">
        <v>-4.4689E-2</v>
      </c>
      <c r="G8">
        <v>2.7078999999999999E-2</v>
      </c>
      <c r="H8">
        <v>8.9999999999999998E-4</v>
      </c>
    </row>
    <row r="9" spans="2:8" x14ac:dyDescent="0.25">
      <c r="B9" s="1">
        <v>37802</v>
      </c>
      <c r="C9">
        <v>4.1853000000000001E-2</v>
      </c>
      <c r="D9">
        <v>2.3119000000000001E-2</v>
      </c>
      <c r="E9">
        <v>-1.7732999999999999E-2</v>
      </c>
      <c r="F9">
        <v>9.6319000000000002E-2</v>
      </c>
      <c r="G9">
        <v>3.5889999999999998E-2</v>
      </c>
      <c r="H9">
        <v>1E-3</v>
      </c>
    </row>
    <row r="10" spans="2:8" x14ac:dyDescent="0.25">
      <c r="B10" s="1">
        <v>37833</v>
      </c>
      <c r="C10">
        <v>3.0030999999999999E-2</v>
      </c>
      <c r="D10">
        <v>3.1731000000000002E-2</v>
      </c>
      <c r="E10">
        <v>-0.100672</v>
      </c>
      <c r="F10">
        <v>-8.7036000000000002E-2</v>
      </c>
      <c r="G10">
        <v>-3.1487000000000001E-2</v>
      </c>
      <c r="H10">
        <v>6.9999999999999999E-4</v>
      </c>
    </row>
    <row r="11" spans="2:8" x14ac:dyDescent="0.25">
      <c r="B11" s="1">
        <v>37862</v>
      </c>
      <c r="C11">
        <v>4.1650000000000003E-3</v>
      </c>
      <c r="D11">
        <v>3.2805000000000001E-2</v>
      </c>
      <c r="E11">
        <v>2.6752000000000001E-2</v>
      </c>
      <c r="F11">
        <v>-3.9496000000000003E-2</v>
      </c>
      <c r="G11">
        <v>6.0569999999999999E-3</v>
      </c>
      <c r="H11">
        <v>6.9999999999999999E-4</v>
      </c>
    </row>
    <row r="12" spans="2:8" x14ac:dyDescent="0.25">
      <c r="B12" s="1">
        <v>37894</v>
      </c>
      <c r="C12">
        <v>4.8265000000000002E-2</v>
      </c>
      <c r="D12">
        <v>-3.1944E-2</v>
      </c>
      <c r="E12">
        <v>5.5830999999999999E-2</v>
      </c>
      <c r="F12">
        <v>1.3306E-2</v>
      </c>
      <c r="G12">
        <v>2.1364999999999999E-2</v>
      </c>
      <c r="H12">
        <v>8.0000000000000004E-4</v>
      </c>
    </row>
    <row r="13" spans="2:8" x14ac:dyDescent="0.25">
      <c r="B13" s="1">
        <v>37925</v>
      </c>
      <c r="C13">
        <v>-5.4537000000000002E-2</v>
      </c>
      <c r="D13">
        <v>4.2692000000000001E-2</v>
      </c>
      <c r="E13">
        <v>4.4559999999999999E-3</v>
      </c>
      <c r="F13">
        <v>-0.12584000000000001</v>
      </c>
      <c r="G13">
        <v>-3.3307000000000003E-2</v>
      </c>
      <c r="H13">
        <v>6.9999999999999999E-4</v>
      </c>
    </row>
    <row r="14" spans="2:8" x14ac:dyDescent="0.25">
      <c r="B14" s="1">
        <v>37953</v>
      </c>
      <c r="C14">
        <v>-1.6449999999999999E-2</v>
      </c>
      <c r="D14">
        <v>-7.1500000000000003E-4</v>
      </c>
      <c r="E14">
        <v>3.7072000000000001E-2</v>
      </c>
      <c r="F14">
        <v>-8.2486000000000004E-2</v>
      </c>
      <c r="G14">
        <v>-1.5644999999999999E-2</v>
      </c>
      <c r="H14">
        <v>6.9999999999999999E-4</v>
      </c>
    </row>
    <row r="15" spans="2:8" x14ac:dyDescent="0.25">
      <c r="B15" s="1">
        <v>37986</v>
      </c>
      <c r="C15">
        <v>6.4565999999999998E-2</v>
      </c>
      <c r="D15">
        <v>0.15602099999999999</v>
      </c>
      <c r="E15">
        <v>5.4299E-2</v>
      </c>
      <c r="F15">
        <v>0.14758099999999999</v>
      </c>
      <c r="G15">
        <v>0.105617</v>
      </c>
      <c r="H15">
        <v>8.0000000000000004E-4</v>
      </c>
    </row>
    <row r="16" spans="2:8" x14ac:dyDescent="0.25">
      <c r="B16" s="1">
        <v>38016</v>
      </c>
      <c r="C16">
        <v>1.023E-2</v>
      </c>
      <c r="D16">
        <v>3.5908000000000002E-2</v>
      </c>
      <c r="E16">
        <v>-7.3095999999999994E-2</v>
      </c>
      <c r="F16">
        <v>3.0303E-2</v>
      </c>
      <c r="G16">
        <v>8.3600000000000005E-4</v>
      </c>
      <c r="H16">
        <v>6.9999999999999999E-4</v>
      </c>
    </row>
    <row r="17" spans="2:8" x14ac:dyDescent="0.25">
      <c r="B17" s="1">
        <v>38044</v>
      </c>
      <c r="C17">
        <v>-4.0506E-2</v>
      </c>
      <c r="D17">
        <v>2.6446000000000001E-2</v>
      </c>
      <c r="E17">
        <v>-6.4999999999999997E-3</v>
      </c>
      <c r="F17">
        <v>1.0083999999999999E-2</v>
      </c>
      <c r="G17">
        <v>-2.6189999999999998E-3</v>
      </c>
      <c r="H17">
        <v>5.9999999999999995E-4</v>
      </c>
    </row>
    <row r="18" spans="2:8" x14ac:dyDescent="0.25">
      <c r="B18" s="1">
        <v>38077</v>
      </c>
      <c r="C18">
        <v>-6.0309000000000001E-2</v>
      </c>
      <c r="D18">
        <v>8.4430000000000009E-3</v>
      </c>
      <c r="E18">
        <v>-3.9719999999999998E-2</v>
      </c>
      <c r="F18">
        <v>-7.3688000000000003E-2</v>
      </c>
      <c r="G18">
        <v>-4.1319000000000002E-2</v>
      </c>
      <c r="H18">
        <v>8.9999999999999998E-4</v>
      </c>
    </row>
    <row r="19" spans="2:8" x14ac:dyDescent="0.25">
      <c r="B19" s="1">
        <v>38107</v>
      </c>
      <c r="C19">
        <v>4.8134999999999997E-2</v>
      </c>
      <c r="D19">
        <v>0.155167</v>
      </c>
      <c r="E19">
        <v>7.4357999999999994E-2</v>
      </c>
      <c r="F19">
        <v>6.3589000000000007E-2</v>
      </c>
      <c r="G19">
        <v>8.5311999999999999E-2</v>
      </c>
      <c r="H19">
        <v>8.0000000000000004E-4</v>
      </c>
    </row>
    <row r="20" spans="2:8" x14ac:dyDescent="0.25">
      <c r="B20" s="1">
        <v>38135</v>
      </c>
      <c r="C20">
        <v>3.8270000000000001E-3</v>
      </c>
      <c r="D20">
        <v>0.109584</v>
      </c>
      <c r="E20">
        <v>-3.3696999999999998E-2</v>
      </c>
      <c r="F20">
        <v>6.3829999999999998E-3</v>
      </c>
      <c r="G20">
        <v>2.1524000000000001E-2</v>
      </c>
      <c r="H20">
        <v>5.9999999999999995E-4</v>
      </c>
    </row>
    <row r="21" spans="2:8" x14ac:dyDescent="0.25">
      <c r="B21" s="1">
        <v>38168</v>
      </c>
      <c r="C21">
        <v>8.8830000000000006E-2</v>
      </c>
      <c r="D21">
        <v>3.5472999999999998E-2</v>
      </c>
      <c r="E21">
        <v>-1.0919999999999999E-2</v>
      </c>
      <c r="F21">
        <v>1.1997000000000001E-2</v>
      </c>
      <c r="G21">
        <v>3.1344999999999998E-2</v>
      </c>
      <c r="H21">
        <v>8.0000000000000004E-4</v>
      </c>
    </row>
    <row r="22" spans="2:8" x14ac:dyDescent="0.25">
      <c r="B22" s="1">
        <v>38198</v>
      </c>
      <c r="C22">
        <v>-2.4510000000000001E-3</v>
      </c>
      <c r="D22">
        <v>-0.14812400000000001</v>
      </c>
      <c r="E22">
        <v>-3.1609999999999999E-2</v>
      </c>
      <c r="F22">
        <v>-4.5262999999999998E-2</v>
      </c>
      <c r="G22">
        <v>-5.6862000000000003E-2</v>
      </c>
      <c r="H22">
        <v>1E-3</v>
      </c>
    </row>
    <row r="23" spans="2:8" x14ac:dyDescent="0.25">
      <c r="B23" s="1">
        <v>38230</v>
      </c>
      <c r="C23">
        <v>-3.8954999999999997E-2</v>
      </c>
      <c r="D23">
        <v>0.104813</v>
      </c>
      <c r="E23">
        <v>5.9465999999999998E-2</v>
      </c>
      <c r="F23">
        <v>-8.3789999999999993E-3</v>
      </c>
      <c r="G23">
        <v>2.9236000000000002E-2</v>
      </c>
      <c r="H23">
        <v>1.1000000000000001E-3</v>
      </c>
    </row>
    <row r="24" spans="2:8" x14ac:dyDescent="0.25">
      <c r="B24" s="1">
        <v>38260</v>
      </c>
      <c r="C24">
        <v>1.2821000000000001E-2</v>
      </c>
      <c r="D24">
        <v>6.2399000000000003E-2</v>
      </c>
      <c r="E24">
        <v>1.6070999999999998E-2</v>
      </c>
      <c r="F24">
        <v>-0.25991700000000001</v>
      </c>
      <c r="G24">
        <v>-4.2157E-2</v>
      </c>
      <c r="H24">
        <v>1.1000000000000001E-3</v>
      </c>
    </row>
    <row r="25" spans="2:8" x14ac:dyDescent="0.25">
      <c r="B25" s="1">
        <v>38289</v>
      </c>
      <c r="C25">
        <v>1.1573E-2</v>
      </c>
      <c r="D25">
        <v>6.1887999999999999E-2</v>
      </c>
      <c r="E25">
        <v>9.4179999999999993E-3</v>
      </c>
      <c r="F25">
        <v>-5.1212000000000001E-2</v>
      </c>
      <c r="G25">
        <v>7.9170000000000004E-3</v>
      </c>
      <c r="H25">
        <v>1.1000000000000001E-3</v>
      </c>
    </row>
    <row r="26" spans="2:8" x14ac:dyDescent="0.25">
      <c r="B26" s="1">
        <v>38321</v>
      </c>
      <c r="C26">
        <v>6.6312999999999997E-2</v>
      </c>
      <c r="D26">
        <v>0.15026100000000001</v>
      </c>
      <c r="E26">
        <v>-1.5716999999999998E-2</v>
      </c>
      <c r="F26">
        <v>-0.105078</v>
      </c>
      <c r="G26">
        <v>2.3945000000000001E-2</v>
      </c>
      <c r="H26">
        <v>1.5E-3</v>
      </c>
    </row>
    <row r="27" spans="2:8" x14ac:dyDescent="0.25">
      <c r="B27" s="1">
        <v>38352</v>
      </c>
      <c r="C27">
        <v>-3.3570000000000002E-3</v>
      </c>
      <c r="D27">
        <v>3.5975E-2</v>
      </c>
      <c r="E27">
        <v>0.111773</v>
      </c>
      <c r="F27">
        <v>0.16276199999999999</v>
      </c>
      <c r="G27">
        <v>7.6787999999999995E-2</v>
      </c>
      <c r="H27">
        <v>1.6000000000000001E-3</v>
      </c>
    </row>
    <row r="28" spans="2:8" x14ac:dyDescent="0.25">
      <c r="B28" s="1">
        <v>38383</v>
      </c>
      <c r="C28">
        <v>-1.6466999999999999E-2</v>
      </c>
      <c r="D28">
        <v>-0.29946699999999998</v>
      </c>
      <c r="E28">
        <v>-3.2382000000000001E-2</v>
      </c>
      <c r="F28">
        <v>-0.12725600000000001</v>
      </c>
      <c r="G28">
        <v>-0.118893</v>
      </c>
      <c r="H28">
        <v>1.6000000000000001E-3</v>
      </c>
    </row>
    <row r="29" spans="2:8" x14ac:dyDescent="0.25">
      <c r="B29" s="1">
        <v>38411</v>
      </c>
      <c r="C29">
        <v>-3.9663999999999998E-2</v>
      </c>
      <c r="D29">
        <v>5.1288E-2</v>
      </c>
      <c r="E29">
        <v>2.1545999999999999E-2</v>
      </c>
      <c r="F29">
        <v>0.13012499999999999</v>
      </c>
      <c r="G29">
        <v>4.0823999999999999E-2</v>
      </c>
      <c r="H29">
        <v>1.6000000000000001E-3</v>
      </c>
    </row>
    <row r="30" spans="2:8" x14ac:dyDescent="0.25">
      <c r="B30" s="1">
        <v>38442</v>
      </c>
      <c r="C30">
        <v>-3.9348000000000001E-2</v>
      </c>
      <c r="D30">
        <v>-0.13025200000000001</v>
      </c>
      <c r="E30">
        <v>1.3698999999999999E-2</v>
      </c>
      <c r="F30">
        <v>3.3415E-2</v>
      </c>
      <c r="G30">
        <v>-3.0622E-2</v>
      </c>
      <c r="H30">
        <v>2.0999999999999999E-3</v>
      </c>
    </row>
    <row r="31" spans="2:8" x14ac:dyDescent="0.25">
      <c r="B31" s="1">
        <v>38471</v>
      </c>
      <c r="C31">
        <v>4.6752000000000002E-2</v>
      </c>
      <c r="D31">
        <v>-0.148953</v>
      </c>
      <c r="E31">
        <v>5.7373E-2</v>
      </c>
      <c r="F31">
        <v>4.7266000000000002E-2</v>
      </c>
      <c r="G31">
        <v>6.0999999999999997E-4</v>
      </c>
      <c r="H31">
        <v>2.0999999999999999E-3</v>
      </c>
    </row>
    <row r="32" spans="2:8" x14ac:dyDescent="0.25">
      <c r="B32" s="1">
        <v>38503</v>
      </c>
      <c r="C32">
        <v>2.2963000000000001E-2</v>
      </c>
      <c r="D32">
        <v>0.19836000000000001</v>
      </c>
      <c r="E32">
        <v>-1.8714000000000001E-2</v>
      </c>
      <c r="F32">
        <v>-4.3068000000000002E-2</v>
      </c>
      <c r="G32">
        <v>3.9884999999999997E-2</v>
      </c>
      <c r="H32">
        <v>2.3999999999999998E-3</v>
      </c>
    </row>
    <row r="33" spans="2:8" x14ac:dyDescent="0.25">
      <c r="B33" s="1">
        <v>38533</v>
      </c>
      <c r="C33">
        <v>-3.7208999999999999E-2</v>
      </c>
      <c r="D33">
        <v>-0.13131599999999999</v>
      </c>
      <c r="E33">
        <v>1.5962E-2</v>
      </c>
      <c r="F33">
        <v>-3.9347E-2</v>
      </c>
      <c r="G33">
        <v>-4.7978E-2</v>
      </c>
      <c r="H33">
        <v>2.3E-3</v>
      </c>
    </row>
    <row r="34" spans="2:8" x14ac:dyDescent="0.25">
      <c r="B34" s="1">
        <v>38562</v>
      </c>
      <c r="C34">
        <v>3.0998000000000001E-2</v>
      </c>
      <c r="D34">
        <v>0.265677</v>
      </c>
      <c r="E34">
        <v>-4.5933000000000002E-2</v>
      </c>
      <c r="F34">
        <v>8.4419999999999999E-3</v>
      </c>
      <c r="G34">
        <v>6.4796000000000006E-2</v>
      </c>
      <c r="H34">
        <v>2.3999999999999998E-3</v>
      </c>
    </row>
    <row r="35" spans="2:8" x14ac:dyDescent="0.25">
      <c r="B35" s="1">
        <v>38595</v>
      </c>
      <c r="C35">
        <v>7.2265999999999997E-2</v>
      </c>
      <c r="D35">
        <v>-3.0876000000000001E-2</v>
      </c>
      <c r="E35">
        <v>-3.2168000000000002E-2</v>
      </c>
      <c r="F35">
        <v>-7.8880000000000006E-2</v>
      </c>
      <c r="G35">
        <v>-1.7415E-2</v>
      </c>
      <c r="H35">
        <v>3.0000000000000001E-3</v>
      </c>
    </row>
    <row r="36" spans="2:8" x14ac:dyDescent="0.25">
      <c r="B36" s="1">
        <v>38625</v>
      </c>
      <c r="C36">
        <v>-6.0262999999999997E-2</v>
      </c>
      <c r="D36">
        <v>1.7534999999999999E-2</v>
      </c>
      <c r="E36">
        <v>-6.0491999999999997E-2</v>
      </c>
      <c r="F36">
        <v>-3.6131999999999997E-2</v>
      </c>
      <c r="G36">
        <v>-3.4838000000000001E-2</v>
      </c>
      <c r="H36">
        <v>2.8999999999999998E-3</v>
      </c>
    </row>
    <row r="37" spans="2:8" x14ac:dyDescent="0.25">
      <c r="B37" s="1">
        <v>38656</v>
      </c>
      <c r="C37">
        <v>-1.1659999999999999E-3</v>
      </c>
      <c r="D37">
        <v>-3.8592000000000001E-2</v>
      </c>
      <c r="E37">
        <v>1.8505000000000001E-2</v>
      </c>
      <c r="F37">
        <v>3.7118999999999999E-2</v>
      </c>
      <c r="G37">
        <v>3.967E-3</v>
      </c>
      <c r="H37">
        <v>2.7000000000000001E-3</v>
      </c>
    </row>
    <row r="38" spans="2:8" x14ac:dyDescent="0.25">
      <c r="B38" s="1">
        <v>38686</v>
      </c>
      <c r="C38">
        <v>8.0175999999999997E-2</v>
      </c>
      <c r="D38">
        <v>0.13128000000000001</v>
      </c>
      <c r="E38">
        <v>-0.124042</v>
      </c>
      <c r="F38">
        <v>5.5280000000000003E-2</v>
      </c>
      <c r="G38">
        <v>3.5673999999999997E-2</v>
      </c>
      <c r="H38">
        <v>3.0999999999999999E-3</v>
      </c>
    </row>
    <row r="39" spans="2:8" x14ac:dyDescent="0.25">
      <c r="B39" s="1">
        <v>38716</v>
      </c>
      <c r="C39">
        <v>-5.5274999999999998E-2</v>
      </c>
      <c r="D39">
        <v>-3.5483000000000001E-2</v>
      </c>
      <c r="E39">
        <v>4.5610999999999999E-2</v>
      </c>
      <c r="F39">
        <v>8.1973000000000004E-2</v>
      </c>
      <c r="G39">
        <v>9.2069999999999999E-3</v>
      </c>
      <c r="H39">
        <v>3.2000000000000002E-3</v>
      </c>
    </row>
    <row r="40" spans="2:8" x14ac:dyDescent="0.25">
      <c r="B40" s="1">
        <v>38748</v>
      </c>
      <c r="C40">
        <v>7.6481999999999994E-2</v>
      </c>
      <c r="D40">
        <v>-2.7759999999999998E-3</v>
      </c>
      <c r="E40">
        <v>9.7822000000000006E-2</v>
      </c>
      <c r="F40">
        <v>8.4565000000000001E-2</v>
      </c>
      <c r="G40">
        <v>6.4022999999999997E-2</v>
      </c>
      <c r="H40">
        <v>3.5000000000000001E-3</v>
      </c>
    </row>
    <row r="41" spans="2:8" x14ac:dyDescent="0.25">
      <c r="B41" s="1">
        <v>38776</v>
      </c>
      <c r="C41">
        <v>-4.2275E-2</v>
      </c>
      <c r="D41">
        <v>-7.0533999999999999E-2</v>
      </c>
      <c r="E41">
        <v>2.3869999999999999E-2</v>
      </c>
      <c r="F41">
        <v>1.0435E-2</v>
      </c>
      <c r="G41">
        <v>-1.9626000000000001E-2</v>
      </c>
      <c r="H41">
        <v>3.3999999999999998E-3</v>
      </c>
    </row>
    <row r="42" spans="2:8" x14ac:dyDescent="0.25">
      <c r="B42" s="1">
        <v>38807</v>
      </c>
      <c r="C42">
        <v>1.2654E-2</v>
      </c>
      <c r="D42">
        <v>-2.6460000000000001E-2</v>
      </c>
      <c r="E42">
        <v>-3.8705000000000003E-2</v>
      </c>
      <c r="F42">
        <v>2.1687999999999999E-2</v>
      </c>
      <c r="G42">
        <v>-7.7060000000000002E-3</v>
      </c>
      <c r="H42">
        <v>3.7000000000000002E-3</v>
      </c>
    </row>
    <row r="43" spans="2:8" x14ac:dyDescent="0.25">
      <c r="B43" s="1">
        <v>38835</v>
      </c>
      <c r="C43">
        <v>-0.112459</v>
      </c>
      <c r="D43">
        <v>-0.117692</v>
      </c>
      <c r="E43">
        <v>9.7859999999999996E-3</v>
      </c>
      <c r="F43">
        <v>-2.2991999999999999E-2</v>
      </c>
      <c r="G43">
        <v>-6.0838999999999997E-2</v>
      </c>
      <c r="H43">
        <v>3.5999999999999999E-3</v>
      </c>
    </row>
    <row r="44" spans="2:8" x14ac:dyDescent="0.25">
      <c r="B44" s="1">
        <v>38868</v>
      </c>
      <c r="C44">
        <v>-5.8465999999999997E-2</v>
      </c>
      <c r="D44">
        <v>-4.6497999999999998E-2</v>
      </c>
      <c r="E44">
        <v>-9.3599999999999998E-4</v>
      </c>
      <c r="F44">
        <v>-2.179E-2</v>
      </c>
      <c r="G44">
        <v>-3.1923E-2</v>
      </c>
      <c r="H44">
        <v>4.3E-3</v>
      </c>
    </row>
    <row r="45" spans="2:8" x14ac:dyDescent="0.25">
      <c r="B45" s="1">
        <v>38898</v>
      </c>
      <c r="C45">
        <v>2.8698000000000001E-2</v>
      </c>
      <c r="D45">
        <v>-0.107284</v>
      </c>
      <c r="E45">
        <v>2.1311E-2</v>
      </c>
      <c r="F45">
        <v>9.4323000000000004E-2</v>
      </c>
      <c r="G45">
        <v>9.2619999999999994E-3</v>
      </c>
      <c r="H45">
        <v>4.0000000000000001E-3</v>
      </c>
    </row>
    <row r="46" spans="2:8" x14ac:dyDescent="0.25">
      <c r="B46" s="1">
        <v>38929</v>
      </c>
      <c r="C46">
        <v>3.2618000000000001E-2</v>
      </c>
      <c r="D46">
        <v>-0.17821799999999999</v>
      </c>
      <c r="E46">
        <v>9.8898E-2</v>
      </c>
      <c r="F46">
        <v>0.105408</v>
      </c>
      <c r="G46">
        <v>1.4677000000000001E-2</v>
      </c>
      <c r="H46">
        <v>4.0000000000000001E-3</v>
      </c>
    </row>
    <row r="47" spans="2:8" x14ac:dyDescent="0.25">
      <c r="B47" s="1">
        <v>38960</v>
      </c>
      <c r="C47">
        <v>7.2067999999999993E-2</v>
      </c>
      <c r="D47">
        <v>0.15579599999999999</v>
      </c>
      <c r="E47">
        <v>1.9467999999999999E-2</v>
      </c>
      <c r="F47">
        <v>1.6331999999999999E-2</v>
      </c>
      <c r="G47">
        <v>6.5916000000000002E-2</v>
      </c>
      <c r="H47">
        <v>4.1999999999999997E-3</v>
      </c>
    </row>
    <row r="48" spans="2:8" x14ac:dyDescent="0.25">
      <c r="B48" s="1">
        <v>38989</v>
      </c>
      <c r="C48">
        <v>6.4201999999999995E-2</v>
      </c>
      <c r="D48">
        <v>1.941E-2</v>
      </c>
      <c r="E48">
        <v>-2.875E-3</v>
      </c>
      <c r="F48">
        <v>3.3292000000000002E-2</v>
      </c>
      <c r="G48">
        <v>2.8507000000000001E-2</v>
      </c>
      <c r="H48">
        <v>4.1000000000000003E-3</v>
      </c>
    </row>
    <row r="49" spans="2:8" x14ac:dyDescent="0.25">
      <c r="B49" s="1">
        <v>39021</v>
      </c>
      <c r="C49">
        <v>4.9725999999999999E-2</v>
      </c>
      <c r="D49">
        <v>0.132934</v>
      </c>
      <c r="E49">
        <v>-1.8648999999999999E-2</v>
      </c>
      <c r="F49">
        <v>8.4010000000000001E-2</v>
      </c>
      <c r="G49">
        <v>6.2004999999999998E-2</v>
      </c>
      <c r="H49">
        <v>4.1000000000000003E-3</v>
      </c>
    </row>
    <row r="50" spans="2:8" x14ac:dyDescent="0.25">
      <c r="B50" s="1">
        <v>39051</v>
      </c>
      <c r="C50">
        <v>2.6138999999999999E-2</v>
      </c>
      <c r="D50">
        <v>6.5360000000000001E-3</v>
      </c>
      <c r="E50">
        <v>-1.7891000000000001E-2</v>
      </c>
      <c r="F50">
        <v>-2.0035000000000001E-2</v>
      </c>
      <c r="G50">
        <v>-1.3129999999999999E-3</v>
      </c>
      <c r="H50">
        <v>4.1999999999999997E-3</v>
      </c>
    </row>
    <row r="51" spans="2:8" x14ac:dyDescent="0.25">
      <c r="B51" s="1">
        <v>39080</v>
      </c>
      <c r="C51">
        <v>1.703E-2</v>
      </c>
      <c r="D51">
        <v>-7.0192000000000004E-2</v>
      </c>
      <c r="E51">
        <v>4.3935000000000002E-2</v>
      </c>
      <c r="F51">
        <v>-1.2112E-2</v>
      </c>
      <c r="G51">
        <v>-5.3350000000000003E-3</v>
      </c>
      <c r="H51">
        <v>4.0000000000000001E-3</v>
      </c>
    </row>
    <row r="52" spans="2:8" x14ac:dyDescent="0.25">
      <c r="B52" s="1">
        <v>39113</v>
      </c>
      <c r="C52">
        <v>3.3489999999999999E-2</v>
      </c>
      <c r="D52">
        <v>7.7152999999999999E-2</v>
      </c>
      <c r="E52">
        <v>9.1121999999999995E-2</v>
      </c>
      <c r="F52">
        <v>2.6376E-2</v>
      </c>
      <c r="G52">
        <v>5.7035000000000002E-2</v>
      </c>
      <c r="H52">
        <v>4.4000000000000003E-3</v>
      </c>
    </row>
    <row r="53" spans="2:8" x14ac:dyDescent="0.25">
      <c r="B53" s="1">
        <v>39141</v>
      </c>
      <c r="C53">
        <v>-8.4020999999999998E-2</v>
      </c>
      <c r="D53">
        <v>-1.0187999999999999E-2</v>
      </c>
      <c r="E53">
        <v>3.0565999999999999E-2</v>
      </c>
      <c r="F53">
        <v>-1.3408E-2</v>
      </c>
      <c r="G53">
        <v>-1.9262999999999999E-2</v>
      </c>
      <c r="H53">
        <v>3.8E-3</v>
      </c>
    </row>
    <row r="54" spans="2:8" x14ac:dyDescent="0.25">
      <c r="B54" s="1">
        <v>39171</v>
      </c>
      <c r="C54">
        <v>-1.065E-2</v>
      </c>
      <c r="D54">
        <v>3.3999000000000001E-2</v>
      </c>
      <c r="E54">
        <v>2.1604000000000002E-2</v>
      </c>
      <c r="F54">
        <v>9.1210000000000006E-3</v>
      </c>
      <c r="G54">
        <v>1.3519E-2</v>
      </c>
      <c r="H54">
        <v>4.3E-3</v>
      </c>
    </row>
    <row r="55" spans="2:8" x14ac:dyDescent="0.25">
      <c r="B55" s="1">
        <v>39202</v>
      </c>
      <c r="C55">
        <v>7.4273000000000006E-2</v>
      </c>
      <c r="D55">
        <v>2.3831000000000001E-2</v>
      </c>
      <c r="E55">
        <v>1.7465000000000001E-2</v>
      </c>
      <c r="F55">
        <v>0.16459099999999999</v>
      </c>
      <c r="G55">
        <v>7.0040000000000005E-2</v>
      </c>
      <c r="H55">
        <v>4.4000000000000003E-3</v>
      </c>
    </row>
    <row r="56" spans="2:8" x14ac:dyDescent="0.25">
      <c r="B56" s="1">
        <v>39233</v>
      </c>
      <c r="C56">
        <v>2.8367E-2</v>
      </c>
      <c r="D56">
        <v>-4.0660000000000002E-2</v>
      </c>
      <c r="E56">
        <v>-4.7689999999999998E-3</v>
      </c>
      <c r="F56">
        <v>1.9635E-2</v>
      </c>
      <c r="G56">
        <v>6.4300000000000002E-4</v>
      </c>
      <c r="H56">
        <v>4.1000000000000003E-3</v>
      </c>
    </row>
    <row r="57" spans="2:8" x14ac:dyDescent="0.25">
      <c r="B57" s="1">
        <v>39262</v>
      </c>
      <c r="C57">
        <v>-3.9752000000000003E-2</v>
      </c>
      <c r="D57">
        <v>-1.1671000000000001E-2</v>
      </c>
      <c r="E57">
        <v>-4.9688999999999997E-2</v>
      </c>
      <c r="F57">
        <v>-4.3416000000000003E-2</v>
      </c>
      <c r="G57">
        <v>-3.6131999999999997E-2</v>
      </c>
      <c r="H57">
        <v>4.0000000000000001E-3</v>
      </c>
    </row>
    <row r="58" spans="2:8" x14ac:dyDescent="0.25">
      <c r="B58" s="1">
        <v>39294</v>
      </c>
      <c r="C58">
        <v>-1.6288E-2</v>
      </c>
      <c r="D58">
        <v>6.8370000000000002E-3</v>
      </c>
      <c r="E58">
        <v>-5.0639999999999998E-2</v>
      </c>
      <c r="F58">
        <v>-3.0119999999999999E-3</v>
      </c>
      <c r="G58">
        <v>-1.5775999999999998E-2</v>
      </c>
      <c r="H58">
        <v>4.0000000000000001E-3</v>
      </c>
    </row>
    <row r="59" spans="2:8" x14ac:dyDescent="0.25">
      <c r="B59" s="1">
        <v>39325</v>
      </c>
      <c r="C59">
        <v>-5.463E-3</v>
      </c>
      <c r="D59">
        <v>5.2469000000000002E-2</v>
      </c>
      <c r="E59">
        <v>2.4067999999999999E-2</v>
      </c>
      <c r="F59">
        <v>1.0473E-2</v>
      </c>
      <c r="G59">
        <v>2.0386999999999999E-2</v>
      </c>
      <c r="H59">
        <v>4.1999999999999997E-3</v>
      </c>
    </row>
    <row r="60" spans="2:8" x14ac:dyDescent="0.25">
      <c r="B60" s="1">
        <v>39353</v>
      </c>
      <c r="C60">
        <v>2.5409000000000001E-2</v>
      </c>
      <c r="D60">
        <v>0.14428199999999999</v>
      </c>
      <c r="E60">
        <v>3.2941999999999999E-2</v>
      </c>
      <c r="F60">
        <v>3.8221999999999999E-2</v>
      </c>
      <c r="G60">
        <v>6.0213999999999997E-2</v>
      </c>
      <c r="H60">
        <v>3.2000000000000002E-3</v>
      </c>
    </row>
    <row r="61" spans="2:8" x14ac:dyDescent="0.25">
      <c r="B61" s="1">
        <v>39386</v>
      </c>
      <c r="C61">
        <v>0.24949099999999999</v>
      </c>
      <c r="D61">
        <v>-7.4832999999999997E-2</v>
      </c>
      <c r="E61">
        <v>2.162E-2</v>
      </c>
      <c r="F61">
        <v>0.12710399999999999</v>
      </c>
      <c r="G61">
        <v>8.0846000000000001E-2</v>
      </c>
      <c r="H61">
        <v>3.2000000000000002E-3</v>
      </c>
    </row>
    <row r="62" spans="2:8" x14ac:dyDescent="0.25">
      <c r="B62" s="1">
        <v>39416</v>
      </c>
      <c r="C62">
        <v>-8.4291000000000005E-2</v>
      </c>
      <c r="D62">
        <v>-7.1191000000000004E-2</v>
      </c>
      <c r="E62">
        <v>5.2911E-2</v>
      </c>
      <c r="F62">
        <v>1.8880999999999998E-2</v>
      </c>
      <c r="G62">
        <v>-2.0923000000000001E-2</v>
      </c>
      <c r="H62">
        <v>3.3999999999999998E-3</v>
      </c>
    </row>
    <row r="63" spans="2:8" x14ac:dyDescent="0.25">
      <c r="B63" s="1">
        <v>39447</v>
      </c>
      <c r="C63">
        <v>5.9524000000000001E-2</v>
      </c>
      <c r="D63">
        <v>-1.014E-2</v>
      </c>
      <c r="E63">
        <v>-2.3647999999999999E-2</v>
      </c>
      <c r="F63">
        <v>-1.4795000000000001E-2</v>
      </c>
      <c r="G63">
        <v>2.735E-3</v>
      </c>
      <c r="H63">
        <v>2.7000000000000001E-3</v>
      </c>
    </row>
    <row r="64" spans="2:8" x14ac:dyDescent="0.25">
      <c r="B64" s="1">
        <v>39478</v>
      </c>
      <c r="C64">
        <v>-8.4269999999999998E-2</v>
      </c>
      <c r="D64">
        <v>-0.18981600000000001</v>
      </c>
      <c r="E64">
        <v>3.107E-3</v>
      </c>
      <c r="F64">
        <v>-0.206677</v>
      </c>
      <c r="G64">
        <v>-0.11941400000000001</v>
      </c>
      <c r="H64">
        <v>2.0999999999999999E-3</v>
      </c>
    </row>
    <row r="65" spans="2:8" x14ac:dyDescent="0.25">
      <c r="B65" s="1">
        <v>39507</v>
      </c>
      <c r="C65">
        <v>-0.162386</v>
      </c>
      <c r="D65">
        <v>-1.9709999999999998E-2</v>
      </c>
      <c r="E65">
        <v>-4.6814000000000001E-2</v>
      </c>
      <c r="F65">
        <v>-3.9045999999999997E-2</v>
      </c>
      <c r="G65">
        <v>-6.6989000000000007E-2</v>
      </c>
      <c r="H65">
        <v>1.2999999999999999E-3</v>
      </c>
    </row>
    <row r="66" spans="2:8" x14ac:dyDescent="0.25">
      <c r="B66" s="1">
        <v>39538</v>
      </c>
      <c r="C66">
        <v>4.3381999999999997E-2</v>
      </c>
      <c r="D66">
        <v>0.132018</v>
      </c>
      <c r="E66">
        <v>2.9878999999999999E-2</v>
      </c>
      <c r="F66">
        <v>-0.13581399999999999</v>
      </c>
      <c r="G66">
        <v>1.7365999999999999E-2</v>
      </c>
      <c r="H66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Distributions</vt:lpstr>
      <vt:lpstr>Stock_Risk</vt:lpstr>
      <vt:lpstr>Portfolio_Return</vt:lpstr>
      <vt:lpstr>Portfolio_Risk</vt:lpstr>
      <vt:lpstr>Covariance_Matrix</vt:lpstr>
      <vt:lpstr>Charting</vt:lpstr>
      <vt:lpstr>Returns</vt:lpstr>
      <vt:lpstr>ABT</vt:lpstr>
      <vt:lpstr>EBAY</vt:lpstr>
      <vt:lpstr>EBAY6</vt:lpstr>
      <vt:lpstr>MRK</vt:lpstr>
      <vt:lpstr>MSFT</vt:lpstr>
      <vt:lpstr>MSFT6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Thava</dc:creator>
  <cp:lastModifiedBy>Raam Thava</cp:lastModifiedBy>
  <dcterms:created xsi:type="dcterms:W3CDTF">2021-08-15T13:40:34Z</dcterms:created>
  <dcterms:modified xsi:type="dcterms:W3CDTF">2021-08-17T17:22:42Z</dcterms:modified>
</cp:coreProperties>
</file>