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ml.chartshapes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4.xml" ContentType="application/vnd.openxmlformats-officedocument.drawingml.chartshapes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5.xml" ContentType="application/vnd.openxmlformats-officedocument.drawingml.chartshapes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6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7.xml" ContentType="application/vnd.openxmlformats-officedocument.drawingml.chartshapes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drawings/drawing10.xml" ContentType="application/vnd.openxmlformats-officedocument.drawingml.chartshapes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drawings/drawing11.xml" ContentType="application/vnd.openxmlformats-officedocument.drawing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drawings/drawing12.xml" ContentType="application/vnd.openxmlformats-officedocument.drawingml.chartshapes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 filterPrivacy="1" codeName="ThisWorkbook"/>
  <xr:revisionPtr revIDLastSave="0" documentId="13_ncr:1_{520ED935-40E4-4FC6-9FA2-A26E07294863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Dashboard" sheetId="19" r:id="rId1"/>
    <sheet name="Overview" sheetId="12" r:id="rId2"/>
    <sheet name="Industry Data" sheetId="6" r:id="rId3"/>
    <sheet name="Assumptions" sheetId="3" r:id="rId4"/>
    <sheet name="MEBL" sheetId="1" r:id="rId5"/>
    <sheet name="Adj from Unconsol to Consol" sheetId="20" r:id="rId6"/>
    <sheet name="Ratios" sheetId="2" r:id="rId7"/>
    <sheet name="Valuation" sheetId="8" r:id="rId8"/>
    <sheet name="Sensitivities" sheetId="21" r:id="rId9"/>
    <sheet name="Horizontal Analysis" sheetId="17" r:id="rId10"/>
    <sheet name="Vertical Analysis" sheetId="18" r:id="rId11"/>
    <sheet name="Raw Data" sheetId="13" r:id="rId12"/>
    <sheet name="Raw Data 2" sheetId="14" r:id="rId13"/>
  </sheets>
  <externalReferences>
    <externalReference r:id="rId14"/>
  </externalReferences>
  <definedNames>
    <definedName name="solver_eng" localSheetId="3" hidden="1">1</definedName>
    <definedName name="solver_neg" localSheetId="3" hidden="1">1</definedName>
    <definedName name="solver_num" localSheetId="3" hidden="1">0</definedName>
    <definedName name="solver_opt" localSheetId="3" hidden="1">Assumptions!$AP$13</definedName>
    <definedName name="solver_typ" localSheetId="3" hidden="1">1</definedName>
    <definedName name="solver_val" localSheetId="3" hidden="1">0</definedName>
    <definedName name="solver_ver" localSheetId="3" hidden="1">3</definedName>
  </definedName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4" i="21" l="1"/>
  <c r="H15" i="21" s="1"/>
  <c r="H16" i="21" s="1"/>
  <c r="H17" i="21" s="1"/>
  <c r="H18" i="21" s="1"/>
  <c r="J12" i="21"/>
  <c r="K12" i="21" s="1"/>
  <c r="G11" i="19"/>
  <c r="F11" i="19"/>
  <c r="E11" i="19"/>
  <c r="D11" i="19"/>
  <c r="G10" i="19"/>
  <c r="F10" i="19"/>
  <c r="E10" i="19"/>
  <c r="D10" i="19"/>
  <c r="G9" i="19"/>
  <c r="F9" i="19"/>
  <c r="E9" i="19"/>
  <c r="D9" i="19"/>
  <c r="C11" i="19"/>
  <c r="C10" i="19"/>
  <c r="C9" i="19"/>
  <c r="B264" i="6" l="1"/>
  <c r="F233" i="6"/>
  <c r="F145" i="6" s="1"/>
  <c r="E233" i="6"/>
  <c r="D233" i="6"/>
  <c r="D145" i="6" s="1"/>
  <c r="C233" i="6"/>
  <c r="C145" i="6" s="1"/>
  <c r="B233" i="6"/>
  <c r="B145" i="6" s="1"/>
  <c r="F222" i="6"/>
  <c r="E222" i="6"/>
  <c r="D222" i="6"/>
  <c r="C222" i="6"/>
  <c r="B222" i="6"/>
  <c r="B208" i="6"/>
  <c r="B249" i="6" s="1"/>
  <c r="B198" i="6"/>
  <c r="N197" i="6"/>
  <c r="B197" i="6"/>
  <c r="N196" i="6"/>
  <c r="F196" i="6"/>
  <c r="E196" i="6"/>
  <c r="D196" i="6"/>
  <c r="B191" i="6"/>
  <c r="B190" i="6"/>
  <c r="B185" i="6"/>
  <c r="F183" i="6"/>
  <c r="E183" i="6"/>
  <c r="D183" i="6"/>
  <c r="C183" i="6"/>
  <c r="B183" i="6"/>
  <c r="B184" i="6" s="1"/>
  <c r="B178" i="6"/>
  <c r="F176" i="6"/>
  <c r="E176" i="6"/>
  <c r="D176" i="6"/>
  <c r="C176" i="6"/>
  <c r="B176" i="6"/>
  <c r="B177" i="6" s="1"/>
  <c r="F169" i="6"/>
  <c r="F171" i="6" s="1"/>
  <c r="E169" i="6"/>
  <c r="E171" i="6" s="1"/>
  <c r="D169" i="6"/>
  <c r="D171" i="6" s="1"/>
  <c r="C169" i="6"/>
  <c r="C171" i="6" s="1"/>
  <c r="B169" i="6"/>
  <c r="B171" i="6" s="1"/>
  <c r="F163" i="6"/>
  <c r="F165" i="6" s="1"/>
  <c r="E163" i="6"/>
  <c r="E165" i="6" s="1"/>
  <c r="D163" i="6"/>
  <c r="D165" i="6" s="1"/>
  <c r="C163" i="6"/>
  <c r="C165" i="6" s="1"/>
  <c r="B163" i="6"/>
  <c r="B165" i="6" s="1"/>
  <c r="F157" i="6"/>
  <c r="F159" i="6" s="1"/>
  <c r="E157" i="6"/>
  <c r="E159" i="6" s="1"/>
  <c r="D157" i="6"/>
  <c r="D159" i="6" s="1"/>
  <c r="C157" i="6"/>
  <c r="C159" i="6" s="1"/>
  <c r="B157" i="6"/>
  <c r="B159" i="6" s="1"/>
  <c r="F150" i="6"/>
  <c r="F152" i="6" s="1"/>
  <c r="E150" i="6"/>
  <c r="E152" i="6" s="1"/>
  <c r="D150" i="6"/>
  <c r="D152" i="6" s="1"/>
  <c r="C150" i="6"/>
  <c r="C152" i="6" s="1"/>
  <c r="B150" i="6"/>
  <c r="B152" i="6" s="1"/>
  <c r="G146" i="6"/>
  <c r="C249" i="6" s="1"/>
  <c r="E145" i="6"/>
  <c r="F144" i="6"/>
  <c r="E144" i="6"/>
  <c r="D144" i="6"/>
  <c r="C144" i="6"/>
  <c r="B144" i="6"/>
  <c r="F143" i="6"/>
  <c r="E143" i="6"/>
  <c r="D143" i="6"/>
  <c r="B143" i="6"/>
  <c r="F142" i="6"/>
  <c r="E142" i="6"/>
  <c r="D142" i="6"/>
  <c r="C142" i="6"/>
  <c r="B142" i="6"/>
  <c r="F141" i="6"/>
  <c r="E141" i="6"/>
  <c r="D141" i="6"/>
  <c r="C141" i="6"/>
  <c r="B141" i="6"/>
  <c r="F140" i="6"/>
  <c r="E140" i="6"/>
  <c r="D140" i="6"/>
  <c r="C140" i="6"/>
  <c r="B140" i="6"/>
  <c r="F139" i="6"/>
  <c r="E139" i="6"/>
  <c r="D139" i="6"/>
  <c r="C139" i="6"/>
  <c r="B139" i="6"/>
  <c r="F138" i="6"/>
  <c r="E138" i="6"/>
  <c r="D138" i="6"/>
  <c r="C138" i="6"/>
  <c r="B138" i="6"/>
  <c r="C134" i="6"/>
  <c r="C143" i="6" s="1"/>
  <c r="G132" i="6"/>
  <c r="D130" i="6"/>
  <c r="F118" i="6"/>
  <c r="D118" i="6"/>
  <c r="C118" i="6"/>
  <c r="F117" i="6"/>
  <c r="E117" i="6"/>
  <c r="D117" i="6"/>
  <c r="C117" i="6"/>
  <c r="B117" i="6"/>
  <c r="B205" i="6" s="1"/>
  <c r="B246" i="6" s="1"/>
  <c r="F115" i="6"/>
  <c r="E115" i="6"/>
  <c r="D115" i="6"/>
  <c r="C115" i="6"/>
  <c r="B115" i="6"/>
  <c r="B204" i="6" s="1"/>
  <c r="B245" i="6" s="1"/>
  <c r="C272" i="6" s="1"/>
  <c r="F114" i="6"/>
  <c r="E114" i="6"/>
  <c r="D114" i="6"/>
  <c r="C114" i="6"/>
  <c r="B114" i="6"/>
  <c r="B203" i="6" s="1"/>
  <c r="B244" i="6" s="1"/>
  <c r="B272" i="6" s="1"/>
  <c r="G111" i="6"/>
  <c r="D249" i="6" s="1"/>
  <c r="F106" i="6"/>
  <c r="E106" i="6"/>
  <c r="D106" i="6"/>
  <c r="C106" i="6"/>
  <c r="F93" i="6"/>
  <c r="E93" i="6"/>
  <c r="D93" i="6"/>
  <c r="C93" i="6"/>
  <c r="B93" i="6"/>
  <c r="F92" i="6"/>
  <c r="E92" i="6"/>
  <c r="D92" i="6"/>
  <c r="C92" i="6"/>
  <c r="B92" i="6"/>
  <c r="G81" i="6"/>
  <c r="F81" i="6"/>
  <c r="E81" i="6"/>
  <c r="D81" i="6"/>
  <c r="C81" i="6"/>
  <c r="B81" i="6"/>
  <c r="M388" i="6"/>
  <c r="L388" i="6"/>
  <c r="K388" i="6"/>
  <c r="J388" i="6"/>
  <c r="I388" i="6"/>
  <c r="H388" i="6"/>
  <c r="G388" i="6"/>
  <c r="F388" i="6"/>
  <c r="E388" i="6"/>
  <c r="D388" i="6"/>
  <c r="C388" i="6"/>
  <c r="B388" i="6"/>
  <c r="N41" i="6"/>
  <c r="M41" i="6"/>
  <c r="L41" i="6"/>
  <c r="K41" i="6"/>
  <c r="J41" i="6"/>
  <c r="I41" i="6"/>
  <c r="B47" i="6" s="1"/>
  <c r="H41" i="6"/>
  <c r="G41" i="6"/>
  <c r="F41" i="6"/>
  <c r="E41" i="6"/>
  <c r="D41" i="6"/>
  <c r="N40" i="6"/>
  <c r="M40" i="6"/>
  <c r="L40" i="6"/>
  <c r="K40" i="6"/>
  <c r="J40" i="6"/>
  <c r="I40" i="6"/>
  <c r="H40" i="6"/>
  <c r="G40" i="6"/>
  <c r="F40" i="6"/>
  <c r="E40" i="6"/>
  <c r="D40" i="6"/>
  <c r="AE37" i="6"/>
  <c r="Y37" i="6"/>
  <c r="S37" i="6"/>
  <c r="M37" i="6"/>
  <c r="G37" i="6"/>
  <c r="AV33" i="6"/>
  <c r="AU33" i="6"/>
  <c r="AT33" i="6"/>
  <c r="AS33" i="6"/>
  <c r="AR33" i="6"/>
  <c r="AQ33" i="6"/>
  <c r="AP33" i="6"/>
  <c r="AO33" i="6"/>
  <c r="AN33" i="6"/>
  <c r="AM33" i="6"/>
  <c r="AL33" i="6"/>
  <c r="AK33" i="6"/>
  <c r="AJ33" i="6"/>
  <c r="AI33" i="6"/>
  <c r="AH33" i="6"/>
  <c r="AG33" i="6"/>
  <c r="AF33" i="6"/>
  <c r="AE33" i="6"/>
  <c r="F98" i="6" s="1"/>
  <c r="F100" i="6" s="1"/>
  <c r="AD33" i="6"/>
  <c r="AC33" i="6"/>
  <c r="AB33" i="6"/>
  <c r="AA33" i="6"/>
  <c r="Z33" i="6"/>
  <c r="Y33" i="6"/>
  <c r="E110" i="6" s="1"/>
  <c r="X33" i="6"/>
  <c r="W33" i="6"/>
  <c r="V33" i="6"/>
  <c r="U33" i="6"/>
  <c r="T33" i="6"/>
  <c r="S33" i="6"/>
  <c r="D110" i="6" s="1"/>
  <c r="D116" i="6" s="1"/>
  <c r="R33" i="6"/>
  <c r="Q33" i="6"/>
  <c r="P33" i="6"/>
  <c r="O33" i="6"/>
  <c r="N33" i="6"/>
  <c r="M33" i="6"/>
  <c r="C110" i="6" s="1"/>
  <c r="L33" i="6"/>
  <c r="K33" i="6"/>
  <c r="J33" i="6"/>
  <c r="I33" i="6"/>
  <c r="H33" i="6"/>
  <c r="G33" i="6"/>
  <c r="B110" i="6" s="1"/>
  <c r="F33" i="6"/>
  <c r="E33" i="6"/>
  <c r="D33" i="6"/>
  <c r="C33" i="6"/>
  <c r="B33" i="6"/>
  <c r="G28" i="6"/>
  <c r="G29" i="6" s="1"/>
  <c r="AV27" i="6"/>
  <c r="AV28" i="6" s="1"/>
  <c r="AV29" i="6" s="1"/>
  <c r="AU27" i="6"/>
  <c r="AU28" i="6" s="1"/>
  <c r="AU29" i="6" s="1"/>
  <c r="AQ27" i="6"/>
  <c r="AQ28" i="6" s="1"/>
  <c r="AQ29" i="6" s="1"/>
  <c r="AK27" i="6"/>
  <c r="AK28" i="6" s="1"/>
  <c r="AK29" i="6" s="1"/>
  <c r="AE27" i="6"/>
  <c r="AE28" i="6" s="1"/>
  <c r="AE29" i="6" s="1"/>
  <c r="Y27" i="6"/>
  <c r="Y28" i="6" s="1"/>
  <c r="Y29" i="6" s="1"/>
  <c r="X27" i="6"/>
  <c r="X28" i="6" s="1"/>
  <c r="X29" i="6" s="1"/>
  <c r="S27" i="6"/>
  <c r="S28" i="6" s="1"/>
  <c r="S29" i="6" s="1"/>
  <c r="M27" i="6"/>
  <c r="M28" i="6" s="1"/>
  <c r="M29" i="6" s="1"/>
  <c r="G20" i="6"/>
  <c r="B118" i="6" s="1"/>
  <c r="B206" i="6" s="1"/>
  <c r="B247" i="6" s="1"/>
  <c r="AU16" i="6"/>
  <c r="AV15" i="6"/>
  <c r="AV10" i="6" s="1"/>
  <c r="AQ15" i="6"/>
  <c r="AQ10" i="6" s="1"/>
  <c r="B318" i="6" s="1"/>
  <c r="AP15" i="6"/>
  <c r="AP10" i="6" s="1"/>
  <c r="AK15" i="6"/>
  <c r="AK10" i="6" s="1"/>
  <c r="B317" i="6" s="1"/>
  <c r="AJ15" i="6"/>
  <c r="AJ10" i="6" s="1"/>
  <c r="AI15" i="6"/>
  <c r="AI10" i="6" s="1"/>
  <c r="AH15" i="6"/>
  <c r="AH10" i="6" s="1"/>
  <c r="AE15" i="6"/>
  <c r="AE10" i="6" s="1"/>
  <c r="AD15" i="6"/>
  <c r="AD10" i="6" s="1"/>
  <c r="Y15" i="6"/>
  <c r="Y10" i="6" s="1"/>
  <c r="B315" i="6" s="1"/>
  <c r="X15" i="6"/>
  <c r="X10" i="6" s="1"/>
  <c r="W15" i="6"/>
  <c r="W10" i="6" s="1"/>
  <c r="S15" i="6"/>
  <c r="S10" i="6" s="1"/>
  <c r="R15" i="6"/>
  <c r="R10" i="6" s="1"/>
  <c r="M15" i="6"/>
  <c r="M10" i="6" s="1"/>
  <c r="C87" i="6" s="1"/>
  <c r="L15" i="6"/>
  <c r="L10" i="6" s="1"/>
  <c r="K15" i="6"/>
  <c r="K10" i="6" s="1"/>
  <c r="J15" i="6"/>
  <c r="J10" i="6" s="1"/>
  <c r="G15" i="6"/>
  <c r="G10" i="6" s="1"/>
  <c r="B112" i="6" s="1"/>
  <c r="B201" i="6" s="1"/>
  <c r="B242" i="6" s="1"/>
  <c r="F15" i="6"/>
  <c r="F10" i="6" s="1"/>
  <c r="O13" i="6"/>
  <c r="O10" i="6" s="1"/>
  <c r="AU11" i="6"/>
  <c r="AT10" i="6"/>
  <c r="AS10" i="6"/>
  <c r="AR10" i="6"/>
  <c r="AO10" i="6"/>
  <c r="AN10" i="6"/>
  <c r="AM10" i="6"/>
  <c r="AL10" i="6"/>
  <c r="AG10" i="6"/>
  <c r="AF10" i="6"/>
  <c r="AC10" i="6"/>
  <c r="AB10" i="6"/>
  <c r="AA10" i="6"/>
  <c r="Z10" i="6"/>
  <c r="F86" i="6" s="1"/>
  <c r="V10" i="6"/>
  <c r="U10" i="6"/>
  <c r="T10" i="6"/>
  <c r="E86" i="6" s="1"/>
  <c r="Q10" i="6"/>
  <c r="P10" i="6"/>
  <c r="N10" i="6"/>
  <c r="D86" i="6" s="1"/>
  <c r="I10" i="6"/>
  <c r="H10" i="6"/>
  <c r="C86" i="6" s="1"/>
  <c r="E10" i="6"/>
  <c r="D10" i="6"/>
  <c r="C10" i="6"/>
  <c r="B10" i="6"/>
  <c r="B86" i="6" s="1"/>
  <c r="G42" i="6" l="1"/>
  <c r="H44" i="6"/>
  <c r="K42" i="6"/>
  <c r="B116" i="6"/>
  <c r="B207" i="6" s="1"/>
  <c r="B248" i="6" s="1"/>
  <c r="E42" i="6"/>
  <c r="M42" i="6"/>
  <c r="B200" i="6"/>
  <c r="B241" i="6" s="1"/>
  <c r="D42" i="6"/>
  <c r="H42" i="6"/>
  <c r="L42" i="6"/>
  <c r="E116" i="6"/>
  <c r="I42" i="6"/>
  <c r="C47" i="6" s="1"/>
  <c r="B95" i="6"/>
  <c r="G106" i="6"/>
  <c r="D241" i="6" s="1"/>
  <c r="F95" i="6"/>
  <c r="D95" i="6"/>
  <c r="G117" i="6"/>
  <c r="D246" i="6" s="1"/>
  <c r="G140" i="6"/>
  <c r="C243" i="6" s="1"/>
  <c r="G144" i="6"/>
  <c r="C247" i="6" s="1"/>
  <c r="G145" i="6"/>
  <c r="C248" i="6" s="1"/>
  <c r="F44" i="6"/>
  <c r="F112" i="6"/>
  <c r="B316" i="6"/>
  <c r="F113" i="6"/>
  <c r="F87" i="6"/>
  <c r="G159" i="6"/>
  <c r="C239" i="6" s="1"/>
  <c r="G171" i="6"/>
  <c r="C241" i="6" s="1"/>
  <c r="B180" i="6"/>
  <c r="B238" i="6" s="1"/>
  <c r="B285" i="6" s="1"/>
  <c r="E44" i="6"/>
  <c r="M44" i="6"/>
  <c r="B48" i="6"/>
  <c r="B50" i="6" s="1"/>
  <c r="B87" i="6"/>
  <c r="B89" i="6" s="1"/>
  <c r="C95" i="6"/>
  <c r="F110" i="6"/>
  <c r="F116" i="6" s="1"/>
  <c r="G141" i="6"/>
  <c r="C244" i="6" s="1"/>
  <c r="B193" i="6"/>
  <c r="B240" i="6" s="1"/>
  <c r="J44" i="6"/>
  <c r="G114" i="6"/>
  <c r="D244" i="6" s="1"/>
  <c r="G118" i="6"/>
  <c r="D247" i="6" s="1"/>
  <c r="G142" i="6"/>
  <c r="C245" i="6" s="1"/>
  <c r="G165" i="6"/>
  <c r="C240" i="6" s="1"/>
  <c r="B312" i="6"/>
  <c r="C89" i="6"/>
  <c r="AU10" i="6"/>
  <c r="C116" i="6"/>
  <c r="F42" i="6"/>
  <c r="J42" i="6"/>
  <c r="N42" i="6"/>
  <c r="C48" i="6" s="1"/>
  <c r="G44" i="6"/>
  <c r="N44" i="6"/>
  <c r="E95" i="6"/>
  <c r="B113" i="6"/>
  <c r="B202" i="6" s="1"/>
  <c r="B243" i="6" s="1"/>
  <c r="G115" i="6"/>
  <c r="D245" i="6" s="1"/>
  <c r="G139" i="6"/>
  <c r="C242" i="6" s="1"/>
  <c r="G143" i="6"/>
  <c r="C246" i="6" s="1"/>
  <c r="B187" i="6"/>
  <c r="B239" i="6" s="1"/>
  <c r="G152" i="6"/>
  <c r="C238" i="6" s="1"/>
  <c r="D113" i="6"/>
  <c r="B314" i="6"/>
  <c r="D87" i="6"/>
  <c r="D89" i="6" s="1"/>
  <c r="D112" i="6"/>
  <c r="E113" i="6"/>
  <c r="B313" i="6"/>
  <c r="E98" i="6"/>
  <c r="E100" i="6" s="1"/>
  <c r="C112" i="6"/>
  <c r="K44" i="6"/>
  <c r="L44" i="6"/>
  <c r="C98" i="6"/>
  <c r="C100" i="6" s="1"/>
  <c r="E112" i="6"/>
  <c r="C113" i="6"/>
  <c r="I44" i="6"/>
  <c r="E87" i="6"/>
  <c r="E89" i="6" s="1"/>
  <c r="D98" i="6"/>
  <c r="D100" i="6" s="1"/>
  <c r="N47" i="2"/>
  <c r="M47" i="2"/>
  <c r="L47" i="2"/>
  <c r="K47" i="2"/>
  <c r="J47" i="2"/>
  <c r="I47" i="2"/>
  <c r="H47" i="2"/>
  <c r="G47" i="2"/>
  <c r="F47" i="2"/>
  <c r="E47" i="2"/>
  <c r="E69" i="20"/>
  <c r="F69" i="20" s="1"/>
  <c r="E67" i="20"/>
  <c r="F67" i="20" s="1"/>
  <c r="E64" i="20"/>
  <c r="F64" i="20" s="1"/>
  <c r="E63" i="20"/>
  <c r="F63" i="20" s="1"/>
  <c r="E60" i="20"/>
  <c r="F60" i="20" s="1"/>
  <c r="E59" i="20"/>
  <c r="F59" i="20" s="1"/>
  <c r="E58" i="20"/>
  <c r="F58" i="20" s="1"/>
  <c r="E53" i="20"/>
  <c r="F53" i="20" s="1"/>
  <c r="E52" i="20"/>
  <c r="F52" i="20" s="1"/>
  <c r="E50" i="20"/>
  <c r="F50" i="20" s="1"/>
  <c r="E49" i="20"/>
  <c r="E48" i="20"/>
  <c r="F48" i="20" s="1"/>
  <c r="E43" i="20"/>
  <c r="F43" i="20" s="1"/>
  <c r="E41" i="20"/>
  <c r="F41" i="20" s="1"/>
  <c r="E40" i="20"/>
  <c r="F40" i="20" s="1"/>
  <c r="F34" i="20"/>
  <c r="F32" i="20"/>
  <c r="F31" i="20"/>
  <c r="F30" i="20"/>
  <c r="F29" i="20"/>
  <c r="F23" i="20"/>
  <c r="F22" i="20"/>
  <c r="F21" i="20"/>
  <c r="F20" i="20"/>
  <c r="F19" i="20"/>
  <c r="F18" i="20"/>
  <c r="F14" i="20"/>
  <c r="F12" i="20"/>
  <c r="F11" i="20"/>
  <c r="F10" i="20"/>
  <c r="F9" i="20"/>
  <c r="F8" i="20"/>
  <c r="F7" i="20"/>
  <c r="F6" i="20"/>
  <c r="L45" i="6" l="1"/>
  <c r="I45" i="6"/>
  <c r="M45" i="6"/>
  <c r="E45" i="6"/>
  <c r="B319" i="6"/>
  <c r="H45" i="6"/>
  <c r="F45" i="6"/>
  <c r="C50" i="6"/>
  <c r="J45" i="6"/>
  <c r="G95" i="6"/>
  <c r="D239" i="6" s="1"/>
  <c r="N45" i="6"/>
  <c r="G113" i="6"/>
  <c r="D243" i="6" s="1"/>
  <c r="G116" i="6"/>
  <c r="D248" i="6" s="1"/>
  <c r="G89" i="6"/>
  <c r="D238" i="6" s="1"/>
  <c r="G45" i="6"/>
  <c r="B100" i="6"/>
  <c r="K45" i="6"/>
  <c r="G100" i="6"/>
  <c r="D240" i="6" s="1"/>
  <c r="G112" i="6"/>
  <c r="D242" i="6" s="1"/>
  <c r="K62" i="18"/>
  <c r="L62" i="18"/>
  <c r="K56" i="18"/>
  <c r="L56" i="18"/>
  <c r="K57" i="18"/>
  <c r="L57" i="18"/>
  <c r="K58" i="18"/>
  <c r="L58" i="18"/>
  <c r="K42" i="18"/>
  <c r="L42" i="18"/>
  <c r="K59" i="18" l="1"/>
  <c r="L59" i="18"/>
  <c r="E3" i="18"/>
  <c r="F3" i="18" s="1"/>
  <c r="G3" i="18" s="1"/>
  <c r="H3" i="18" s="1"/>
  <c r="I3" i="18" s="1"/>
  <c r="J3" i="18" s="1"/>
  <c r="K3" i="18" s="1"/>
  <c r="L3" i="18" s="1"/>
  <c r="E63" i="17"/>
  <c r="F63" i="17"/>
  <c r="G63" i="17"/>
  <c r="H63" i="17"/>
  <c r="I63" i="17"/>
  <c r="J63" i="17"/>
  <c r="K63" i="17"/>
  <c r="L63" i="17"/>
  <c r="D63" i="17"/>
  <c r="E57" i="17"/>
  <c r="F57" i="17"/>
  <c r="G57" i="17"/>
  <c r="H57" i="17"/>
  <c r="K57" i="17"/>
  <c r="L57" i="17"/>
  <c r="D57" i="17"/>
  <c r="H58" i="17"/>
  <c r="I58" i="17"/>
  <c r="J58" i="17"/>
  <c r="K58" i="17"/>
  <c r="L58" i="17"/>
  <c r="D59" i="17"/>
  <c r="E59" i="17"/>
  <c r="F59" i="17"/>
  <c r="G59" i="17"/>
  <c r="H59" i="17"/>
  <c r="I59" i="17"/>
  <c r="L59" i="17"/>
  <c r="E47" i="17"/>
  <c r="F47" i="17"/>
  <c r="G47" i="17"/>
  <c r="H47" i="17"/>
  <c r="I47" i="17"/>
  <c r="J47" i="17"/>
  <c r="K47" i="17"/>
  <c r="L47" i="17"/>
  <c r="E48" i="17"/>
  <c r="F48" i="17"/>
  <c r="G48" i="17"/>
  <c r="H48" i="17"/>
  <c r="I48" i="17"/>
  <c r="J48" i="17"/>
  <c r="K48" i="17"/>
  <c r="L48" i="17"/>
  <c r="E49" i="17"/>
  <c r="F49" i="17"/>
  <c r="G49" i="17"/>
  <c r="H49" i="17"/>
  <c r="I49" i="17"/>
  <c r="J49" i="17"/>
  <c r="K49" i="17"/>
  <c r="L49" i="17"/>
  <c r="E50" i="17"/>
  <c r="F50" i="17"/>
  <c r="G50" i="17"/>
  <c r="H50" i="17"/>
  <c r="I50" i="17"/>
  <c r="J50" i="17"/>
  <c r="K50" i="17"/>
  <c r="L50" i="17"/>
  <c r="K51" i="17"/>
  <c r="E52" i="17"/>
  <c r="F52" i="17"/>
  <c r="G52" i="17"/>
  <c r="H52" i="17"/>
  <c r="I52" i="17"/>
  <c r="J52" i="17"/>
  <c r="K52" i="17"/>
  <c r="L52" i="17"/>
  <c r="D48" i="17"/>
  <c r="D49" i="17"/>
  <c r="D50" i="17"/>
  <c r="D51" i="17"/>
  <c r="D52" i="17"/>
  <c r="D47" i="17"/>
  <c r="L43" i="17"/>
  <c r="E39" i="17"/>
  <c r="F39" i="17"/>
  <c r="G39" i="17"/>
  <c r="H39" i="17"/>
  <c r="I39" i="17"/>
  <c r="J39" i="17"/>
  <c r="K39" i="17"/>
  <c r="L39" i="17"/>
  <c r="E40" i="17"/>
  <c r="F40" i="17"/>
  <c r="G40" i="17"/>
  <c r="H40" i="17"/>
  <c r="I40" i="17"/>
  <c r="J40" i="17"/>
  <c r="K40" i="17"/>
  <c r="L40" i="17"/>
  <c r="D40" i="17"/>
  <c r="D39" i="17"/>
  <c r="D30" i="17"/>
  <c r="E30" i="17"/>
  <c r="F30" i="17"/>
  <c r="G30" i="17"/>
  <c r="H30" i="17"/>
  <c r="I30" i="17"/>
  <c r="J30" i="17"/>
  <c r="K30" i="17"/>
  <c r="L30" i="17"/>
  <c r="D31" i="17"/>
  <c r="E31" i="17"/>
  <c r="F31" i="17"/>
  <c r="G31" i="17"/>
  <c r="H31" i="17"/>
  <c r="I31" i="17"/>
  <c r="J31" i="17"/>
  <c r="K31" i="17"/>
  <c r="L31" i="17"/>
  <c r="D32" i="17"/>
  <c r="E32" i="17"/>
  <c r="F32" i="17"/>
  <c r="G32" i="17"/>
  <c r="H32" i="17"/>
  <c r="I32" i="17"/>
  <c r="J32" i="17"/>
  <c r="K32" i="17"/>
  <c r="L32" i="17"/>
  <c r="D34" i="17"/>
  <c r="E34" i="17"/>
  <c r="J34" i="17"/>
  <c r="K34" i="17"/>
  <c r="L34" i="17"/>
  <c r="M34" i="17"/>
  <c r="N34" i="17"/>
  <c r="E29" i="17"/>
  <c r="F29" i="17"/>
  <c r="G29" i="17"/>
  <c r="H29" i="17"/>
  <c r="I29" i="17"/>
  <c r="J29" i="17"/>
  <c r="K29" i="17"/>
  <c r="L29" i="17"/>
  <c r="D29" i="17"/>
  <c r="E18" i="17"/>
  <c r="F18" i="17"/>
  <c r="G18" i="17"/>
  <c r="H18" i="17"/>
  <c r="I18" i="17"/>
  <c r="J18" i="17"/>
  <c r="K18" i="17"/>
  <c r="L18" i="17"/>
  <c r="E19" i="17"/>
  <c r="F19" i="17"/>
  <c r="G19" i="17"/>
  <c r="H19" i="17"/>
  <c r="I19" i="17"/>
  <c r="J19" i="17"/>
  <c r="K19" i="17"/>
  <c r="L19" i="17"/>
  <c r="E20" i="17"/>
  <c r="F20" i="17"/>
  <c r="G20" i="17"/>
  <c r="H20" i="17"/>
  <c r="I20" i="17"/>
  <c r="J20" i="17"/>
  <c r="K20" i="17"/>
  <c r="L20" i="17"/>
  <c r="J21" i="17"/>
  <c r="K21" i="17"/>
  <c r="L21" i="17"/>
  <c r="I22" i="17"/>
  <c r="J22" i="17"/>
  <c r="K22" i="17"/>
  <c r="E23" i="17"/>
  <c r="F23" i="17"/>
  <c r="G23" i="17"/>
  <c r="H23" i="17"/>
  <c r="I23" i="17"/>
  <c r="J23" i="17"/>
  <c r="K23" i="17"/>
  <c r="L23" i="17"/>
  <c r="D19" i="17"/>
  <c r="D20" i="17"/>
  <c r="D23" i="17"/>
  <c r="D18" i="17"/>
  <c r="E7" i="17"/>
  <c r="F7" i="17"/>
  <c r="G7" i="17"/>
  <c r="H7" i="17"/>
  <c r="I7" i="17"/>
  <c r="J7" i="17"/>
  <c r="K7" i="17"/>
  <c r="L7" i="17"/>
  <c r="E8" i="17"/>
  <c r="F8" i="17"/>
  <c r="G8" i="17"/>
  <c r="H8" i="17"/>
  <c r="I8" i="17"/>
  <c r="J8" i="17"/>
  <c r="K8" i="17"/>
  <c r="L8" i="17"/>
  <c r="E9" i="17"/>
  <c r="F9" i="17"/>
  <c r="G9" i="17"/>
  <c r="H9" i="17"/>
  <c r="I9" i="17"/>
  <c r="J9" i="17"/>
  <c r="K9" i="17"/>
  <c r="L9" i="17"/>
  <c r="E10" i="17"/>
  <c r="F10" i="17"/>
  <c r="G10" i="17"/>
  <c r="H10" i="17"/>
  <c r="I10" i="17"/>
  <c r="J10" i="17"/>
  <c r="K10" i="17"/>
  <c r="L10" i="17"/>
  <c r="E11" i="17"/>
  <c r="F11" i="17"/>
  <c r="G11" i="17"/>
  <c r="H11" i="17"/>
  <c r="I11" i="17"/>
  <c r="J11" i="17"/>
  <c r="K11" i="17"/>
  <c r="L11" i="17"/>
  <c r="L12" i="17"/>
  <c r="E13" i="17"/>
  <c r="F13" i="17"/>
  <c r="G13" i="17"/>
  <c r="H13" i="17"/>
  <c r="L13" i="17"/>
  <c r="E14" i="17"/>
  <c r="F14" i="17"/>
  <c r="G14" i="17"/>
  <c r="H14" i="17"/>
  <c r="I14" i="17"/>
  <c r="J14" i="17"/>
  <c r="K14" i="17"/>
  <c r="L14" i="17"/>
  <c r="D7" i="17"/>
  <c r="D8" i="17"/>
  <c r="D9" i="17"/>
  <c r="D10" i="17"/>
  <c r="D11" i="17"/>
  <c r="D13" i="17"/>
  <c r="D14" i="17"/>
  <c r="E6" i="17"/>
  <c r="F6" i="17"/>
  <c r="G6" i="17"/>
  <c r="H6" i="17"/>
  <c r="I6" i="17"/>
  <c r="J6" i="17"/>
  <c r="K6" i="17"/>
  <c r="L6" i="17"/>
  <c r="D6" i="17"/>
  <c r="E3" i="17"/>
  <c r="F3" i="17" s="1"/>
  <c r="G3" i="17" s="1"/>
  <c r="H3" i="17" s="1"/>
  <c r="I3" i="17" s="1"/>
  <c r="J3" i="17" s="1"/>
  <c r="K3" i="17" s="1"/>
  <c r="L3" i="17" s="1"/>
  <c r="D144" i="13"/>
  <c r="D143" i="13"/>
  <c r="D142" i="13"/>
  <c r="D141" i="13"/>
  <c r="D140" i="13"/>
  <c r="D139" i="13"/>
  <c r="D138" i="13"/>
  <c r="D137" i="13"/>
  <c r="D136" i="13"/>
  <c r="D135" i="13"/>
  <c r="D134" i="13"/>
  <c r="D133" i="13"/>
  <c r="D132" i="13"/>
  <c r="D131" i="13"/>
  <c r="D130" i="13"/>
  <c r="D129" i="13"/>
  <c r="E67" i="13" l="1"/>
  <c r="E68" i="13"/>
  <c r="E69" i="13"/>
  <c r="E70" i="13"/>
  <c r="E71" i="13"/>
  <c r="E66" i="13"/>
  <c r="E65" i="13"/>
  <c r="E64" i="13"/>
  <c r="E63" i="13"/>
  <c r="E62" i="13"/>
  <c r="E61" i="13"/>
  <c r="E60" i="13"/>
  <c r="E59" i="13"/>
  <c r="E58" i="13"/>
  <c r="E57" i="13"/>
  <c r="E56" i="13"/>
  <c r="D48" i="13"/>
  <c r="D47" i="13"/>
  <c r="D46" i="13"/>
  <c r="D45" i="13"/>
  <c r="D44" i="13"/>
  <c r="D43" i="13"/>
  <c r="D42" i="13"/>
  <c r="N37" i="13"/>
  <c r="M37" i="13"/>
  <c r="N36" i="13"/>
  <c r="M36" i="13"/>
  <c r="N35" i="13"/>
  <c r="M35" i="13"/>
  <c r="N34" i="13"/>
  <c r="M34" i="13"/>
  <c r="N33" i="13"/>
  <c r="M33" i="13"/>
  <c r="N32" i="13"/>
  <c r="M32" i="13"/>
  <c r="N31" i="13"/>
  <c r="M31" i="13"/>
  <c r="N30" i="13"/>
  <c r="M30" i="13"/>
  <c r="N29" i="13"/>
  <c r="M29" i="13"/>
  <c r="N28" i="13"/>
  <c r="M28" i="13"/>
  <c r="N27" i="13"/>
  <c r="M27" i="13"/>
  <c r="N26" i="13"/>
  <c r="M26" i="13"/>
  <c r="N25" i="13"/>
  <c r="M25" i="13"/>
  <c r="N24" i="13"/>
  <c r="M24" i="13"/>
  <c r="N23" i="13"/>
  <c r="M23" i="13"/>
  <c r="N22" i="13"/>
  <c r="M22" i="13"/>
  <c r="L37" i="13"/>
  <c r="L36" i="13"/>
  <c r="L35" i="13"/>
  <c r="L34" i="13"/>
  <c r="L33" i="13"/>
  <c r="L32" i="13"/>
  <c r="L31" i="13"/>
  <c r="L30" i="13"/>
  <c r="L29" i="13"/>
  <c r="L28" i="13"/>
  <c r="L27" i="13"/>
  <c r="L26" i="13"/>
  <c r="L25" i="13"/>
  <c r="L24" i="13"/>
  <c r="L23" i="13"/>
  <c r="L22" i="13"/>
  <c r="C35" i="13" l="1"/>
  <c r="T33" i="3" l="1"/>
  <c r="S33" i="3"/>
  <c r="R33" i="3"/>
  <c r="Q33" i="3"/>
  <c r="P33" i="3"/>
  <c r="O33" i="3"/>
  <c r="Q75" i="1" l="1"/>
  <c r="R75" i="1" s="1"/>
  <c r="S75" i="1" s="1"/>
  <c r="M317" i="1" l="1"/>
  <c r="L317" i="1"/>
  <c r="K317" i="1"/>
  <c r="J317" i="1"/>
  <c r="I317" i="1"/>
  <c r="H317" i="1"/>
  <c r="G317" i="1"/>
  <c r="F317" i="1"/>
  <c r="E317" i="1"/>
  <c r="D317" i="1"/>
  <c r="AE317" i="1"/>
  <c r="AD317" i="1"/>
  <c r="AC317" i="1"/>
  <c r="AB317" i="1"/>
  <c r="AA317" i="1"/>
  <c r="Z317" i="1"/>
  <c r="Y317" i="1"/>
  <c r="X317" i="1"/>
  <c r="W317" i="1"/>
  <c r="V317" i="1"/>
  <c r="U317" i="1"/>
  <c r="AE26" i="3" l="1"/>
  <c r="AD26" i="3"/>
  <c r="K8" i="2"/>
  <c r="N383" i="6" l="1"/>
  <c r="M383" i="6"/>
  <c r="L383" i="6"/>
  <c r="K383" i="6"/>
  <c r="J383" i="6"/>
  <c r="I383" i="6"/>
  <c r="H383" i="6"/>
  <c r="G383" i="6"/>
  <c r="F383" i="6"/>
  <c r="E383" i="6"/>
  <c r="D383" i="6"/>
  <c r="C383" i="6"/>
  <c r="N382" i="6"/>
  <c r="M382" i="6"/>
  <c r="L382" i="6"/>
  <c r="K382" i="6"/>
  <c r="J382" i="6"/>
  <c r="I382" i="6"/>
  <c r="H382" i="6"/>
  <c r="G382" i="6"/>
  <c r="F382" i="6"/>
  <c r="E382" i="6"/>
  <c r="D382" i="6"/>
  <c r="C382" i="6"/>
  <c r="N381" i="6"/>
  <c r="M381" i="6"/>
  <c r="L381" i="6"/>
  <c r="K381" i="6"/>
  <c r="J381" i="6"/>
  <c r="I381" i="6"/>
  <c r="H381" i="6"/>
  <c r="G381" i="6"/>
  <c r="F381" i="6"/>
  <c r="E381" i="6"/>
  <c r="D381" i="6"/>
  <c r="C381" i="6"/>
  <c r="N380" i="6"/>
  <c r="M380" i="6"/>
  <c r="L380" i="6"/>
  <c r="K380" i="6"/>
  <c r="J380" i="6"/>
  <c r="I380" i="6"/>
  <c r="H380" i="6"/>
  <c r="G380" i="6"/>
  <c r="F380" i="6"/>
  <c r="E380" i="6"/>
  <c r="D380" i="6"/>
  <c r="C380" i="6"/>
  <c r="N379" i="6"/>
  <c r="M379" i="6"/>
  <c r="L379" i="6"/>
  <c r="K379" i="6"/>
  <c r="J379" i="6"/>
  <c r="I379" i="6"/>
  <c r="H379" i="6"/>
  <c r="G379" i="6"/>
  <c r="F379" i="6"/>
  <c r="E379" i="6"/>
  <c r="D379" i="6"/>
  <c r="C379" i="6"/>
  <c r="B383" i="6"/>
  <c r="B382" i="6"/>
  <c r="B381" i="6"/>
  <c r="B380" i="6"/>
  <c r="B379" i="6"/>
  <c r="X18" i="8" l="1"/>
  <c r="X16" i="8"/>
  <c r="X15" i="8"/>
  <c r="X19" i="8"/>
  <c r="X17" i="8"/>
  <c r="V19" i="8"/>
  <c r="V18" i="8"/>
  <c r="V17" i="8"/>
  <c r="V16" i="8"/>
  <c r="V15" i="8"/>
  <c r="T16" i="8"/>
  <c r="T17" i="8"/>
  <c r="T18" i="8"/>
  <c r="T19" i="8"/>
  <c r="T15" i="8"/>
  <c r="R19" i="8"/>
  <c r="R18" i="8"/>
  <c r="R17" i="8"/>
  <c r="R16" i="8"/>
  <c r="R15" i="8"/>
  <c r="U19" i="8"/>
  <c r="U18" i="8"/>
  <c r="U17" i="8"/>
  <c r="U16" i="8"/>
  <c r="U15" i="8"/>
  <c r="S19" i="8"/>
  <c r="S18" i="8"/>
  <c r="S17" i="8"/>
  <c r="S16" i="8"/>
  <c r="S15" i="8"/>
  <c r="X20" i="8" l="1"/>
  <c r="J32" i="8" s="1"/>
  <c r="V20" i="8"/>
  <c r="J28" i="8" s="1"/>
  <c r="U20" i="8"/>
  <c r="S20" i="8"/>
  <c r="T20" i="8"/>
  <c r="J24" i="8" s="1"/>
  <c r="AN21" i="3"/>
  <c r="N112" i="3" l="1"/>
  <c r="O112" i="3" s="1"/>
  <c r="P112" i="3" s="1"/>
  <c r="Q112" i="3" s="1"/>
  <c r="R112" i="3" s="1"/>
  <c r="S112" i="3" s="1"/>
  <c r="T112" i="3" s="1"/>
  <c r="M112" i="3"/>
  <c r="L112" i="3"/>
  <c r="K112" i="3"/>
  <c r="J112" i="3"/>
  <c r="I112" i="3"/>
  <c r="H112" i="3"/>
  <c r="G112" i="3"/>
  <c r="F112" i="3"/>
  <c r="E112" i="3"/>
  <c r="N430" i="1"/>
  <c r="O430" i="1" s="1"/>
  <c r="P430" i="1" s="1"/>
  <c r="Q430" i="1" s="1"/>
  <c r="R430" i="1" s="1"/>
  <c r="S430" i="1" s="1"/>
  <c r="N114" i="3"/>
  <c r="M114" i="3"/>
  <c r="L114" i="3"/>
  <c r="K114" i="3"/>
  <c r="J114" i="3"/>
  <c r="I114" i="3"/>
  <c r="H114" i="3"/>
  <c r="G114" i="3"/>
  <c r="F114" i="3"/>
  <c r="N113" i="3"/>
  <c r="O113" i="3" s="1"/>
  <c r="P113" i="3" s="1"/>
  <c r="Q113" i="3" s="1"/>
  <c r="R113" i="3" s="1"/>
  <c r="S113" i="3" s="1"/>
  <c r="T113" i="3" s="1"/>
  <c r="M113" i="3"/>
  <c r="O114" i="3" l="1"/>
  <c r="N438" i="1" s="1"/>
  <c r="R42" i="3"/>
  <c r="S42" i="3" s="1"/>
  <c r="T42" i="3" s="1"/>
  <c r="N84" i="3"/>
  <c r="M84" i="3"/>
  <c r="L84" i="3"/>
  <c r="K84" i="3"/>
  <c r="J84" i="3"/>
  <c r="I84" i="3"/>
  <c r="H84" i="3"/>
  <c r="G84" i="3"/>
  <c r="F84" i="3"/>
  <c r="N154" i="1"/>
  <c r="N157" i="1"/>
  <c r="N160" i="1"/>
  <c r="N165" i="1"/>
  <c r="O84" i="3" l="1"/>
  <c r="P114" i="3"/>
  <c r="O438" i="1" s="1"/>
  <c r="N70" i="1"/>
  <c r="P84" i="3"/>
  <c r="Q84" i="3" s="1"/>
  <c r="N156" i="1"/>
  <c r="Q114" i="3" l="1"/>
  <c r="R114" i="3" s="1"/>
  <c r="S114" i="3" s="1"/>
  <c r="O70" i="1"/>
  <c r="P70" i="1" s="1"/>
  <c r="R84" i="3"/>
  <c r="M76" i="1"/>
  <c r="T25" i="3"/>
  <c r="S25" i="3"/>
  <c r="R25" i="3"/>
  <c r="Q25" i="3"/>
  <c r="P25" i="3"/>
  <c r="O25" i="3"/>
  <c r="N27" i="3"/>
  <c r="M27" i="3"/>
  <c r="L27" i="3"/>
  <c r="K27" i="3"/>
  <c r="J27" i="3"/>
  <c r="I27" i="3"/>
  <c r="H27" i="3"/>
  <c r="G27" i="3"/>
  <c r="F27" i="3"/>
  <c r="E27" i="3"/>
  <c r="T114" i="3" l="1"/>
  <c r="P438" i="1"/>
  <c r="Q438" i="1" s="1"/>
  <c r="R438" i="1" s="1"/>
  <c r="Q70" i="1"/>
  <c r="S84" i="3"/>
  <c r="T84" i="3" s="1"/>
  <c r="S438" i="1" l="1"/>
  <c r="R70" i="1"/>
  <c r="S70" i="1" s="1"/>
  <c r="X11" i="2" l="1"/>
  <c r="G62" i="8" l="1"/>
  <c r="F62" i="8"/>
  <c r="G61" i="8"/>
  <c r="F61" i="8"/>
  <c r="G60" i="8"/>
  <c r="F60" i="8"/>
  <c r="G59" i="8"/>
  <c r="F59" i="8"/>
  <c r="G58" i="8"/>
  <c r="F58" i="8"/>
  <c r="G57" i="8"/>
  <c r="F57" i="8"/>
  <c r="G56" i="8"/>
  <c r="F56" i="8"/>
  <c r="G55" i="8"/>
  <c r="F55" i="8"/>
  <c r="G54" i="8"/>
  <c r="F54" i="8"/>
  <c r="G53" i="8"/>
  <c r="F53" i="8"/>
  <c r="G52" i="8"/>
  <c r="F52" i="8"/>
  <c r="G51" i="8"/>
  <c r="F51" i="8"/>
  <c r="G50" i="8"/>
  <c r="F50" i="8"/>
  <c r="G49" i="8"/>
  <c r="F49" i="8"/>
  <c r="G48" i="8"/>
  <c r="F48" i="8"/>
  <c r="G47" i="8"/>
  <c r="F47" i="8"/>
  <c r="G46" i="8"/>
  <c r="F46" i="8"/>
  <c r="G45" i="8"/>
  <c r="F45" i="8"/>
  <c r="G44" i="8"/>
  <c r="F44" i="8"/>
  <c r="G43" i="8"/>
  <c r="F43" i="8"/>
  <c r="G42" i="8"/>
  <c r="F42" i="8"/>
  <c r="G41" i="8"/>
  <c r="F41" i="8"/>
  <c r="G40" i="8"/>
  <c r="F40" i="8"/>
  <c r="G39" i="8"/>
  <c r="F39" i="8"/>
  <c r="G38" i="8"/>
  <c r="F38" i="8"/>
  <c r="G37" i="8"/>
  <c r="F37" i="8"/>
  <c r="G36" i="8"/>
  <c r="F36" i="8"/>
  <c r="G35" i="8"/>
  <c r="F35" i="8"/>
  <c r="G34" i="8"/>
  <c r="F34" i="8"/>
  <c r="G33" i="8"/>
  <c r="F33" i="8"/>
  <c r="G32" i="8"/>
  <c r="F32" i="8"/>
  <c r="G31" i="8"/>
  <c r="F31" i="8"/>
  <c r="G30" i="8"/>
  <c r="F30" i="8"/>
  <c r="G29" i="8"/>
  <c r="F29" i="8"/>
  <c r="G28" i="8"/>
  <c r="F28" i="8"/>
  <c r="G27" i="8"/>
  <c r="F27" i="8"/>
  <c r="G26" i="8"/>
  <c r="F26" i="8"/>
  <c r="G25" i="8"/>
  <c r="F25" i="8"/>
  <c r="G24" i="8"/>
  <c r="F24" i="8"/>
  <c r="G23" i="8"/>
  <c r="F23" i="8"/>
  <c r="G22" i="8"/>
  <c r="F22" i="8"/>
  <c r="G21" i="8"/>
  <c r="F21" i="8"/>
  <c r="G20" i="8"/>
  <c r="F20" i="8"/>
  <c r="G19" i="8"/>
  <c r="F19" i="8"/>
  <c r="G18" i="8"/>
  <c r="F18" i="8"/>
  <c r="G17" i="8"/>
  <c r="F17" i="8"/>
  <c r="G16" i="8"/>
  <c r="F16" i="8"/>
  <c r="G15" i="8"/>
  <c r="F15" i="8"/>
  <c r="G14" i="8"/>
  <c r="F14" i="8"/>
  <c r="G13" i="8"/>
  <c r="F13" i="8"/>
  <c r="G12" i="8"/>
  <c r="F12" i="8"/>
  <c r="G11" i="8"/>
  <c r="F11" i="8"/>
  <c r="G10" i="8"/>
  <c r="F10" i="8"/>
  <c r="G9" i="8"/>
  <c r="F9" i="8"/>
  <c r="G8" i="8"/>
  <c r="F8" i="8"/>
  <c r="G7" i="8"/>
  <c r="F7" i="8"/>
  <c r="G6" i="8"/>
  <c r="F6" i="8"/>
  <c r="G5" i="8"/>
  <c r="F5" i="8"/>
  <c r="G4" i="8"/>
  <c r="F4" i="8"/>
  <c r="U7" i="8" s="1"/>
  <c r="G63" i="8"/>
  <c r="F63" i="8"/>
  <c r="U8" i="8" l="1"/>
  <c r="M5" i="8" s="1"/>
  <c r="AV36" i="3"/>
  <c r="N27" i="2" l="1"/>
  <c r="M27" i="2"/>
  <c r="L27" i="2"/>
  <c r="J27" i="2"/>
  <c r="I27" i="2"/>
  <c r="H27" i="2"/>
  <c r="G27" i="2"/>
  <c r="F27" i="2"/>
  <c r="E27" i="2"/>
  <c r="N23" i="2"/>
  <c r="M23" i="2"/>
  <c r="L23" i="2"/>
  <c r="K23" i="2"/>
  <c r="J23" i="2"/>
  <c r="I23" i="2"/>
  <c r="H23" i="2"/>
  <c r="G23" i="2"/>
  <c r="F23" i="2"/>
  <c r="E23" i="2"/>
  <c r="N11" i="2"/>
  <c r="M11" i="2"/>
  <c r="L11" i="2"/>
  <c r="K11" i="2"/>
  <c r="J11" i="2"/>
  <c r="I11" i="2"/>
  <c r="H11" i="2"/>
  <c r="G11" i="2"/>
  <c r="F11" i="2"/>
  <c r="E11" i="2"/>
  <c r="O76" i="1"/>
  <c r="P76" i="1" s="1"/>
  <c r="Q76" i="1" l="1"/>
  <c r="P77" i="1"/>
  <c r="O77" i="1"/>
  <c r="L129" i="1"/>
  <c r="L138" i="1" s="1"/>
  <c r="K129" i="1"/>
  <c r="K138" i="1" s="1"/>
  <c r="J129" i="1"/>
  <c r="J138" i="1" s="1"/>
  <c r="I129" i="1"/>
  <c r="I138" i="1" s="1"/>
  <c r="H129" i="1"/>
  <c r="H138" i="1" s="1"/>
  <c r="G129" i="1"/>
  <c r="G138" i="1" s="1"/>
  <c r="F129" i="1"/>
  <c r="F138" i="1" s="1"/>
  <c r="E129" i="1"/>
  <c r="E138" i="1" s="1"/>
  <c r="D129" i="1"/>
  <c r="N82" i="3"/>
  <c r="M82" i="3"/>
  <c r="L82" i="3"/>
  <c r="K82" i="3"/>
  <c r="J82" i="3"/>
  <c r="I82" i="3"/>
  <c r="H82" i="3"/>
  <c r="G82" i="3"/>
  <c r="F82" i="3"/>
  <c r="AF69" i="3" l="1"/>
  <c r="AE69" i="3"/>
  <c r="AD69" i="3"/>
  <c r="AC69" i="3"/>
  <c r="AB69" i="3"/>
  <c r="AA69" i="3"/>
  <c r="Z69" i="3"/>
  <c r="Y69" i="3"/>
  <c r="X69" i="3"/>
  <c r="W69" i="3"/>
  <c r="N69" i="3"/>
  <c r="M69" i="3"/>
  <c r="L69" i="3"/>
  <c r="K69" i="3"/>
  <c r="J69" i="3"/>
  <c r="I69" i="3"/>
  <c r="H69" i="3"/>
  <c r="G69" i="3"/>
  <c r="F69" i="3"/>
  <c r="Q105" i="3" l="1"/>
  <c r="R105" i="3" s="1"/>
  <c r="S105" i="3" s="1"/>
  <c r="T105" i="3" s="1"/>
  <c r="N77" i="3"/>
  <c r="M77" i="3"/>
  <c r="L77" i="3"/>
  <c r="K77" i="3"/>
  <c r="J77" i="3"/>
  <c r="I77" i="3"/>
  <c r="H77" i="3"/>
  <c r="G77" i="3"/>
  <c r="F77" i="3"/>
  <c r="N92" i="3" l="1"/>
  <c r="M92" i="3"/>
  <c r="L92" i="3"/>
  <c r="K92" i="3"/>
  <c r="J92" i="3"/>
  <c r="I92" i="3"/>
  <c r="H92" i="3"/>
  <c r="G92" i="3"/>
  <c r="F92" i="3"/>
  <c r="E92" i="3"/>
  <c r="AF50" i="3" l="1"/>
  <c r="AE50" i="3"/>
  <c r="AD50" i="3"/>
  <c r="AC50" i="3"/>
  <c r="AB50" i="3"/>
  <c r="AA50" i="3"/>
  <c r="Z50" i="3"/>
  <c r="Y50" i="3"/>
  <c r="X50" i="3"/>
  <c r="W50" i="3"/>
  <c r="V50" i="3"/>
  <c r="N50" i="3"/>
  <c r="M50" i="3"/>
  <c r="L50" i="3"/>
  <c r="K50" i="3"/>
  <c r="J50" i="3"/>
  <c r="I50" i="3"/>
  <c r="H50" i="3"/>
  <c r="G50" i="3"/>
  <c r="F50" i="3"/>
  <c r="E50" i="3"/>
  <c r="N23" i="1" l="1"/>
  <c r="K12" i="2"/>
  <c r="L12" i="2"/>
  <c r="M12" i="2"/>
  <c r="N12" i="2"/>
  <c r="F7" i="2"/>
  <c r="G7" i="2"/>
  <c r="H7" i="2"/>
  <c r="I7" i="2"/>
  <c r="J7" i="2"/>
  <c r="K7" i="2"/>
  <c r="L7" i="2"/>
  <c r="M7" i="2"/>
  <c r="N7" i="2"/>
  <c r="E7" i="2"/>
  <c r="F8" i="2"/>
  <c r="G8" i="2"/>
  <c r="H8" i="2"/>
  <c r="I8" i="2"/>
  <c r="J8" i="2"/>
  <c r="L8" i="2"/>
  <c r="M8" i="2"/>
  <c r="N8" i="2"/>
  <c r="E8" i="2"/>
  <c r="O23" i="1" l="1"/>
  <c r="P23" i="1" s="1"/>
  <c r="Q23" i="1" s="1"/>
  <c r="R23" i="1" s="1"/>
  <c r="S23" i="1" s="1"/>
  <c r="M22" i="17"/>
  <c r="N65" i="1"/>
  <c r="O65" i="1" s="1"/>
  <c r="P65" i="1" s="1"/>
  <c r="Q65" i="1" s="1"/>
  <c r="R65" i="1" s="1"/>
  <c r="S65" i="1" s="1"/>
  <c r="N64" i="1"/>
  <c r="O64" i="1" s="1"/>
  <c r="P64" i="1" s="1"/>
  <c r="Q64" i="1" s="1"/>
  <c r="R64" i="1" s="1"/>
  <c r="S64" i="1" s="1"/>
  <c r="AE113" i="1" l="1"/>
  <c r="AE119" i="1" s="1"/>
  <c r="AD113" i="1"/>
  <c r="AD119" i="1" s="1"/>
  <c r="AC113" i="1"/>
  <c r="AC119" i="1" s="1"/>
  <c r="AB113" i="1"/>
  <c r="AB119" i="1" s="1"/>
  <c r="AA113" i="1"/>
  <c r="AA119" i="1" s="1"/>
  <c r="Z113" i="1"/>
  <c r="Z119" i="1" s="1"/>
  <c r="Y113" i="1"/>
  <c r="Y119" i="1" s="1"/>
  <c r="X113" i="1"/>
  <c r="X119" i="1" s="1"/>
  <c r="W113" i="1"/>
  <c r="W119" i="1" s="1"/>
  <c r="V113" i="1"/>
  <c r="V119" i="1" s="1"/>
  <c r="U113" i="1"/>
  <c r="U119" i="1" s="1"/>
  <c r="S415" i="1" l="1"/>
  <c r="R415" i="1"/>
  <c r="Q415" i="1"/>
  <c r="P415" i="1"/>
  <c r="O415" i="1"/>
  <c r="N415" i="1"/>
  <c r="S410" i="1"/>
  <c r="R410" i="1"/>
  <c r="Q410" i="1"/>
  <c r="P410" i="1"/>
  <c r="O410" i="1"/>
  <c r="N410" i="1"/>
  <c r="R424" i="1" l="1"/>
  <c r="S424" i="1"/>
  <c r="N159" i="1"/>
  <c r="O160" i="1"/>
  <c r="N424" i="1"/>
  <c r="O424" i="1"/>
  <c r="P424" i="1"/>
  <c r="Q424" i="1"/>
  <c r="P160" i="1" l="1"/>
  <c r="O159" i="1"/>
  <c r="N53" i="1"/>
  <c r="O13" i="3"/>
  <c r="G7" i="12" s="1"/>
  <c r="N67" i="3"/>
  <c r="M67" i="3"/>
  <c r="L67" i="3"/>
  <c r="K67" i="3"/>
  <c r="J67" i="3"/>
  <c r="I67" i="3"/>
  <c r="H67" i="3"/>
  <c r="G67" i="3"/>
  <c r="F67" i="3"/>
  <c r="E67" i="3"/>
  <c r="AE159" i="1"/>
  <c r="AD159" i="1"/>
  <c r="AC159" i="1"/>
  <c r="AB159" i="1"/>
  <c r="AA159" i="1"/>
  <c r="Z159" i="1"/>
  <c r="Y159" i="1"/>
  <c r="X159" i="1"/>
  <c r="W159" i="1"/>
  <c r="V159" i="1"/>
  <c r="U159" i="1"/>
  <c r="AE144" i="1"/>
  <c r="AD144" i="1"/>
  <c r="AC144" i="1"/>
  <c r="AB144" i="1"/>
  <c r="AA144" i="1"/>
  <c r="Z144" i="1"/>
  <c r="Y144" i="1"/>
  <c r="X144" i="1"/>
  <c r="W144" i="1"/>
  <c r="V144" i="1"/>
  <c r="U144" i="1"/>
  <c r="Q160" i="1" l="1"/>
  <c r="P159" i="1"/>
  <c r="N91" i="3"/>
  <c r="M91" i="3"/>
  <c r="L91" i="3"/>
  <c r="K91" i="3"/>
  <c r="J91" i="3"/>
  <c r="I91" i="3"/>
  <c r="H91" i="3"/>
  <c r="G91" i="3"/>
  <c r="F91" i="3"/>
  <c r="E91" i="3"/>
  <c r="R160" i="1" l="1"/>
  <c r="Q159" i="1"/>
  <c r="N89" i="3"/>
  <c r="M89" i="3"/>
  <c r="L89" i="3"/>
  <c r="K89" i="3"/>
  <c r="J89" i="3"/>
  <c r="I89" i="3"/>
  <c r="H89" i="3"/>
  <c r="G89" i="3"/>
  <c r="F89" i="3"/>
  <c r="E89" i="3"/>
  <c r="AF51" i="1"/>
  <c r="N51" i="1" s="1"/>
  <c r="AF316" i="1"/>
  <c r="AF315" i="1"/>
  <c r="N315" i="1" s="1"/>
  <c r="AF33" i="1"/>
  <c r="N33" i="1" s="1"/>
  <c r="AC15" i="3"/>
  <c r="AB15" i="3"/>
  <c r="AA15" i="3"/>
  <c r="Z15" i="3"/>
  <c r="Y15" i="3"/>
  <c r="X15" i="3"/>
  <c r="W15" i="3"/>
  <c r="V15" i="3"/>
  <c r="N16" i="3"/>
  <c r="M16" i="3"/>
  <c r="L16" i="3"/>
  <c r="K16" i="3"/>
  <c r="J16" i="3"/>
  <c r="I16" i="3"/>
  <c r="H16" i="3"/>
  <c r="G16" i="3"/>
  <c r="F16" i="3"/>
  <c r="M32" i="17" l="1"/>
  <c r="M49" i="17"/>
  <c r="O33" i="1"/>
  <c r="N32" i="17" s="1"/>
  <c r="S160" i="1"/>
  <c r="S159" i="1" s="1"/>
  <c r="R159" i="1"/>
  <c r="O315" i="1"/>
  <c r="O51" i="1"/>
  <c r="O82" i="3"/>
  <c r="AC91" i="3"/>
  <c r="AC89" i="3"/>
  <c r="AD89" i="3" s="1"/>
  <c r="AE89" i="3" s="1"/>
  <c r="AF89" i="3" s="1"/>
  <c r="AG89" i="3" s="1"/>
  <c r="V89" i="3"/>
  <c r="V91" i="3"/>
  <c r="AB91" i="3"/>
  <c r="AB89" i="3"/>
  <c r="W91" i="3"/>
  <c r="W89" i="3"/>
  <c r="X91" i="3"/>
  <c r="X89" i="3"/>
  <c r="Y89" i="3"/>
  <c r="Y91" i="3"/>
  <c r="Z89" i="3"/>
  <c r="Z91" i="3"/>
  <c r="AA91" i="3"/>
  <c r="AA89" i="3"/>
  <c r="AF17" i="3"/>
  <c r="AG17" i="3" s="1"/>
  <c r="AE17" i="3"/>
  <c r="AD17" i="3"/>
  <c r="AC17" i="3"/>
  <c r="AB17" i="3"/>
  <c r="AA17" i="3"/>
  <c r="Z17" i="3"/>
  <c r="Y17" i="3"/>
  <c r="X17" i="3"/>
  <c r="W17" i="3"/>
  <c r="V17" i="3"/>
  <c r="V18" i="3" s="1"/>
  <c r="AF10" i="3"/>
  <c r="AE10" i="3"/>
  <c r="AD10" i="3"/>
  <c r="AC10" i="3"/>
  <c r="AB10" i="3"/>
  <c r="AA10" i="3"/>
  <c r="Z10" i="3"/>
  <c r="Y10" i="3"/>
  <c r="X10" i="3"/>
  <c r="W10" i="3"/>
  <c r="AF8" i="3"/>
  <c r="AE8" i="3"/>
  <c r="AD8" i="3"/>
  <c r="AC8" i="3"/>
  <c r="AB8" i="3"/>
  <c r="AA8" i="3"/>
  <c r="Z8" i="3"/>
  <c r="Y8" i="3"/>
  <c r="X8" i="3"/>
  <c r="W8" i="3"/>
  <c r="AF6" i="3"/>
  <c r="AE6" i="3"/>
  <c r="AD6" i="3"/>
  <c r="AC6" i="3"/>
  <c r="AB6" i="3"/>
  <c r="AA6" i="3"/>
  <c r="Z6" i="3"/>
  <c r="Y6" i="3"/>
  <c r="X6" i="3"/>
  <c r="W6" i="3"/>
  <c r="T6" i="3"/>
  <c r="T8" i="3" s="1"/>
  <c r="S6" i="3"/>
  <c r="S8" i="3" s="1"/>
  <c r="R6" i="3"/>
  <c r="Q6" i="3"/>
  <c r="P6" i="3"/>
  <c r="E8" i="19" s="1"/>
  <c r="R8" i="3" l="1"/>
  <c r="G8" i="19"/>
  <c r="Q8" i="3"/>
  <c r="F8" i="19"/>
  <c r="P315" i="1"/>
  <c r="P51" i="1"/>
  <c r="N49" i="17"/>
  <c r="P33" i="1"/>
  <c r="O32" i="17" s="1"/>
  <c r="Y18" i="3"/>
  <c r="Z18" i="3"/>
  <c r="AA18" i="3"/>
  <c r="P8" i="3"/>
  <c r="AB18" i="3"/>
  <c r="AD18" i="3"/>
  <c r="AC18" i="3"/>
  <c r="X18" i="3"/>
  <c r="AF18" i="3"/>
  <c r="W18" i="3"/>
  <c r="AE18" i="3"/>
  <c r="Q315" i="1" l="1"/>
  <c r="Q51" i="1"/>
  <c r="O49" i="17"/>
  <c r="Q33" i="1"/>
  <c r="P32" i="17" s="1"/>
  <c r="R315" i="1" l="1"/>
  <c r="R51" i="1"/>
  <c r="P49" i="17"/>
  <c r="R33" i="1"/>
  <c r="Q32" i="17" s="1"/>
  <c r="AF68" i="3"/>
  <c r="AE68" i="3"/>
  <c r="AD68" i="3"/>
  <c r="AC68" i="3"/>
  <c r="AB68" i="3"/>
  <c r="AA68" i="3"/>
  <c r="Z68" i="3"/>
  <c r="Y68" i="3"/>
  <c r="X68" i="3"/>
  <c r="W68" i="3"/>
  <c r="V68" i="3"/>
  <c r="S315" i="1" l="1"/>
  <c r="S51" i="1"/>
  <c r="R49" i="17" s="1"/>
  <c r="Q49" i="17"/>
  <c r="S33" i="1"/>
  <c r="R32" i="17" s="1"/>
  <c r="N10" i="3"/>
  <c r="M10" i="3"/>
  <c r="L10" i="3"/>
  <c r="K10" i="3"/>
  <c r="J10" i="3"/>
  <c r="I10" i="3"/>
  <c r="H10" i="3"/>
  <c r="G10" i="3"/>
  <c r="F10" i="3"/>
  <c r="F6" i="3"/>
  <c r="G6" i="3"/>
  <c r="H6" i="3"/>
  <c r="I6" i="3"/>
  <c r="J6" i="3"/>
  <c r="K6" i="3"/>
  <c r="L6" i="3"/>
  <c r="M6" i="3"/>
  <c r="N6" i="3"/>
  <c r="C8" i="19" s="1"/>
  <c r="N17" i="3" l="1"/>
  <c r="M17" i="3"/>
  <c r="L17" i="3"/>
  <c r="K17" i="3"/>
  <c r="J17" i="3"/>
  <c r="I17" i="3"/>
  <c r="H17" i="3"/>
  <c r="G17" i="3"/>
  <c r="F17" i="3"/>
  <c r="E17" i="3"/>
  <c r="AG14" i="3"/>
  <c r="AF14" i="3"/>
  <c r="AE14" i="3"/>
  <c r="AD14" i="3"/>
  <c r="AC14" i="3"/>
  <c r="AB14" i="3"/>
  <c r="AA14" i="3"/>
  <c r="Z14" i="3"/>
  <c r="Y14" i="3"/>
  <c r="X14" i="3"/>
  <c r="W14" i="3"/>
  <c r="O14" i="3"/>
  <c r="N14" i="3"/>
  <c r="M14" i="3"/>
  <c r="L14" i="3"/>
  <c r="K14" i="3"/>
  <c r="J14" i="3"/>
  <c r="I14" i="3"/>
  <c r="H14" i="3"/>
  <c r="G14" i="3"/>
  <c r="F14" i="3"/>
  <c r="N8" i="3"/>
  <c r="M8" i="3"/>
  <c r="L8" i="3"/>
  <c r="K8" i="3"/>
  <c r="J8" i="3"/>
  <c r="I8" i="3"/>
  <c r="H8" i="3"/>
  <c r="G8" i="3"/>
  <c r="F8" i="3"/>
  <c r="M18" i="3" l="1"/>
  <c r="L18" i="3"/>
  <c r="J18" i="3"/>
  <c r="F18" i="3"/>
  <c r="H18" i="3"/>
  <c r="I18" i="3"/>
  <c r="K18" i="3"/>
  <c r="N18" i="3"/>
  <c r="G18" i="3"/>
  <c r="AG32" i="3" l="1"/>
  <c r="AF32" i="3"/>
  <c r="AE32" i="3"/>
  <c r="AG31" i="3"/>
  <c r="AF31" i="3"/>
  <c r="AE31" i="3"/>
  <c r="AD32" i="3"/>
  <c r="AD31" i="3"/>
  <c r="AC32" i="3"/>
  <c r="AB32" i="3"/>
  <c r="AA32" i="3"/>
  <c r="AC31" i="3"/>
  <c r="AB31" i="3"/>
  <c r="AA31" i="3"/>
  <c r="Z32" i="3"/>
  <c r="Z31" i="3"/>
  <c r="Y32" i="3"/>
  <c r="X32" i="3"/>
  <c r="W32" i="3"/>
  <c r="Y31" i="3"/>
  <c r="X31" i="3"/>
  <c r="W31" i="3"/>
  <c r="V32" i="3"/>
  <c r="V31" i="3"/>
  <c r="AC28" i="3"/>
  <c r="AB28" i="3"/>
  <c r="AA28" i="3"/>
  <c r="AC26" i="3"/>
  <c r="AB26" i="3"/>
  <c r="AA26" i="3"/>
  <c r="AC25" i="3"/>
  <c r="AB25" i="3"/>
  <c r="AA25" i="3"/>
  <c r="Z28" i="3"/>
  <c r="Z26" i="3"/>
  <c r="Z25" i="3"/>
  <c r="Y28" i="3"/>
  <c r="X28" i="3"/>
  <c r="W28" i="3"/>
  <c r="Y26" i="3"/>
  <c r="X26" i="3"/>
  <c r="W26" i="3"/>
  <c r="Y25" i="3"/>
  <c r="X25" i="3"/>
  <c r="W25" i="3"/>
  <c r="V28" i="3"/>
  <c r="V26" i="3"/>
  <c r="V25" i="3"/>
  <c r="O28" i="3"/>
  <c r="AG27" i="3"/>
  <c r="AG25" i="3" s="1"/>
  <c r="AC27" i="3"/>
  <c r="Y27" i="3"/>
  <c r="AF11" i="3"/>
  <c r="AE11" i="3"/>
  <c r="AD11" i="3"/>
  <c r="AC11" i="3"/>
  <c r="AB11" i="3"/>
  <c r="AA11" i="3"/>
  <c r="Z11" i="3"/>
  <c r="Y11" i="3"/>
  <c r="X11" i="3"/>
  <c r="W11" i="3"/>
  <c r="V11" i="3"/>
  <c r="V19" i="3" s="1"/>
  <c r="N11" i="3"/>
  <c r="M11" i="3"/>
  <c r="L11" i="3"/>
  <c r="K11" i="3"/>
  <c r="J11" i="3"/>
  <c r="I11" i="3"/>
  <c r="H11" i="3"/>
  <c r="G11" i="3"/>
  <c r="F11" i="3"/>
  <c r="E11" i="3"/>
  <c r="E19" i="3" s="1"/>
  <c r="AF58" i="3"/>
  <c r="AE58" i="3"/>
  <c r="AD58" i="3"/>
  <c r="AC58" i="3"/>
  <c r="AB58" i="3"/>
  <c r="AA58" i="3"/>
  <c r="Z58" i="3"/>
  <c r="Y58" i="3"/>
  <c r="X58" i="3"/>
  <c r="W58" i="3"/>
  <c r="AF57" i="3"/>
  <c r="AE57" i="3"/>
  <c r="AD57" i="3"/>
  <c r="AC57" i="3"/>
  <c r="AB57" i="3"/>
  <c r="AA57" i="3"/>
  <c r="Z57" i="3"/>
  <c r="Y57" i="3"/>
  <c r="X57" i="3"/>
  <c r="W57" i="3"/>
  <c r="AF56" i="3"/>
  <c r="AE56" i="3"/>
  <c r="AD56" i="3"/>
  <c r="AC56" i="3"/>
  <c r="AB56" i="3"/>
  <c r="AA56" i="3"/>
  <c r="Z56" i="3"/>
  <c r="Y56" i="3"/>
  <c r="X56" i="3"/>
  <c r="W56" i="3"/>
  <c r="V58" i="3"/>
  <c r="V57" i="3"/>
  <c r="V56" i="3"/>
  <c r="AG28" i="3" l="1"/>
  <c r="AA60" i="3"/>
  <c r="Y60" i="3"/>
  <c r="W61" i="3"/>
  <c r="AC62" i="3"/>
  <c r="AB62" i="3"/>
  <c r="V60" i="3"/>
  <c r="AB60" i="3"/>
  <c r="V61" i="3"/>
  <c r="V62" i="3"/>
  <c r="AB61" i="3"/>
  <c r="Z60" i="3"/>
  <c r="X61" i="3"/>
  <c r="Z61" i="3"/>
  <c r="AC60" i="3"/>
  <c r="AC61" i="3"/>
  <c r="X62" i="3"/>
  <c r="AA61" i="3"/>
  <c r="Z62" i="3"/>
  <c r="X60" i="3"/>
  <c r="Y61" i="3"/>
  <c r="AA62" i="3"/>
  <c r="W62" i="3"/>
  <c r="X72" i="3"/>
  <c r="Z72" i="3"/>
  <c r="AG6" i="3"/>
  <c r="W72" i="3"/>
  <c r="Y62" i="3"/>
  <c r="AA72" i="3"/>
  <c r="Y72" i="3"/>
  <c r="W60" i="3"/>
  <c r="V72" i="3"/>
  <c r="AB72" i="3"/>
  <c r="AC72" i="3"/>
  <c r="AD19" i="3"/>
  <c r="AD12" i="3"/>
  <c r="X19" i="3"/>
  <c r="X12" i="3"/>
  <c r="AF19" i="3"/>
  <c r="AG19" i="3" s="1"/>
  <c r="AF12" i="3"/>
  <c r="W19" i="3"/>
  <c r="W12" i="3"/>
  <c r="Y19" i="3"/>
  <c r="Y12" i="3"/>
  <c r="Z19" i="3"/>
  <c r="Z12" i="3"/>
  <c r="AA19" i="3"/>
  <c r="AA12" i="3"/>
  <c r="AE19" i="3"/>
  <c r="AE12" i="3"/>
  <c r="AB19" i="3"/>
  <c r="AB12" i="3"/>
  <c r="AC19" i="3"/>
  <c r="AC12" i="3"/>
  <c r="J19" i="3"/>
  <c r="J12" i="3"/>
  <c r="L19" i="3"/>
  <c r="L12" i="3"/>
  <c r="F19" i="3"/>
  <c r="F20" i="3" s="1"/>
  <c r="F12" i="3"/>
  <c r="N19" i="3"/>
  <c r="N12" i="3"/>
  <c r="K19" i="3"/>
  <c r="K12" i="3"/>
  <c r="G19" i="3"/>
  <c r="G12" i="3"/>
  <c r="M19" i="3"/>
  <c r="M12" i="3"/>
  <c r="H19" i="3"/>
  <c r="H12" i="3"/>
  <c r="I19" i="3"/>
  <c r="I12" i="3"/>
  <c r="V27" i="3"/>
  <c r="W27" i="3"/>
  <c r="Z27" i="3"/>
  <c r="AA27" i="3"/>
  <c r="AD27" i="3"/>
  <c r="AD25" i="3" s="1"/>
  <c r="AD72" i="3" s="1"/>
  <c r="AE27" i="3"/>
  <c r="AE25" i="3" s="1"/>
  <c r="AE72" i="3" s="1"/>
  <c r="X27" i="3"/>
  <c r="AB27" i="3"/>
  <c r="AD28" i="3"/>
  <c r="AF27" i="3"/>
  <c r="AF25" i="3" s="1"/>
  <c r="AF61" i="3" s="1"/>
  <c r="AG61" i="3" s="1"/>
  <c r="AE28" i="3"/>
  <c r="AF28" i="3"/>
  <c r="P28" i="3"/>
  <c r="AD62" i="3" l="1"/>
  <c r="AE60" i="3"/>
  <c r="AD60" i="3"/>
  <c r="AD61" i="3"/>
  <c r="AE61" i="3"/>
  <c r="AF60" i="3"/>
  <c r="AG60" i="3" s="1"/>
  <c r="AE62" i="3"/>
  <c r="AF62" i="3"/>
  <c r="AG62" i="3" s="1"/>
  <c r="AF72" i="3"/>
  <c r="AG72" i="3" s="1"/>
  <c r="N20" i="3"/>
  <c r="I20" i="3"/>
  <c r="M20" i="3"/>
  <c r="H20" i="3"/>
  <c r="K20" i="3"/>
  <c r="G20" i="3"/>
  <c r="J20" i="3"/>
  <c r="L20" i="3"/>
  <c r="AG5" i="3"/>
  <c r="O5" i="3" s="1"/>
  <c r="AG8" i="3"/>
  <c r="AG7" i="3" s="1"/>
  <c r="Q28" i="3"/>
  <c r="R28" i="3" l="1"/>
  <c r="AG9" i="3"/>
  <c r="AG11" i="3" s="1"/>
  <c r="O11" i="3" s="1"/>
  <c r="O4" i="3" s="1"/>
  <c r="O7" i="3"/>
  <c r="P5" i="3"/>
  <c r="Q5" i="3" s="1"/>
  <c r="R5" i="3" s="1"/>
  <c r="S5" i="3" s="1"/>
  <c r="T5" i="3" s="1"/>
  <c r="O6" i="3"/>
  <c r="D8" i="19" s="1"/>
  <c r="P13" i="3"/>
  <c r="E68" i="3"/>
  <c r="E72" i="3" s="1"/>
  <c r="F68" i="3"/>
  <c r="F72" i="3" s="1"/>
  <c r="G68" i="3"/>
  <c r="G72" i="3" s="1"/>
  <c r="H68" i="3"/>
  <c r="H72" i="3" s="1"/>
  <c r="I68" i="3"/>
  <c r="I72" i="3" s="1"/>
  <c r="J68" i="3"/>
  <c r="J72" i="3" s="1"/>
  <c r="K68" i="3"/>
  <c r="K72" i="3" s="1"/>
  <c r="L68" i="3"/>
  <c r="L72" i="3" s="1"/>
  <c r="M68" i="3"/>
  <c r="M72" i="3" s="1"/>
  <c r="N68" i="3"/>
  <c r="N72" i="3" s="1"/>
  <c r="S28" i="3" l="1"/>
  <c r="O12" i="3"/>
  <c r="P7" i="3"/>
  <c r="O8" i="3"/>
  <c r="AG10" i="3"/>
  <c r="O9" i="3"/>
  <c r="AF267" i="1"/>
  <c r="AG12" i="3"/>
  <c r="N71" i="3"/>
  <c r="M71" i="3"/>
  <c r="L71" i="3"/>
  <c r="K71" i="3"/>
  <c r="J71" i="3"/>
  <c r="I71" i="3"/>
  <c r="H71" i="3"/>
  <c r="G71" i="3"/>
  <c r="F71" i="3"/>
  <c r="E71" i="3"/>
  <c r="T28" i="3" l="1"/>
  <c r="AF119" i="1"/>
  <c r="N119" i="1" s="1"/>
  <c r="N267" i="1"/>
  <c r="O10" i="3"/>
  <c r="O17" i="3"/>
  <c r="G8" i="12" s="1"/>
  <c r="Q7" i="3"/>
  <c r="O19" i="3"/>
  <c r="Q13" i="3"/>
  <c r="R13" i="3" s="1"/>
  <c r="S13" i="3" s="1"/>
  <c r="T13" i="3" s="1"/>
  <c r="O20" i="3" l="1"/>
  <c r="G9" i="12"/>
  <c r="P17" i="3"/>
  <c r="O18" i="3"/>
  <c r="P19" i="3"/>
  <c r="R7" i="3"/>
  <c r="AG68" i="3"/>
  <c r="AF61" i="1"/>
  <c r="N61" i="1" s="1"/>
  <c r="M59" i="17" l="1"/>
  <c r="Q19" i="3"/>
  <c r="Q20" i="3" s="1"/>
  <c r="P20" i="3"/>
  <c r="S7" i="3"/>
  <c r="Q17" i="3"/>
  <c r="P18" i="3"/>
  <c r="P9" i="3"/>
  <c r="N10" i="2"/>
  <c r="M10" i="2"/>
  <c r="L10" i="2"/>
  <c r="K10" i="2"/>
  <c r="J10" i="2"/>
  <c r="I10" i="2"/>
  <c r="H10" i="2"/>
  <c r="G10" i="2"/>
  <c r="F10" i="2"/>
  <c r="E10" i="2"/>
  <c r="E48" i="2"/>
  <c r="D196" i="1"/>
  <c r="D62" i="1"/>
  <c r="D55" i="1"/>
  <c r="R19" i="3" l="1"/>
  <c r="R20" i="3" s="1"/>
  <c r="E25" i="2"/>
  <c r="E26" i="2"/>
  <c r="E24" i="2"/>
  <c r="R17" i="3"/>
  <c r="Q18" i="3"/>
  <c r="Q9" i="3"/>
  <c r="T7" i="3"/>
  <c r="P10" i="3"/>
  <c r="P11" i="3"/>
  <c r="L379" i="1"/>
  <c r="L367" i="1"/>
  <c r="S19" i="3" l="1"/>
  <c r="T19" i="3" s="1"/>
  <c r="T20" i="3" s="1"/>
  <c r="P12" i="3"/>
  <c r="O267" i="1"/>
  <c r="Q10" i="3"/>
  <c r="Q11" i="3"/>
  <c r="S17" i="3"/>
  <c r="R18" i="3"/>
  <c r="R9" i="3"/>
  <c r="AF52" i="1"/>
  <c r="E51" i="20" s="1"/>
  <c r="F51" i="20" s="1"/>
  <c r="AF348" i="1"/>
  <c r="S20" i="3" l="1"/>
  <c r="O292" i="1"/>
  <c r="O21" i="1"/>
  <c r="O271" i="1"/>
  <c r="Q12" i="3"/>
  <c r="P267" i="1"/>
  <c r="AF349" i="1"/>
  <c r="R10" i="3"/>
  <c r="R11" i="3"/>
  <c r="T17" i="3"/>
  <c r="S18" i="3"/>
  <c r="S9" i="3"/>
  <c r="AF154" i="1"/>
  <c r="AF157" i="1"/>
  <c r="AF159" i="1"/>
  <c r="O157" i="1" l="1"/>
  <c r="P292" i="1"/>
  <c r="R12" i="3"/>
  <c r="Q267" i="1"/>
  <c r="O272" i="1"/>
  <c r="P21" i="1"/>
  <c r="P271" i="1"/>
  <c r="AF156" i="1"/>
  <c r="AF153" i="1"/>
  <c r="S10" i="3"/>
  <c r="S11" i="3"/>
  <c r="T18" i="3"/>
  <c r="T9" i="3"/>
  <c r="O20" i="17" l="1"/>
  <c r="N153" i="1"/>
  <c r="O154" i="1"/>
  <c r="P157" i="1"/>
  <c r="O156" i="1"/>
  <c r="Q292" i="1"/>
  <c r="S12" i="3"/>
  <c r="R267" i="1"/>
  <c r="Q21" i="1"/>
  <c r="Q271" i="1"/>
  <c r="P272" i="1"/>
  <c r="T10" i="3"/>
  <c r="T11" i="3"/>
  <c r="S4" i="3" s="1"/>
  <c r="AD403" i="1"/>
  <c r="Z403" i="1"/>
  <c r="X403" i="1"/>
  <c r="X402" i="1"/>
  <c r="V404" i="1"/>
  <c r="D404" i="1"/>
  <c r="E404" i="1"/>
  <c r="F404" i="1"/>
  <c r="G404" i="1"/>
  <c r="H404" i="1"/>
  <c r="I404" i="1"/>
  <c r="J404" i="1"/>
  <c r="L404" i="1"/>
  <c r="K404" i="1"/>
  <c r="P20" i="17" l="1"/>
  <c r="Q157" i="1"/>
  <c r="P156" i="1"/>
  <c r="P154" i="1"/>
  <c r="O153" i="1"/>
  <c r="R292" i="1"/>
  <c r="T12" i="3"/>
  <c r="S267" i="1"/>
  <c r="R21" i="1"/>
  <c r="R271" i="1"/>
  <c r="Q272" i="1"/>
  <c r="AE403" i="1"/>
  <c r="AA403" i="1"/>
  <c r="AB403" i="1" s="1"/>
  <c r="AE407" i="1"/>
  <c r="AD407" i="1"/>
  <c r="AC407" i="1"/>
  <c r="AA407" i="1"/>
  <c r="Z407" i="1"/>
  <c r="Y407" i="1"/>
  <c r="W397" i="1"/>
  <c r="W398" i="1"/>
  <c r="W401" i="1"/>
  <c r="X401" i="1" s="1"/>
  <c r="U397" i="1"/>
  <c r="U398" i="1"/>
  <c r="U400" i="1"/>
  <c r="M407" i="1"/>
  <c r="L407" i="1"/>
  <c r="J406" i="1"/>
  <c r="I406" i="1"/>
  <c r="H406" i="1"/>
  <c r="G406" i="1"/>
  <c r="F406" i="1"/>
  <c r="E406" i="1"/>
  <c r="D406" i="1"/>
  <c r="Q20" i="17" l="1"/>
  <c r="R157" i="1"/>
  <c r="Q156" i="1"/>
  <c r="Q154" i="1"/>
  <c r="P153" i="1"/>
  <c r="S292" i="1"/>
  <c r="S21" i="1"/>
  <c r="S271" i="1"/>
  <c r="R272" i="1"/>
  <c r="AF403" i="1"/>
  <c r="X397" i="1"/>
  <c r="U404" i="1"/>
  <c r="U406" i="1" s="1"/>
  <c r="W404" i="1"/>
  <c r="W406" i="1" s="1"/>
  <c r="X398" i="1"/>
  <c r="AE320" i="1"/>
  <c r="AD320" i="1"/>
  <c r="AC320" i="1"/>
  <c r="AB320" i="1"/>
  <c r="AA320" i="1"/>
  <c r="Z320" i="1"/>
  <c r="Y320" i="1"/>
  <c r="X320" i="1"/>
  <c r="W320" i="1"/>
  <c r="V320" i="1"/>
  <c r="AE319" i="1"/>
  <c r="AD319" i="1"/>
  <c r="AC319" i="1"/>
  <c r="AB319" i="1"/>
  <c r="AA319" i="1"/>
  <c r="Z319" i="1"/>
  <c r="Y319" i="1"/>
  <c r="X319" i="1"/>
  <c r="W319" i="1"/>
  <c r="V319" i="1"/>
  <c r="U320" i="1"/>
  <c r="U319" i="1"/>
  <c r="M320" i="1"/>
  <c r="L320" i="1"/>
  <c r="K320" i="1"/>
  <c r="J320" i="1"/>
  <c r="I320" i="1"/>
  <c r="H320" i="1"/>
  <c r="G320" i="1"/>
  <c r="F320" i="1"/>
  <c r="E320" i="1"/>
  <c r="D320" i="1"/>
  <c r="M319" i="1"/>
  <c r="L319" i="1"/>
  <c r="K319" i="1"/>
  <c r="J319" i="1"/>
  <c r="I319" i="1"/>
  <c r="H319" i="1"/>
  <c r="G319" i="1"/>
  <c r="F319" i="1"/>
  <c r="E319" i="1"/>
  <c r="D319" i="1"/>
  <c r="R20" i="17" l="1"/>
  <c r="R154" i="1"/>
  <c r="Q153" i="1"/>
  <c r="S157" i="1"/>
  <c r="S156" i="1" s="1"/>
  <c r="R156" i="1"/>
  <c r="S272" i="1"/>
  <c r="X404" i="1"/>
  <c r="AE302" i="1"/>
  <c r="AE307" i="1" s="1"/>
  <c r="AD302" i="1"/>
  <c r="AD307" i="1" s="1"/>
  <c r="AC302" i="1"/>
  <c r="AC307" i="1" s="1"/>
  <c r="AB302" i="1"/>
  <c r="AB307" i="1" s="1"/>
  <c r="AA302" i="1"/>
  <c r="AA307" i="1" s="1"/>
  <c r="Z302" i="1"/>
  <c r="Z307" i="1" s="1"/>
  <c r="Y302" i="1"/>
  <c r="Y307" i="1" s="1"/>
  <c r="X302" i="1"/>
  <c r="X307" i="1" s="1"/>
  <c r="W302" i="1"/>
  <c r="W307" i="1" s="1"/>
  <c r="V302" i="1"/>
  <c r="V307" i="1" s="1"/>
  <c r="U302" i="1"/>
  <c r="U307" i="1" s="1"/>
  <c r="M302" i="1"/>
  <c r="L302" i="1"/>
  <c r="K302" i="1"/>
  <c r="K307" i="1" s="1"/>
  <c r="J302" i="1"/>
  <c r="J307" i="1" s="1"/>
  <c r="I302" i="1"/>
  <c r="I307" i="1" s="1"/>
  <c r="H302" i="1"/>
  <c r="H307" i="1" s="1"/>
  <c r="G302" i="1"/>
  <c r="G307" i="1" s="1"/>
  <c r="F302" i="1"/>
  <c r="F307" i="1" s="1"/>
  <c r="E302" i="1"/>
  <c r="E307" i="1" s="1"/>
  <c r="D302" i="1"/>
  <c r="D307" i="1" s="1"/>
  <c r="L307" i="1" l="1"/>
  <c r="M307" i="1"/>
  <c r="S154" i="1"/>
  <c r="S153" i="1" s="1"/>
  <c r="R153" i="1"/>
  <c r="M9" i="2"/>
  <c r="N9" i="2"/>
  <c r="G9" i="2"/>
  <c r="L9" i="2"/>
  <c r="H9" i="2"/>
  <c r="I9" i="2"/>
  <c r="K9" i="2"/>
  <c r="E9" i="2"/>
  <c r="F9" i="2"/>
  <c r="J9" i="2"/>
  <c r="N58" i="3"/>
  <c r="N62" i="3" s="1"/>
  <c r="M58" i="3"/>
  <c r="M62" i="3" s="1"/>
  <c r="L58" i="3"/>
  <c r="L62" i="3" s="1"/>
  <c r="K58" i="3"/>
  <c r="K62" i="3" s="1"/>
  <c r="J58" i="3"/>
  <c r="J62" i="3" s="1"/>
  <c r="I58" i="3"/>
  <c r="I62" i="3" s="1"/>
  <c r="H58" i="3"/>
  <c r="H62" i="3" s="1"/>
  <c r="G58" i="3"/>
  <c r="G62" i="3" s="1"/>
  <c r="F58" i="3"/>
  <c r="F62" i="3" s="1"/>
  <c r="N57" i="3"/>
  <c r="N61" i="3" s="1"/>
  <c r="M57" i="3"/>
  <c r="M61" i="3" s="1"/>
  <c r="L57" i="3"/>
  <c r="L61" i="3" s="1"/>
  <c r="K57" i="3"/>
  <c r="K61" i="3" s="1"/>
  <c r="J57" i="3"/>
  <c r="J61" i="3" s="1"/>
  <c r="I57" i="3"/>
  <c r="I61" i="3" s="1"/>
  <c r="H57" i="3"/>
  <c r="H61" i="3" s="1"/>
  <c r="G57" i="3"/>
  <c r="G61" i="3" s="1"/>
  <c r="F57" i="3"/>
  <c r="F61" i="3" s="1"/>
  <c r="N56" i="3"/>
  <c r="N60" i="3" s="1"/>
  <c r="M56" i="3"/>
  <c r="M60" i="3" s="1"/>
  <c r="L56" i="3"/>
  <c r="L60" i="3" s="1"/>
  <c r="K56" i="3"/>
  <c r="K60" i="3" s="1"/>
  <c r="J56" i="3"/>
  <c r="J60" i="3" s="1"/>
  <c r="I56" i="3"/>
  <c r="I60" i="3" s="1"/>
  <c r="H56" i="3"/>
  <c r="H60" i="3" s="1"/>
  <c r="G56" i="3"/>
  <c r="G60" i="3" s="1"/>
  <c r="F56" i="3"/>
  <c r="F60" i="3" s="1"/>
  <c r="E58" i="3"/>
  <c r="E62" i="3" s="1"/>
  <c r="E57" i="3"/>
  <c r="E61" i="3" s="1"/>
  <c r="E56" i="3"/>
  <c r="E60" i="3" s="1"/>
  <c r="AC76" i="1"/>
  <c r="AD76" i="1" s="1"/>
  <c r="AE76" i="1" s="1"/>
  <c r="AF76" i="1" s="1"/>
  <c r="AE237" i="1"/>
  <c r="S60" i="3" l="1"/>
  <c r="T60" i="3" s="1"/>
  <c r="R61" i="3"/>
  <c r="S61" i="3" s="1"/>
  <c r="T61" i="3" s="1"/>
  <c r="R62" i="3"/>
  <c r="S62" i="3" s="1"/>
  <c r="T62" i="3" s="1"/>
  <c r="AG58" i="3"/>
  <c r="AG57" i="3"/>
  <c r="AG56" i="3"/>
  <c r="AF30" i="1"/>
  <c r="N30" i="1" s="1"/>
  <c r="M29" i="17" l="1"/>
  <c r="O30" i="1"/>
  <c r="N29" i="17" s="1"/>
  <c r="N428" i="1"/>
  <c r="AF288" i="1"/>
  <c r="AF13" i="1"/>
  <c r="N13" i="1" s="1"/>
  <c r="AF14" i="1"/>
  <c r="N14" i="1" s="1"/>
  <c r="AC402" i="1"/>
  <c r="AC400" i="1"/>
  <c r="AC398" i="1"/>
  <c r="AC397" i="1"/>
  <c r="Y402" i="1"/>
  <c r="Z400" i="1"/>
  <c r="Y398" i="1"/>
  <c r="Y397" i="1"/>
  <c r="O14" i="1" l="1"/>
  <c r="P14" i="1" s="1"/>
  <c r="Q14" i="1" s="1"/>
  <c r="R14" i="1" s="1"/>
  <c r="S14" i="1" s="1"/>
  <c r="M12" i="17"/>
  <c r="P30" i="1"/>
  <c r="O29" i="17" s="1"/>
  <c r="O428" i="1"/>
  <c r="O77" i="3"/>
  <c r="P77" i="3" s="1"/>
  <c r="Q77" i="3" s="1"/>
  <c r="R77" i="3" s="1"/>
  <c r="S77" i="3" s="1"/>
  <c r="T77" i="3" s="1"/>
  <c r="AD400" i="1"/>
  <c r="AE400" i="1" s="1"/>
  <c r="AD398" i="1"/>
  <c r="AE398" i="1" s="1"/>
  <c r="AD402" i="1"/>
  <c r="AE402" i="1" s="1"/>
  <c r="Z397" i="1"/>
  <c r="Y404" i="1"/>
  <c r="AA400" i="1"/>
  <c r="AB400" i="1" s="1"/>
  <c r="AC404" i="1"/>
  <c r="AC406" i="1" s="1"/>
  <c r="AD397" i="1"/>
  <c r="Z402" i="1"/>
  <c r="Z398" i="1"/>
  <c r="AA398" i="1" s="1"/>
  <c r="AB398" i="1" s="1"/>
  <c r="Q30" i="1" l="1"/>
  <c r="P428" i="1"/>
  <c r="O13" i="1"/>
  <c r="AF400" i="1"/>
  <c r="AF398" i="1"/>
  <c r="Z404" i="1"/>
  <c r="AA397" i="1"/>
  <c r="AB397" i="1" s="1"/>
  <c r="AA402" i="1"/>
  <c r="AD404" i="1"/>
  <c r="AD406" i="1" s="1"/>
  <c r="AE397" i="1"/>
  <c r="AE404" i="1" s="1"/>
  <c r="AE406" i="1" s="1"/>
  <c r="AF51" i="3"/>
  <c r="AE51" i="3"/>
  <c r="AD51" i="3"/>
  <c r="AC51" i="3"/>
  <c r="AB51" i="3"/>
  <c r="AA51" i="3"/>
  <c r="Z51" i="3"/>
  <c r="Y51" i="3"/>
  <c r="X51" i="3"/>
  <c r="W51" i="3"/>
  <c r="AF49" i="3"/>
  <c r="AG49" i="3" s="1"/>
  <c r="AE49" i="3"/>
  <c r="AD49" i="3"/>
  <c r="AC49" i="3"/>
  <c r="AB49" i="3"/>
  <c r="AA49" i="3"/>
  <c r="Z49" i="3"/>
  <c r="Y49" i="3"/>
  <c r="X49" i="3"/>
  <c r="W49" i="3"/>
  <c r="V51" i="3"/>
  <c r="V49" i="3"/>
  <c r="AF45" i="3"/>
  <c r="AE45" i="3"/>
  <c r="AD45" i="3"/>
  <c r="AC45" i="3"/>
  <c r="AB45" i="3"/>
  <c r="AA45" i="3"/>
  <c r="Z45" i="3"/>
  <c r="Y45" i="3"/>
  <c r="X45" i="3"/>
  <c r="W45" i="3"/>
  <c r="AF44" i="3"/>
  <c r="AE44" i="3"/>
  <c r="AD44" i="3"/>
  <c r="AC44" i="3"/>
  <c r="AB44" i="3"/>
  <c r="AA44" i="3"/>
  <c r="Z44" i="3"/>
  <c r="Y44" i="3"/>
  <c r="X44" i="3"/>
  <c r="W44" i="3"/>
  <c r="AF42" i="3"/>
  <c r="AG42" i="3" s="1"/>
  <c r="AE42" i="3"/>
  <c r="AD42" i="3"/>
  <c r="AC42" i="3"/>
  <c r="AB42" i="3"/>
  <c r="AA42" i="3"/>
  <c r="Z42" i="3"/>
  <c r="Y42" i="3"/>
  <c r="X42" i="3"/>
  <c r="W42" i="3"/>
  <c r="AF41" i="3"/>
  <c r="AE41" i="3"/>
  <c r="AD41" i="3"/>
  <c r="AC41" i="3"/>
  <c r="AB41" i="3"/>
  <c r="AA41" i="3"/>
  <c r="Z41" i="3"/>
  <c r="Y41" i="3"/>
  <c r="X41" i="3"/>
  <c r="W41" i="3"/>
  <c r="AF40" i="3"/>
  <c r="AE40" i="3"/>
  <c r="AD40" i="3"/>
  <c r="AC40" i="3"/>
  <c r="AB40" i="3"/>
  <c r="AA40" i="3"/>
  <c r="Z40" i="3"/>
  <c r="Y40" i="3"/>
  <c r="X40" i="3"/>
  <c r="W40" i="3"/>
  <c r="AF39" i="3"/>
  <c r="AE39" i="3"/>
  <c r="AD39" i="3"/>
  <c r="AC39" i="3"/>
  <c r="AB39" i="3"/>
  <c r="AA39" i="3"/>
  <c r="Z39" i="3"/>
  <c r="Y39" i="3"/>
  <c r="X39" i="3"/>
  <c r="W39" i="3"/>
  <c r="V45" i="3"/>
  <c r="V44" i="3"/>
  <c r="V40" i="3"/>
  <c r="V41" i="3"/>
  <c r="V42" i="3"/>
  <c r="V39" i="3"/>
  <c r="N51" i="3"/>
  <c r="M51" i="3"/>
  <c r="L51" i="3"/>
  <c r="K51" i="3"/>
  <c r="J51" i="3"/>
  <c r="I51" i="3"/>
  <c r="H51" i="3"/>
  <c r="G51" i="3"/>
  <c r="F51" i="3"/>
  <c r="N49" i="3"/>
  <c r="M49" i="3"/>
  <c r="L49" i="3"/>
  <c r="K49" i="3"/>
  <c r="J49" i="3"/>
  <c r="I49" i="3"/>
  <c r="H49" i="3"/>
  <c r="G49" i="3"/>
  <c r="F49" i="3"/>
  <c r="E51" i="3"/>
  <c r="E49" i="3"/>
  <c r="N45" i="3"/>
  <c r="M45" i="3"/>
  <c r="L45" i="3"/>
  <c r="K45" i="3"/>
  <c r="J45" i="3"/>
  <c r="I45" i="3"/>
  <c r="H45" i="3"/>
  <c r="G45" i="3"/>
  <c r="F45" i="3"/>
  <c r="N44" i="3"/>
  <c r="M44" i="3"/>
  <c r="L44" i="3"/>
  <c r="K44" i="3"/>
  <c r="J44" i="3"/>
  <c r="I44" i="3"/>
  <c r="H44" i="3"/>
  <c r="G44" i="3"/>
  <c r="F44" i="3"/>
  <c r="N42" i="3"/>
  <c r="M42" i="3"/>
  <c r="L42" i="3"/>
  <c r="K42" i="3"/>
  <c r="J42" i="3"/>
  <c r="I42" i="3"/>
  <c r="H42" i="3"/>
  <c r="G42" i="3"/>
  <c r="F42" i="3"/>
  <c r="N41" i="3"/>
  <c r="M41" i="3"/>
  <c r="L41" i="3"/>
  <c r="K41" i="3"/>
  <c r="J41" i="3"/>
  <c r="I41" i="3"/>
  <c r="H41" i="3"/>
  <c r="G41" i="3"/>
  <c r="F41" i="3"/>
  <c r="N40" i="3"/>
  <c r="M40" i="3"/>
  <c r="L40" i="3"/>
  <c r="K40" i="3"/>
  <c r="J40" i="3"/>
  <c r="I40" i="3"/>
  <c r="H40" i="3"/>
  <c r="G40" i="3"/>
  <c r="F40" i="3"/>
  <c r="N39" i="3"/>
  <c r="M39" i="3"/>
  <c r="L39" i="3"/>
  <c r="K39" i="3"/>
  <c r="J39" i="3"/>
  <c r="I39" i="3"/>
  <c r="H39" i="3"/>
  <c r="G39" i="3"/>
  <c r="F39" i="3"/>
  <c r="E45" i="3"/>
  <c r="E44" i="3"/>
  <c r="E40" i="3"/>
  <c r="E41" i="3"/>
  <c r="E42" i="3"/>
  <c r="E39" i="3"/>
  <c r="W3" i="3"/>
  <c r="X3" i="3" s="1"/>
  <c r="Y3" i="3" s="1"/>
  <c r="Z3" i="3" s="1"/>
  <c r="AA3" i="3" s="1"/>
  <c r="AB3" i="3" s="1"/>
  <c r="AC3" i="3" s="1"/>
  <c r="AD3" i="3" s="1"/>
  <c r="AE3" i="3" s="1"/>
  <c r="AF3" i="3" s="1"/>
  <c r="AG3" i="3" s="1"/>
  <c r="P13" i="1" l="1"/>
  <c r="N12" i="17"/>
  <c r="C24" i="12"/>
  <c r="P29" i="17"/>
  <c r="R30" i="1"/>
  <c r="Q29" i="17" s="1"/>
  <c r="Q428" i="1"/>
  <c r="AB402" i="1"/>
  <c r="AF402" i="1" s="1"/>
  <c r="AG40" i="3"/>
  <c r="AF101" i="1" s="1"/>
  <c r="N101" i="1" s="1"/>
  <c r="AF166" i="1"/>
  <c r="N166" i="1" s="1"/>
  <c r="AF230" i="1"/>
  <c r="N230" i="1" s="1"/>
  <c r="AA404" i="1"/>
  <c r="AA406" i="1" s="1"/>
  <c r="AG39" i="3"/>
  <c r="AG44" i="3"/>
  <c r="AF222" i="1" s="1"/>
  <c r="N222" i="1" s="1"/>
  <c r="AG45" i="3"/>
  <c r="AF15" i="1" s="1"/>
  <c r="N15" i="1" s="1"/>
  <c r="AG51" i="3"/>
  <c r="AF24" i="1" s="1"/>
  <c r="N24" i="1" s="1"/>
  <c r="M14" i="17" l="1"/>
  <c r="M23" i="17"/>
  <c r="Q13" i="1"/>
  <c r="O12" i="17"/>
  <c r="S30" i="1"/>
  <c r="R428" i="1"/>
  <c r="AB404" i="1"/>
  <c r="S428" i="1" l="1"/>
  <c r="R29" i="17"/>
  <c r="R13" i="1"/>
  <c r="P12" i="17"/>
  <c r="N10" i="1"/>
  <c r="N168" i="1"/>
  <c r="F3" i="3"/>
  <c r="G3" i="3" s="1"/>
  <c r="H3" i="3" s="1"/>
  <c r="I3" i="3" s="1"/>
  <c r="J3" i="3" s="1"/>
  <c r="K3" i="3" s="1"/>
  <c r="L3" i="3" s="1"/>
  <c r="M3" i="3" s="1"/>
  <c r="N3" i="3" s="1"/>
  <c r="M9" i="17" l="1"/>
  <c r="S13" i="1"/>
  <c r="R12" i="17" s="1"/>
  <c r="Q12" i="17"/>
  <c r="N437" i="1"/>
  <c r="N169" i="1"/>
  <c r="F3" i="2"/>
  <c r="G3" i="2" s="1"/>
  <c r="H3" i="2" s="1"/>
  <c r="I3" i="2" s="1"/>
  <c r="J3" i="2" s="1"/>
  <c r="K3" i="2" s="1"/>
  <c r="L3" i="2" s="1"/>
  <c r="M3" i="2" s="1"/>
  <c r="N3" i="2" s="1"/>
  <c r="M498" i="1" l="1"/>
  <c r="L498" i="1"/>
  <c r="K498" i="1"/>
  <c r="J498" i="1"/>
  <c r="I498" i="1"/>
  <c r="H498" i="1"/>
  <c r="G498" i="1"/>
  <c r="F498" i="1"/>
  <c r="E498" i="1"/>
  <c r="D498" i="1"/>
  <c r="M469" i="1"/>
  <c r="L469" i="1"/>
  <c r="K469" i="1"/>
  <c r="J469" i="1"/>
  <c r="I469" i="1"/>
  <c r="H469" i="1"/>
  <c r="G469" i="1"/>
  <c r="F469" i="1"/>
  <c r="E469" i="1"/>
  <c r="D469" i="1"/>
  <c r="AF21" i="1" l="1"/>
  <c r="F28" i="2"/>
  <c r="G28" i="2"/>
  <c r="H28" i="2"/>
  <c r="I28" i="2"/>
  <c r="J28" i="2"/>
  <c r="K28" i="2"/>
  <c r="L28" i="2"/>
  <c r="E28" i="2"/>
  <c r="F48" i="2"/>
  <c r="G48" i="2"/>
  <c r="H48" i="2"/>
  <c r="I48" i="2"/>
  <c r="J48" i="2"/>
  <c r="K48" i="2"/>
  <c r="L48" i="2"/>
  <c r="M48" i="2"/>
  <c r="N48" i="2"/>
  <c r="AF272" i="1" l="1"/>
  <c r="AF271" i="1"/>
  <c r="AF224" i="1"/>
  <c r="AF12" i="1"/>
  <c r="AF103" i="1"/>
  <c r="AF8" i="1"/>
  <c r="AF232" i="1"/>
  <c r="AF19" i="1"/>
  <c r="V148" i="1"/>
  <c r="W148" i="1"/>
  <c r="U148" i="1"/>
  <c r="AD151" i="1"/>
  <c r="AE151" i="1"/>
  <c r="V151" i="1"/>
  <c r="W151" i="1"/>
  <c r="X151" i="1"/>
  <c r="Y151" i="1"/>
  <c r="Z151" i="1"/>
  <c r="AA151" i="1"/>
  <c r="AB151" i="1"/>
  <c r="AC151" i="1"/>
  <c r="U151" i="1"/>
  <c r="V150" i="1"/>
  <c r="W150" i="1"/>
  <c r="X150" i="1"/>
  <c r="Y150" i="1"/>
  <c r="Z150" i="1"/>
  <c r="AA150" i="1"/>
  <c r="AB150" i="1"/>
  <c r="AC150" i="1"/>
  <c r="AD150" i="1"/>
  <c r="AE150" i="1"/>
  <c r="U150" i="1"/>
  <c r="V149" i="1"/>
  <c r="W149" i="1"/>
  <c r="X149" i="1"/>
  <c r="AB149" i="1"/>
  <c r="U149" i="1"/>
  <c r="X148" i="1"/>
  <c r="E151" i="1"/>
  <c r="F151" i="1"/>
  <c r="G151" i="1"/>
  <c r="H151" i="1"/>
  <c r="I151" i="1"/>
  <c r="J151" i="1"/>
  <c r="K151" i="1"/>
  <c r="L151" i="1"/>
  <c r="M151" i="1"/>
  <c r="D151" i="1"/>
  <c r="E150" i="1"/>
  <c r="F150" i="1"/>
  <c r="G150" i="1"/>
  <c r="H150" i="1"/>
  <c r="I150" i="1"/>
  <c r="J150" i="1"/>
  <c r="K150" i="1"/>
  <c r="L150" i="1"/>
  <c r="M150" i="1"/>
  <c r="D150" i="1"/>
  <c r="E149" i="1"/>
  <c r="F149" i="1"/>
  <c r="G149" i="1"/>
  <c r="H149" i="1"/>
  <c r="I149" i="1"/>
  <c r="J149" i="1"/>
  <c r="K149" i="1"/>
  <c r="L149" i="1"/>
  <c r="M149" i="1"/>
  <c r="E148" i="1"/>
  <c r="F148" i="1"/>
  <c r="G148" i="1"/>
  <c r="H148" i="1"/>
  <c r="I148" i="1"/>
  <c r="J148" i="1"/>
  <c r="K148" i="1"/>
  <c r="L148" i="1"/>
  <c r="D148" i="1"/>
  <c r="M129" i="1"/>
  <c r="D132" i="1"/>
  <c r="D149" i="1" l="1"/>
  <c r="D138" i="1"/>
  <c r="M148" i="1"/>
  <c r="M138" i="1"/>
  <c r="AF225" i="1"/>
  <c r="AF233" i="1"/>
  <c r="AF104" i="1"/>
  <c r="AC440" i="1"/>
  <c r="AD440" i="1"/>
  <c r="AE440" i="1"/>
  <c r="AC431" i="1"/>
  <c r="AC433" i="1" s="1"/>
  <c r="AD431" i="1"/>
  <c r="AD433" i="1" s="1"/>
  <c r="AE431" i="1"/>
  <c r="AE433" i="1" s="1"/>
  <c r="E214" i="1"/>
  <c r="F214" i="1"/>
  <c r="G214" i="1"/>
  <c r="H214" i="1"/>
  <c r="I214" i="1"/>
  <c r="J214" i="1"/>
  <c r="K214" i="1"/>
  <c r="L214" i="1"/>
  <c r="M214" i="1"/>
  <c r="D214" i="1"/>
  <c r="E428" i="1"/>
  <c r="F428" i="1"/>
  <c r="G428" i="1"/>
  <c r="H428" i="1"/>
  <c r="I428" i="1"/>
  <c r="J428" i="1"/>
  <c r="K428" i="1"/>
  <c r="L428" i="1"/>
  <c r="M428" i="1"/>
  <c r="D428" i="1"/>
  <c r="Y440" i="1" l="1"/>
  <c r="Z440" i="1"/>
  <c r="AA440" i="1"/>
  <c r="AB440" i="1"/>
  <c r="X440" i="1"/>
  <c r="Y431" i="1"/>
  <c r="Y433" i="1" s="1"/>
  <c r="Z431" i="1"/>
  <c r="Z433" i="1" s="1"/>
  <c r="AA431" i="1"/>
  <c r="AA433" i="1" s="1"/>
  <c r="AB431" i="1"/>
  <c r="AB433" i="1" s="1"/>
  <c r="X431" i="1"/>
  <c r="X433" i="1" s="1"/>
  <c r="W419" i="1"/>
  <c r="W418" i="1"/>
  <c r="W410" i="1"/>
  <c r="V419" i="1"/>
  <c r="V418" i="1"/>
  <c r="V410" i="1"/>
  <c r="U421" i="1"/>
  <c r="U419" i="1"/>
  <c r="U418" i="1"/>
  <c r="U410" i="1"/>
  <c r="Y419" i="1"/>
  <c r="Y415" i="1" s="1"/>
  <c r="Y410" i="1"/>
  <c r="Z419" i="1"/>
  <c r="Z415" i="1" s="1"/>
  <c r="Z410" i="1"/>
  <c r="AA419" i="1"/>
  <c r="AA415" i="1" s="1"/>
  <c r="AA410" i="1"/>
  <c r="X419" i="1"/>
  <c r="X415" i="1" s="1"/>
  <c r="X410" i="1"/>
  <c r="AB419" i="1"/>
  <c r="AB415" i="1" s="1"/>
  <c r="AB410" i="1"/>
  <c r="AC419" i="1"/>
  <c r="AC415" i="1" s="1"/>
  <c r="AC410" i="1"/>
  <c r="AD419" i="1"/>
  <c r="AD415" i="1" s="1"/>
  <c r="AD410" i="1"/>
  <c r="AE419" i="1"/>
  <c r="AE415" i="1" s="1"/>
  <c r="AE410" i="1"/>
  <c r="Y424" i="1" l="1"/>
  <c r="AA424" i="1"/>
  <c r="AC424" i="1"/>
  <c r="V415" i="1"/>
  <c r="V424" i="1" s="1"/>
  <c r="U415" i="1"/>
  <c r="U424" i="1" s="1"/>
  <c r="W415" i="1"/>
  <c r="W424" i="1" s="1"/>
  <c r="AD424" i="1"/>
  <c r="AE424" i="1"/>
  <c r="Z424" i="1"/>
  <c r="X424" i="1"/>
  <c r="AB424" i="1"/>
  <c r="AB406" i="1" l="1"/>
  <c r="Z406" i="1"/>
  <c r="Y406" i="1"/>
  <c r="X406" i="1"/>
  <c r="V406" i="1"/>
  <c r="AD379" i="1"/>
  <c r="AD377" i="1"/>
  <c r="AD376" i="1"/>
  <c r="AD375" i="1"/>
  <c r="AD367" i="1"/>
  <c r="AE379" i="1"/>
  <c r="AE377" i="1"/>
  <c r="AE376" i="1"/>
  <c r="AE375" i="1"/>
  <c r="AE367" i="1"/>
  <c r="Z379" i="1"/>
  <c r="Z377" i="1"/>
  <c r="Z376" i="1"/>
  <c r="Z375" i="1"/>
  <c r="Z367" i="1"/>
  <c r="AA379" i="1"/>
  <c r="AA377" i="1"/>
  <c r="AA376" i="1"/>
  <c r="AA375" i="1"/>
  <c r="AA367" i="1"/>
  <c r="AB379" i="1"/>
  <c r="AB377" i="1"/>
  <c r="AB376" i="1"/>
  <c r="AB375" i="1"/>
  <c r="AB367" i="1"/>
  <c r="AE394" i="1"/>
  <c r="AD394" i="1"/>
  <c r="AC394" i="1"/>
  <c r="AB394" i="1"/>
  <c r="AA394" i="1"/>
  <c r="Z394" i="1"/>
  <c r="Y394" i="1"/>
  <c r="X394" i="1"/>
  <c r="W394" i="1"/>
  <c r="V394" i="1"/>
  <c r="U394" i="1"/>
  <c r="V379" i="1"/>
  <c r="V377" i="1"/>
  <c r="V376" i="1"/>
  <c r="V375" i="1"/>
  <c r="V367" i="1"/>
  <c r="W379" i="1"/>
  <c r="W377" i="1"/>
  <c r="W376" i="1"/>
  <c r="W375" i="1"/>
  <c r="W367" i="1"/>
  <c r="X379" i="1"/>
  <c r="X377" i="1"/>
  <c r="X376" i="1"/>
  <c r="X375" i="1"/>
  <c r="X367" i="1"/>
  <c r="AC379" i="1"/>
  <c r="Y379" i="1"/>
  <c r="U379" i="1"/>
  <c r="AC377" i="1"/>
  <c r="Y377" i="1"/>
  <c r="U377" i="1"/>
  <c r="AC376" i="1"/>
  <c r="AC375" i="1"/>
  <c r="Y375" i="1"/>
  <c r="U375" i="1"/>
  <c r="AC367" i="1"/>
  <c r="Y367" i="1"/>
  <c r="U367" i="1"/>
  <c r="AB391" i="1" l="1"/>
  <c r="W391" i="1"/>
  <c r="X391" i="1"/>
  <c r="Y391" i="1"/>
  <c r="V391" i="1"/>
  <c r="Z391" i="1"/>
  <c r="AE391" i="1"/>
  <c r="AD391" i="1"/>
  <c r="U391" i="1"/>
  <c r="AC391" i="1"/>
  <c r="AA391" i="1"/>
  <c r="AD358" i="1"/>
  <c r="AD357" i="1"/>
  <c r="AD356" i="1"/>
  <c r="AD354" i="1"/>
  <c r="AD353" i="1"/>
  <c r="Z358" i="1"/>
  <c r="AA358" i="1" s="1"/>
  <c r="AB358" i="1" s="1"/>
  <c r="Z356" i="1"/>
  <c r="AA356" i="1" s="1"/>
  <c r="AB356" i="1" s="1"/>
  <c r="Z354" i="1"/>
  <c r="AA354" i="1" s="1"/>
  <c r="AB354" i="1" s="1"/>
  <c r="Z353" i="1"/>
  <c r="AA353" i="1" s="1"/>
  <c r="AB353" i="1" s="1"/>
  <c r="AA357" i="1"/>
  <c r="AB352" i="1"/>
  <c r="V358" i="1"/>
  <c r="V356" i="1"/>
  <c r="W356" i="1" s="1"/>
  <c r="X356" i="1" s="1"/>
  <c r="V354" i="1"/>
  <c r="W354" i="1" s="1"/>
  <c r="X354" i="1" s="1"/>
  <c r="V353" i="1"/>
  <c r="W353" i="1" s="1"/>
  <c r="X353" i="1" s="1"/>
  <c r="X352" i="1"/>
  <c r="AE362" i="1"/>
  <c r="AD362" i="1"/>
  <c r="AC362" i="1"/>
  <c r="AB362" i="1"/>
  <c r="AA362" i="1"/>
  <c r="Z362" i="1"/>
  <c r="Y362" i="1"/>
  <c r="X362" i="1"/>
  <c r="W362" i="1"/>
  <c r="V362" i="1"/>
  <c r="U362" i="1"/>
  <c r="AC359" i="1"/>
  <c r="Y359" i="1"/>
  <c r="U359" i="1"/>
  <c r="U361" i="1" s="1"/>
  <c r="AD344" i="1"/>
  <c r="AD342" i="1"/>
  <c r="AD341" i="1"/>
  <c r="AD339" i="1"/>
  <c r="AE345" i="1"/>
  <c r="AE340" i="1"/>
  <c r="Z341" i="1"/>
  <c r="AA341" i="1" s="1"/>
  <c r="AB341" i="1" s="1"/>
  <c r="Z339" i="1"/>
  <c r="AA339" i="1" s="1"/>
  <c r="AA342" i="1"/>
  <c r="AB342" i="1" s="1"/>
  <c r="V343" i="1"/>
  <c r="W343" i="1" s="1"/>
  <c r="V339" i="1"/>
  <c r="W341" i="1"/>
  <c r="X341" i="1" s="1"/>
  <c r="AE349" i="1"/>
  <c r="AD349" i="1"/>
  <c r="AC349" i="1"/>
  <c r="AB349" i="1"/>
  <c r="AA349" i="1"/>
  <c r="Z349" i="1"/>
  <c r="Y349" i="1"/>
  <c r="X349" i="1"/>
  <c r="W349" i="1"/>
  <c r="V349" i="1"/>
  <c r="U349" i="1"/>
  <c r="AC346" i="1"/>
  <c r="Y346" i="1"/>
  <c r="Y348" i="1" s="1"/>
  <c r="U346" i="1"/>
  <c r="U348" i="1" s="1"/>
  <c r="AD332" i="1"/>
  <c r="AE332" i="1" s="1"/>
  <c r="AD331" i="1"/>
  <c r="AE331" i="1" s="1"/>
  <c r="AD330" i="1"/>
  <c r="AE330" i="1" s="1"/>
  <c r="AD329" i="1"/>
  <c r="AE329" i="1" s="1"/>
  <c r="AD328" i="1"/>
  <c r="AE328" i="1" s="1"/>
  <c r="AD327" i="1"/>
  <c r="AE327" i="1" s="1"/>
  <c r="AD326" i="1"/>
  <c r="AE326" i="1" s="1"/>
  <c r="AD325" i="1"/>
  <c r="AE325" i="1" s="1"/>
  <c r="AD323" i="1"/>
  <c r="AE323" i="1" s="1"/>
  <c r="Z332" i="1"/>
  <c r="AA332" i="1" s="1"/>
  <c r="AB332" i="1" s="1"/>
  <c r="Z330" i="1"/>
  <c r="AA330" i="1" s="1"/>
  <c r="AB330" i="1" s="1"/>
  <c r="Z329" i="1"/>
  <c r="AA329" i="1" s="1"/>
  <c r="AB329" i="1" s="1"/>
  <c r="Z328" i="1"/>
  <c r="AA328" i="1" s="1"/>
  <c r="AB328" i="1" s="1"/>
  <c r="Z327" i="1"/>
  <c r="AA327" i="1" s="1"/>
  <c r="AB327" i="1" s="1"/>
  <c r="Z326" i="1"/>
  <c r="AA326" i="1" s="1"/>
  <c r="AB326" i="1" s="1"/>
  <c r="Z325" i="1"/>
  <c r="AA325" i="1" s="1"/>
  <c r="AB325" i="1" s="1"/>
  <c r="Z323" i="1"/>
  <c r="AA323" i="1" s="1"/>
  <c r="AA331" i="1"/>
  <c r="AB331" i="1" s="1"/>
  <c r="AA324" i="1"/>
  <c r="AB324" i="1" s="1"/>
  <c r="V332" i="1"/>
  <c r="W332" i="1" s="1"/>
  <c r="V331" i="1"/>
  <c r="W331" i="1" s="1"/>
  <c r="X331" i="1" s="1"/>
  <c r="V330" i="1"/>
  <c r="W330" i="1" s="1"/>
  <c r="X330" i="1" s="1"/>
  <c r="V329" i="1"/>
  <c r="W329" i="1" s="1"/>
  <c r="X329" i="1" s="1"/>
  <c r="V328" i="1"/>
  <c r="W328" i="1" s="1"/>
  <c r="V327" i="1"/>
  <c r="W327" i="1" s="1"/>
  <c r="X327" i="1" s="1"/>
  <c r="V326" i="1"/>
  <c r="W326" i="1" s="1"/>
  <c r="X326" i="1" s="1"/>
  <c r="V325" i="1"/>
  <c r="W325" i="1" s="1"/>
  <c r="X325" i="1" s="1"/>
  <c r="V323" i="1"/>
  <c r="W323" i="1" s="1"/>
  <c r="X323" i="1" s="1"/>
  <c r="AE336" i="1"/>
  <c r="AD336" i="1"/>
  <c r="AC336" i="1"/>
  <c r="AB336" i="1"/>
  <c r="AA336" i="1"/>
  <c r="Z336" i="1"/>
  <c r="Y336" i="1"/>
  <c r="X336" i="1"/>
  <c r="W336" i="1"/>
  <c r="V336" i="1"/>
  <c r="U336" i="1"/>
  <c r="AC333" i="1"/>
  <c r="AC335" i="1" s="1"/>
  <c r="Y333" i="1"/>
  <c r="Y335" i="1" s="1"/>
  <c r="U333" i="1"/>
  <c r="U335" i="1" s="1"/>
  <c r="AC361" i="1" l="1"/>
  <c r="AC348" i="1"/>
  <c r="AE341" i="1"/>
  <c r="AE353" i="1"/>
  <c r="AE358" i="1"/>
  <c r="AE342" i="1"/>
  <c r="AE354" i="1"/>
  <c r="AE344" i="1"/>
  <c r="AE356" i="1"/>
  <c r="AE339" i="1"/>
  <c r="AE357" i="1"/>
  <c r="AA393" i="1"/>
  <c r="AB90" i="3"/>
  <c r="X393" i="1"/>
  <c r="Y90" i="3"/>
  <c r="W393" i="1"/>
  <c r="X90" i="3"/>
  <c r="AC393" i="1"/>
  <c r="AD90" i="3"/>
  <c r="AD15" i="3" s="1"/>
  <c r="AE393" i="1"/>
  <c r="AF90" i="3"/>
  <c r="AG90" i="3" s="1"/>
  <c r="U393" i="1"/>
  <c r="V90" i="3"/>
  <c r="Z393" i="1"/>
  <c r="AA90" i="3"/>
  <c r="AB393" i="1"/>
  <c r="AC90" i="3"/>
  <c r="AD393" i="1"/>
  <c r="AE90" i="3"/>
  <c r="V393" i="1"/>
  <c r="W90" i="3"/>
  <c r="Y393" i="1"/>
  <c r="Z90" i="3"/>
  <c r="AD80" i="3"/>
  <c r="X80" i="3"/>
  <c r="AF80" i="3"/>
  <c r="Y80" i="3"/>
  <c r="AB80" i="3"/>
  <c r="Y361" i="1"/>
  <c r="Z80" i="3"/>
  <c r="AA80" i="3"/>
  <c r="AC80" i="3"/>
  <c r="W80" i="3"/>
  <c r="AE80" i="3"/>
  <c r="V346" i="1"/>
  <c r="V348" i="1" s="1"/>
  <c r="Z359" i="1"/>
  <c r="Z361" i="1" s="1"/>
  <c r="Z346" i="1"/>
  <c r="Z348" i="1" s="1"/>
  <c r="Z333" i="1"/>
  <c r="Z335" i="1" s="1"/>
  <c r="AA346" i="1"/>
  <c r="AA348" i="1" s="1"/>
  <c r="AD346" i="1"/>
  <c r="AD348" i="1" s="1"/>
  <c r="V359" i="1"/>
  <c r="V361" i="1" s="1"/>
  <c r="AD359" i="1"/>
  <c r="AD361" i="1" s="1"/>
  <c r="AA359" i="1"/>
  <c r="AA361" i="1" s="1"/>
  <c r="AB357" i="1"/>
  <c r="AB359" i="1" s="1"/>
  <c r="AB361" i="1" s="1"/>
  <c r="W358" i="1"/>
  <c r="W359" i="1" s="1"/>
  <c r="W361" i="1" s="1"/>
  <c r="AB339" i="1"/>
  <c r="AB346" i="1" s="1"/>
  <c r="AB348" i="1" s="1"/>
  <c r="W339" i="1"/>
  <c r="W346" i="1" s="1"/>
  <c r="W348" i="1" s="1"/>
  <c r="X343" i="1"/>
  <c r="AE333" i="1"/>
  <c r="AD333" i="1"/>
  <c r="AD335" i="1" s="1"/>
  <c r="AB323" i="1"/>
  <c r="AB333" i="1" s="1"/>
  <c r="AB335" i="1" s="1"/>
  <c r="AA333" i="1"/>
  <c r="AA335" i="1" s="1"/>
  <c r="X328" i="1"/>
  <c r="X332" i="1"/>
  <c r="V333" i="1"/>
  <c r="V335" i="1" s="1"/>
  <c r="W333" i="1"/>
  <c r="W335" i="1" s="1"/>
  <c r="AE310" i="1"/>
  <c r="AD310" i="1"/>
  <c r="AC310" i="1"/>
  <c r="AB310" i="1"/>
  <c r="AA310" i="1"/>
  <c r="Z310" i="1"/>
  <c r="Y310" i="1"/>
  <c r="X310" i="1"/>
  <c r="W310" i="1"/>
  <c r="V310" i="1"/>
  <c r="U310" i="1"/>
  <c r="AE309" i="1"/>
  <c r="AD309" i="1"/>
  <c r="AC309" i="1"/>
  <c r="AB309" i="1"/>
  <c r="AA309" i="1"/>
  <c r="Z309" i="1"/>
  <c r="Y309" i="1"/>
  <c r="X309" i="1"/>
  <c r="W309" i="1"/>
  <c r="V309" i="1"/>
  <c r="U309" i="1"/>
  <c r="AE359" i="1" l="1"/>
  <c r="AF359" i="1" s="1"/>
  <c r="AF353" i="1" s="1"/>
  <c r="AE346" i="1"/>
  <c r="AE348" i="1" s="1"/>
  <c r="AD91" i="3"/>
  <c r="AE15" i="3"/>
  <c r="AE335" i="1"/>
  <c r="X333" i="1"/>
  <c r="X335" i="1" s="1"/>
  <c r="X358" i="1"/>
  <c r="X359" i="1" s="1"/>
  <c r="X361" i="1" s="1"/>
  <c r="X339" i="1"/>
  <c r="X346" i="1" s="1"/>
  <c r="X348" i="1" s="1"/>
  <c r="D421" i="1"/>
  <c r="D419" i="1"/>
  <c r="D418" i="1"/>
  <c r="D410" i="1"/>
  <c r="E421" i="1"/>
  <c r="E419" i="1"/>
  <c r="E418" i="1"/>
  <c r="E410" i="1"/>
  <c r="F419" i="1"/>
  <c r="F418" i="1"/>
  <c r="F410" i="1"/>
  <c r="G419" i="1"/>
  <c r="G418" i="1"/>
  <c r="G410" i="1"/>
  <c r="H419" i="1"/>
  <c r="H418" i="1"/>
  <c r="H410" i="1"/>
  <c r="K423" i="1"/>
  <c r="I419" i="1"/>
  <c r="I418" i="1"/>
  <c r="K419" i="1"/>
  <c r="K418" i="1"/>
  <c r="K410" i="1"/>
  <c r="J419" i="1"/>
  <c r="J418" i="1"/>
  <c r="J410" i="1"/>
  <c r="L419" i="1"/>
  <c r="L415" i="1" s="1"/>
  <c r="L410" i="1"/>
  <c r="M410" i="1"/>
  <c r="M419" i="1"/>
  <c r="M415" i="1" s="1"/>
  <c r="N346" i="1" l="1"/>
  <c r="N348" i="1" s="1"/>
  <c r="N359" i="1"/>
  <c r="AE361" i="1"/>
  <c r="AF354" i="1"/>
  <c r="AF356" i="1"/>
  <c r="AF357" i="1"/>
  <c r="AF358" i="1"/>
  <c r="AF355" i="1"/>
  <c r="AF15" i="3"/>
  <c r="AE91" i="3"/>
  <c r="AF352" i="1"/>
  <c r="AF54" i="1"/>
  <c r="AF361" i="1"/>
  <c r="K415" i="1"/>
  <c r="K424" i="1" s="1"/>
  <c r="J415" i="1"/>
  <c r="J424" i="1" s="1"/>
  <c r="H415" i="1"/>
  <c r="H424" i="1" s="1"/>
  <c r="E415" i="1"/>
  <c r="E424" i="1" s="1"/>
  <c r="D415" i="1"/>
  <c r="D424" i="1" s="1"/>
  <c r="F415" i="1"/>
  <c r="F424" i="1" s="1"/>
  <c r="G415" i="1"/>
  <c r="G424" i="1" s="1"/>
  <c r="I415" i="1"/>
  <c r="I424" i="1" s="1"/>
  <c r="M424" i="1"/>
  <c r="L424" i="1"/>
  <c r="AE288" i="1"/>
  <c r="AD288" i="1"/>
  <c r="AC288" i="1"/>
  <c r="AE298" i="1"/>
  <c r="AD298" i="1"/>
  <c r="AC298" i="1"/>
  <c r="AB298" i="1"/>
  <c r="AA298" i="1"/>
  <c r="Z298" i="1"/>
  <c r="Y298" i="1"/>
  <c r="X298" i="1"/>
  <c r="W298" i="1"/>
  <c r="V298" i="1"/>
  <c r="U298" i="1"/>
  <c r="AB288" i="1"/>
  <c r="AA288" i="1"/>
  <c r="Z288" i="1"/>
  <c r="Y288" i="1"/>
  <c r="X288" i="1"/>
  <c r="W288" i="1"/>
  <c r="V288" i="1"/>
  <c r="U288" i="1"/>
  <c r="AE280" i="1"/>
  <c r="AD280" i="1"/>
  <c r="AC280" i="1"/>
  <c r="AB280" i="1"/>
  <c r="AA280" i="1"/>
  <c r="Z280" i="1"/>
  <c r="Y280" i="1"/>
  <c r="X280" i="1"/>
  <c r="W280" i="1"/>
  <c r="V280" i="1"/>
  <c r="U280" i="1"/>
  <c r="V277" i="1"/>
  <c r="V279" i="1" s="1"/>
  <c r="AE276" i="1"/>
  <c r="AF276" i="1" s="1"/>
  <c r="N276" i="1" s="1"/>
  <c r="N432" i="1" s="1"/>
  <c r="AD276" i="1"/>
  <c r="AC276" i="1"/>
  <c r="AB276" i="1"/>
  <c r="AA276" i="1"/>
  <c r="Z276" i="1"/>
  <c r="Y276" i="1"/>
  <c r="X276" i="1"/>
  <c r="W276" i="1"/>
  <c r="U276" i="1"/>
  <c r="U277" i="1" s="1"/>
  <c r="U279" i="1" s="1"/>
  <c r="AE275" i="1"/>
  <c r="AF275" i="1" s="1"/>
  <c r="N275" i="1" s="1"/>
  <c r="O275" i="1" s="1"/>
  <c r="P275" i="1" s="1"/>
  <c r="Q275" i="1" s="1"/>
  <c r="R275" i="1" s="1"/>
  <c r="S275" i="1" s="1"/>
  <c r="AD275" i="1"/>
  <c r="AC275" i="1"/>
  <c r="AB275" i="1"/>
  <c r="AA275" i="1"/>
  <c r="Z275" i="1"/>
  <c r="Y275" i="1"/>
  <c r="X275" i="1"/>
  <c r="W275" i="1"/>
  <c r="AE272" i="1"/>
  <c r="AD272" i="1"/>
  <c r="AC272" i="1"/>
  <c r="AB272" i="1"/>
  <c r="AA272" i="1"/>
  <c r="Z272" i="1"/>
  <c r="Y272" i="1"/>
  <c r="X272" i="1"/>
  <c r="W272" i="1"/>
  <c r="V272" i="1"/>
  <c r="U272" i="1"/>
  <c r="AB269" i="1"/>
  <c r="X269" i="1"/>
  <c r="W269" i="1"/>
  <c r="V269" i="1"/>
  <c r="U269" i="1"/>
  <c r="AB268" i="1"/>
  <c r="X268" i="1"/>
  <c r="W268" i="1"/>
  <c r="V268" i="1"/>
  <c r="U268" i="1"/>
  <c r="AE265" i="1"/>
  <c r="AD265" i="1"/>
  <c r="AC265" i="1"/>
  <c r="AB265" i="1"/>
  <c r="AA265" i="1"/>
  <c r="Z265" i="1"/>
  <c r="Y265" i="1"/>
  <c r="X265" i="1"/>
  <c r="W265" i="1"/>
  <c r="V265" i="1"/>
  <c r="U265" i="1"/>
  <c r="AE264" i="1"/>
  <c r="AD264" i="1"/>
  <c r="AC264" i="1"/>
  <c r="AB264" i="1"/>
  <c r="AA264" i="1"/>
  <c r="Z264" i="1"/>
  <c r="Y264" i="1"/>
  <c r="X264" i="1"/>
  <c r="W264" i="1"/>
  <c r="V264" i="1"/>
  <c r="U264" i="1"/>
  <c r="AE261" i="1"/>
  <c r="AD261" i="1"/>
  <c r="AC261" i="1"/>
  <c r="AB261" i="1"/>
  <c r="AA261" i="1"/>
  <c r="Z261" i="1"/>
  <c r="Y261" i="1"/>
  <c r="X261" i="1"/>
  <c r="W261" i="1"/>
  <c r="V261" i="1"/>
  <c r="U261" i="1"/>
  <c r="AE260" i="1"/>
  <c r="AD260" i="1"/>
  <c r="AC260" i="1"/>
  <c r="AB260" i="1"/>
  <c r="AA260" i="1"/>
  <c r="Z260" i="1"/>
  <c r="Y260" i="1"/>
  <c r="X260" i="1"/>
  <c r="W260" i="1"/>
  <c r="V260" i="1"/>
  <c r="U260" i="1"/>
  <c r="AE259" i="1"/>
  <c r="AD259" i="1"/>
  <c r="AC259" i="1"/>
  <c r="AB259" i="1"/>
  <c r="AA259" i="1"/>
  <c r="Z259" i="1"/>
  <c r="Y259" i="1"/>
  <c r="X259" i="1"/>
  <c r="W259" i="1"/>
  <c r="V259" i="1"/>
  <c r="U259" i="1"/>
  <c r="AE258" i="1"/>
  <c r="AD258" i="1"/>
  <c r="AC258" i="1"/>
  <c r="AB258" i="1"/>
  <c r="AA258" i="1"/>
  <c r="Z258" i="1"/>
  <c r="Y258" i="1"/>
  <c r="X258" i="1"/>
  <c r="W258" i="1"/>
  <c r="V258" i="1"/>
  <c r="U258" i="1"/>
  <c r="AE253" i="1"/>
  <c r="AD253" i="1"/>
  <c r="AC253" i="1"/>
  <c r="AB253" i="1"/>
  <c r="AA253" i="1"/>
  <c r="Z253" i="1"/>
  <c r="Y253" i="1"/>
  <c r="X253" i="1"/>
  <c r="W253" i="1"/>
  <c r="V253" i="1"/>
  <c r="U253" i="1"/>
  <c r="W246" i="1"/>
  <c r="V246" i="1"/>
  <c r="U246" i="1"/>
  <c r="AA248" i="1"/>
  <c r="Z248" i="1"/>
  <c r="Y248" i="1"/>
  <c r="X248" i="1"/>
  <c r="AE247" i="1"/>
  <c r="AD247" i="1"/>
  <c r="AD246" i="1" s="1"/>
  <c r="AC247" i="1"/>
  <c r="AC246" i="1" s="1"/>
  <c r="AB247" i="1"/>
  <c r="AB246" i="1" s="1"/>
  <c r="AA247" i="1"/>
  <c r="Z247" i="1"/>
  <c r="Y247" i="1"/>
  <c r="X247" i="1"/>
  <c r="W236" i="1"/>
  <c r="V236" i="1"/>
  <c r="U236" i="1"/>
  <c r="AE244" i="1"/>
  <c r="AD244" i="1"/>
  <c r="AC244" i="1"/>
  <c r="AB244" i="1"/>
  <c r="AA244" i="1"/>
  <c r="Z244" i="1"/>
  <c r="Y244" i="1"/>
  <c r="X244" i="1"/>
  <c r="AE242" i="1"/>
  <c r="AE241" i="1"/>
  <c r="AE240" i="1"/>
  <c r="AD240" i="1"/>
  <c r="AE239" i="1"/>
  <c r="AD239" i="1"/>
  <c r="AE238" i="1"/>
  <c r="AD238" i="1"/>
  <c r="AC238" i="1"/>
  <c r="AB238" i="1"/>
  <c r="AA238" i="1"/>
  <c r="Z238" i="1"/>
  <c r="Y238" i="1"/>
  <c r="X238" i="1"/>
  <c r="AD237" i="1"/>
  <c r="AC237" i="1"/>
  <c r="AB237" i="1"/>
  <c r="AA237" i="1"/>
  <c r="Z237" i="1"/>
  <c r="Y237" i="1"/>
  <c r="X237" i="1"/>
  <c r="M236" i="1"/>
  <c r="L236" i="1"/>
  <c r="K236" i="1"/>
  <c r="J236" i="1"/>
  <c r="I236" i="1"/>
  <c r="H236" i="1"/>
  <c r="G236" i="1"/>
  <c r="F236" i="1"/>
  <c r="E236" i="1"/>
  <c r="D236" i="1"/>
  <c r="AE233" i="1"/>
  <c r="AD233" i="1"/>
  <c r="AC233" i="1"/>
  <c r="AB233" i="1"/>
  <c r="AA233" i="1"/>
  <c r="Z233" i="1"/>
  <c r="Y233" i="1"/>
  <c r="X233" i="1"/>
  <c r="W233" i="1"/>
  <c r="V233" i="1"/>
  <c r="U233" i="1"/>
  <c r="W230" i="1"/>
  <c r="V230" i="1"/>
  <c r="U230" i="1"/>
  <c r="AE228" i="1"/>
  <c r="AD228" i="1"/>
  <c r="AD230" i="1" s="1"/>
  <c r="AC228" i="1"/>
  <c r="AC230" i="1" s="1"/>
  <c r="AB228" i="1"/>
  <c r="AB230" i="1" s="1"/>
  <c r="AA228" i="1"/>
  <c r="AA230" i="1" s="1"/>
  <c r="Z228" i="1"/>
  <c r="Z230" i="1" s="1"/>
  <c r="Y228" i="1"/>
  <c r="Y230" i="1" s="1"/>
  <c r="X228" i="1"/>
  <c r="X230" i="1" s="1"/>
  <c r="N52" i="1" l="1"/>
  <c r="O276" i="1"/>
  <c r="V67" i="3"/>
  <c r="V71" i="3" s="1"/>
  <c r="AD67" i="3"/>
  <c r="AD71" i="3" s="1"/>
  <c r="N54" i="1"/>
  <c r="Y67" i="3"/>
  <c r="Y71" i="3" s="1"/>
  <c r="N277" i="1"/>
  <c r="O277" i="1" s="1"/>
  <c r="W67" i="3"/>
  <c r="W71" i="3" s="1"/>
  <c r="AE67" i="3"/>
  <c r="AE71" i="3" s="1"/>
  <c r="AA246" i="1"/>
  <c r="X67" i="3"/>
  <c r="X71" i="3" s="1"/>
  <c r="AF67" i="3"/>
  <c r="AF71" i="3" s="1"/>
  <c r="AG71" i="3" s="1"/>
  <c r="AG67" i="3" s="1"/>
  <c r="Z67" i="3"/>
  <c r="Z71" i="3" s="1"/>
  <c r="AB67" i="3"/>
  <c r="AB71" i="3" s="1"/>
  <c r="AA67" i="3"/>
  <c r="AA71" i="3" s="1"/>
  <c r="AC67" i="3"/>
  <c r="AC71" i="3" s="1"/>
  <c r="AF362" i="1"/>
  <c r="Y232" i="1"/>
  <c r="Z78" i="3"/>
  <c r="Z232" i="1"/>
  <c r="AA78" i="3"/>
  <c r="W232" i="1"/>
  <c r="X78" i="3"/>
  <c r="X232" i="1"/>
  <c r="Y78" i="3"/>
  <c r="V232" i="1"/>
  <c r="W78" i="3"/>
  <c r="AB232" i="1"/>
  <c r="AC78" i="3"/>
  <c r="AF91" i="3"/>
  <c r="AG91" i="3" s="1"/>
  <c r="AG15" i="3"/>
  <c r="O15" i="3" s="1"/>
  <c r="G5" i="12" s="1"/>
  <c r="U232" i="1"/>
  <c r="V78" i="3"/>
  <c r="AA232" i="1"/>
  <c r="AB78" i="3"/>
  <c r="AC232" i="1"/>
  <c r="AD78" i="3"/>
  <c r="AD232" i="1"/>
  <c r="AE78" i="3"/>
  <c r="AE246" i="1"/>
  <c r="AF277" i="1"/>
  <c r="AF22" i="1" s="1"/>
  <c r="X246" i="1"/>
  <c r="Z246" i="1"/>
  <c r="AE230" i="1"/>
  <c r="AF78" i="3" s="1"/>
  <c r="Y246" i="1"/>
  <c r="U263" i="1"/>
  <c r="Z263" i="1"/>
  <c r="Z277" i="1"/>
  <c r="Z279" i="1" s="1"/>
  <c r="AA263" i="1"/>
  <c r="X236" i="1"/>
  <c r="X277" i="1"/>
  <c r="X279" i="1" s="1"/>
  <c r="V257" i="1"/>
  <c r="AD257" i="1"/>
  <c r="Y277" i="1"/>
  <c r="Y279" i="1" s="1"/>
  <c r="AC236" i="1"/>
  <c r="AC250" i="1" s="1"/>
  <c r="W250" i="1"/>
  <c r="X263" i="1"/>
  <c r="Y236" i="1"/>
  <c r="Z257" i="1"/>
  <c r="W257" i="1"/>
  <c r="AE257" i="1"/>
  <c r="AC263" i="1"/>
  <c r="Y263" i="1"/>
  <c r="V263" i="1"/>
  <c r="AD263" i="1"/>
  <c r="AB277" i="1"/>
  <c r="AB279" i="1" s="1"/>
  <c r="Z236" i="1"/>
  <c r="U257" i="1"/>
  <c r="Y257" i="1"/>
  <c r="AA257" i="1"/>
  <c r="AD277" i="1"/>
  <c r="AD279" i="1" s="1"/>
  <c r="AB257" i="1"/>
  <c r="W277" i="1"/>
  <c r="W279" i="1" s="1"/>
  <c r="AE277" i="1"/>
  <c r="AE279" i="1" s="1"/>
  <c r="AD236" i="1"/>
  <c r="AD250" i="1" s="1"/>
  <c r="U250" i="1"/>
  <c r="U252" i="1" s="1"/>
  <c r="AC257" i="1"/>
  <c r="W263" i="1"/>
  <c r="AE263" i="1"/>
  <c r="AB263" i="1"/>
  <c r="V250" i="1"/>
  <c r="X257" i="1"/>
  <c r="AC277" i="1"/>
  <c r="AC279" i="1" s="1"/>
  <c r="AA277" i="1"/>
  <c r="AA279" i="1" s="1"/>
  <c r="AE236" i="1"/>
  <c r="AA236" i="1"/>
  <c r="AB236" i="1"/>
  <c r="AB250" i="1" s="1"/>
  <c r="N362" i="1" l="1"/>
  <c r="M52" i="17"/>
  <c r="N349" i="1"/>
  <c r="M50" i="17"/>
  <c r="P276" i="1"/>
  <c r="O432" i="1"/>
  <c r="AA250" i="1"/>
  <c r="AA252" i="1" s="1"/>
  <c r="N279" i="1"/>
  <c r="N22" i="1"/>
  <c r="N361" i="1"/>
  <c r="O22" i="1"/>
  <c r="P277" i="1"/>
  <c r="O279" i="1"/>
  <c r="O16" i="3"/>
  <c r="O89" i="3"/>
  <c r="P15" i="3" s="1"/>
  <c r="AE250" i="1"/>
  <c r="AE252" i="1" s="1"/>
  <c r="AD252" i="1"/>
  <c r="AE79" i="3"/>
  <c r="V252" i="1"/>
  <c r="W79" i="3"/>
  <c r="W252" i="1"/>
  <c r="X79" i="3"/>
  <c r="AB252" i="1"/>
  <c r="AC252" i="1"/>
  <c r="AD79" i="3"/>
  <c r="AF280" i="1"/>
  <c r="AF314" i="1"/>
  <c r="N314" i="1" s="1"/>
  <c r="AF365" i="1"/>
  <c r="Z250" i="1"/>
  <c r="AF279" i="1"/>
  <c r="X250" i="1"/>
  <c r="Y250" i="1"/>
  <c r="AE232" i="1"/>
  <c r="AF229" i="1"/>
  <c r="Z267" i="1"/>
  <c r="Z271" i="1" s="1"/>
  <c r="AF228" i="1"/>
  <c r="AD267" i="1"/>
  <c r="AD271" i="1" s="1"/>
  <c r="V267" i="1"/>
  <c r="V271" i="1" s="1"/>
  <c r="U267" i="1"/>
  <c r="U271" i="1" s="1"/>
  <c r="X267" i="1"/>
  <c r="X271" i="1" s="1"/>
  <c r="AA267" i="1"/>
  <c r="AA271" i="1" s="1"/>
  <c r="Y267" i="1"/>
  <c r="Y271" i="1" s="1"/>
  <c r="W267" i="1"/>
  <c r="W271" i="1" s="1"/>
  <c r="AE267" i="1"/>
  <c r="AC267" i="1"/>
  <c r="AC271" i="1" s="1"/>
  <c r="AB267" i="1"/>
  <c r="AB271" i="1" s="1"/>
  <c r="AE225" i="1"/>
  <c r="AD225" i="1"/>
  <c r="AC225" i="1"/>
  <c r="AB225" i="1"/>
  <c r="AA225" i="1"/>
  <c r="Z225" i="1"/>
  <c r="Y225" i="1"/>
  <c r="X225" i="1"/>
  <c r="W225" i="1"/>
  <c r="V225" i="1"/>
  <c r="U225" i="1"/>
  <c r="AE222" i="1"/>
  <c r="AD222" i="1"/>
  <c r="AD224" i="1" s="1"/>
  <c r="AC222" i="1"/>
  <c r="AC224" i="1" s="1"/>
  <c r="AB222" i="1"/>
  <c r="AB224" i="1" s="1"/>
  <c r="AA222" i="1"/>
  <c r="AA224" i="1" s="1"/>
  <c r="Z222" i="1"/>
  <c r="Z224" i="1" s="1"/>
  <c r="Y222" i="1"/>
  <c r="Y224" i="1" s="1"/>
  <c r="X222" i="1"/>
  <c r="X224" i="1" s="1"/>
  <c r="W222" i="1"/>
  <c r="W224" i="1" s="1"/>
  <c r="V222" i="1"/>
  <c r="V224" i="1" s="1"/>
  <c r="U222" i="1"/>
  <c r="U224" i="1" s="1"/>
  <c r="AE214" i="1"/>
  <c r="AD214" i="1"/>
  <c r="AC214" i="1"/>
  <c r="AB214" i="1"/>
  <c r="AA214" i="1"/>
  <c r="Z214" i="1"/>
  <c r="Y214" i="1"/>
  <c r="X214" i="1"/>
  <c r="W214" i="1"/>
  <c r="V214" i="1"/>
  <c r="U214" i="1"/>
  <c r="AE202" i="1"/>
  <c r="AD202" i="1"/>
  <c r="AC202" i="1"/>
  <c r="AB202" i="1"/>
  <c r="AA202" i="1"/>
  <c r="Z202" i="1"/>
  <c r="Y202" i="1"/>
  <c r="X202" i="1"/>
  <c r="W202" i="1"/>
  <c r="V202" i="1"/>
  <c r="U202" i="1"/>
  <c r="AE196" i="1"/>
  <c r="AD196" i="1"/>
  <c r="AC196" i="1"/>
  <c r="AB196" i="1"/>
  <c r="AA196" i="1"/>
  <c r="Z196" i="1"/>
  <c r="Y196" i="1"/>
  <c r="X196" i="1"/>
  <c r="W196" i="1"/>
  <c r="V196" i="1"/>
  <c r="U196" i="1"/>
  <c r="AE192" i="1"/>
  <c r="AD192" i="1"/>
  <c r="AC192" i="1"/>
  <c r="AB192" i="1"/>
  <c r="AA192" i="1"/>
  <c r="Z192" i="1"/>
  <c r="Y192" i="1"/>
  <c r="X192" i="1"/>
  <c r="W192" i="1"/>
  <c r="V192" i="1"/>
  <c r="U192" i="1"/>
  <c r="AE169" i="1"/>
  <c r="AD169" i="1"/>
  <c r="AC169" i="1"/>
  <c r="AB169" i="1"/>
  <c r="AA169" i="1"/>
  <c r="Z169" i="1"/>
  <c r="Y169" i="1"/>
  <c r="X169" i="1"/>
  <c r="W169" i="1"/>
  <c r="V169" i="1"/>
  <c r="U169" i="1"/>
  <c r="AE156" i="1"/>
  <c r="AD156" i="1"/>
  <c r="AC156" i="1"/>
  <c r="AB156" i="1"/>
  <c r="AA156" i="1"/>
  <c r="Z156" i="1"/>
  <c r="Y156" i="1"/>
  <c r="X156" i="1"/>
  <c r="W156" i="1"/>
  <c r="V156" i="1"/>
  <c r="U156" i="1"/>
  <c r="AE153" i="1"/>
  <c r="AD153" i="1"/>
  <c r="AC153" i="1"/>
  <c r="AB153" i="1"/>
  <c r="AA153" i="1"/>
  <c r="Z153" i="1"/>
  <c r="Y153" i="1"/>
  <c r="X153" i="1"/>
  <c r="W153" i="1"/>
  <c r="V153" i="1"/>
  <c r="U153" i="1"/>
  <c r="AE140" i="1"/>
  <c r="AD140" i="1"/>
  <c r="AC140" i="1"/>
  <c r="AB140" i="1"/>
  <c r="AA140" i="1"/>
  <c r="Z140" i="1"/>
  <c r="Y140" i="1"/>
  <c r="X140" i="1"/>
  <c r="W140" i="1"/>
  <c r="V140" i="1"/>
  <c r="U140" i="1"/>
  <c r="X138" i="1"/>
  <c r="W138" i="1"/>
  <c r="V138" i="1"/>
  <c r="U138" i="1"/>
  <c r="AE132" i="1"/>
  <c r="AE149" i="1" s="1"/>
  <c r="AD132" i="1"/>
  <c r="AD149" i="1" s="1"/>
  <c r="AC132" i="1"/>
  <c r="AC149" i="1" s="1"/>
  <c r="AA132" i="1"/>
  <c r="AA149" i="1" s="1"/>
  <c r="Z132" i="1"/>
  <c r="Z149" i="1" s="1"/>
  <c r="Y132" i="1"/>
  <c r="Y149" i="1" s="1"/>
  <c r="AE129" i="1"/>
  <c r="AE148" i="1" s="1"/>
  <c r="AD129" i="1"/>
  <c r="AD148" i="1" s="1"/>
  <c r="AC129" i="1"/>
  <c r="AC148" i="1" s="1"/>
  <c r="AB129" i="1"/>
  <c r="AA129" i="1"/>
  <c r="AA148" i="1" s="1"/>
  <c r="Z129" i="1"/>
  <c r="Z148" i="1" s="1"/>
  <c r="Y129" i="1"/>
  <c r="Y148" i="1" s="1"/>
  <c r="AC79" i="3" l="1"/>
  <c r="N280" i="1"/>
  <c r="M21" i="17"/>
  <c r="O280" i="1"/>
  <c r="N21" i="17"/>
  <c r="Q276" i="1"/>
  <c r="P432" i="1"/>
  <c r="O68" i="3"/>
  <c r="O72" i="3" s="1"/>
  <c r="P72" i="3" s="1"/>
  <c r="O12" i="2"/>
  <c r="AF250" i="1"/>
  <c r="AF20" i="1" s="1"/>
  <c r="AG50" i="3" s="1"/>
  <c r="AF79" i="3"/>
  <c r="AG79" i="3" s="1"/>
  <c r="P22" i="1"/>
  <c r="Q277" i="1"/>
  <c r="P279" i="1"/>
  <c r="P89" i="3"/>
  <c r="Q15" i="3" s="1"/>
  <c r="P16" i="3"/>
  <c r="AF391" i="1"/>
  <c r="N391" i="1" s="1"/>
  <c r="X43" i="3"/>
  <c r="X99" i="3"/>
  <c r="Y43" i="3"/>
  <c r="Y99" i="3"/>
  <c r="Z43" i="3"/>
  <c r="Z99" i="3"/>
  <c r="AF43" i="3"/>
  <c r="AF99" i="3"/>
  <c r="AA43" i="3"/>
  <c r="AA99" i="3"/>
  <c r="AB43" i="3"/>
  <c r="AB99" i="3"/>
  <c r="AC43" i="3"/>
  <c r="AC99" i="3"/>
  <c r="V43" i="3"/>
  <c r="V99" i="3"/>
  <c r="AD43" i="3"/>
  <c r="AD99" i="3"/>
  <c r="W43" i="3"/>
  <c r="W99" i="3"/>
  <c r="AE43" i="3"/>
  <c r="AE99" i="3"/>
  <c r="AA97" i="3"/>
  <c r="AB97" i="3"/>
  <c r="X208" i="1"/>
  <c r="X210" i="1" s="1"/>
  <c r="X211" i="1" s="1"/>
  <c r="X213" i="1" s="1"/>
  <c r="Y98" i="3"/>
  <c r="X252" i="1"/>
  <c r="Y79" i="3"/>
  <c r="AD208" i="1"/>
  <c r="AD210" i="1" s="1"/>
  <c r="AD211" i="1" s="1"/>
  <c r="AD213" i="1" s="1"/>
  <c r="AE98" i="3"/>
  <c r="AD97" i="3"/>
  <c r="Z208" i="1"/>
  <c r="Z210" i="1" s="1"/>
  <c r="Z211" i="1" s="1"/>
  <c r="Z213" i="1" s="1"/>
  <c r="AA98" i="3"/>
  <c r="Z252" i="1"/>
  <c r="AA79" i="3"/>
  <c r="AC97" i="3"/>
  <c r="W97" i="3"/>
  <c r="AE97" i="3"/>
  <c r="AA208" i="1"/>
  <c r="AA210" i="1" s="1"/>
  <c r="AA211" i="1" s="1"/>
  <c r="AA213" i="1" s="1"/>
  <c r="AB98" i="3"/>
  <c r="V208" i="1"/>
  <c r="V210" i="1" s="1"/>
  <c r="V211" i="1" s="1"/>
  <c r="V213" i="1" s="1"/>
  <c r="W98" i="3"/>
  <c r="W208" i="1"/>
  <c r="W210" i="1" s="1"/>
  <c r="W211" i="1" s="1"/>
  <c r="W213" i="1" s="1"/>
  <c r="X98" i="3"/>
  <c r="Y252" i="1"/>
  <c r="Z79" i="3"/>
  <c r="Y208" i="1"/>
  <c r="Y210" i="1" s="1"/>
  <c r="Y211" i="1" s="1"/>
  <c r="Y213" i="1" s="1"/>
  <c r="Z98" i="3"/>
  <c r="AB81" i="3"/>
  <c r="X97" i="3"/>
  <c r="AF97" i="3"/>
  <c r="AG97" i="3" s="1"/>
  <c r="AB208" i="1"/>
  <c r="AB210" i="1" s="1"/>
  <c r="AB211" i="1" s="1"/>
  <c r="AB213" i="1" s="1"/>
  <c r="AC98" i="3"/>
  <c r="AB79" i="3"/>
  <c r="Z97" i="3"/>
  <c r="AE208" i="1"/>
  <c r="AE210" i="1" s="1"/>
  <c r="AE211" i="1" s="1"/>
  <c r="AE213" i="1" s="1"/>
  <c r="AF98" i="3"/>
  <c r="V97" i="3"/>
  <c r="Y97" i="3"/>
  <c r="U208" i="1"/>
  <c r="U210" i="1" s="1"/>
  <c r="U211" i="1" s="1"/>
  <c r="U213" i="1" s="1"/>
  <c r="V98" i="3"/>
  <c r="AC208" i="1"/>
  <c r="AC210" i="1" s="1"/>
  <c r="AC211" i="1" s="1"/>
  <c r="AC213" i="1" s="1"/>
  <c r="AD98" i="3"/>
  <c r="AC81" i="3"/>
  <c r="AA81" i="3"/>
  <c r="Z81" i="3"/>
  <c r="AD81" i="3"/>
  <c r="V81" i="3"/>
  <c r="AE81" i="3"/>
  <c r="W81" i="3"/>
  <c r="AF81" i="3"/>
  <c r="X81" i="3"/>
  <c r="Y81" i="3"/>
  <c r="AF264" i="1"/>
  <c r="AF259" i="1"/>
  <c r="AF261" i="1"/>
  <c r="AF260" i="1"/>
  <c r="AF265" i="1"/>
  <c r="AF258" i="1"/>
  <c r="AE224" i="1"/>
  <c r="AF221" i="1"/>
  <c r="AF220" i="1"/>
  <c r="AF219" i="1"/>
  <c r="AF218" i="1"/>
  <c r="AE271" i="1"/>
  <c r="X128" i="1"/>
  <c r="X161" i="1"/>
  <c r="X163" i="1" s="1"/>
  <c r="X166" i="1" s="1"/>
  <c r="X168" i="1" s="1"/>
  <c r="V161" i="1"/>
  <c r="V163" i="1" s="1"/>
  <c r="V166" i="1" s="1"/>
  <c r="V168" i="1" s="1"/>
  <c r="AB138" i="1"/>
  <c r="AB148" i="1"/>
  <c r="W161" i="1"/>
  <c r="W163" i="1" s="1"/>
  <c r="W166" i="1" s="1"/>
  <c r="W168" i="1" s="1"/>
  <c r="AC138" i="1"/>
  <c r="AE138" i="1"/>
  <c r="U161" i="1"/>
  <c r="U163" i="1" s="1"/>
  <c r="U166" i="1" s="1"/>
  <c r="U168" i="1" s="1"/>
  <c r="AD138" i="1"/>
  <c r="AD161" i="1" s="1"/>
  <c r="Y138" i="1"/>
  <c r="Y161" i="1" s="1"/>
  <c r="Z138" i="1"/>
  <c r="Z161" i="1" s="1"/>
  <c r="AA138" i="1"/>
  <c r="AA161" i="1" s="1"/>
  <c r="AE122" i="1"/>
  <c r="AD122" i="1"/>
  <c r="AC122" i="1"/>
  <c r="AB122" i="1"/>
  <c r="AA122" i="1"/>
  <c r="Z122" i="1"/>
  <c r="Y122" i="1"/>
  <c r="X122" i="1"/>
  <c r="W122" i="1"/>
  <c r="V122" i="1"/>
  <c r="U122" i="1"/>
  <c r="AD121" i="1"/>
  <c r="AC121" i="1"/>
  <c r="AB121" i="1"/>
  <c r="AA121" i="1"/>
  <c r="Z121" i="1"/>
  <c r="Y121" i="1"/>
  <c r="X121" i="1"/>
  <c r="W121" i="1"/>
  <c r="V121" i="1"/>
  <c r="U121" i="1"/>
  <c r="AE104" i="1"/>
  <c r="AD104" i="1"/>
  <c r="AC104" i="1"/>
  <c r="AB104" i="1"/>
  <c r="AA104" i="1"/>
  <c r="Z104" i="1"/>
  <c r="Y104" i="1"/>
  <c r="X104" i="1"/>
  <c r="W104" i="1"/>
  <c r="V104" i="1"/>
  <c r="U104" i="1"/>
  <c r="AE98" i="1"/>
  <c r="AD98" i="1"/>
  <c r="AC98" i="1"/>
  <c r="AB98" i="1"/>
  <c r="AA98" i="1"/>
  <c r="Z98" i="1"/>
  <c r="Y98" i="1"/>
  <c r="X98" i="1"/>
  <c r="W98" i="1"/>
  <c r="V98" i="1"/>
  <c r="U98" i="1"/>
  <c r="AE95" i="1"/>
  <c r="AD95" i="1"/>
  <c r="AC95" i="1"/>
  <c r="AB95" i="1"/>
  <c r="AA95" i="1"/>
  <c r="Z95" i="1"/>
  <c r="Y95" i="1"/>
  <c r="X95" i="1"/>
  <c r="W95" i="1"/>
  <c r="V95" i="1"/>
  <c r="U95" i="1"/>
  <c r="AE92" i="1"/>
  <c r="AD92" i="1"/>
  <c r="AC92" i="1"/>
  <c r="AB92" i="1"/>
  <c r="AA92" i="1"/>
  <c r="Z92" i="1"/>
  <c r="Y92" i="1"/>
  <c r="X92" i="1"/>
  <c r="W92" i="1"/>
  <c r="V92" i="1"/>
  <c r="U92" i="1"/>
  <c r="AE86" i="1"/>
  <c r="AD86" i="1"/>
  <c r="AC86" i="1"/>
  <c r="AB86" i="1"/>
  <c r="AA86" i="1"/>
  <c r="Z86" i="1"/>
  <c r="Y86" i="1"/>
  <c r="X86" i="1"/>
  <c r="W86" i="1"/>
  <c r="V86" i="1"/>
  <c r="U86" i="1"/>
  <c r="AE83" i="1"/>
  <c r="AD83" i="1"/>
  <c r="AC83" i="1"/>
  <c r="AB83" i="1"/>
  <c r="AA83" i="1"/>
  <c r="Z83" i="1"/>
  <c r="Y83" i="1"/>
  <c r="X83" i="1"/>
  <c r="W83" i="1"/>
  <c r="V83" i="1"/>
  <c r="U83" i="1"/>
  <c r="AA81" i="1"/>
  <c r="AA80" i="1" s="1"/>
  <c r="AE80" i="1"/>
  <c r="AD80" i="1"/>
  <c r="AC80" i="1"/>
  <c r="AB80" i="1"/>
  <c r="Z80" i="1"/>
  <c r="Y80" i="1"/>
  <c r="X80" i="1"/>
  <c r="W80" i="1"/>
  <c r="V80" i="1"/>
  <c r="U80" i="1"/>
  <c r="P280" i="1" l="1"/>
  <c r="O21" i="17"/>
  <c r="AF243" i="1"/>
  <c r="AF237" i="1"/>
  <c r="AF242" i="1"/>
  <c r="AF241" i="1"/>
  <c r="AF247" i="1"/>
  <c r="AF246" i="1" s="1"/>
  <c r="AF238" i="1"/>
  <c r="AF252" i="1"/>
  <c r="AF240" i="1"/>
  <c r="AF244" i="1"/>
  <c r="N250" i="1"/>
  <c r="AF239" i="1"/>
  <c r="R276" i="1"/>
  <c r="Q432" i="1"/>
  <c r="P68" i="3"/>
  <c r="O314" i="1" s="1"/>
  <c r="Q72" i="3"/>
  <c r="R72" i="3" s="1"/>
  <c r="S72" i="3" s="1"/>
  <c r="T72" i="3" s="1"/>
  <c r="R277" i="1"/>
  <c r="Q22" i="1"/>
  <c r="Q279" i="1"/>
  <c r="AF393" i="1"/>
  <c r="AF387" i="1"/>
  <c r="AF379" i="1"/>
  <c r="AF371" i="1"/>
  <c r="AF382" i="1"/>
  <c r="AF386" i="1"/>
  <c r="AF378" i="1"/>
  <c r="AF370" i="1"/>
  <c r="AF380" i="1"/>
  <c r="AF385" i="1"/>
  <c r="AF377" i="1"/>
  <c r="AF369" i="1"/>
  <c r="AF374" i="1"/>
  <c r="AF389" i="1"/>
  <c r="AF372" i="1"/>
  <c r="AF384" i="1"/>
  <c r="AF376" i="1"/>
  <c r="AF368" i="1"/>
  <c r="AF373" i="1"/>
  <c r="AF388" i="1"/>
  <c r="AF383" i="1"/>
  <c r="AF375" i="1"/>
  <c r="AF367" i="1"/>
  <c r="AF390" i="1"/>
  <c r="AF366" i="1"/>
  <c r="AF381" i="1"/>
  <c r="Q89" i="3"/>
  <c r="R15" i="3" s="1"/>
  <c r="Q16" i="3"/>
  <c r="N224" i="1"/>
  <c r="AG69" i="3"/>
  <c r="AF59" i="1"/>
  <c r="AF394" i="1" s="1"/>
  <c r="N232" i="1"/>
  <c r="N19" i="1"/>
  <c r="AG99" i="3"/>
  <c r="AG43" i="3"/>
  <c r="AF192" i="1" s="1"/>
  <c r="N192" i="1" s="1"/>
  <c r="AF313" i="1"/>
  <c r="AG98" i="3"/>
  <c r="AF253" i="1"/>
  <c r="AG81" i="3"/>
  <c r="AF50" i="1" s="1"/>
  <c r="N50" i="1" s="1"/>
  <c r="AF257" i="1"/>
  <c r="AE121" i="1"/>
  <c r="AF263" i="1"/>
  <c r="AB128" i="1"/>
  <c r="AB161" i="1"/>
  <c r="AB163" i="1" s="1"/>
  <c r="AB166" i="1" s="1"/>
  <c r="AB168" i="1" s="1"/>
  <c r="AC128" i="1"/>
  <c r="AC161" i="1"/>
  <c r="AC163" i="1" s="1"/>
  <c r="AC166" i="1" s="1"/>
  <c r="AC168" i="1" s="1"/>
  <c r="AE128" i="1"/>
  <c r="AE161" i="1"/>
  <c r="AE163" i="1" s="1"/>
  <c r="AE166" i="1" s="1"/>
  <c r="Y89" i="1"/>
  <c r="Y91" i="1" s="1"/>
  <c r="X101" i="1"/>
  <c r="X103" i="1" s="1"/>
  <c r="Y101" i="1"/>
  <c r="Y103" i="1" s="1"/>
  <c r="X89" i="1"/>
  <c r="X91" i="1" s="1"/>
  <c r="V101" i="1"/>
  <c r="V103" i="1" s="1"/>
  <c r="AD101" i="1"/>
  <c r="AD103" i="1" s="1"/>
  <c r="W101" i="1"/>
  <c r="W103" i="1" s="1"/>
  <c r="AE101" i="1"/>
  <c r="AB101" i="1"/>
  <c r="AB103" i="1" s="1"/>
  <c r="AA89" i="1"/>
  <c r="AA91" i="1" s="1"/>
  <c r="AB89" i="1"/>
  <c r="AB91" i="1" s="1"/>
  <c r="Y128" i="1"/>
  <c r="Z89" i="1"/>
  <c r="Z91" i="1" s="1"/>
  <c r="AC89" i="1"/>
  <c r="AC91" i="1" s="1"/>
  <c r="AD128" i="1"/>
  <c r="U89" i="1"/>
  <c r="U91" i="1" s="1"/>
  <c r="AD89" i="1"/>
  <c r="AD91" i="1" s="1"/>
  <c r="AA101" i="1"/>
  <c r="AA103" i="1" s="1"/>
  <c r="V89" i="1"/>
  <c r="V91" i="1" s="1"/>
  <c r="AE89" i="1"/>
  <c r="Z128" i="1"/>
  <c r="W89" i="1"/>
  <c r="W91" i="1" s="1"/>
  <c r="U101" i="1"/>
  <c r="U103" i="1" s="1"/>
  <c r="AC101" i="1"/>
  <c r="AC103" i="1" s="1"/>
  <c r="Z101" i="1"/>
  <c r="Z103" i="1" s="1"/>
  <c r="AA128" i="1"/>
  <c r="AB76" i="1"/>
  <c r="AB74" i="1" s="1"/>
  <c r="AA76" i="1"/>
  <c r="AA74" i="1" s="1"/>
  <c r="Z76" i="1"/>
  <c r="Y76" i="1"/>
  <c r="X76" i="1"/>
  <c r="W76" i="1"/>
  <c r="W74" i="1" s="1"/>
  <c r="V76" i="1"/>
  <c r="U76" i="1"/>
  <c r="U74" i="1" s="1"/>
  <c r="W45" i="1"/>
  <c r="W407" i="1" s="1"/>
  <c r="V45" i="1"/>
  <c r="V407" i="1" s="1"/>
  <c r="U45" i="1"/>
  <c r="U407" i="1" s="1"/>
  <c r="K45" i="1"/>
  <c r="K61" i="1"/>
  <c r="J45" i="1"/>
  <c r="J59" i="1"/>
  <c r="I45" i="1"/>
  <c r="H45" i="1"/>
  <c r="G45" i="1"/>
  <c r="F45" i="1"/>
  <c r="E45" i="1"/>
  <c r="D45" i="1"/>
  <c r="AB45" i="1"/>
  <c r="E44" i="20" s="1"/>
  <c r="F44" i="20" s="1"/>
  <c r="M169" i="1"/>
  <c r="L169" i="1"/>
  <c r="K169" i="1"/>
  <c r="J169" i="1"/>
  <c r="I169" i="1"/>
  <c r="H169" i="1"/>
  <c r="G169" i="1"/>
  <c r="F169" i="1"/>
  <c r="E169" i="1"/>
  <c r="D169" i="1"/>
  <c r="M159" i="1"/>
  <c r="L159" i="1"/>
  <c r="K159" i="1"/>
  <c r="J159" i="1"/>
  <c r="I159" i="1"/>
  <c r="H159" i="1"/>
  <c r="G159" i="1"/>
  <c r="F159" i="1"/>
  <c r="E159" i="1"/>
  <c r="D159" i="1"/>
  <c r="M156" i="1"/>
  <c r="L156" i="1"/>
  <c r="K156" i="1"/>
  <c r="J156" i="1"/>
  <c r="I156" i="1"/>
  <c r="H156" i="1"/>
  <c r="G156" i="1"/>
  <c r="F156" i="1"/>
  <c r="E156" i="1"/>
  <c r="D156" i="1"/>
  <c r="M153" i="1"/>
  <c r="L153" i="1"/>
  <c r="K153" i="1"/>
  <c r="J153" i="1"/>
  <c r="I153" i="1"/>
  <c r="H153" i="1"/>
  <c r="G153" i="1"/>
  <c r="F153" i="1"/>
  <c r="E153" i="1"/>
  <c r="D153" i="1"/>
  <c r="M144" i="1"/>
  <c r="L144" i="1"/>
  <c r="K144" i="1"/>
  <c r="J144" i="1"/>
  <c r="I144" i="1"/>
  <c r="H144" i="1"/>
  <c r="G144" i="1"/>
  <c r="F144" i="1"/>
  <c r="E144" i="1"/>
  <c r="D144" i="1"/>
  <c r="M140" i="1"/>
  <c r="L140" i="1"/>
  <c r="K140" i="1"/>
  <c r="J140" i="1"/>
  <c r="I140" i="1"/>
  <c r="H140" i="1"/>
  <c r="G140" i="1"/>
  <c r="F140" i="1"/>
  <c r="E140" i="1"/>
  <c r="D140" i="1"/>
  <c r="G42" i="18" l="1"/>
  <c r="G62" i="18"/>
  <c r="G56" i="18"/>
  <c r="G57" i="18"/>
  <c r="G58" i="18"/>
  <c r="G43" i="17"/>
  <c r="H56" i="18"/>
  <c r="H58" i="18"/>
  <c r="H62" i="18"/>
  <c r="H57" i="18"/>
  <c r="H42" i="18"/>
  <c r="H43" i="17"/>
  <c r="F62" i="18"/>
  <c r="F56" i="18"/>
  <c r="F57" i="18"/>
  <c r="F58" i="18"/>
  <c r="F42" i="18"/>
  <c r="F43" i="17"/>
  <c r="I42" i="18"/>
  <c r="I57" i="18"/>
  <c r="I58" i="18"/>
  <c r="I62" i="18"/>
  <c r="I43" i="17"/>
  <c r="O61" i="1"/>
  <c r="J58" i="18"/>
  <c r="K59" i="17"/>
  <c r="J59" i="17"/>
  <c r="K27" i="2"/>
  <c r="I56" i="18"/>
  <c r="I57" i="17"/>
  <c r="J57" i="17"/>
  <c r="J42" i="18"/>
  <c r="J57" i="18"/>
  <c r="J56" i="18"/>
  <c r="J62" i="18"/>
  <c r="J43" i="17"/>
  <c r="K43" i="17"/>
  <c r="D62" i="18"/>
  <c r="D57" i="18"/>
  <c r="D58" i="18"/>
  <c r="D56" i="18"/>
  <c r="D42" i="18"/>
  <c r="D43" i="17"/>
  <c r="E62" i="18"/>
  <c r="E42" i="18"/>
  <c r="E56" i="18"/>
  <c r="E57" i="18"/>
  <c r="E58" i="18"/>
  <c r="E43" i="17"/>
  <c r="O81" i="3"/>
  <c r="M48" i="17"/>
  <c r="Q280" i="1"/>
  <c r="P21" i="17"/>
  <c r="M18" i="17"/>
  <c r="P12" i="2"/>
  <c r="AF236" i="1"/>
  <c r="S276" i="1"/>
  <c r="S432" i="1" s="1"/>
  <c r="R432" i="1"/>
  <c r="Q68" i="3"/>
  <c r="P314" i="1" s="1"/>
  <c r="AF162" i="1"/>
  <c r="N162" i="1" s="1"/>
  <c r="AF131" i="1"/>
  <c r="AF135" i="1"/>
  <c r="AF145" i="1"/>
  <c r="AF130" i="1"/>
  <c r="AF141" i="1"/>
  <c r="AF134" i="1"/>
  <c r="AF137" i="1"/>
  <c r="AF136" i="1"/>
  <c r="AF133" i="1"/>
  <c r="S277" i="1"/>
  <c r="R22" i="1"/>
  <c r="R279" i="1"/>
  <c r="R89" i="3"/>
  <c r="S15" i="3" s="1"/>
  <c r="R16" i="3"/>
  <c r="N233" i="1"/>
  <c r="G407" i="1"/>
  <c r="J407" i="1"/>
  <c r="H407" i="1"/>
  <c r="E407" i="1"/>
  <c r="I407" i="1"/>
  <c r="K407" i="1"/>
  <c r="F407" i="1"/>
  <c r="N12" i="1"/>
  <c r="N313" i="1"/>
  <c r="AF209" i="1"/>
  <c r="N209" i="1" s="1"/>
  <c r="AB407" i="1"/>
  <c r="AE168" i="1"/>
  <c r="AF164" i="1"/>
  <c r="N164" i="1" s="1"/>
  <c r="D407" i="1"/>
  <c r="F81" i="3"/>
  <c r="N81" i="3"/>
  <c r="E81" i="3"/>
  <c r="M81" i="3"/>
  <c r="H81" i="3"/>
  <c r="G81" i="3"/>
  <c r="I81" i="3"/>
  <c r="J81" i="3"/>
  <c r="K81" i="3"/>
  <c r="L81" i="3"/>
  <c r="AE103" i="1"/>
  <c r="AF100" i="1"/>
  <c r="AF99" i="1"/>
  <c r="AF97" i="1"/>
  <c r="AF96" i="1"/>
  <c r="AE91" i="1"/>
  <c r="E161" i="1"/>
  <c r="E163" i="1" s="1"/>
  <c r="E166" i="1" s="1"/>
  <c r="E168" i="1" s="1"/>
  <c r="J161" i="1"/>
  <c r="J163" i="1" s="1"/>
  <c r="J166" i="1" s="1"/>
  <c r="J168" i="1" s="1"/>
  <c r="G128" i="1"/>
  <c r="G161" i="1"/>
  <c r="G163" i="1" s="1"/>
  <c r="G166" i="1" s="1"/>
  <c r="G168" i="1" s="1"/>
  <c r="K128" i="1"/>
  <c r="K161" i="1"/>
  <c r="K163" i="1" s="1"/>
  <c r="K166" i="1" s="1"/>
  <c r="K168" i="1" s="1"/>
  <c r="F128" i="1"/>
  <c r="F161" i="1"/>
  <c r="F163" i="1" s="1"/>
  <c r="F166" i="1" s="1"/>
  <c r="F168" i="1" s="1"/>
  <c r="D128" i="1"/>
  <c r="D161" i="1"/>
  <c r="D163" i="1" s="1"/>
  <c r="D166" i="1" s="1"/>
  <c r="D168" i="1" s="1"/>
  <c r="H128" i="1"/>
  <c r="H161" i="1"/>
  <c r="H163" i="1" s="1"/>
  <c r="H166" i="1" s="1"/>
  <c r="H168" i="1" s="1"/>
  <c r="L128" i="1"/>
  <c r="L161" i="1"/>
  <c r="L163" i="1" s="1"/>
  <c r="L166" i="1" s="1"/>
  <c r="L168" i="1" s="1"/>
  <c r="I128" i="1"/>
  <c r="I161" i="1"/>
  <c r="I163" i="1" s="1"/>
  <c r="I166" i="1" s="1"/>
  <c r="I168" i="1" s="1"/>
  <c r="M128" i="1"/>
  <c r="M161" i="1"/>
  <c r="M163" i="1" s="1"/>
  <c r="M166" i="1" s="1"/>
  <c r="X45" i="1"/>
  <c r="X407" i="1" s="1"/>
  <c r="Z163" i="1"/>
  <c r="Z166" i="1" s="1"/>
  <c r="Z168" i="1" s="1"/>
  <c r="AD163" i="1"/>
  <c r="AD166" i="1" s="1"/>
  <c r="AD168" i="1" s="1"/>
  <c r="AA163" i="1"/>
  <c r="AA166" i="1" s="1"/>
  <c r="AA168" i="1" s="1"/>
  <c r="Y163" i="1"/>
  <c r="Y166" i="1" s="1"/>
  <c r="Y168" i="1" s="1"/>
  <c r="E128" i="1"/>
  <c r="Z74" i="1"/>
  <c r="Y74" i="1"/>
  <c r="X74" i="1"/>
  <c r="V74" i="1"/>
  <c r="J128" i="1"/>
  <c r="I59" i="18" l="1"/>
  <c r="J59" i="18"/>
  <c r="H59" i="18"/>
  <c r="E59" i="18"/>
  <c r="F59" i="18"/>
  <c r="P61" i="1"/>
  <c r="N59" i="17"/>
  <c r="G59" i="18"/>
  <c r="D59" i="18"/>
  <c r="M11" i="17"/>
  <c r="Q12" i="2"/>
  <c r="R280" i="1"/>
  <c r="Q21" i="17"/>
  <c r="AF317" i="1"/>
  <c r="AF42" i="1" s="1"/>
  <c r="AF320" i="1" s="1"/>
  <c r="M168" i="1"/>
  <c r="N137" i="1"/>
  <c r="N151" i="1" s="1"/>
  <c r="N136" i="1"/>
  <c r="N150" i="1" s="1"/>
  <c r="N131" i="1"/>
  <c r="N132" i="1"/>
  <c r="N141" i="1"/>
  <c r="N145" i="1"/>
  <c r="N130" i="1"/>
  <c r="N142" i="1"/>
  <c r="S22" i="1"/>
  <c r="S279" i="1"/>
  <c r="R68" i="3"/>
  <c r="Q314" i="1" s="1"/>
  <c r="S68" i="3"/>
  <c r="R314" i="1" s="1"/>
  <c r="S89" i="3"/>
  <c r="T15" i="3" s="1"/>
  <c r="S16" i="3"/>
  <c r="P81" i="3"/>
  <c r="N393" i="1"/>
  <c r="N59" i="1"/>
  <c r="N271" i="1"/>
  <c r="N225" i="1"/>
  <c r="N21" i="1"/>
  <c r="O47" i="2" s="1"/>
  <c r="N252" i="1"/>
  <c r="N20" i="1"/>
  <c r="AF140" i="1"/>
  <c r="AF144" i="1"/>
  <c r="AF150" i="1"/>
  <c r="AF151" i="1"/>
  <c r="AF129" i="1"/>
  <c r="AF148" i="1" s="1"/>
  <c r="AF95" i="1"/>
  <c r="AF98" i="1"/>
  <c r="M202" i="1"/>
  <c r="L202" i="1"/>
  <c r="K202" i="1"/>
  <c r="J202" i="1"/>
  <c r="I202" i="1"/>
  <c r="H202" i="1"/>
  <c r="G202" i="1"/>
  <c r="F202" i="1"/>
  <c r="E202" i="1"/>
  <c r="D202" i="1"/>
  <c r="M196" i="1"/>
  <c r="L196" i="1"/>
  <c r="K196" i="1"/>
  <c r="J196" i="1"/>
  <c r="I196" i="1"/>
  <c r="H196" i="1"/>
  <c r="G196" i="1"/>
  <c r="F196" i="1"/>
  <c r="E196" i="1"/>
  <c r="M192" i="1"/>
  <c r="L192" i="1"/>
  <c r="M36" i="2" s="1"/>
  <c r="K192" i="1"/>
  <c r="L36" i="2" s="1"/>
  <c r="J192" i="1"/>
  <c r="K36" i="2" s="1"/>
  <c r="I192" i="1"/>
  <c r="J36" i="2" s="1"/>
  <c r="H192" i="1"/>
  <c r="I36" i="2" s="1"/>
  <c r="G192" i="1"/>
  <c r="H36" i="2" s="1"/>
  <c r="F192" i="1"/>
  <c r="G36" i="2" s="1"/>
  <c r="E192" i="1"/>
  <c r="F36" i="2" s="1"/>
  <c r="D192" i="1"/>
  <c r="Q61" i="1" l="1"/>
  <c r="O59" i="17"/>
  <c r="AF319" i="1"/>
  <c r="N317" i="1"/>
  <c r="N316" i="1" s="1"/>
  <c r="S12" i="2"/>
  <c r="M19" i="17"/>
  <c r="M57" i="17"/>
  <c r="R12" i="2"/>
  <c r="S280" i="1"/>
  <c r="R21" i="17"/>
  <c r="C18" i="12"/>
  <c r="M20" i="17"/>
  <c r="N20" i="17"/>
  <c r="N36" i="2"/>
  <c r="N186" i="1"/>
  <c r="N176" i="1"/>
  <c r="N190" i="1"/>
  <c r="N184" i="1"/>
  <c r="N178" i="1"/>
  <c r="N175" i="1"/>
  <c r="N177" i="1"/>
  <c r="N188" i="1"/>
  <c r="N183" i="1"/>
  <c r="N181" i="1"/>
  <c r="N173" i="1"/>
  <c r="N185" i="1"/>
  <c r="N180" i="1"/>
  <c r="N187" i="1"/>
  <c r="N191" i="1"/>
  <c r="N182" i="1"/>
  <c r="N179" i="1"/>
  <c r="N189" i="1"/>
  <c r="N174" i="1"/>
  <c r="N394" i="1"/>
  <c r="O49" i="3"/>
  <c r="P49" i="3" s="1"/>
  <c r="Q49" i="3" s="1"/>
  <c r="P230" i="1" s="1"/>
  <c r="T68" i="3"/>
  <c r="S314" i="1" s="1"/>
  <c r="T89" i="3"/>
  <c r="T16" i="3"/>
  <c r="Q81" i="3"/>
  <c r="P50" i="1" s="1"/>
  <c r="O50" i="1"/>
  <c r="O44" i="3"/>
  <c r="N253" i="1"/>
  <c r="O50" i="3"/>
  <c r="N272" i="1"/>
  <c r="O45" i="3"/>
  <c r="O51" i="3"/>
  <c r="O42" i="3"/>
  <c r="E99" i="3"/>
  <c r="E36" i="2"/>
  <c r="K43" i="3"/>
  <c r="K99" i="3"/>
  <c r="L43" i="3"/>
  <c r="L99" i="3"/>
  <c r="N43" i="3"/>
  <c r="N99" i="3"/>
  <c r="M43" i="3"/>
  <c r="M99" i="3"/>
  <c r="H43" i="3"/>
  <c r="H99" i="3"/>
  <c r="F43" i="3"/>
  <c r="F99" i="3"/>
  <c r="G43" i="3"/>
  <c r="G99" i="3"/>
  <c r="I43" i="3"/>
  <c r="I99" i="3"/>
  <c r="J43" i="3"/>
  <c r="J99" i="3"/>
  <c r="J208" i="1"/>
  <c r="J210" i="1" s="1"/>
  <c r="K33" i="2" s="1"/>
  <c r="K98" i="3"/>
  <c r="K208" i="1"/>
  <c r="K210" i="1" s="1"/>
  <c r="L33" i="2" s="1"/>
  <c r="L98" i="3"/>
  <c r="H97" i="3"/>
  <c r="E208" i="1"/>
  <c r="F34" i="2" s="1"/>
  <c r="F98" i="3"/>
  <c r="M208" i="1"/>
  <c r="N34" i="2" s="1"/>
  <c r="N98" i="3"/>
  <c r="I97" i="3"/>
  <c r="F208" i="1"/>
  <c r="F210" i="1" s="1"/>
  <c r="G33" i="2" s="1"/>
  <c r="G98" i="3"/>
  <c r="D208" i="1"/>
  <c r="E34" i="2" s="1"/>
  <c r="E98" i="3"/>
  <c r="L208" i="1"/>
  <c r="L210" i="1" s="1"/>
  <c r="M33" i="2" s="1"/>
  <c r="M98" i="3"/>
  <c r="J97" i="3"/>
  <c r="G208" i="1"/>
  <c r="H34" i="2" s="1"/>
  <c r="H98" i="3"/>
  <c r="K97" i="3"/>
  <c r="H208" i="1"/>
  <c r="H210" i="1" s="1"/>
  <c r="I33" i="2" s="1"/>
  <c r="I98" i="3"/>
  <c r="M97" i="3"/>
  <c r="F97" i="3"/>
  <c r="N97" i="3"/>
  <c r="G97" i="3"/>
  <c r="E43" i="3"/>
  <c r="E97" i="3"/>
  <c r="L97" i="3"/>
  <c r="I208" i="1"/>
  <c r="I210" i="1" s="1"/>
  <c r="J33" i="2" s="1"/>
  <c r="J98" i="3"/>
  <c r="G35" i="2"/>
  <c r="K35" i="2"/>
  <c r="E32" i="2"/>
  <c r="I32" i="2"/>
  <c r="M32" i="2"/>
  <c r="H35" i="2"/>
  <c r="L35" i="2"/>
  <c r="F32" i="2"/>
  <c r="J32" i="2"/>
  <c r="N32" i="2"/>
  <c r="C16" i="19" s="1"/>
  <c r="E35" i="2"/>
  <c r="I35" i="2"/>
  <c r="M35" i="2"/>
  <c r="G32" i="2"/>
  <c r="K32" i="2"/>
  <c r="F35" i="2"/>
  <c r="J35" i="2"/>
  <c r="N35" i="2"/>
  <c r="H32" i="2"/>
  <c r="L32" i="2"/>
  <c r="N42" i="1" l="1"/>
  <c r="M40" i="17" s="1"/>
  <c r="N319" i="1"/>
  <c r="O48" i="17"/>
  <c r="R61" i="1"/>
  <c r="P59" i="17"/>
  <c r="N48" i="17"/>
  <c r="T12" i="2"/>
  <c r="K34" i="2"/>
  <c r="M210" i="1"/>
  <c r="N33" i="2" s="1"/>
  <c r="C17" i="19" s="1"/>
  <c r="G210" i="1"/>
  <c r="H33" i="2" s="1"/>
  <c r="J34" i="2"/>
  <c r="M34" i="2"/>
  <c r="R81" i="3"/>
  <c r="P232" i="1"/>
  <c r="P19" i="1"/>
  <c r="P50" i="3"/>
  <c r="P250" i="1" s="1"/>
  <c r="O250" i="1"/>
  <c r="R49" i="3"/>
  <c r="O230" i="1"/>
  <c r="P44" i="3"/>
  <c r="Q44" i="3" s="1"/>
  <c r="P222" i="1" s="1"/>
  <c r="P45" i="3"/>
  <c r="O166" i="1"/>
  <c r="O132" i="1" s="1"/>
  <c r="P51" i="3"/>
  <c r="Q51" i="3" s="1"/>
  <c r="G34" i="2"/>
  <c r="I34" i="2"/>
  <c r="L34" i="2"/>
  <c r="D210" i="1"/>
  <c r="E33" i="2" s="1"/>
  <c r="E210" i="1"/>
  <c r="F33" i="2" s="1"/>
  <c r="J211" i="1"/>
  <c r="J213" i="1" s="1"/>
  <c r="L211" i="1"/>
  <c r="L213" i="1" s="1"/>
  <c r="F211" i="1"/>
  <c r="F213" i="1" s="1"/>
  <c r="K211" i="1"/>
  <c r="K213" i="1" s="1"/>
  <c r="H211" i="1"/>
  <c r="H213" i="1" s="1"/>
  <c r="I211" i="1"/>
  <c r="I213" i="1" s="1"/>
  <c r="L76" i="1"/>
  <c r="L74" i="1" s="1"/>
  <c r="K76" i="1"/>
  <c r="J76" i="1"/>
  <c r="I76" i="1"/>
  <c r="H76" i="1"/>
  <c r="G76" i="1"/>
  <c r="F76" i="1"/>
  <c r="E76" i="1"/>
  <c r="D76" i="1"/>
  <c r="M440" i="1"/>
  <c r="L440" i="1"/>
  <c r="M52" i="2" s="1"/>
  <c r="K437" i="1"/>
  <c r="J437" i="1"/>
  <c r="I437" i="1"/>
  <c r="H437" i="1"/>
  <c r="G437" i="1"/>
  <c r="F437" i="1"/>
  <c r="E437" i="1"/>
  <c r="D437" i="1"/>
  <c r="M431" i="1"/>
  <c r="L431" i="1"/>
  <c r="K431" i="1"/>
  <c r="J431" i="1"/>
  <c r="I431" i="1"/>
  <c r="H431" i="1"/>
  <c r="G431" i="1"/>
  <c r="F431" i="1"/>
  <c r="E431" i="1"/>
  <c r="D431" i="1"/>
  <c r="M211" i="1" l="1"/>
  <c r="M213" i="1" s="1"/>
  <c r="N320" i="1"/>
  <c r="S61" i="1"/>
  <c r="R59" i="17" s="1"/>
  <c r="Q59" i="17"/>
  <c r="N52" i="2"/>
  <c r="C19" i="19" s="1"/>
  <c r="G211" i="1"/>
  <c r="G213" i="1" s="1"/>
  <c r="P233" i="1"/>
  <c r="Q45" i="3"/>
  <c r="P15" i="1" s="1"/>
  <c r="O15" i="1"/>
  <c r="N14" i="17" s="1"/>
  <c r="J440" i="1"/>
  <c r="K52" i="2" s="1"/>
  <c r="K113" i="3"/>
  <c r="D440" i="1"/>
  <c r="E52" i="2" s="1"/>
  <c r="E113" i="3"/>
  <c r="E440" i="1"/>
  <c r="F52" i="2" s="1"/>
  <c r="F113" i="3"/>
  <c r="G440" i="1"/>
  <c r="H52" i="2" s="1"/>
  <c r="H113" i="3"/>
  <c r="H440" i="1"/>
  <c r="I52" i="2" s="1"/>
  <c r="I113" i="3"/>
  <c r="I440" i="1"/>
  <c r="J52" i="2" s="1"/>
  <c r="J113" i="3"/>
  <c r="K440" i="1"/>
  <c r="L52" i="2" s="1"/>
  <c r="L113" i="3"/>
  <c r="F440" i="1"/>
  <c r="G52" i="2" s="1"/>
  <c r="G113" i="3"/>
  <c r="O162" i="1"/>
  <c r="O165" i="1"/>
  <c r="O164" i="1"/>
  <c r="O137" i="1"/>
  <c r="O136" i="1"/>
  <c r="Q50" i="3"/>
  <c r="Q250" i="1" s="1"/>
  <c r="Q20" i="1" s="1"/>
  <c r="S81" i="3"/>
  <c r="Q50" i="1"/>
  <c r="P48" i="17" s="1"/>
  <c r="R44" i="3"/>
  <c r="Q222" i="1" s="1"/>
  <c r="Q12" i="1" s="1"/>
  <c r="P12" i="1"/>
  <c r="P224" i="1"/>
  <c r="P20" i="1"/>
  <c r="P252" i="1"/>
  <c r="O232" i="1"/>
  <c r="O19" i="1"/>
  <c r="S49" i="3"/>
  <c r="Q230" i="1"/>
  <c r="O222" i="1"/>
  <c r="O20" i="1"/>
  <c r="O252" i="1"/>
  <c r="P24" i="1"/>
  <c r="R51" i="3"/>
  <c r="Q24" i="1" s="1"/>
  <c r="O10" i="1"/>
  <c r="P47" i="2" s="1"/>
  <c r="O168" i="1"/>
  <c r="P166" i="1"/>
  <c r="P132" i="1" s="1"/>
  <c r="O24" i="1"/>
  <c r="N23" i="17" s="1"/>
  <c r="D211" i="1"/>
  <c r="D213" i="1" s="1"/>
  <c r="E211" i="1"/>
  <c r="E213" i="1" s="1"/>
  <c r="M74" i="1"/>
  <c r="N77" i="1"/>
  <c r="I433" i="1"/>
  <c r="G433" i="1"/>
  <c r="K433" i="1"/>
  <c r="E433" i="1"/>
  <c r="M433" i="1"/>
  <c r="N54" i="2"/>
  <c r="C20" i="19" s="1"/>
  <c r="N53" i="2"/>
  <c r="F433" i="1"/>
  <c r="J433" i="1"/>
  <c r="D433" i="1"/>
  <c r="H433" i="1"/>
  <c r="L433" i="1"/>
  <c r="M54" i="2"/>
  <c r="M53" i="2"/>
  <c r="H77" i="1"/>
  <c r="G77" i="1"/>
  <c r="L77" i="1"/>
  <c r="I77" i="1"/>
  <c r="J77" i="1"/>
  <c r="E77" i="1"/>
  <c r="M77" i="1"/>
  <c r="F77" i="1"/>
  <c r="K77" i="1"/>
  <c r="M394" i="1"/>
  <c r="L394" i="1"/>
  <c r="K394" i="1"/>
  <c r="I394" i="1"/>
  <c r="H394" i="1"/>
  <c r="G394" i="1"/>
  <c r="F394" i="1"/>
  <c r="E394" i="1"/>
  <c r="D394" i="1"/>
  <c r="M404" i="1"/>
  <c r="M406" i="1" s="1"/>
  <c r="L406" i="1"/>
  <c r="K406" i="1"/>
  <c r="K391" i="1"/>
  <c r="J391" i="1"/>
  <c r="I391" i="1"/>
  <c r="H391" i="1"/>
  <c r="G391" i="1"/>
  <c r="F391" i="1"/>
  <c r="E391" i="1"/>
  <c r="D391" i="1"/>
  <c r="M379" i="1"/>
  <c r="M28" i="2"/>
  <c r="M377" i="1"/>
  <c r="L377" i="1"/>
  <c r="M376" i="1"/>
  <c r="M375" i="1"/>
  <c r="L375" i="1"/>
  <c r="L368" i="1"/>
  <c r="M367" i="1"/>
  <c r="N9" i="17" l="1"/>
  <c r="O233" i="1"/>
  <c r="N18" i="17"/>
  <c r="O14" i="17"/>
  <c r="Q225" i="1"/>
  <c r="P11" i="17"/>
  <c r="P23" i="17"/>
  <c r="Q253" i="1"/>
  <c r="P19" i="17"/>
  <c r="O18" i="17"/>
  <c r="O23" i="17"/>
  <c r="O253" i="1"/>
  <c r="N19" i="17"/>
  <c r="P225" i="1"/>
  <c r="P253" i="1"/>
  <c r="O19" i="17"/>
  <c r="K54" i="2"/>
  <c r="I53" i="2"/>
  <c r="F54" i="2"/>
  <c r="R45" i="3"/>
  <c r="Q15" i="1" s="1"/>
  <c r="P14" i="17" s="1"/>
  <c r="L54" i="2"/>
  <c r="E54" i="2"/>
  <c r="J53" i="2"/>
  <c r="L53" i="2"/>
  <c r="E53" i="2"/>
  <c r="K53" i="2"/>
  <c r="I54" i="2"/>
  <c r="G54" i="2"/>
  <c r="F53" i="2"/>
  <c r="J54" i="2"/>
  <c r="G53" i="2"/>
  <c r="H54" i="2"/>
  <c r="H53" i="2"/>
  <c r="N28" i="2"/>
  <c r="O169" i="1"/>
  <c r="O437" i="1"/>
  <c r="O151" i="1"/>
  <c r="P137" i="1"/>
  <c r="P164" i="1"/>
  <c r="O150" i="1"/>
  <c r="P136" i="1"/>
  <c r="P165" i="1"/>
  <c r="P162" i="1"/>
  <c r="R50" i="3"/>
  <c r="R250" i="1" s="1"/>
  <c r="R252" i="1" s="1"/>
  <c r="Q252" i="1"/>
  <c r="R50" i="1"/>
  <c r="Q48" i="17" s="1"/>
  <c r="T81" i="3"/>
  <c r="S50" i="1" s="1"/>
  <c r="Q224" i="1"/>
  <c r="S44" i="3"/>
  <c r="R222" i="1" s="1"/>
  <c r="R12" i="1" s="1"/>
  <c r="S51" i="3"/>
  <c r="R24" i="1" s="1"/>
  <c r="Q23" i="17" s="1"/>
  <c r="Q19" i="1"/>
  <c r="Q232" i="1"/>
  <c r="R230" i="1"/>
  <c r="T49" i="3"/>
  <c r="S230" i="1" s="1"/>
  <c r="O12" i="1"/>
  <c r="N11" i="17" s="1"/>
  <c r="O224" i="1"/>
  <c r="P168" i="1"/>
  <c r="P10" i="1"/>
  <c r="Q47" i="2" s="1"/>
  <c r="Q166" i="1"/>
  <c r="Q132" i="1" s="1"/>
  <c r="J393" i="1"/>
  <c r="K90" i="3"/>
  <c r="I393" i="1"/>
  <c r="J90" i="3"/>
  <c r="D393" i="1"/>
  <c r="E90" i="3"/>
  <c r="K393" i="1"/>
  <c r="L90" i="3"/>
  <c r="E393" i="1"/>
  <c r="F90" i="3"/>
  <c r="G393" i="1"/>
  <c r="H90" i="3"/>
  <c r="F393" i="1"/>
  <c r="G90" i="3"/>
  <c r="H393" i="1"/>
  <c r="I90" i="3"/>
  <c r="L391" i="1"/>
  <c r="M391" i="1"/>
  <c r="N375" i="1" s="1"/>
  <c r="M362" i="1"/>
  <c r="L362" i="1"/>
  <c r="K362" i="1"/>
  <c r="J362" i="1"/>
  <c r="I362" i="1"/>
  <c r="H362" i="1"/>
  <c r="G362" i="1"/>
  <c r="F362" i="1"/>
  <c r="E362" i="1"/>
  <c r="M359" i="1"/>
  <c r="L359" i="1"/>
  <c r="L361" i="1" s="1"/>
  <c r="K359" i="1"/>
  <c r="K361" i="1" s="1"/>
  <c r="J359" i="1"/>
  <c r="J361" i="1" s="1"/>
  <c r="I359" i="1"/>
  <c r="I361" i="1" s="1"/>
  <c r="H359" i="1"/>
  <c r="H361" i="1" s="1"/>
  <c r="G359" i="1"/>
  <c r="G361" i="1" s="1"/>
  <c r="F359" i="1"/>
  <c r="F361" i="1" s="1"/>
  <c r="E359" i="1"/>
  <c r="E361" i="1" s="1"/>
  <c r="D359" i="1"/>
  <c r="D361" i="1" s="1"/>
  <c r="D362" i="1"/>
  <c r="M349" i="1"/>
  <c r="L349" i="1"/>
  <c r="K349" i="1"/>
  <c r="J349" i="1"/>
  <c r="I349" i="1"/>
  <c r="H349" i="1"/>
  <c r="G349" i="1"/>
  <c r="F349" i="1"/>
  <c r="E349" i="1"/>
  <c r="D349" i="1"/>
  <c r="M346" i="1"/>
  <c r="L346" i="1"/>
  <c r="K346" i="1"/>
  <c r="J346" i="1"/>
  <c r="I346" i="1"/>
  <c r="I348" i="1" s="1"/>
  <c r="H346" i="1"/>
  <c r="H348" i="1" s="1"/>
  <c r="G346" i="1"/>
  <c r="G348" i="1" s="1"/>
  <c r="F346" i="1"/>
  <c r="F348" i="1" s="1"/>
  <c r="E346" i="1"/>
  <c r="E348" i="1" s="1"/>
  <c r="D346" i="1"/>
  <c r="D348" i="1" s="1"/>
  <c r="M336" i="1"/>
  <c r="L336" i="1"/>
  <c r="K336" i="1"/>
  <c r="J336" i="1"/>
  <c r="I336" i="1"/>
  <c r="H336" i="1"/>
  <c r="G336" i="1"/>
  <c r="F336" i="1"/>
  <c r="E336" i="1"/>
  <c r="D336" i="1"/>
  <c r="M310" i="1"/>
  <c r="L310" i="1"/>
  <c r="K310" i="1"/>
  <c r="J310" i="1"/>
  <c r="I310" i="1"/>
  <c r="H310" i="1"/>
  <c r="G310" i="1"/>
  <c r="F310" i="1"/>
  <c r="E310" i="1"/>
  <c r="D310" i="1"/>
  <c r="M298" i="1"/>
  <c r="L298" i="1"/>
  <c r="K298" i="1"/>
  <c r="J298" i="1"/>
  <c r="I298" i="1"/>
  <c r="H298" i="1"/>
  <c r="G298" i="1"/>
  <c r="F298" i="1"/>
  <c r="E298" i="1"/>
  <c r="D298" i="1"/>
  <c r="M288" i="1"/>
  <c r="L288" i="1"/>
  <c r="K288" i="1"/>
  <c r="J288" i="1"/>
  <c r="I288" i="1"/>
  <c r="H288" i="1"/>
  <c r="G288" i="1"/>
  <c r="F288" i="1"/>
  <c r="E288" i="1"/>
  <c r="M287" i="1"/>
  <c r="L287" i="1"/>
  <c r="K287" i="1"/>
  <c r="J287" i="1"/>
  <c r="I287" i="1"/>
  <c r="H287" i="1"/>
  <c r="G287" i="1"/>
  <c r="F287" i="1"/>
  <c r="E287" i="1"/>
  <c r="D288" i="1"/>
  <c r="D287" i="1"/>
  <c r="M280" i="1"/>
  <c r="L280" i="1"/>
  <c r="K280" i="1"/>
  <c r="J280" i="1"/>
  <c r="I280" i="1"/>
  <c r="H280" i="1"/>
  <c r="G280" i="1"/>
  <c r="F280" i="1"/>
  <c r="E280" i="1"/>
  <c r="D280" i="1"/>
  <c r="M272" i="1"/>
  <c r="L272" i="1"/>
  <c r="K272" i="1"/>
  <c r="J272" i="1"/>
  <c r="I272" i="1"/>
  <c r="H272" i="1"/>
  <c r="G272" i="1"/>
  <c r="F272" i="1"/>
  <c r="E272" i="1"/>
  <c r="D272" i="1"/>
  <c r="M253" i="1"/>
  <c r="L253" i="1"/>
  <c r="K253" i="1"/>
  <c r="J253" i="1"/>
  <c r="I253" i="1"/>
  <c r="H253" i="1"/>
  <c r="G253" i="1"/>
  <c r="F253" i="1"/>
  <c r="E253" i="1"/>
  <c r="D253" i="1"/>
  <c r="M233" i="1"/>
  <c r="L233" i="1"/>
  <c r="K233" i="1"/>
  <c r="J233" i="1"/>
  <c r="I233" i="1"/>
  <c r="H233" i="1"/>
  <c r="G233" i="1"/>
  <c r="F233" i="1"/>
  <c r="E233" i="1"/>
  <c r="D233" i="1"/>
  <c r="M225" i="1"/>
  <c r="L225" i="1"/>
  <c r="K225" i="1"/>
  <c r="J225" i="1"/>
  <c r="I225" i="1"/>
  <c r="H225" i="1"/>
  <c r="G225" i="1"/>
  <c r="F225" i="1"/>
  <c r="E225" i="1"/>
  <c r="D225" i="1"/>
  <c r="M122" i="1"/>
  <c r="L122" i="1"/>
  <c r="K122" i="1"/>
  <c r="J122" i="1"/>
  <c r="I122" i="1"/>
  <c r="H122" i="1"/>
  <c r="G122" i="1"/>
  <c r="F122" i="1"/>
  <c r="E122" i="1"/>
  <c r="D122" i="1"/>
  <c r="M104" i="1"/>
  <c r="L104" i="1"/>
  <c r="K104" i="1"/>
  <c r="J104" i="1"/>
  <c r="I104" i="1"/>
  <c r="H104" i="1"/>
  <c r="G104" i="1"/>
  <c r="F104" i="1"/>
  <c r="E104" i="1"/>
  <c r="D104" i="1"/>
  <c r="M92" i="1"/>
  <c r="L92" i="1"/>
  <c r="K92" i="1"/>
  <c r="J92" i="1"/>
  <c r="I92" i="1"/>
  <c r="H92" i="1"/>
  <c r="G92" i="1"/>
  <c r="F92" i="1"/>
  <c r="E92" i="1"/>
  <c r="D92" i="1"/>
  <c r="M333" i="1"/>
  <c r="M335" i="1" s="1"/>
  <c r="L333" i="1"/>
  <c r="L335" i="1" s="1"/>
  <c r="K333" i="1"/>
  <c r="K335" i="1" s="1"/>
  <c r="J333" i="1"/>
  <c r="J335" i="1" s="1"/>
  <c r="I333" i="1"/>
  <c r="I335" i="1" s="1"/>
  <c r="H333" i="1"/>
  <c r="H335" i="1" s="1"/>
  <c r="G333" i="1"/>
  <c r="G335" i="1" s="1"/>
  <c r="F333" i="1"/>
  <c r="F335" i="1" s="1"/>
  <c r="E333" i="1"/>
  <c r="E335" i="1" s="1"/>
  <c r="D333" i="1"/>
  <c r="O11" i="17" l="1"/>
  <c r="Q233" i="1"/>
  <c r="P18" i="17"/>
  <c r="R225" i="1"/>
  <c r="Q11" i="17"/>
  <c r="O9" i="17"/>
  <c r="R48" i="17"/>
  <c r="S45" i="3"/>
  <c r="R15" i="1" s="1"/>
  <c r="Q14" i="17" s="1"/>
  <c r="L348" i="1"/>
  <c r="M348" i="1"/>
  <c r="N341" i="1"/>
  <c r="N342" i="1"/>
  <c r="N340" i="1"/>
  <c r="N339" i="1"/>
  <c r="N345" i="1"/>
  <c r="N344" i="1"/>
  <c r="N343" i="1"/>
  <c r="N379" i="1"/>
  <c r="N367" i="1"/>
  <c r="N377" i="1"/>
  <c r="J348" i="1"/>
  <c r="O346" i="1"/>
  <c r="P346" i="1" s="1"/>
  <c r="P52" i="1" s="1"/>
  <c r="M361" i="1"/>
  <c r="N357" i="1"/>
  <c r="N354" i="1"/>
  <c r="N353" i="1"/>
  <c r="N352" i="1"/>
  <c r="N355" i="1"/>
  <c r="N358" i="1"/>
  <c r="N356" i="1"/>
  <c r="K348" i="1"/>
  <c r="N378" i="1"/>
  <c r="N389" i="1"/>
  <c r="N371" i="1"/>
  <c r="N374" i="1"/>
  <c r="N369" i="1"/>
  <c r="N383" i="1"/>
  <c r="N381" i="1"/>
  <c r="N365" i="1"/>
  <c r="N370" i="1"/>
  <c r="N368" i="1"/>
  <c r="N386" i="1"/>
  <c r="N388" i="1"/>
  <c r="N382" i="1"/>
  <c r="N372" i="1"/>
  <c r="N384" i="1"/>
  <c r="N390" i="1"/>
  <c r="N380" i="1"/>
  <c r="N385" i="1"/>
  <c r="N373" i="1"/>
  <c r="N366" i="1"/>
  <c r="N387" i="1"/>
  <c r="N376" i="1"/>
  <c r="P169" i="1"/>
  <c r="P437" i="1"/>
  <c r="O225" i="1"/>
  <c r="R20" i="1"/>
  <c r="S50" i="3"/>
  <c r="S250" i="1" s="1"/>
  <c r="S252" i="1" s="1"/>
  <c r="Q164" i="1"/>
  <c r="Q165" i="1"/>
  <c r="Q162" i="1"/>
  <c r="Q136" i="1"/>
  <c r="P150" i="1"/>
  <c r="Q137" i="1"/>
  <c r="P151" i="1"/>
  <c r="T51" i="3"/>
  <c r="S24" i="1" s="1"/>
  <c r="R23" i="17" s="1"/>
  <c r="R224" i="1"/>
  <c r="T44" i="3"/>
  <c r="S222" i="1" s="1"/>
  <c r="T45" i="3"/>
  <c r="S15" i="1" s="1"/>
  <c r="R14" i="17" s="1"/>
  <c r="R19" i="1"/>
  <c r="R232" i="1"/>
  <c r="S19" i="1"/>
  <c r="S232" i="1"/>
  <c r="S166" i="1"/>
  <c r="R166" i="1"/>
  <c r="R132" i="1" s="1"/>
  <c r="Q10" i="1"/>
  <c r="R47" i="2" s="1"/>
  <c r="Q168" i="1"/>
  <c r="M393" i="1"/>
  <c r="N90" i="3"/>
  <c r="L393" i="1"/>
  <c r="M90" i="3"/>
  <c r="I80" i="3"/>
  <c r="L80" i="3"/>
  <c r="J80" i="3"/>
  <c r="D335" i="1"/>
  <c r="M80" i="3"/>
  <c r="F80" i="3"/>
  <c r="N80" i="3"/>
  <c r="G80" i="3"/>
  <c r="K80" i="3"/>
  <c r="H80" i="3"/>
  <c r="M309" i="1"/>
  <c r="L309" i="1"/>
  <c r="K309" i="1"/>
  <c r="J309" i="1"/>
  <c r="I309" i="1"/>
  <c r="H309" i="1"/>
  <c r="G309" i="1"/>
  <c r="F309" i="1"/>
  <c r="E309" i="1"/>
  <c r="D309" i="1"/>
  <c r="R233" i="1" l="1"/>
  <c r="Q18" i="17"/>
  <c r="P9" i="17"/>
  <c r="R253" i="1"/>
  <c r="Q19" i="17"/>
  <c r="P349" i="1"/>
  <c r="S233" i="1"/>
  <c r="R18" i="17"/>
  <c r="O344" i="1"/>
  <c r="P344" i="1" s="1"/>
  <c r="Q346" i="1"/>
  <c r="R346" i="1" s="1"/>
  <c r="R52" i="1" s="1"/>
  <c r="O339" i="1"/>
  <c r="P339" i="1" s="1"/>
  <c r="O340" i="1"/>
  <c r="P340" i="1" s="1"/>
  <c r="O342" i="1"/>
  <c r="P342" i="1" s="1"/>
  <c r="O341" i="1"/>
  <c r="P341" i="1" s="1"/>
  <c r="O343" i="1"/>
  <c r="P343" i="1" s="1"/>
  <c r="O28" i="2"/>
  <c r="O91" i="3"/>
  <c r="P91" i="3" s="1"/>
  <c r="O23" i="2"/>
  <c r="O90" i="3"/>
  <c r="P90" i="3" s="1"/>
  <c r="Q90" i="3" s="1"/>
  <c r="R90" i="3" s="1"/>
  <c r="S90" i="3" s="1"/>
  <c r="T90" i="3" s="1"/>
  <c r="O27" i="2"/>
  <c r="O52" i="1"/>
  <c r="O345" i="1"/>
  <c r="P345" i="1" s="1"/>
  <c r="Q169" i="1"/>
  <c r="Q437" i="1"/>
  <c r="S132" i="1"/>
  <c r="T50" i="3"/>
  <c r="S20" i="1"/>
  <c r="R137" i="1"/>
  <c r="Q151" i="1"/>
  <c r="Q150" i="1"/>
  <c r="R136" i="1"/>
  <c r="R164" i="1"/>
  <c r="S164" i="1" s="1"/>
  <c r="R162" i="1"/>
  <c r="S162" i="1" s="1"/>
  <c r="R165" i="1"/>
  <c r="S165" i="1" s="1"/>
  <c r="S12" i="1"/>
  <c r="S224" i="1"/>
  <c r="R10" i="1"/>
  <c r="S47" i="2" s="1"/>
  <c r="R168" i="1"/>
  <c r="S168" i="1"/>
  <c r="S10" i="1"/>
  <c r="T47" i="2" s="1"/>
  <c r="AF333" i="1"/>
  <c r="N333" i="1" s="1"/>
  <c r="M295" i="1"/>
  <c r="M297" i="1" s="1"/>
  <c r="L295" i="1"/>
  <c r="L297" i="1" s="1"/>
  <c r="K295" i="1"/>
  <c r="K297" i="1" s="1"/>
  <c r="J295" i="1"/>
  <c r="J297" i="1" s="1"/>
  <c r="I295" i="1"/>
  <c r="I297" i="1" s="1"/>
  <c r="H295" i="1"/>
  <c r="H297" i="1" s="1"/>
  <c r="G295" i="1"/>
  <c r="G297" i="1" s="1"/>
  <c r="F295" i="1"/>
  <c r="F297" i="1" s="1"/>
  <c r="E295" i="1"/>
  <c r="E297" i="1" s="1"/>
  <c r="D295" i="1"/>
  <c r="D297" i="1" s="1"/>
  <c r="R349" i="1" l="1"/>
  <c r="S225" i="1"/>
  <c r="R11" i="17"/>
  <c r="S253" i="1"/>
  <c r="R19" i="17"/>
  <c r="R9" i="17"/>
  <c r="Q9" i="17"/>
  <c r="N50" i="17"/>
  <c r="O50" i="17"/>
  <c r="Q345" i="1"/>
  <c r="R345" i="1" s="1"/>
  <c r="Q342" i="1"/>
  <c r="R342" i="1" s="1"/>
  <c r="Q339" i="1"/>
  <c r="R339" i="1" s="1"/>
  <c r="Q52" i="1"/>
  <c r="Q50" i="17" s="1"/>
  <c r="Q343" i="1"/>
  <c r="R343" i="1" s="1"/>
  <c r="Q344" i="1"/>
  <c r="R344" i="1" s="1"/>
  <c r="Q341" i="1"/>
  <c r="R341" i="1" s="1"/>
  <c r="S346" i="1"/>
  <c r="S52" i="1" s="1"/>
  <c r="Q340" i="1"/>
  <c r="R340" i="1" s="1"/>
  <c r="Q91" i="3"/>
  <c r="O365" i="1"/>
  <c r="S169" i="1"/>
  <c r="S437" i="1"/>
  <c r="R169" i="1"/>
  <c r="R437" i="1"/>
  <c r="N326" i="1"/>
  <c r="N327" i="1"/>
  <c r="N325" i="1"/>
  <c r="N328" i="1"/>
  <c r="N332" i="1"/>
  <c r="N324" i="1"/>
  <c r="N330" i="1"/>
  <c r="N331" i="1"/>
  <c r="N323" i="1"/>
  <c r="N329" i="1"/>
  <c r="S136" i="1"/>
  <c r="S150" i="1" s="1"/>
  <c r="R150" i="1"/>
  <c r="S137" i="1"/>
  <c r="S151" i="1" s="1"/>
  <c r="R151" i="1"/>
  <c r="AF324" i="1"/>
  <c r="AF323" i="1"/>
  <c r="AF327" i="1"/>
  <c r="AF325" i="1"/>
  <c r="AF335" i="1"/>
  <c r="AF326" i="1"/>
  <c r="AF329" i="1"/>
  <c r="AF49" i="1"/>
  <c r="AF332" i="1"/>
  <c r="AF328" i="1"/>
  <c r="AF330" i="1"/>
  <c r="AF331" i="1"/>
  <c r="M277" i="1"/>
  <c r="M279" i="1" s="1"/>
  <c r="L277" i="1"/>
  <c r="L279" i="1" s="1"/>
  <c r="K277" i="1"/>
  <c r="K279" i="1" s="1"/>
  <c r="J277" i="1"/>
  <c r="J279" i="1" s="1"/>
  <c r="I277" i="1"/>
  <c r="I279" i="1" s="1"/>
  <c r="H277" i="1"/>
  <c r="H279" i="1" s="1"/>
  <c r="G277" i="1"/>
  <c r="G279" i="1" s="1"/>
  <c r="F277" i="1"/>
  <c r="F279" i="1" s="1"/>
  <c r="E277" i="1"/>
  <c r="E279" i="1" s="1"/>
  <c r="D277" i="1"/>
  <c r="D279" i="1" s="1"/>
  <c r="M263" i="1"/>
  <c r="L263" i="1"/>
  <c r="K263" i="1"/>
  <c r="J263" i="1"/>
  <c r="I263" i="1"/>
  <c r="H263" i="1"/>
  <c r="G263" i="1"/>
  <c r="F263" i="1"/>
  <c r="E263" i="1"/>
  <c r="D263" i="1"/>
  <c r="M257" i="1"/>
  <c r="L257" i="1"/>
  <c r="K257" i="1"/>
  <c r="J257" i="1"/>
  <c r="I257" i="1"/>
  <c r="H257" i="1"/>
  <c r="G257" i="1"/>
  <c r="F257" i="1"/>
  <c r="E257" i="1"/>
  <c r="D257" i="1"/>
  <c r="M246" i="1"/>
  <c r="L246" i="1"/>
  <c r="K246" i="1"/>
  <c r="J246" i="1"/>
  <c r="I246" i="1"/>
  <c r="H246" i="1"/>
  <c r="H250" i="1" s="1"/>
  <c r="G246" i="1"/>
  <c r="F246" i="1"/>
  <c r="E246" i="1"/>
  <c r="D246" i="1"/>
  <c r="M230" i="1"/>
  <c r="L230" i="1"/>
  <c r="K230" i="1"/>
  <c r="J230" i="1"/>
  <c r="I230" i="1"/>
  <c r="H230" i="1"/>
  <c r="G230" i="1"/>
  <c r="F230" i="1"/>
  <c r="E230" i="1"/>
  <c r="D230" i="1"/>
  <c r="D232" i="1" s="1"/>
  <c r="S349" i="1" l="1"/>
  <c r="R50" i="17"/>
  <c r="Q349" i="1"/>
  <c r="P50" i="17"/>
  <c r="S345" i="1"/>
  <c r="S344" i="1"/>
  <c r="S339" i="1"/>
  <c r="S340" i="1"/>
  <c r="S343" i="1"/>
  <c r="S341" i="1"/>
  <c r="S342" i="1"/>
  <c r="N229" i="1"/>
  <c r="N228" i="1"/>
  <c r="P23" i="2"/>
  <c r="O391" i="1"/>
  <c r="R91" i="3"/>
  <c r="P365" i="1"/>
  <c r="P391" i="1" s="1"/>
  <c r="AF336" i="1"/>
  <c r="H232" i="1"/>
  <c r="I78" i="3"/>
  <c r="K232" i="1"/>
  <c r="L78" i="3"/>
  <c r="J232" i="1"/>
  <c r="K78" i="3"/>
  <c r="L232" i="1"/>
  <c r="M78" i="3"/>
  <c r="M232" i="1"/>
  <c r="N78" i="3"/>
  <c r="I232" i="1"/>
  <c r="J78" i="3"/>
  <c r="H252" i="1"/>
  <c r="E232" i="1"/>
  <c r="F78" i="3"/>
  <c r="F232" i="1"/>
  <c r="G78" i="3"/>
  <c r="G232" i="1"/>
  <c r="H78" i="3"/>
  <c r="I250" i="1"/>
  <c r="F250" i="1"/>
  <c r="G250" i="1"/>
  <c r="I79" i="3" s="1"/>
  <c r="D267" i="1"/>
  <c r="L267" i="1"/>
  <c r="K250" i="1"/>
  <c r="E267" i="1"/>
  <c r="M267" i="1"/>
  <c r="J250" i="1"/>
  <c r="L250" i="1"/>
  <c r="M250" i="1"/>
  <c r="H267" i="1"/>
  <c r="E250" i="1"/>
  <c r="I267" i="1"/>
  <c r="J267" i="1"/>
  <c r="D250" i="1"/>
  <c r="D252" i="1" s="1"/>
  <c r="F267" i="1"/>
  <c r="G267" i="1"/>
  <c r="K267" i="1"/>
  <c r="M222" i="1"/>
  <c r="L222" i="1"/>
  <c r="L224" i="1" s="1"/>
  <c r="K222" i="1"/>
  <c r="K224" i="1" s="1"/>
  <c r="J222" i="1"/>
  <c r="J224" i="1" s="1"/>
  <c r="I222" i="1"/>
  <c r="I224" i="1" s="1"/>
  <c r="H222" i="1"/>
  <c r="H224" i="1" s="1"/>
  <c r="G222" i="1"/>
  <c r="G224" i="1" s="1"/>
  <c r="F222" i="1"/>
  <c r="F224" i="1" s="1"/>
  <c r="E222" i="1"/>
  <c r="E224" i="1" s="1"/>
  <c r="D222" i="1"/>
  <c r="D224" i="1" s="1"/>
  <c r="H119" i="1"/>
  <c r="H121" i="1" s="1"/>
  <c r="G119" i="1"/>
  <c r="G121" i="1" s="1"/>
  <c r="F119" i="1"/>
  <c r="F121" i="1" s="1"/>
  <c r="E119" i="1"/>
  <c r="E121" i="1" s="1"/>
  <c r="D114" i="1"/>
  <c r="D119" i="1" s="1"/>
  <c r="D121" i="1" s="1"/>
  <c r="M113" i="1"/>
  <c r="M119" i="1" s="1"/>
  <c r="L113" i="1"/>
  <c r="L119" i="1" s="1"/>
  <c r="L121" i="1" s="1"/>
  <c r="K113" i="1"/>
  <c r="K119" i="1" s="1"/>
  <c r="K121" i="1" s="1"/>
  <c r="J113" i="1"/>
  <c r="J119" i="1" s="1"/>
  <c r="J121" i="1" s="1"/>
  <c r="I113" i="1"/>
  <c r="I119" i="1" s="1"/>
  <c r="I121" i="1" s="1"/>
  <c r="M98" i="1"/>
  <c r="L98" i="1"/>
  <c r="K98" i="1"/>
  <c r="J98" i="1"/>
  <c r="I98" i="1"/>
  <c r="H98" i="1"/>
  <c r="G98" i="1"/>
  <c r="F98" i="1"/>
  <c r="E98" i="1"/>
  <c r="D98" i="1"/>
  <c r="M95" i="1"/>
  <c r="L95" i="1"/>
  <c r="K95" i="1"/>
  <c r="J95" i="1"/>
  <c r="I95" i="1"/>
  <c r="H95" i="1"/>
  <c r="G95" i="1"/>
  <c r="F95" i="1"/>
  <c r="E95" i="1"/>
  <c r="D95" i="1"/>
  <c r="M86" i="1"/>
  <c r="L86" i="1"/>
  <c r="K86" i="1"/>
  <c r="J86" i="1"/>
  <c r="I86" i="1"/>
  <c r="H86" i="1"/>
  <c r="G86" i="1"/>
  <c r="F86" i="1"/>
  <c r="E86" i="1"/>
  <c r="D86" i="1"/>
  <c r="M83" i="1"/>
  <c r="L83" i="1"/>
  <c r="K83" i="1"/>
  <c r="J83" i="1"/>
  <c r="I83" i="1"/>
  <c r="H83" i="1"/>
  <c r="G83" i="1"/>
  <c r="F83" i="1"/>
  <c r="E83" i="1"/>
  <c r="D83" i="1"/>
  <c r="M80" i="1"/>
  <c r="L80" i="1"/>
  <c r="K80" i="1"/>
  <c r="J80" i="1"/>
  <c r="I80" i="1"/>
  <c r="H80" i="1"/>
  <c r="G80" i="1"/>
  <c r="F80" i="1"/>
  <c r="E80" i="1"/>
  <c r="D80" i="1"/>
  <c r="N265" i="1" l="1"/>
  <c r="O265" i="1" s="1"/>
  <c r="P265" i="1" s="1"/>
  <c r="Q265" i="1" s="1"/>
  <c r="R265" i="1" s="1"/>
  <c r="S265" i="1" s="1"/>
  <c r="N264" i="1"/>
  <c r="N260" i="1"/>
  <c r="N262" i="1"/>
  <c r="N259" i="1"/>
  <c r="N261" i="1"/>
  <c r="O261" i="1" s="1"/>
  <c r="P261" i="1" s="1"/>
  <c r="Q261" i="1" s="1"/>
  <c r="R261" i="1" s="1"/>
  <c r="S261" i="1" s="1"/>
  <c r="N258" i="1"/>
  <c r="Q23" i="2"/>
  <c r="S91" i="3"/>
  <c r="Q365" i="1"/>
  <c r="O59" i="1"/>
  <c r="O393" i="1"/>
  <c r="O366" i="1"/>
  <c r="O386" i="1"/>
  <c r="O390" i="1"/>
  <c r="O384" i="1"/>
  <c r="P384" i="1" s="1"/>
  <c r="O375" i="1"/>
  <c r="O381" i="1"/>
  <c r="O380" i="1"/>
  <c r="O378" i="1"/>
  <c r="O388" i="1"/>
  <c r="O371" i="1"/>
  <c r="P371" i="1" s="1"/>
  <c r="O369" i="1"/>
  <c r="O374" i="1"/>
  <c r="P374" i="1" s="1"/>
  <c r="O367" i="1"/>
  <c r="O376" i="1"/>
  <c r="O387" i="1"/>
  <c r="O377" i="1"/>
  <c r="O372" i="1"/>
  <c r="O382" i="1"/>
  <c r="P382" i="1" s="1"/>
  <c r="O385" i="1"/>
  <c r="O383" i="1"/>
  <c r="P383" i="1" s="1"/>
  <c r="O379" i="1"/>
  <c r="O389" i="1"/>
  <c r="O373" i="1"/>
  <c r="O370" i="1"/>
  <c r="O368" i="1"/>
  <c r="M224" i="1"/>
  <c r="N221" i="1"/>
  <c r="N219" i="1"/>
  <c r="O219" i="1" s="1"/>
  <c r="P219" i="1" s="1"/>
  <c r="Q219" i="1" s="1"/>
  <c r="R219" i="1" s="1"/>
  <c r="S219" i="1" s="1"/>
  <c r="N220" i="1"/>
  <c r="N218" i="1"/>
  <c r="O218" i="1" s="1"/>
  <c r="P218" i="1" s="1"/>
  <c r="Q218" i="1" s="1"/>
  <c r="R218" i="1" s="1"/>
  <c r="S218" i="1" s="1"/>
  <c r="M121" i="1"/>
  <c r="N118" i="1"/>
  <c r="N112" i="1"/>
  <c r="N110" i="1"/>
  <c r="N109" i="1"/>
  <c r="N115" i="1"/>
  <c r="N114" i="1"/>
  <c r="N117" i="1"/>
  <c r="N111" i="1"/>
  <c r="N116" i="1"/>
  <c r="N241" i="1"/>
  <c r="O241" i="1" s="1"/>
  <c r="P241" i="1" s="1"/>
  <c r="Q241" i="1" s="1"/>
  <c r="R241" i="1" s="1"/>
  <c r="S241" i="1" s="1"/>
  <c r="N242" i="1"/>
  <c r="O242" i="1" s="1"/>
  <c r="P242" i="1" s="1"/>
  <c r="Q242" i="1" s="1"/>
  <c r="R242" i="1" s="1"/>
  <c r="S242" i="1" s="1"/>
  <c r="N240" i="1"/>
  <c r="O240" i="1" s="1"/>
  <c r="P240" i="1" s="1"/>
  <c r="Q240" i="1" s="1"/>
  <c r="R240" i="1" s="1"/>
  <c r="S240" i="1" s="1"/>
  <c r="N243" i="1"/>
  <c r="O243" i="1" s="1"/>
  <c r="P243" i="1" s="1"/>
  <c r="Q243" i="1" s="1"/>
  <c r="R243" i="1" s="1"/>
  <c r="S243" i="1" s="1"/>
  <c r="N247" i="1"/>
  <c r="N238" i="1"/>
  <c r="O238" i="1" s="1"/>
  <c r="P238" i="1" s="1"/>
  <c r="Q238" i="1" s="1"/>
  <c r="R238" i="1" s="1"/>
  <c r="S238" i="1" s="1"/>
  <c r="N244" i="1"/>
  <c r="O244" i="1" s="1"/>
  <c r="P244" i="1" s="1"/>
  <c r="Q244" i="1" s="1"/>
  <c r="R244" i="1" s="1"/>
  <c r="S244" i="1" s="1"/>
  <c r="N248" i="1"/>
  <c r="O248" i="1" s="1"/>
  <c r="P248" i="1" s="1"/>
  <c r="Q248" i="1" s="1"/>
  <c r="R248" i="1" s="1"/>
  <c r="S248" i="1" s="1"/>
  <c r="N237" i="1"/>
  <c r="N239" i="1"/>
  <c r="O239" i="1" s="1"/>
  <c r="P239" i="1" s="1"/>
  <c r="Q239" i="1" s="1"/>
  <c r="R239" i="1" s="1"/>
  <c r="S239" i="1" s="1"/>
  <c r="H271" i="1"/>
  <c r="I105" i="3"/>
  <c r="D271" i="1"/>
  <c r="E105" i="3"/>
  <c r="K271" i="1"/>
  <c r="L105" i="3"/>
  <c r="G271" i="1"/>
  <c r="H105" i="3"/>
  <c r="L271" i="1"/>
  <c r="M105" i="3"/>
  <c r="F271" i="1"/>
  <c r="G105" i="3"/>
  <c r="M271" i="1"/>
  <c r="N105" i="3"/>
  <c r="J271" i="1"/>
  <c r="K105" i="3"/>
  <c r="E271" i="1"/>
  <c r="F105" i="3"/>
  <c r="I271" i="1"/>
  <c r="J105" i="3"/>
  <c r="N335" i="1"/>
  <c r="N49" i="1"/>
  <c r="M252" i="1"/>
  <c r="N79" i="3"/>
  <c r="L252" i="1"/>
  <c r="M79" i="3"/>
  <c r="F252" i="1"/>
  <c r="G79" i="3"/>
  <c r="G252" i="1"/>
  <c r="H79" i="3"/>
  <c r="J252" i="1"/>
  <c r="K79" i="3"/>
  <c r="I252" i="1"/>
  <c r="J79" i="3"/>
  <c r="K252" i="1"/>
  <c r="L79" i="3"/>
  <c r="E252" i="1"/>
  <c r="F79" i="3"/>
  <c r="J101" i="1"/>
  <c r="J103" i="1" s="1"/>
  <c r="H101" i="1"/>
  <c r="H103" i="1" s="1"/>
  <c r="I89" i="1"/>
  <c r="I91" i="1" s="1"/>
  <c r="G101" i="1"/>
  <c r="G103" i="1" s="1"/>
  <c r="F101" i="1"/>
  <c r="F103" i="1" s="1"/>
  <c r="G89" i="1"/>
  <c r="G91" i="1" s="1"/>
  <c r="K101" i="1"/>
  <c r="K103" i="1" s="1"/>
  <c r="I101" i="1"/>
  <c r="I103" i="1" s="1"/>
  <c r="F89" i="1"/>
  <c r="F91" i="1" s="1"/>
  <c r="D101" i="1"/>
  <c r="D103" i="1" s="1"/>
  <c r="L101" i="1"/>
  <c r="L103" i="1" s="1"/>
  <c r="D89" i="1"/>
  <c r="D91" i="1" s="1"/>
  <c r="L89" i="1"/>
  <c r="L91" i="1" s="1"/>
  <c r="E89" i="1"/>
  <c r="E91" i="1" s="1"/>
  <c r="M89" i="1"/>
  <c r="M91" i="1" s="1"/>
  <c r="K89" i="1"/>
  <c r="K91" i="1" s="1"/>
  <c r="E101" i="1"/>
  <c r="E103" i="1" s="1"/>
  <c r="M101" i="1"/>
  <c r="J89" i="1"/>
  <c r="J91" i="1" s="1"/>
  <c r="H89" i="1"/>
  <c r="H91" i="1" s="1"/>
  <c r="S25" i="1"/>
  <c r="R25" i="1"/>
  <c r="Q25" i="1"/>
  <c r="P25" i="1"/>
  <c r="O25" i="1"/>
  <c r="N25" i="1"/>
  <c r="Q24" i="17" l="1"/>
  <c r="M47" i="17"/>
  <c r="O259" i="1"/>
  <c r="P24" i="17"/>
  <c r="N57" i="17"/>
  <c r="N24" i="17"/>
  <c r="O24" i="17"/>
  <c r="R24" i="17"/>
  <c r="O260" i="1"/>
  <c r="P386" i="1"/>
  <c r="P385" i="1"/>
  <c r="P369" i="1"/>
  <c r="P390" i="1"/>
  <c r="P368" i="1"/>
  <c r="P372" i="1"/>
  <c r="P388" i="1"/>
  <c r="P366" i="1"/>
  <c r="P370" i="1"/>
  <c r="P377" i="1"/>
  <c r="P378" i="1"/>
  <c r="P373" i="1"/>
  <c r="P387" i="1"/>
  <c r="P380" i="1"/>
  <c r="P389" i="1"/>
  <c r="P376" i="1"/>
  <c r="P381" i="1"/>
  <c r="P367" i="1"/>
  <c r="P375" i="1"/>
  <c r="N236" i="1"/>
  <c r="O237" i="1"/>
  <c r="N257" i="1"/>
  <c r="O11" i="2"/>
  <c r="O258" i="1"/>
  <c r="O67" i="3"/>
  <c r="O71" i="3" s="1"/>
  <c r="O394" i="1"/>
  <c r="P27" i="2"/>
  <c r="R23" i="2"/>
  <c r="Q391" i="1"/>
  <c r="Q374" i="1" s="1"/>
  <c r="M103" i="1"/>
  <c r="N100" i="1"/>
  <c r="N99" i="1"/>
  <c r="N97" i="1"/>
  <c r="N96" i="1"/>
  <c r="N246" i="1"/>
  <c r="O247" i="1"/>
  <c r="O69" i="3"/>
  <c r="P69" i="3" s="1"/>
  <c r="O220" i="1"/>
  <c r="P379" i="1"/>
  <c r="P28" i="2"/>
  <c r="T91" i="3"/>
  <c r="S365" i="1" s="1"/>
  <c r="R365" i="1"/>
  <c r="N263" i="1"/>
  <c r="O264" i="1"/>
  <c r="P393" i="1"/>
  <c r="P59" i="1"/>
  <c r="O57" i="17" s="1"/>
  <c r="N336" i="1"/>
  <c r="O80" i="3" s="1"/>
  <c r="P80" i="3" s="1"/>
  <c r="D43" i="1"/>
  <c r="D46" i="1" s="1"/>
  <c r="D56" i="1" s="1"/>
  <c r="D34" i="1"/>
  <c r="D37" i="1" s="1"/>
  <c r="D25" i="1"/>
  <c r="D16" i="1"/>
  <c r="AE62" i="1"/>
  <c r="AD62" i="1"/>
  <c r="AC62" i="1"/>
  <c r="AB62" i="1"/>
  <c r="AA62" i="1"/>
  <c r="Z62" i="1"/>
  <c r="Y62" i="1"/>
  <c r="X62" i="1"/>
  <c r="W62" i="1"/>
  <c r="V62" i="1"/>
  <c r="AF55" i="1"/>
  <c r="AE55" i="1"/>
  <c r="AD55" i="1"/>
  <c r="AC55" i="1"/>
  <c r="AB55" i="1"/>
  <c r="AA55" i="1"/>
  <c r="Z55" i="1"/>
  <c r="Y55" i="1"/>
  <c r="X55" i="1"/>
  <c r="W55" i="1"/>
  <c r="V55" i="1"/>
  <c r="AE43" i="1"/>
  <c r="AE46" i="1" s="1"/>
  <c r="AD43" i="1"/>
  <c r="AD46" i="1" s="1"/>
  <c r="AC43" i="1"/>
  <c r="AB43" i="1"/>
  <c r="AA43" i="1"/>
  <c r="AA46" i="1" s="1"/>
  <c r="Z43" i="1"/>
  <c r="Z46" i="1" s="1"/>
  <c r="Y43" i="1"/>
  <c r="X43" i="1"/>
  <c r="X46" i="1" s="1"/>
  <c r="W43" i="1"/>
  <c r="W46" i="1" s="1"/>
  <c r="V43" i="1"/>
  <c r="V46" i="1" s="1"/>
  <c r="AE34" i="1"/>
  <c r="AE37" i="1" s="1"/>
  <c r="AD34" i="1"/>
  <c r="AD37" i="1" s="1"/>
  <c r="AC34" i="1"/>
  <c r="AC37" i="1" s="1"/>
  <c r="AB34" i="1"/>
  <c r="AB37" i="1" s="1"/>
  <c r="AA34" i="1"/>
  <c r="AA37" i="1" s="1"/>
  <c r="Z34" i="1"/>
  <c r="Z37" i="1" s="1"/>
  <c r="Y34" i="1"/>
  <c r="Y37" i="1" s="1"/>
  <c r="X34" i="1"/>
  <c r="X37" i="1" s="1"/>
  <c r="W34" i="1"/>
  <c r="W37" i="1" s="1"/>
  <c r="V34" i="1"/>
  <c r="V37" i="1" s="1"/>
  <c r="AE25" i="1"/>
  <c r="AD25" i="1"/>
  <c r="AC25" i="1"/>
  <c r="AB25" i="1"/>
  <c r="AA25" i="1"/>
  <c r="Z25" i="1"/>
  <c r="Y25" i="1"/>
  <c r="X25" i="1"/>
  <c r="W25" i="1"/>
  <c r="V25" i="1"/>
  <c r="AE16" i="1"/>
  <c r="AD16" i="1"/>
  <c r="AC16" i="1"/>
  <c r="AB16" i="1"/>
  <c r="AA16" i="1"/>
  <c r="Z16" i="1"/>
  <c r="Y16" i="1"/>
  <c r="X16" i="1"/>
  <c r="W16" i="1"/>
  <c r="V16" i="1"/>
  <c r="U62" i="1"/>
  <c r="U55" i="1"/>
  <c r="U43" i="1"/>
  <c r="U46" i="1" s="1"/>
  <c r="U34" i="1"/>
  <c r="U37" i="1" s="1"/>
  <c r="U25" i="1"/>
  <c r="U16" i="1"/>
  <c r="V4" i="1"/>
  <c r="W4" i="1" s="1"/>
  <c r="X4" i="1" s="1"/>
  <c r="Y4" i="1" s="1"/>
  <c r="Z4" i="1" s="1"/>
  <c r="AA4" i="1" s="1"/>
  <c r="AB4" i="1" s="1"/>
  <c r="AC4" i="1" s="1"/>
  <c r="AD4" i="1" s="1"/>
  <c r="AE4" i="1" s="1"/>
  <c r="AF4" i="1" s="1"/>
  <c r="E42" i="20" l="1"/>
  <c r="F42" i="20" s="1"/>
  <c r="E22" i="2"/>
  <c r="E54" i="20"/>
  <c r="F54" i="20" s="1"/>
  <c r="E61" i="20"/>
  <c r="P259" i="1"/>
  <c r="P71" i="3"/>
  <c r="Q71" i="3" s="1"/>
  <c r="P260" i="1"/>
  <c r="Q372" i="1"/>
  <c r="Q383" i="1"/>
  <c r="Q368" i="1"/>
  <c r="Q370" i="1"/>
  <c r="O263" i="1"/>
  <c r="P264" i="1"/>
  <c r="P237" i="1"/>
  <c r="O236" i="1"/>
  <c r="N98" i="1"/>
  <c r="Q382" i="1"/>
  <c r="Q377" i="1"/>
  <c r="E110" i="3"/>
  <c r="E76" i="2"/>
  <c r="E77" i="2" s="1"/>
  <c r="Q69" i="3"/>
  <c r="R69" i="3" s="1"/>
  <c r="S69" i="3" s="1"/>
  <c r="T69" i="3" s="1"/>
  <c r="Q59" i="1"/>
  <c r="Q393" i="1"/>
  <c r="Q380" i="1"/>
  <c r="P258" i="1"/>
  <c r="O257" i="1"/>
  <c r="Q28" i="2"/>
  <c r="Q379" i="1"/>
  <c r="S23" i="2"/>
  <c r="R391" i="1"/>
  <c r="P247" i="1"/>
  <c r="O246" i="1"/>
  <c r="Q387" i="1"/>
  <c r="Q371" i="1"/>
  <c r="P394" i="1"/>
  <c r="Q27" i="2"/>
  <c r="T23" i="2"/>
  <c r="S391" i="1"/>
  <c r="Q381" i="1"/>
  <c r="Q373" i="1"/>
  <c r="Q390" i="1"/>
  <c r="P220" i="1"/>
  <c r="O316" i="1"/>
  <c r="Q375" i="1"/>
  <c r="Q376" i="1"/>
  <c r="Q386" i="1"/>
  <c r="R386" i="1" s="1"/>
  <c r="S386" i="1" s="1"/>
  <c r="Q366" i="1"/>
  <c r="Q369" i="1"/>
  <c r="Q384" i="1"/>
  <c r="Q367" i="1"/>
  <c r="Q389" i="1"/>
  <c r="Q378" i="1"/>
  <c r="Q388" i="1"/>
  <c r="Q385" i="1"/>
  <c r="R385" i="1" s="1"/>
  <c r="S385" i="1" s="1"/>
  <c r="E16" i="2"/>
  <c r="E17" i="2"/>
  <c r="E106" i="3"/>
  <c r="O333" i="1"/>
  <c r="Q80" i="3"/>
  <c r="R80" i="3" s="1"/>
  <c r="S80" i="3" s="1"/>
  <c r="T80" i="3" s="1"/>
  <c r="E21" i="2"/>
  <c r="N55" i="1"/>
  <c r="E58" i="2"/>
  <c r="E46" i="2"/>
  <c r="E6" i="2"/>
  <c r="E44" i="2"/>
  <c r="E14" i="2"/>
  <c r="E42" i="2"/>
  <c r="E41" i="2"/>
  <c r="E45" i="2"/>
  <c r="E40" i="2"/>
  <c r="E55" i="2"/>
  <c r="Z56" i="1"/>
  <c r="AD56" i="1"/>
  <c r="W56" i="1"/>
  <c r="V56" i="1"/>
  <c r="AE56" i="1"/>
  <c r="X56" i="1"/>
  <c r="AA56" i="1"/>
  <c r="U56" i="1"/>
  <c r="Z27" i="1"/>
  <c r="Z38" i="1" s="1"/>
  <c r="X27" i="1"/>
  <c r="X38" i="1" s="1"/>
  <c r="D27" i="1"/>
  <c r="D38" i="1" s="1"/>
  <c r="U27" i="1"/>
  <c r="U38" i="1" s="1"/>
  <c r="AC27" i="1"/>
  <c r="AC38" i="1" s="1"/>
  <c r="Y27" i="1"/>
  <c r="Y38" i="1" s="1"/>
  <c r="AB27" i="1"/>
  <c r="AB38" i="1" s="1"/>
  <c r="V27" i="1"/>
  <c r="V38" i="1" s="1"/>
  <c r="AD27" i="1"/>
  <c r="AD38" i="1" s="1"/>
  <c r="W27" i="1"/>
  <c r="W38" i="1" s="1"/>
  <c r="AE27" i="1"/>
  <c r="AE38" i="1" s="1"/>
  <c r="Y46" i="1"/>
  <c r="E45" i="20" s="1"/>
  <c r="AC46" i="1"/>
  <c r="AC56" i="1" s="1"/>
  <c r="AA27" i="1"/>
  <c r="AA38" i="1" s="1"/>
  <c r="AB46" i="1"/>
  <c r="AB56" i="1" s="1"/>
  <c r="D4" i="1"/>
  <c r="F4" i="1"/>
  <c r="G4" i="1" s="1"/>
  <c r="H4" i="1" s="1"/>
  <c r="I4" i="1" s="1"/>
  <c r="J4" i="1" s="1"/>
  <c r="K4" i="1" s="1"/>
  <c r="L4" i="1" s="1"/>
  <c r="M4" i="1" s="1"/>
  <c r="G24" i="12" l="1"/>
  <c r="P57" i="17"/>
  <c r="Q259" i="1"/>
  <c r="P67" i="3"/>
  <c r="O313" i="1" s="1"/>
  <c r="Q260" i="1"/>
  <c r="R378" i="1"/>
  <c r="S378" i="1" s="1"/>
  <c r="R375" i="1"/>
  <c r="S375" i="1" s="1"/>
  <c r="R367" i="1"/>
  <c r="S367" i="1" s="1"/>
  <c r="R384" i="1"/>
  <c r="S384" i="1" s="1"/>
  <c r="R369" i="1"/>
  <c r="S369" i="1" s="1"/>
  <c r="R373" i="1"/>
  <c r="S373" i="1" s="1"/>
  <c r="R368" i="1"/>
  <c r="S368" i="1" s="1"/>
  <c r="R370" i="1"/>
  <c r="S370" i="1" s="1"/>
  <c r="R389" i="1"/>
  <c r="S389" i="1" s="1"/>
  <c r="R376" i="1"/>
  <c r="S376" i="1" s="1"/>
  <c r="R374" i="1"/>
  <c r="S374" i="1" s="1"/>
  <c r="R371" i="1"/>
  <c r="S371" i="1" s="1"/>
  <c r="R383" i="1"/>
  <c r="S383" i="1" s="1"/>
  <c r="R390" i="1"/>
  <c r="S390" i="1" s="1"/>
  <c r="R387" i="1"/>
  <c r="S387" i="1" s="1"/>
  <c r="R71" i="3"/>
  <c r="Q67" i="3"/>
  <c r="P313" i="1" s="1"/>
  <c r="Q220" i="1"/>
  <c r="P316" i="1"/>
  <c r="R28" i="2"/>
  <c r="R379" i="1"/>
  <c r="Q237" i="1"/>
  <c r="P236" i="1"/>
  <c r="Q264" i="1"/>
  <c r="P263" i="1"/>
  <c r="R27" i="2"/>
  <c r="Q394" i="1"/>
  <c r="R388" i="1"/>
  <c r="S388" i="1" s="1"/>
  <c r="R366" i="1"/>
  <c r="S366" i="1" s="1"/>
  <c r="R381" i="1"/>
  <c r="S381" i="1" s="1"/>
  <c r="Q247" i="1"/>
  <c r="P246" i="1"/>
  <c r="Q258" i="1"/>
  <c r="P257" i="1"/>
  <c r="R377" i="1"/>
  <c r="S377" i="1" s="1"/>
  <c r="S59" i="1"/>
  <c r="S393" i="1"/>
  <c r="R59" i="1"/>
  <c r="Q57" i="17" s="1"/>
  <c r="R393" i="1"/>
  <c r="R380" i="1"/>
  <c r="S380" i="1" s="1"/>
  <c r="R382" i="1"/>
  <c r="S382" i="1" s="1"/>
  <c r="R372" i="1"/>
  <c r="S372" i="1" s="1"/>
  <c r="O325" i="1"/>
  <c r="O328" i="1"/>
  <c r="O327" i="1"/>
  <c r="O329" i="1"/>
  <c r="O332" i="1"/>
  <c r="O331" i="1"/>
  <c r="O323" i="1"/>
  <c r="O324" i="1"/>
  <c r="O326" i="1"/>
  <c r="O330" i="1"/>
  <c r="AC66" i="1"/>
  <c r="AD104" i="3" s="1"/>
  <c r="AD106" i="3"/>
  <c r="AE66" i="1"/>
  <c r="AF104" i="3" s="1"/>
  <c r="AG104" i="3" s="1"/>
  <c r="AF106" i="3"/>
  <c r="AB66" i="1"/>
  <c r="AC104" i="3" s="1"/>
  <c r="AC106" i="3"/>
  <c r="AA66" i="1"/>
  <c r="AB104" i="3" s="1"/>
  <c r="AB106" i="3"/>
  <c r="X66" i="1"/>
  <c r="Y104" i="3" s="1"/>
  <c r="Y106" i="3"/>
  <c r="W66" i="1"/>
  <c r="X104" i="3" s="1"/>
  <c r="X106" i="3"/>
  <c r="V66" i="1"/>
  <c r="W104" i="3" s="1"/>
  <c r="W106" i="3"/>
  <c r="AD66" i="1"/>
  <c r="AE104" i="3" s="1"/>
  <c r="AE106" i="3"/>
  <c r="Z66" i="1"/>
  <c r="AA104" i="3" s="1"/>
  <c r="AA106" i="3"/>
  <c r="U66" i="1"/>
  <c r="V104" i="3" s="1"/>
  <c r="V106" i="3"/>
  <c r="O49" i="1"/>
  <c r="P333" i="1"/>
  <c r="O335" i="1"/>
  <c r="Y56" i="1"/>
  <c r="E55" i="20" s="1"/>
  <c r="E15" i="2"/>
  <c r="E13" i="2"/>
  <c r="D66" i="1"/>
  <c r="E104" i="3" s="1"/>
  <c r="K74" i="1"/>
  <c r="J74" i="1"/>
  <c r="I74" i="1"/>
  <c r="H74" i="1"/>
  <c r="G74" i="1"/>
  <c r="F74" i="1"/>
  <c r="E74" i="1"/>
  <c r="M62" i="1"/>
  <c r="L62" i="1"/>
  <c r="K62" i="1"/>
  <c r="I62" i="1"/>
  <c r="H62" i="1"/>
  <c r="G60" i="17" s="1"/>
  <c r="G62" i="1"/>
  <c r="F62" i="1"/>
  <c r="E62" i="1"/>
  <c r="D60" i="17" s="1"/>
  <c r="M55" i="1"/>
  <c r="L55" i="1"/>
  <c r="K55" i="1"/>
  <c r="J55" i="1"/>
  <c r="I55" i="1"/>
  <c r="H55" i="1"/>
  <c r="G55" i="1"/>
  <c r="F55" i="1"/>
  <c r="E55" i="1"/>
  <c r="M43" i="1"/>
  <c r="L43" i="1"/>
  <c r="K43" i="1"/>
  <c r="J43" i="1"/>
  <c r="I41" i="17" s="1"/>
  <c r="I43" i="1"/>
  <c r="H43" i="1"/>
  <c r="G43" i="1"/>
  <c r="F43" i="1"/>
  <c r="E43" i="1"/>
  <c r="D41" i="17" s="1"/>
  <c r="M34" i="1"/>
  <c r="L34" i="1"/>
  <c r="K34" i="1"/>
  <c r="J34" i="1"/>
  <c r="I34" i="1"/>
  <c r="H34" i="1"/>
  <c r="G34" i="1"/>
  <c r="F34" i="1"/>
  <c r="E34" i="1"/>
  <c r="M25" i="1"/>
  <c r="L25" i="1"/>
  <c r="K25" i="1"/>
  <c r="J25" i="1"/>
  <c r="I25" i="1"/>
  <c r="H25" i="1"/>
  <c r="G25" i="1"/>
  <c r="F25" i="1"/>
  <c r="E25" i="1"/>
  <c r="M16" i="1"/>
  <c r="L16" i="1"/>
  <c r="K16" i="1"/>
  <c r="M43" i="2" s="1"/>
  <c r="J16" i="1"/>
  <c r="I16" i="1"/>
  <c r="H16" i="1"/>
  <c r="G16" i="1"/>
  <c r="I43" i="2" s="1"/>
  <c r="F16" i="1"/>
  <c r="E16" i="1"/>
  <c r="J43" i="2" l="1"/>
  <c r="N43" i="2"/>
  <c r="C25" i="19" s="1"/>
  <c r="K43" i="2"/>
  <c r="G43" i="2"/>
  <c r="F43" i="2"/>
  <c r="H43" i="2"/>
  <c r="L43" i="2"/>
  <c r="K41" i="17"/>
  <c r="H22" i="2"/>
  <c r="F15" i="17"/>
  <c r="F6" i="18"/>
  <c r="F7" i="18"/>
  <c r="F8" i="18"/>
  <c r="F9" i="18"/>
  <c r="F10" i="18"/>
  <c r="F11" i="18"/>
  <c r="F12" i="18"/>
  <c r="F13" i="18"/>
  <c r="F14" i="18"/>
  <c r="F15" i="18"/>
  <c r="F18" i="18"/>
  <c r="F19" i="18"/>
  <c r="F20" i="18"/>
  <c r="F21" i="18"/>
  <c r="F22" i="18"/>
  <c r="F23" i="18"/>
  <c r="F29" i="18"/>
  <c r="F30" i="18"/>
  <c r="F31" i="18"/>
  <c r="F32" i="18"/>
  <c r="M37" i="1"/>
  <c r="N46" i="2" s="1"/>
  <c r="L33" i="17"/>
  <c r="L33" i="18"/>
  <c r="J39" i="18"/>
  <c r="J53" i="17"/>
  <c r="J46" i="18"/>
  <c r="J47" i="18"/>
  <c r="J48" i="18"/>
  <c r="J49" i="18"/>
  <c r="J50" i="18"/>
  <c r="J51" i="18"/>
  <c r="J52" i="18"/>
  <c r="J38" i="18"/>
  <c r="I22" i="2"/>
  <c r="G21" i="18"/>
  <c r="G18" i="18"/>
  <c r="G22" i="18"/>
  <c r="G15" i="17"/>
  <c r="G19" i="18"/>
  <c r="G6" i="18"/>
  <c r="G7" i="18"/>
  <c r="G8" i="18"/>
  <c r="G9" i="18"/>
  <c r="G10" i="18"/>
  <c r="G11" i="18"/>
  <c r="G12" i="18"/>
  <c r="G13" i="18"/>
  <c r="G14" i="18"/>
  <c r="G15" i="18"/>
  <c r="G20" i="18"/>
  <c r="G23" i="18"/>
  <c r="G29" i="18"/>
  <c r="G30" i="18"/>
  <c r="G31" i="18"/>
  <c r="G32" i="18"/>
  <c r="L41" i="17"/>
  <c r="E41" i="17"/>
  <c r="L39" i="18"/>
  <c r="L38" i="18"/>
  <c r="L53" i="17"/>
  <c r="L51" i="18"/>
  <c r="L52" i="18"/>
  <c r="L46" i="18"/>
  <c r="L47" i="18"/>
  <c r="L50" i="18"/>
  <c r="L48" i="18"/>
  <c r="L49" i="18"/>
  <c r="L60" i="17"/>
  <c r="J22" i="2"/>
  <c r="H9" i="18"/>
  <c r="H12" i="18"/>
  <c r="H15" i="18"/>
  <c r="H7" i="18"/>
  <c r="H11" i="18"/>
  <c r="H8" i="18"/>
  <c r="H13" i="18"/>
  <c r="H15" i="17"/>
  <c r="H6" i="18"/>
  <c r="H10" i="18"/>
  <c r="H14" i="18"/>
  <c r="H18" i="18"/>
  <c r="H19" i="18"/>
  <c r="H20" i="18"/>
  <c r="H21" i="18"/>
  <c r="H22" i="18"/>
  <c r="H23" i="18"/>
  <c r="H32" i="18"/>
  <c r="H31" i="18"/>
  <c r="H30" i="18"/>
  <c r="H29" i="18"/>
  <c r="F41" i="17"/>
  <c r="F39" i="18"/>
  <c r="F46" i="18"/>
  <c r="F47" i="18"/>
  <c r="F48" i="18"/>
  <c r="F49" i="18"/>
  <c r="F50" i="18"/>
  <c r="F51" i="18"/>
  <c r="F52" i="18"/>
  <c r="F38" i="18"/>
  <c r="F40" i="18" s="1"/>
  <c r="F43" i="18" s="1"/>
  <c r="F53" i="17"/>
  <c r="E24" i="18"/>
  <c r="E24" i="17"/>
  <c r="K60" i="17"/>
  <c r="G24" i="18"/>
  <c r="G24" i="17"/>
  <c r="H24" i="17"/>
  <c r="H24" i="18"/>
  <c r="G41" i="17"/>
  <c r="M22" i="2"/>
  <c r="K18" i="18"/>
  <c r="K19" i="18"/>
  <c r="K20" i="18"/>
  <c r="K21" i="18"/>
  <c r="K22" i="18"/>
  <c r="K23" i="18"/>
  <c r="K29" i="18"/>
  <c r="K30" i="18"/>
  <c r="K31" i="18"/>
  <c r="K32" i="18"/>
  <c r="K10" i="18"/>
  <c r="K11" i="18"/>
  <c r="K15" i="18"/>
  <c r="K8" i="18"/>
  <c r="K12" i="18"/>
  <c r="K14" i="18"/>
  <c r="K6" i="18"/>
  <c r="K15" i="17"/>
  <c r="K7" i="18"/>
  <c r="K13" i="18"/>
  <c r="K9" i="18"/>
  <c r="J24" i="17"/>
  <c r="J24" i="18"/>
  <c r="J37" i="1"/>
  <c r="K46" i="2" s="1"/>
  <c r="I33" i="18"/>
  <c r="I33" i="17"/>
  <c r="H41" i="17"/>
  <c r="G39" i="18"/>
  <c r="G46" i="18"/>
  <c r="G47" i="18"/>
  <c r="G48" i="18"/>
  <c r="G49" i="18"/>
  <c r="G50" i="18"/>
  <c r="G51" i="18"/>
  <c r="G52" i="18"/>
  <c r="G38" i="18"/>
  <c r="G53" i="17"/>
  <c r="F60" i="17"/>
  <c r="M53" i="17"/>
  <c r="F37" i="1"/>
  <c r="G46" i="2" s="1"/>
  <c r="E33" i="18"/>
  <c r="E33" i="17"/>
  <c r="K39" i="18"/>
  <c r="K38" i="18"/>
  <c r="K40" i="18" s="1"/>
  <c r="K43" i="18" s="1"/>
  <c r="K53" i="17"/>
  <c r="K46" i="18"/>
  <c r="K47" i="18"/>
  <c r="K48" i="18"/>
  <c r="K49" i="18"/>
  <c r="K50" i="18"/>
  <c r="K51" i="18"/>
  <c r="K52" i="18"/>
  <c r="G37" i="1"/>
  <c r="H76" i="2" s="1"/>
  <c r="H77" i="2" s="1"/>
  <c r="F33" i="18"/>
  <c r="F33" i="17"/>
  <c r="F83" i="3"/>
  <c r="D39" i="18"/>
  <c r="D47" i="18"/>
  <c r="D51" i="18"/>
  <c r="D48" i="18"/>
  <c r="D53" i="17"/>
  <c r="D49" i="18"/>
  <c r="D38" i="18"/>
  <c r="D50" i="18"/>
  <c r="D52" i="18"/>
  <c r="D46" i="18"/>
  <c r="H37" i="1"/>
  <c r="G33" i="18"/>
  <c r="G33" i="17"/>
  <c r="E39" i="18"/>
  <c r="E46" i="18"/>
  <c r="E47" i="18"/>
  <c r="E48" i="18"/>
  <c r="E49" i="18"/>
  <c r="E50" i="18"/>
  <c r="E51" i="18"/>
  <c r="E52" i="18"/>
  <c r="E53" i="17"/>
  <c r="E38" i="18"/>
  <c r="L22" i="2"/>
  <c r="J29" i="18"/>
  <c r="J30" i="18"/>
  <c r="J31" i="18"/>
  <c r="J32" i="18"/>
  <c r="J15" i="17"/>
  <c r="J6" i="18"/>
  <c r="J7" i="18"/>
  <c r="J8" i="18"/>
  <c r="J9" i="18"/>
  <c r="J10" i="18"/>
  <c r="J11" i="18"/>
  <c r="J22" i="18"/>
  <c r="J15" i="18"/>
  <c r="J20" i="18"/>
  <c r="J23" i="18"/>
  <c r="J12" i="18"/>
  <c r="J14" i="18"/>
  <c r="J21" i="18"/>
  <c r="J18" i="18"/>
  <c r="J13" i="18"/>
  <c r="J19" i="18"/>
  <c r="I37" i="1"/>
  <c r="J110" i="3" s="1"/>
  <c r="H33" i="17"/>
  <c r="H33" i="18"/>
  <c r="N22" i="2"/>
  <c r="L6" i="18"/>
  <c r="L7" i="18"/>
  <c r="L8" i="18"/>
  <c r="L9" i="18"/>
  <c r="L10" i="18"/>
  <c r="L11" i="18"/>
  <c r="L12" i="18"/>
  <c r="L13" i="18"/>
  <c r="L14" i="18"/>
  <c r="L15" i="18"/>
  <c r="L18" i="18"/>
  <c r="L19" i="18"/>
  <c r="L20" i="18"/>
  <c r="L21" i="18"/>
  <c r="L22" i="18"/>
  <c r="L23" i="18"/>
  <c r="L29" i="18"/>
  <c r="L30" i="18"/>
  <c r="L31" i="18"/>
  <c r="L32" i="18"/>
  <c r="L15" i="17"/>
  <c r="E37" i="1"/>
  <c r="F76" i="2" s="1"/>
  <c r="F77" i="2" s="1"/>
  <c r="D33" i="17"/>
  <c r="D33" i="18"/>
  <c r="F24" i="18"/>
  <c r="F24" i="17"/>
  <c r="K22" i="2"/>
  <c r="I29" i="18"/>
  <c r="I30" i="18"/>
  <c r="I31" i="18"/>
  <c r="I32" i="18"/>
  <c r="I6" i="18"/>
  <c r="I7" i="18"/>
  <c r="I8" i="18"/>
  <c r="I9" i="18"/>
  <c r="I10" i="18"/>
  <c r="I11" i="18"/>
  <c r="I12" i="18"/>
  <c r="I13" i="18"/>
  <c r="I14" i="18"/>
  <c r="I15" i="18"/>
  <c r="I18" i="18"/>
  <c r="I19" i="18"/>
  <c r="I20" i="18"/>
  <c r="I21" i="18"/>
  <c r="I22" i="18"/>
  <c r="I23" i="18"/>
  <c r="I15" i="17"/>
  <c r="I24" i="17"/>
  <c r="I24" i="18"/>
  <c r="E60" i="17"/>
  <c r="D29" i="18"/>
  <c r="D18" i="18"/>
  <c r="D14" i="18"/>
  <c r="D30" i="18"/>
  <c r="D21" i="18"/>
  <c r="D7" i="18"/>
  <c r="D15" i="18"/>
  <c r="D10" i="18"/>
  <c r="D19" i="18"/>
  <c r="D8" i="18"/>
  <c r="D6" i="18"/>
  <c r="D20" i="18"/>
  <c r="D9" i="18"/>
  <c r="D31" i="18"/>
  <c r="D22" i="18"/>
  <c r="D11" i="18"/>
  <c r="D32" i="18"/>
  <c r="D23" i="18"/>
  <c r="D12" i="18"/>
  <c r="D13" i="18"/>
  <c r="D15" i="17"/>
  <c r="K24" i="18"/>
  <c r="K24" i="17"/>
  <c r="K37" i="1"/>
  <c r="J33" i="18"/>
  <c r="J33" i="17"/>
  <c r="H39" i="18"/>
  <c r="H46" i="18"/>
  <c r="H47" i="18"/>
  <c r="H48" i="18"/>
  <c r="H49" i="18"/>
  <c r="H50" i="18"/>
  <c r="H51" i="18"/>
  <c r="H52" i="18"/>
  <c r="H38" i="18"/>
  <c r="H40" i="18" s="1"/>
  <c r="H43" i="18" s="1"/>
  <c r="H53" i="17"/>
  <c r="G22" i="2"/>
  <c r="E15" i="17"/>
  <c r="E30" i="18"/>
  <c r="E6" i="18"/>
  <c r="E7" i="18"/>
  <c r="E8" i="18"/>
  <c r="E9" i="18"/>
  <c r="E10" i="18"/>
  <c r="E11" i="18"/>
  <c r="E12" i="18"/>
  <c r="E13" i="18"/>
  <c r="E14" i="18"/>
  <c r="E15" i="18"/>
  <c r="E29" i="18"/>
  <c r="E18" i="18"/>
  <c r="E19" i="18"/>
  <c r="E20" i="18"/>
  <c r="E21" i="18"/>
  <c r="E22" i="18"/>
  <c r="E23" i="18"/>
  <c r="E32" i="18"/>
  <c r="E31" i="18"/>
  <c r="D24" i="17"/>
  <c r="D24" i="18"/>
  <c r="C21" i="12"/>
  <c r="L24" i="18"/>
  <c r="L24" i="17"/>
  <c r="M24" i="17"/>
  <c r="L37" i="1"/>
  <c r="M110" i="3" s="1"/>
  <c r="K33" i="18"/>
  <c r="K33" i="17"/>
  <c r="J41" i="17"/>
  <c r="I39" i="18"/>
  <c r="I53" i="17"/>
  <c r="I50" i="18"/>
  <c r="I47" i="18"/>
  <c r="I51" i="18"/>
  <c r="I46" i="18"/>
  <c r="I48" i="18"/>
  <c r="I49" i="18"/>
  <c r="I52" i="18"/>
  <c r="I38" i="18"/>
  <c r="H60" i="17"/>
  <c r="R57" i="17"/>
  <c r="P11" i="2"/>
  <c r="R259" i="1"/>
  <c r="N47" i="17"/>
  <c r="O317" i="1"/>
  <c r="O319" i="1" s="1"/>
  <c r="Z106" i="3"/>
  <c r="V69" i="1"/>
  <c r="V71" i="1" s="1"/>
  <c r="V72" i="1" s="1"/>
  <c r="V3" i="1" s="1"/>
  <c r="W69" i="1"/>
  <c r="W71" i="1" s="1"/>
  <c r="W72" i="1" s="1"/>
  <c r="W3" i="1" s="1"/>
  <c r="Q11" i="2"/>
  <c r="P317" i="1"/>
  <c r="P42" i="1" s="1"/>
  <c r="R260" i="1"/>
  <c r="AE69" i="1"/>
  <c r="AE71" i="1" s="1"/>
  <c r="AE72" i="1" s="1"/>
  <c r="AE75" i="1" s="1"/>
  <c r="I110" i="3"/>
  <c r="I76" i="2"/>
  <c r="I77" i="2" s="1"/>
  <c r="Z69" i="1"/>
  <c r="H83" i="3"/>
  <c r="S394" i="1"/>
  <c r="T27" i="2"/>
  <c r="AA69" i="1"/>
  <c r="R220" i="1"/>
  <c r="Q316" i="1"/>
  <c r="R258" i="1"/>
  <c r="Q257" i="1"/>
  <c r="S379" i="1"/>
  <c r="T28" i="2" s="1"/>
  <c r="S28" i="2"/>
  <c r="Q263" i="1"/>
  <c r="R264" i="1"/>
  <c r="S71" i="3"/>
  <c r="R67" i="3"/>
  <c r="Q313" i="1" s="1"/>
  <c r="R247" i="1"/>
  <c r="Q246" i="1"/>
  <c r="N83" i="3"/>
  <c r="AB69" i="1"/>
  <c r="AB71" i="1" s="1"/>
  <c r="AB72" i="1" s="1"/>
  <c r="AB75" i="1" s="1"/>
  <c r="R394" i="1"/>
  <c r="S27" i="2"/>
  <c r="Q236" i="1"/>
  <c r="R237" i="1"/>
  <c r="P323" i="1"/>
  <c r="P331" i="1"/>
  <c r="P329" i="1"/>
  <c r="P324" i="1"/>
  <c r="P327" i="1"/>
  <c r="P332" i="1"/>
  <c r="P330" i="1"/>
  <c r="P328" i="1"/>
  <c r="P326" i="1"/>
  <c r="P325" i="1"/>
  <c r="L25" i="2"/>
  <c r="L26" i="2"/>
  <c r="AC69" i="1"/>
  <c r="AC71" i="1" s="1"/>
  <c r="AC72" i="1" s="1"/>
  <c r="AC3" i="1" s="1"/>
  <c r="O83" i="3"/>
  <c r="M25" i="2"/>
  <c r="M26" i="2"/>
  <c r="N26" i="2"/>
  <c r="N25" i="2"/>
  <c r="F26" i="2"/>
  <c r="F25" i="2"/>
  <c r="U69" i="1"/>
  <c r="U71" i="1" s="1"/>
  <c r="U72" i="1" s="1"/>
  <c r="U3" i="1" s="1"/>
  <c r="X69" i="1"/>
  <c r="X71" i="1" s="1"/>
  <c r="X72" i="1" s="1"/>
  <c r="X3" i="1" s="1"/>
  <c r="G26" i="2"/>
  <c r="G25" i="2"/>
  <c r="I83" i="3"/>
  <c r="H25" i="2"/>
  <c r="H26" i="2"/>
  <c r="I26" i="2"/>
  <c r="I25" i="2"/>
  <c r="AD69" i="1"/>
  <c r="AD71" i="1" s="1"/>
  <c r="AD72" i="1" s="1"/>
  <c r="AD73" i="1" s="1"/>
  <c r="AD74" i="1" s="1"/>
  <c r="J26" i="2"/>
  <c r="J25" i="2"/>
  <c r="K83" i="3"/>
  <c r="L83" i="3"/>
  <c r="M83" i="3"/>
  <c r="J83" i="3"/>
  <c r="AE74" i="1"/>
  <c r="G83" i="3"/>
  <c r="Q333" i="1"/>
  <c r="P49" i="1"/>
  <c r="O47" i="17" s="1"/>
  <c r="P335" i="1"/>
  <c r="O336" i="1"/>
  <c r="G24" i="2"/>
  <c r="L24" i="2"/>
  <c r="H24" i="2"/>
  <c r="M24" i="2"/>
  <c r="I24" i="2"/>
  <c r="N24" i="2"/>
  <c r="F66" i="2"/>
  <c r="F22" i="2"/>
  <c r="F24" i="2"/>
  <c r="J24" i="2"/>
  <c r="Y66" i="1"/>
  <c r="E65" i="20" s="1"/>
  <c r="D69" i="1"/>
  <c r="D71" i="1" s="1"/>
  <c r="D72" i="1" s="1"/>
  <c r="E60" i="2"/>
  <c r="F42" i="2"/>
  <c r="F41" i="2"/>
  <c r="F14" i="2"/>
  <c r="F40" i="2"/>
  <c r="F44" i="2"/>
  <c r="F45" i="2"/>
  <c r="F55" i="2"/>
  <c r="N42" i="2"/>
  <c r="N41" i="2"/>
  <c r="N14" i="2"/>
  <c r="N40" i="2"/>
  <c r="N66" i="2"/>
  <c r="N44" i="2"/>
  <c r="N45" i="2"/>
  <c r="N55" i="2"/>
  <c r="C21" i="19" s="1"/>
  <c r="H46" i="2"/>
  <c r="G6" i="2"/>
  <c r="J46" i="1"/>
  <c r="K6" i="2"/>
  <c r="I68" i="2"/>
  <c r="N68" i="2"/>
  <c r="G66" i="2"/>
  <c r="G44" i="2"/>
  <c r="G45" i="2"/>
  <c r="G42" i="2"/>
  <c r="G14" i="2"/>
  <c r="G41" i="2"/>
  <c r="G40" i="2"/>
  <c r="G55" i="2"/>
  <c r="K66" i="2"/>
  <c r="K44" i="2"/>
  <c r="K45" i="2"/>
  <c r="K42" i="2"/>
  <c r="K41" i="2"/>
  <c r="K14" i="2"/>
  <c r="K40" i="2"/>
  <c r="K55" i="2"/>
  <c r="I46" i="2"/>
  <c r="H6" i="2"/>
  <c r="K46" i="1"/>
  <c r="L6" i="2"/>
  <c r="F68" i="2"/>
  <c r="J68" i="2"/>
  <c r="J42" i="2"/>
  <c r="J41" i="2"/>
  <c r="J14" i="2"/>
  <c r="J40" i="2"/>
  <c r="J44" i="2"/>
  <c r="J45" i="2"/>
  <c r="J66" i="2"/>
  <c r="J55" i="2"/>
  <c r="H14" i="2"/>
  <c r="H40" i="2"/>
  <c r="H66" i="2"/>
  <c r="H44" i="2"/>
  <c r="H45" i="2"/>
  <c r="H42" i="2"/>
  <c r="H41" i="2"/>
  <c r="H55" i="2"/>
  <c r="L14" i="2"/>
  <c r="L40" i="2"/>
  <c r="L66" i="2"/>
  <c r="L44" i="2"/>
  <c r="L45" i="2"/>
  <c r="L42" i="2"/>
  <c r="L41" i="2"/>
  <c r="L55" i="2"/>
  <c r="H46" i="1"/>
  <c r="I6" i="2"/>
  <c r="L46" i="1"/>
  <c r="M6" i="2"/>
  <c r="G68" i="2"/>
  <c r="I41" i="2"/>
  <c r="I14" i="2"/>
  <c r="I40" i="2"/>
  <c r="I66" i="2"/>
  <c r="I44" i="2"/>
  <c r="I45" i="2"/>
  <c r="I42" i="2"/>
  <c r="I55" i="2"/>
  <c r="M41" i="2"/>
  <c r="M14" i="2"/>
  <c r="M40" i="2"/>
  <c r="M66" i="2"/>
  <c r="M44" i="2"/>
  <c r="M45" i="2"/>
  <c r="M42" i="2"/>
  <c r="M55" i="2"/>
  <c r="F6" i="2"/>
  <c r="I46" i="1"/>
  <c r="J6" i="2"/>
  <c r="N6" i="2"/>
  <c r="C14" i="19" s="1"/>
  <c r="H68" i="2"/>
  <c r="M68" i="2"/>
  <c r="E59" i="2"/>
  <c r="E56" i="2"/>
  <c r="AA71" i="1"/>
  <c r="AA72" i="1" s="1"/>
  <c r="AA3" i="1" s="1"/>
  <c r="Z71" i="1"/>
  <c r="Z72" i="1" s="1"/>
  <c r="Z3" i="1" s="1"/>
  <c r="J62" i="1"/>
  <c r="I60" i="17" s="1"/>
  <c r="J394" i="1"/>
  <c r="J27" i="1"/>
  <c r="I27" i="1"/>
  <c r="G27" i="1"/>
  <c r="K27" i="1"/>
  <c r="E27" i="1"/>
  <c r="M27" i="1"/>
  <c r="F27" i="1"/>
  <c r="H27" i="1"/>
  <c r="G46" i="1"/>
  <c r="L27" i="1"/>
  <c r="F46" i="1"/>
  <c r="E46" i="1"/>
  <c r="M46" i="1"/>
  <c r="H53" i="18" l="1"/>
  <c r="H61" i="18" s="1"/>
  <c r="H63" i="18" s="1"/>
  <c r="E40" i="18"/>
  <c r="E43" i="18" s="1"/>
  <c r="L40" i="18"/>
  <c r="L43" i="18" s="1"/>
  <c r="I70" i="2"/>
  <c r="H110" i="3"/>
  <c r="H70" i="2"/>
  <c r="G76" i="2"/>
  <c r="G77" i="2" s="1"/>
  <c r="M76" i="2"/>
  <c r="M77" i="2" s="1"/>
  <c r="E53" i="18"/>
  <c r="E61" i="18" s="1"/>
  <c r="E63" i="18" s="1"/>
  <c r="D40" i="18"/>
  <c r="D43" i="18" s="1"/>
  <c r="D53" i="18" s="1"/>
  <c r="D61" i="18" s="1"/>
  <c r="D63" i="18" s="1"/>
  <c r="M46" i="2"/>
  <c r="G110" i="3"/>
  <c r="F53" i="18"/>
  <c r="F61" i="18" s="1"/>
  <c r="F63" i="18" s="1"/>
  <c r="K76" i="2"/>
  <c r="K77" i="2" s="1"/>
  <c r="L70" i="2"/>
  <c r="K110" i="3"/>
  <c r="L110" i="3"/>
  <c r="K70" i="2"/>
  <c r="J60" i="17"/>
  <c r="G40" i="18"/>
  <c r="G43" i="18" s="1"/>
  <c r="G53" i="18" s="1"/>
  <c r="G61" i="18" s="1"/>
  <c r="G63" i="18" s="1"/>
  <c r="K53" i="18"/>
  <c r="K61" i="18" s="1"/>
  <c r="K63" i="18" s="1"/>
  <c r="I40" i="18"/>
  <c r="I43" i="18" s="1"/>
  <c r="I53" i="18" s="1"/>
  <c r="I61" i="18" s="1"/>
  <c r="I63" i="18" s="1"/>
  <c r="J40" i="18"/>
  <c r="J43" i="18" s="1"/>
  <c r="J53" i="18" s="1"/>
  <c r="J61" i="18" s="1"/>
  <c r="J63" i="18" s="1"/>
  <c r="O42" i="1"/>
  <c r="O320" i="1" s="1"/>
  <c r="E56" i="1"/>
  <c r="D54" i="17" s="1"/>
  <c r="D44" i="17"/>
  <c r="H36" i="17"/>
  <c r="H35" i="18"/>
  <c r="L35" i="18"/>
  <c r="L36" i="17"/>
  <c r="F56" i="1"/>
  <c r="E44" i="17"/>
  <c r="G38" i="1"/>
  <c r="F26" i="18"/>
  <c r="F26" i="17"/>
  <c r="H56" i="1"/>
  <c r="I58" i="2" s="1"/>
  <c r="G44" i="17"/>
  <c r="L76" i="2"/>
  <c r="L77" i="2" s="1"/>
  <c r="K35" i="18"/>
  <c r="K36" i="17"/>
  <c r="F35" i="18"/>
  <c r="F36" i="17"/>
  <c r="L56" i="1"/>
  <c r="M106" i="3" s="1"/>
  <c r="K44" i="17"/>
  <c r="D36" i="17"/>
  <c r="D35" i="18"/>
  <c r="K56" i="1"/>
  <c r="J44" i="17"/>
  <c r="F110" i="3"/>
  <c r="J38" i="1"/>
  <c r="I26" i="17"/>
  <c r="I26" i="18"/>
  <c r="N70" i="2"/>
  <c r="J56" i="1"/>
  <c r="K16" i="2" s="1"/>
  <c r="I44" i="17"/>
  <c r="F70" i="2"/>
  <c r="G35" i="18"/>
  <c r="G36" i="17"/>
  <c r="L53" i="18"/>
  <c r="L61" i="18" s="1"/>
  <c r="L63" i="18" s="1"/>
  <c r="J46" i="2"/>
  <c r="N76" i="2"/>
  <c r="N77" i="2" s="1"/>
  <c r="M56" i="1"/>
  <c r="N21" i="2" s="1"/>
  <c r="L44" i="17"/>
  <c r="I56" i="1"/>
  <c r="H44" i="17"/>
  <c r="K38" i="1"/>
  <c r="J26" i="17"/>
  <c r="J26" i="18"/>
  <c r="I38" i="1"/>
  <c r="H26" i="17"/>
  <c r="H26" i="18"/>
  <c r="G56" i="1"/>
  <c r="F44" i="17"/>
  <c r="H38" i="1"/>
  <c r="G26" i="17"/>
  <c r="G26" i="18"/>
  <c r="G70" i="2"/>
  <c r="F38" i="1"/>
  <c r="E26" i="18"/>
  <c r="E26" i="17"/>
  <c r="J70" i="2"/>
  <c r="M70" i="2"/>
  <c r="N110" i="3"/>
  <c r="P110" i="3" s="1"/>
  <c r="Q110" i="3" s="1"/>
  <c r="R110" i="3" s="1"/>
  <c r="S110" i="3" s="1"/>
  <c r="T110" i="3" s="1"/>
  <c r="E38" i="1"/>
  <c r="D26" i="18"/>
  <c r="D26" i="17"/>
  <c r="L38" i="1"/>
  <c r="K26" i="17"/>
  <c r="K26" i="18"/>
  <c r="J35" i="18"/>
  <c r="J36" i="17"/>
  <c r="M38" i="1"/>
  <c r="L26" i="18"/>
  <c r="L26" i="17"/>
  <c r="F46" i="2"/>
  <c r="L46" i="2"/>
  <c r="J76" i="2"/>
  <c r="J77" i="2" s="1"/>
  <c r="E35" i="18"/>
  <c r="E36" i="17"/>
  <c r="I36" i="17"/>
  <c r="I35" i="18"/>
  <c r="S259" i="1"/>
  <c r="P320" i="1"/>
  <c r="P319" i="1"/>
  <c r="R11" i="2"/>
  <c r="Q317" i="1"/>
  <c r="S260" i="1"/>
  <c r="AE3" i="1"/>
  <c r="V75" i="1"/>
  <c r="AB3" i="1"/>
  <c r="S237" i="1"/>
  <c r="R236" i="1"/>
  <c r="S258" i="1"/>
  <c r="R257" i="1"/>
  <c r="X75" i="1"/>
  <c r="T71" i="3"/>
  <c r="T67" i="3" s="1"/>
  <c r="S67" i="3"/>
  <c r="R313" i="1" s="1"/>
  <c r="S220" i="1"/>
  <c r="S316" i="1" s="1"/>
  <c r="R316" i="1"/>
  <c r="W75" i="1"/>
  <c r="U75" i="1"/>
  <c r="S264" i="1"/>
  <c r="S263" i="1" s="1"/>
  <c r="R263" i="1"/>
  <c r="AA75" i="1"/>
  <c r="Z75" i="1"/>
  <c r="S247" i="1"/>
  <c r="S246" i="1" s="1"/>
  <c r="R246" i="1"/>
  <c r="Q328" i="1"/>
  <c r="Q330" i="1"/>
  <c r="Q332" i="1"/>
  <c r="Q324" i="1"/>
  <c r="Q327" i="1"/>
  <c r="Q329" i="1"/>
  <c r="Q325" i="1"/>
  <c r="Q331" i="1"/>
  <c r="Q326" i="1"/>
  <c r="Q323" i="1"/>
  <c r="N17" i="2"/>
  <c r="F106" i="3"/>
  <c r="F16" i="2"/>
  <c r="K25" i="2"/>
  <c r="K26" i="2"/>
  <c r="P83" i="3"/>
  <c r="O359" i="1" s="1"/>
  <c r="P336" i="1"/>
  <c r="R333" i="1"/>
  <c r="Q49" i="1"/>
  <c r="P47" i="17" s="1"/>
  <c r="Q335" i="1"/>
  <c r="F21" i="2"/>
  <c r="K24" i="2"/>
  <c r="Z104" i="3"/>
  <c r="Y69" i="1"/>
  <c r="E68" i="20" s="1"/>
  <c r="D3" i="1"/>
  <c r="E74" i="2" s="1"/>
  <c r="E75" i="2" s="1"/>
  <c r="H58" i="2"/>
  <c r="F58" i="2"/>
  <c r="G58" i="2"/>
  <c r="E66" i="1"/>
  <c r="F67" i="2"/>
  <c r="F13" i="2"/>
  <c r="K68" i="2"/>
  <c r="L68" i="2"/>
  <c r="AD3" i="1"/>
  <c r="J66" i="1"/>
  <c r="K21" i="2" l="1"/>
  <c r="K17" i="2"/>
  <c r="M66" i="1"/>
  <c r="N16" i="2"/>
  <c r="J54" i="17"/>
  <c r="E54" i="17"/>
  <c r="N67" i="2"/>
  <c r="M13" i="2"/>
  <c r="N13" i="2"/>
  <c r="K15" i="2"/>
  <c r="N58" i="2"/>
  <c r="K106" i="3"/>
  <c r="F15" i="2"/>
  <c r="N15" i="2"/>
  <c r="C26" i="19" s="1"/>
  <c r="K58" i="2"/>
  <c r="F17" i="2"/>
  <c r="L13" i="2"/>
  <c r="L21" i="2"/>
  <c r="M17" i="2"/>
  <c r="O40" i="17"/>
  <c r="N40" i="17"/>
  <c r="I15" i="2"/>
  <c r="L66" i="1"/>
  <c r="M60" i="2" s="1"/>
  <c r="M15" i="2"/>
  <c r="M21" i="2"/>
  <c r="M16" i="2"/>
  <c r="I17" i="2"/>
  <c r="I106" i="3"/>
  <c r="H66" i="1"/>
  <c r="I56" i="2" s="1"/>
  <c r="I16" i="2"/>
  <c r="M58" i="2"/>
  <c r="L15" i="2"/>
  <c r="I21" i="2"/>
  <c r="L106" i="3"/>
  <c r="F54" i="17"/>
  <c r="H54" i="17"/>
  <c r="I13" i="2"/>
  <c r="L54" i="17"/>
  <c r="I66" i="1"/>
  <c r="J59" i="2" s="1"/>
  <c r="J67" i="2"/>
  <c r="G21" i="2"/>
  <c r="G17" i="2"/>
  <c r="I54" i="17"/>
  <c r="I67" i="2"/>
  <c r="G16" i="2"/>
  <c r="M67" i="2"/>
  <c r="H15" i="2"/>
  <c r="G13" i="2"/>
  <c r="J16" i="2"/>
  <c r="H106" i="3"/>
  <c r="G106" i="3"/>
  <c r="G54" i="17"/>
  <c r="H13" i="2"/>
  <c r="K66" i="1"/>
  <c r="J62" i="17" s="1"/>
  <c r="H67" i="2"/>
  <c r="G66" i="1"/>
  <c r="H59" i="2" s="1"/>
  <c r="H21" i="2"/>
  <c r="J17" i="2"/>
  <c r="H16" i="2"/>
  <c r="K54" i="17"/>
  <c r="J13" i="2"/>
  <c r="J15" i="2"/>
  <c r="I62" i="17"/>
  <c r="L16" i="2"/>
  <c r="L58" i="2"/>
  <c r="J106" i="3"/>
  <c r="G67" i="2"/>
  <c r="K67" i="2"/>
  <c r="G15" i="2"/>
  <c r="H17" i="2"/>
  <c r="F104" i="3"/>
  <c r="D62" i="17"/>
  <c r="L67" i="2"/>
  <c r="K13" i="2"/>
  <c r="F66" i="1"/>
  <c r="G59" i="2" s="1"/>
  <c r="J58" i="2"/>
  <c r="J21" i="2"/>
  <c r="L17" i="2"/>
  <c r="N106" i="3"/>
  <c r="S11" i="2"/>
  <c r="R317" i="1"/>
  <c r="R319" i="1" s="1"/>
  <c r="S236" i="1"/>
  <c r="R331" i="1"/>
  <c r="R327" i="1"/>
  <c r="R328" i="1"/>
  <c r="S313" i="1"/>
  <c r="S257" i="1"/>
  <c r="R325" i="1"/>
  <c r="Q319" i="1"/>
  <c r="Q42" i="1"/>
  <c r="R329" i="1"/>
  <c r="R324" i="1"/>
  <c r="R323" i="1"/>
  <c r="R332" i="1"/>
  <c r="R326" i="1"/>
  <c r="R330" i="1"/>
  <c r="O355" i="1"/>
  <c r="O353" i="1"/>
  <c r="O356" i="1"/>
  <c r="O354" i="1"/>
  <c r="O357" i="1"/>
  <c r="O358" i="1"/>
  <c r="O352" i="1"/>
  <c r="O54" i="1"/>
  <c r="O361" i="1"/>
  <c r="Q83" i="3"/>
  <c r="R83" i="3" s="1"/>
  <c r="Q336" i="1"/>
  <c r="S333" i="1"/>
  <c r="R49" i="1"/>
  <c r="Q47" i="17" s="1"/>
  <c r="R335" i="1"/>
  <c r="L60" i="2"/>
  <c r="L104" i="3"/>
  <c r="M104" i="3"/>
  <c r="N56" i="2"/>
  <c r="N104" i="3"/>
  <c r="K60" i="2"/>
  <c r="K104" i="3"/>
  <c r="Y71" i="1"/>
  <c r="E70" i="20" s="1"/>
  <c r="E57" i="2"/>
  <c r="N59" i="2"/>
  <c r="N60" i="2"/>
  <c r="M69" i="1"/>
  <c r="F56" i="2"/>
  <c r="F60" i="2"/>
  <c r="E69" i="1"/>
  <c r="F59" i="2"/>
  <c r="L69" i="1"/>
  <c r="M56" i="2"/>
  <c r="I59" i="2"/>
  <c r="J69" i="1"/>
  <c r="K56" i="2"/>
  <c r="K59" i="2"/>
  <c r="L59" i="2"/>
  <c r="L56" i="2"/>
  <c r="J60" i="2" l="1"/>
  <c r="H69" i="1"/>
  <c r="H71" i="1" s="1"/>
  <c r="H72" i="1" s="1"/>
  <c r="I57" i="2" s="1"/>
  <c r="H62" i="17"/>
  <c r="J56" i="2"/>
  <c r="G69" i="1"/>
  <c r="H60" i="2"/>
  <c r="I60" i="2"/>
  <c r="L62" i="17"/>
  <c r="I104" i="3"/>
  <c r="I69" i="1"/>
  <c r="I64" i="17" s="1"/>
  <c r="H56" i="2"/>
  <c r="J104" i="3"/>
  <c r="K69" i="1"/>
  <c r="J64" i="17" s="1"/>
  <c r="M59" i="2"/>
  <c r="H104" i="3"/>
  <c r="F62" i="17"/>
  <c r="G56" i="2"/>
  <c r="E62" i="17"/>
  <c r="G60" i="2"/>
  <c r="L71" i="1"/>
  <c r="L72" i="1" s="1"/>
  <c r="L3" i="1" s="1"/>
  <c r="M74" i="2" s="1"/>
  <c r="L64" i="17"/>
  <c r="F69" i="1"/>
  <c r="E64" i="17" s="1"/>
  <c r="G104" i="3"/>
  <c r="I71" i="1"/>
  <c r="I72" i="1" s="1"/>
  <c r="J57" i="2" s="1"/>
  <c r="J71" i="1"/>
  <c r="J72" i="1" s="1"/>
  <c r="J3" i="1" s="1"/>
  <c r="K74" i="2" s="1"/>
  <c r="F69" i="2"/>
  <c r="D64" i="17"/>
  <c r="K62" i="17"/>
  <c r="G62" i="17"/>
  <c r="Q320" i="1"/>
  <c r="P40" i="17"/>
  <c r="N52" i="17"/>
  <c r="R42" i="1"/>
  <c r="T11" i="2"/>
  <c r="S317" i="1"/>
  <c r="S42" i="1" s="1"/>
  <c r="S328" i="1"/>
  <c r="S331" i="1"/>
  <c r="Y72" i="1"/>
  <c r="Y75" i="1" s="1"/>
  <c r="S332" i="1"/>
  <c r="S323" i="1"/>
  <c r="S327" i="1"/>
  <c r="S329" i="1"/>
  <c r="S330" i="1"/>
  <c r="S325" i="1"/>
  <c r="S324" i="1"/>
  <c r="S326" i="1"/>
  <c r="P359" i="1"/>
  <c r="P352" i="1" s="1"/>
  <c r="S83" i="3"/>
  <c r="T83" i="3" s="1"/>
  <c r="O362" i="1"/>
  <c r="S49" i="1"/>
  <c r="R47" i="17" s="1"/>
  <c r="S335" i="1"/>
  <c r="R336" i="1"/>
  <c r="M71" i="1"/>
  <c r="C27" i="19" s="1"/>
  <c r="E71" i="1"/>
  <c r="G69" i="2"/>
  <c r="N69" i="2"/>
  <c r="J62" i="2"/>
  <c r="K71" i="1"/>
  <c r="K72" i="1" s="1"/>
  <c r="L57" i="2" s="1"/>
  <c r="J69" i="2"/>
  <c r="H64" i="17" l="1"/>
  <c r="I69" i="2"/>
  <c r="G71" i="1"/>
  <c r="H69" i="2"/>
  <c r="F71" i="1"/>
  <c r="F72" i="1" s="1"/>
  <c r="F3" i="1" s="1"/>
  <c r="G74" i="2" s="1"/>
  <c r="G75" i="2" s="1"/>
  <c r="G64" i="17"/>
  <c r="M69" i="2"/>
  <c r="L69" i="2"/>
  <c r="K64" i="17"/>
  <c r="K69" i="2"/>
  <c r="K61" i="2"/>
  <c r="M62" i="2"/>
  <c r="M61" i="2"/>
  <c r="J61" i="2"/>
  <c r="K62" i="2"/>
  <c r="F64" i="17"/>
  <c r="R320" i="1"/>
  <c r="Q40" i="17"/>
  <c r="S320" i="1"/>
  <c r="R40" i="17"/>
  <c r="Y3" i="1"/>
  <c r="M75" i="2"/>
  <c r="K75" i="2"/>
  <c r="G61" i="2"/>
  <c r="S319" i="1"/>
  <c r="F61" i="2"/>
  <c r="E72" i="1"/>
  <c r="F75" i="1"/>
  <c r="H62" i="2"/>
  <c r="G72" i="1"/>
  <c r="G3" i="1" s="1"/>
  <c r="H74" i="2" s="1"/>
  <c r="G62" i="2"/>
  <c r="N61" i="2"/>
  <c r="C24" i="19" s="1"/>
  <c r="C23" i="19" s="1"/>
  <c r="M72" i="1"/>
  <c r="P355" i="1"/>
  <c r="P356" i="1"/>
  <c r="P354" i="1"/>
  <c r="P353" i="1"/>
  <c r="P357" i="1"/>
  <c r="P358" i="1"/>
  <c r="Q359" i="1"/>
  <c r="Q352" i="1" s="1"/>
  <c r="P54" i="1"/>
  <c r="P361" i="1"/>
  <c r="S336" i="1"/>
  <c r="N62" i="2"/>
  <c r="H61" i="2"/>
  <c r="F62" i="2"/>
  <c r="H3" i="1"/>
  <c r="I74" i="2" s="1"/>
  <c r="I75" i="1"/>
  <c r="I3" i="1"/>
  <c r="J74" i="2" s="1"/>
  <c r="K3" i="1"/>
  <c r="L74" i="2" s="1"/>
  <c r="K75" i="1"/>
  <c r="H75" i="1"/>
  <c r="L75" i="1"/>
  <c r="M57" i="2"/>
  <c r="J75" i="1"/>
  <c r="K57" i="2"/>
  <c r="L62" i="2"/>
  <c r="L61" i="2"/>
  <c r="I61" i="2"/>
  <c r="I62" i="2"/>
  <c r="G57" i="2" l="1"/>
  <c r="P362" i="1"/>
  <c r="O52" i="17"/>
  <c r="H57" i="2"/>
  <c r="J75" i="2"/>
  <c r="J78" i="2"/>
  <c r="H75" i="2"/>
  <c r="H78" i="2"/>
  <c r="K78" i="2"/>
  <c r="K79" i="2" s="1"/>
  <c r="L75" i="2"/>
  <c r="L78" i="2"/>
  <c r="I75" i="2"/>
  <c r="I78" i="2"/>
  <c r="M78" i="2"/>
  <c r="M79" i="2" s="1"/>
  <c r="G75" i="1"/>
  <c r="E3" i="1"/>
  <c r="F74" i="2" s="1"/>
  <c r="F57" i="2"/>
  <c r="E75" i="1"/>
  <c r="N57" i="2"/>
  <c r="M3" i="1"/>
  <c r="M75" i="1"/>
  <c r="P55" i="1"/>
  <c r="Q358" i="1"/>
  <c r="Q354" i="1"/>
  <c r="Q357" i="1"/>
  <c r="Q353" i="1"/>
  <c r="Q356" i="1"/>
  <c r="Q355" i="1"/>
  <c r="R359" i="1"/>
  <c r="R352" i="1" s="1"/>
  <c r="Q54" i="1"/>
  <c r="Q361" i="1"/>
  <c r="AF188" i="1"/>
  <c r="N74" i="2" l="1"/>
  <c r="C13" i="19"/>
  <c r="Q362" i="1"/>
  <c r="P52" i="17"/>
  <c r="I79" i="2"/>
  <c r="J79" i="2"/>
  <c r="L79" i="2"/>
  <c r="F75" i="2"/>
  <c r="F78" i="2"/>
  <c r="G78" i="2"/>
  <c r="G79" i="2" s="1"/>
  <c r="Q55" i="1"/>
  <c r="P53" i="17" s="1"/>
  <c r="H79" i="2"/>
  <c r="N75" i="2"/>
  <c r="N78" i="2"/>
  <c r="R353" i="1"/>
  <c r="R355" i="1"/>
  <c r="R356" i="1"/>
  <c r="R357" i="1"/>
  <c r="R354" i="1"/>
  <c r="R358" i="1"/>
  <c r="S359" i="1"/>
  <c r="S352" i="1" s="1"/>
  <c r="R54" i="1"/>
  <c r="R361" i="1"/>
  <c r="AF196" i="1"/>
  <c r="AF187" i="1"/>
  <c r="AF180" i="1"/>
  <c r="AF184" i="1"/>
  <c r="AF175" i="1"/>
  <c r="AF182" i="1"/>
  <c r="AF176" i="1"/>
  <c r="AF181" i="1"/>
  <c r="AF173" i="1"/>
  <c r="AF191" i="1"/>
  <c r="AF189" i="1"/>
  <c r="AF177" i="1"/>
  <c r="AF178" i="1"/>
  <c r="AF179" i="1"/>
  <c r="AF174" i="1"/>
  <c r="AF190" i="1"/>
  <c r="AF183" i="1"/>
  <c r="AF185" i="1"/>
  <c r="AF186" i="1"/>
  <c r="R362" i="1" l="1"/>
  <c r="Q52" i="17"/>
  <c r="F79" i="2"/>
  <c r="N79" i="2"/>
  <c r="AF200" i="1"/>
  <c r="N196" i="1"/>
  <c r="R55" i="1"/>
  <c r="Q53" i="17" s="1"/>
  <c r="S358" i="1"/>
  <c r="S356" i="1"/>
  <c r="S354" i="1"/>
  <c r="S357" i="1"/>
  <c r="S355" i="1"/>
  <c r="S353" i="1"/>
  <c r="S54" i="1"/>
  <c r="S361" i="1"/>
  <c r="AF197" i="1"/>
  <c r="AF199" i="1"/>
  <c r="AF198" i="1"/>
  <c r="AF202" i="1"/>
  <c r="N202" i="1" s="1"/>
  <c r="S55" i="1" l="1"/>
  <c r="R53" i="17" s="1"/>
  <c r="R52" i="17"/>
  <c r="N204" i="1"/>
  <c r="N206" i="1"/>
  <c r="N203" i="1"/>
  <c r="N205" i="1"/>
  <c r="N208" i="1"/>
  <c r="S362" i="1"/>
  <c r="O99" i="3"/>
  <c r="O43" i="3"/>
  <c r="P43" i="3" s="1"/>
  <c r="Q43" i="3" s="1"/>
  <c r="R43" i="3" s="1"/>
  <c r="S43" i="3" s="1"/>
  <c r="T43" i="3" s="1"/>
  <c r="AF206" i="1"/>
  <c r="AF208" i="1"/>
  <c r="AF203" i="1"/>
  <c r="AF204" i="1"/>
  <c r="AF205" i="1"/>
  <c r="O192" i="1" l="1"/>
  <c r="AF210" i="1"/>
  <c r="AF211" i="1" s="1"/>
  <c r="AF213" i="1" l="1"/>
  <c r="N211" i="1"/>
  <c r="O189" i="1"/>
  <c r="O182" i="1"/>
  <c r="O176" i="1"/>
  <c r="O174" i="1"/>
  <c r="O180" i="1"/>
  <c r="O173" i="1"/>
  <c r="O178" i="1"/>
  <c r="O177" i="1"/>
  <c r="O188" i="1"/>
  <c r="O175" i="1"/>
  <c r="O187" i="1"/>
  <c r="O186" i="1"/>
  <c r="O179" i="1"/>
  <c r="O181" i="1"/>
  <c r="O191" i="1"/>
  <c r="O183" i="1"/>
  <c r="O185" i="1"/>
  <c r="O190" i="1"/>
  <c r="O184" i="1"/>
  <c r="N210" i="1"/>
  <c r="P192" i="1"/>
  <c r="AF397" i="1"/>
  <c r="AF404" i="1" s="1"/>
  <c r="N404" i="1" s="1"/>
  <c r="AF11" i="1"/>
  <c r="P181" i="1" l="1"/>
  <c r="N398" i="1"/>
  <c r="O398" i="1" s="1"/>
  <c r="P398" i="1" s="1"/>
  <c r="Q398" i="1" s="1"/>
  <c r="R398" i="1" s="1"/>
  <c r="S398" i="1" s="1"/>
  <c r="N397" i="1"/>
  <c r="N403" i="1"/>
  <c r="N402" i="1"/>
  <c r="N401" i="1"/>
  <c r="N400" i="1"/>
  <c r="N399" i="1"/>
  <c r="P173" i="1"/>
  <c r="P177" i="1"/>
  <c r="P183" i="1"/>
  <c r="P191" i="1"/>
  <c r="P178" i="1"/>
  <c r="P180" i="1"/>
  <c r="P174" i="1"/>
  <c r="P184" i="1"/>
  <c r="P187" i="1"/>
  <c r="P176" i="1"/>
  <c r="P190" i="1"/>
  <c r="P175" i="1"/>
  <c r="P182" i="1"/>
  <c r="P179" i="1"/>
  <c r="P186" i="1"/>
  <c r="P185" i="1"/>
  <c r="P188" i="1"/>
  <c r="P189" i="1"/>
  <c r="Q192" i="1"/>
  <c r="AF45" i="1"/>
  <c r="AF407" i="1" s="1"/>
  <c r="AF406" i="1"/>
  <c r="N406" i="1"/>
  <c r="AF214" i="1"/>
  <c r="AF301" i="1"/>
  <c r="AF25" i="1"/>
  <c r="N301" i="1" l="1"/>
  <c r="Q174" i="1"/>
  <c r="Q179" i="1"/>
  <c r="Q191" i="1"/>
  <c r="Q181" i="1"/>
  <c r="Q184" i="1"/>
  <c r="Q186" i="1"/>
  <c r="Q187" i="1"/>
  <c r="Q177" i="1"/>
  <c r="Q182" i="1"/>
  <c r="Q189" i="1"/>
  <c r="Q175" i="1"/>
  <c r="Q183" i="1"/>
  <c r="Q190" i="1"/>
  <c r="Q173" i="1"/>
  <c r="Q180" i="1"/>
  <c r="Q178" i="1"/>
  <c r="Q188" i="1"/>
  <c r="Q185" i="1"/>
  <c r="Q176" i="1"/>
  <c r="N11" i="1"/>
  <c r="N213" i="1"/>
  <c r="S192" i="1"/>
  <c r="R192" i="1"/>
  <c r="N45" i="1"/>
  <c r="AF10" i="1"/>
  <c r="AF168" i="1"/>
  <c r="M10" i="17" l="1"/>
  <c r="M43" i="17"/>
  <c r="O56" i="3"/>
  <c r="N436" i="1"/>
  <c r="N440" i="1" s="1"/>
  <c r="R177" i="1"/>
  <c r="S177" i="1" s="1"/>
  <c r="R183" i="1"/>
  <c r="S183" i="1" s="1"/>
  <c r="R178" i="1"/>
  <c r="S178" i="1" s="1"/>
  <c r="R175" i="1"/>
  <c r="S175" i="1" s="1"/>
  <c r="R189" i="1"/>
  <c r="S189" i="1" s="1"/>
  <c r="R191" i="1"/>
  <c r="S191" i="1" s="1"/>
  <c r="R180" i="1"/>
  <c r="S180" i="1" s="1"/>
  <c r="R181" i="1"/>
  <c r="S181" i="1" s="1"/>
  <c r="R179" i="1"/>
  <c r="S179" i="1" s="1"/>
  <c r="R182" i="1"/>
  <c r="S182" i="1" s="1"/>
  <c r="R173" i="1"/>
  <c r="S173" i="1" s="1"/>
  <c r="R176" i="1"/>
  <c r="S176" i="1" s="1"/>
  <c r="R190" i="1"/>
  <c r="S190" i="1" s="1"/>
  <c r="R184" i="1"/>
  <c r="S184" i="1" s="1"/>
  <c r="R185" i="1"/>
  <c r="S185" i="1" s="1"/>
  <c r="R174" i="1"/>
  <c r="S174" i="1" s="1"/>
  <c r="R186" i="1"/>
  <c r="S186" i="1" s="1"/>
  <c r="R188" i="1"/>
  <c r="S188" i="1" s="1"/>
  <c r="R187" i="1"/>
  <c r="S187" i="1" s="1"/>
  <c r="O10" i="2"/>
  <c r="N407" i="1"/>
  <c r="O36" i="2"/>
  <c r="O48" i="2"/>
  <c r="O92" i="3"/>
  <c r="N214" i="1"/>
  <c r="AF169" i="1"/>
  <c r="AF302" i="1"/>
  <c r="N441" i="1" l="1"/>
  <c r="AF303" i="1"/>
  <c r="N303" i="1" s="1"/>
  <c r="AF304" i="1"/>
  <c r="N304" i="1" s="1"/>
  <c r="AF305" i="1"/>
  <c r="O209" i="1" l="1"/>
  <c r="O196" i="1"/>
  <c r="P32" i="2" l="1"/>
  <c r="E16" i="19" s="1"/>
  <c r="P35" i="2"/>
  <c r="AF9" i="1" l="1"/>
  <c r="AF122" i="1" s="1"/>
  <c r="AF109" i="1"/>
  <c r="AF110" i="1"/>
  <c r="AF111" i="1"/>
  <c r="AF112" i="1"/>
  <c r="AF114" i="1"/>
  <c r="AF115" i="1"/>
  <c r="AF116" i="1"/>
  <c r="AF117" i="1"/>
  <c r="AF118" i="1"/>
  <c r="AF121" i="1"/>
  <c r="AF306" i="1" l="1"/>
  <c r="AF307" i="1" s="1"/>
  <c r="N113" i="1"/>
  <c r="AF113" i="1"/>
  <c r="N306" i="1" l="1"/>
  <c r="N307" i="1"/>
  <c r="N9" i="1"/>
  <c r="N121" i="1"/>
  <c r="M8" i="17" l="1"/>
  <c r="AF41" i="1"/>
  <c r="AF310" i="1" s="1"/>
  <c r="N41" i="1"/>
  <c r="AF309" i="1"/>
  <c r="O41" i="3"/>
  <c r="P41" i="3" s="1"/>
  <c r="Q41" i="3" s="1"/>
  <c r="R41" i="3" s="1"/>
  <c r="S41" i="3" s="1"/>
  <c r="T41" i="3" s="1"/>
  <c r="N122" i="1"/>
  <c r="N310" i="1" l="1"/>
  <c r="M39" i="17"/>
  <c r="M38" i="18"/>
  <c r="M50" i="18"/>
  <c r="M48" i="18"/>
  <c r="M58" i="18"/>
  <c r="M49" i="18"/>
  <c r="M51" i="18"/>
  <c r="M47" i="18"/>
  <c r="M56" i="18"/>
  <c r="M39" i="18"/>
  <c r="M46" i="18"/>
  <c r="M52" i="18"/>
  <c r="M42" i="18"/>
  <c r="AF43" i="1"/>
  <c r="AF46" i="1" s="1"/>
  <c r="AF56" i="1" s="1"/>
  <c r="AF60" i="1" s="1"/>
  <c r="N60" i="1" s="1"/>
  <c r="N305" i="1"/>
  <c r="N309" i="1"/>
  <c r="N43" i="1"/>
  <c r="M41" i="17" s="1"/>
  <c r="M40" i="18" l="1"/>
  <c r="M43" i="18" s="1"/>
  <c r="M53" i="18" s="1"/>
  <c r="M57" i="18"/>
  <c r="M59" i="18" s="1"/>
  <c r="M58" i="17"/>
  <c r="O57" i="3"/>
  <c r="N302" i="1"/>
  <c r="N46" i="1"/>
  <c r="AF62" i="1"/>
  <c r="AF66" i="1" s="1"/>
  <c r="AF68" i="1" s="1"/>
  <c r="N68" i="1" s="1"/>
  <c r="N62" i="1"/>
  <c r="M60" i="17" s="1"/>
  <c r="P119" i="1"/>
  <c r="O119" i="1"/>
  <c r="N56" i="1" l="1"/>
  <c r="M44" i="17"/>
  <c r="M62" i="18"/>
  <c r="M63" i="17"/>
  <c r="O9" i="2"/>
  <c r="M61" i="18"/>
  <c r="M63" i="18" s="1"/>
  <c r="O58" i="2"/>
  <c r="O21" i="2"/>
  <c r="O16" i="2"/>
  <c r="O17" i="2"/>
  <c r="O67" i="2"/>
  <c r="O13" i="2"/>
  <c r="AF69" i="1"/>
  <c r="AF71" i="1" s="1"/>
  <c r="AF72" i="1" s="1"/>
  <c r="AF73" i="1" s="1"/>
  <c r="N66" i="1"/>
  <c r="O68" i="2"/>
  <c r="O25" i="2"/>
  <c r="O26" i="2"/>
  <c r="O24" i="2"/>
  <c r="O118" i="1"/>
  <c r="P118" i="1" s="1"/>
  <c r="O109" i="1"/>
  <c r="O110" i="1"/>
  <c r="P110" i="1" s="1"/>
  <c r="O114" i="1"/>
  <c r="P114" i="1" s="1"/>
  <c r="O116" i="1"/>
  <c r="P116" i="1" s="1"/>
  <c r="O115" i="1"/>
  <c r="P115" i="1" s="1"/>
  <c r="O111" i="1"/>
  <c r="P111" i="1" s="1"/>
  <c r="O112" i="1"/>
  <c r="P112" i="1" s="1"/>
  <c r="O117" i="1"/>
  <c r="P117" i="1" s="1"/>
  <c r="O121" i="1"/>
  <c r="O9" i="1"/>
  <c r="N8" i="17" s="1"/>
  <c r="P121" i="1"/>
  <c r="P9" i="1"/>
  <c r="O104" i="3" l="1"/>
  <c r="M62" i="17"/>
  <c r="P122" i="1"/>
  <c r="O8" i="17"/>
  <c r="O106" i="3"/>
  <c r="M54" i="17"/>
  <c r="AF74" i="1"/>
  <c r="AF31" i="1" s="1"/>
  <c r="AF89" i="1" s="1"/>
  <c r="N89" i="1" s="1"/>
  <c r="N69" i="1"/>
  <c r="M64" i="17" s="1"/>
  <c r="O56" i="2"/>
  <c r="P109" i="1"/>
  <c r="O113" i="1"/>
  <c r="Q119" i="1"/>
  <c r="Q121" i="1" s="1"/>
  <c r="R119" i="1"/>
  <c r="S119" i="1"/>
  <c r="S121" i="1" s="1"/>
  <c r="O122" i="1"/>
  <c r="N85" i="1" l="1"/>
  <c r="N84" i="1"/>
  <c r="N82" i="1"/>
  <c r="N81" i="1"/>
  <c r="N88" i="1"/>
  <c r="N87" i="1"/>
  <c r="AF3" i="1"/>
  <c r="O69" i="2"/>
  <c r="N71" i="1"/>
  <c r="Q110" i="1"/>
  <c r="R110" i="1" s="1"/>
  <c r="S110" i="1" s="1"/>
  <c r="Q114" i="1"/>
  <c r="R114" i="1" s="1"/>
  <c r="S114" i="1" s="1"/>
  <c r="Q109" i="1"/>
  <c r="P113" i="1"/>
  <c r="Q112" i="1"/>
  <c r="R112" i="1" s="1"/>
  <c r="S112" i="1" s="1"/>
  <c r="Q118" i="1"/>
  <c r="R118" i="1" s="1"/>
  <c r="S118" i="1" s="1"/>
  <c r="Q116" i="1"/>
  <c r="R116" i="1" s="1"/>
  <c r="S116" i="1" s="1"/>
  <c r="Q115" i="1"/>
  <c r="R115" i="1" s="1"/>
  <c r="S115" i="1" s="1"/>
  <c r="Q117" i="1"/>
  <c r="R117" i="1" s="1"/>
  <c r="S117" i="1" s="1"/>
  <c r="Q111" i="1"/>
  <c r="R111" i="1" s="1"/>
  <c r="S111" i="1" s="1"/>
  <c r="Q9" i="1"/>
  <c r="S9" i="1"/>
  <c r="R121" i="1"/>
  <c r="R9" i="1"/>
  <c r="AF88" i="1"/>
  <c r="AF85" i="1"/>
  <c r="AF7" i="1"/>
  <c r="AF87" i="1"/>
  <c r="AF84" i="1"/>
  <c r="AF81" i="1"/>
  <c r="AF91" i="1"/>
  <c r="AF82" i="1"/>
  <c r="AF34" i="1"/>
  <c r="AF37" i="1" s="1"/>
  <c r="AF298" i="1"/>
  <c r="N72" i="1" l="1"/>
  <c r="N3" i="1" s="1"/>
  <c r="D27" i="19"/>
  <c r="R122" i="1"/>
  <c r="Q8" i="17"/>
  <c r="Q122" i="1"/>
  <c r="P8" i="17"/>
  <c r="S122" i="1"/>
  <c r="R8" i="17"/>
  <c r="R109" i="1"/>
  <c r="Q113" i="1"/>
  <c r="AF86" i="1"/>
  <c r="AF80" i="1"/>
  <c r="AF83" i="1"/>
  <c r="AF92" i="1"/>
  <c r="AF16" i="1"/>
  <c r="AF27" i="1" s="1"/>
  <c r="AF38" i="1" s="1"/>
  <c r="O74" i="2" l="1"/>
  <c r="D13" i="19"/>
  <c r="S109" i="1"/>
  <c r="S113" i="1" s="1"/>
  <c r="R113" i="1"/>
  <c r="O75" i="2" l="1"/>
  <c r="O78" i="2"/>
  <c r="O61" i="3"/>
  <c r="P57" i="3" s="1"/>
  <c r="O302" i="1" s="1"/>
  <c r="P9" i="2" l="1"/>
  <c r="O304" i="1"/>
  <c r="O303" i="1"/>
  <c r="O305" i="1"/>
  <c r="Q57" i="3"/>
  <c r="P302" i="1" s="1"/>
  <c r="Q9" i="2" l="1"/>
  <c r="R57" i="3"/>
  <c r="Q302" i="1" s="1"/>
  <c r="R9" i="2" l="1"/>
  <c r="S57" i="3"/>
  <c r="R302" i="1" s="1"/>
  <c r="AF132" i="1"/>
  <c r="AF149" i="1" s="1"/>
  <c r="S9" i="2" l="1"/>
  <c r="AF138" i="1"/>
  <c r="AF128" i="1" s="1"/>
  <c r="T57" i="3"/>
  <c r="S302" i="1" s="1"/>
  <c r="T9" i="2" l="1"/>
  <c r="AF161" i="1"/>
  <c r="AF163" i="1" s="1"/>
  <c r="O55" i="1"/>
  <c r="O349" i="1"/>
  <c r="G18" i="12" l="1"/>
  <c r="N53" i="17"/>
  <c r="O53" i="17"/>
  <c r="O60" i="3"/>
  <c r="P56" i="3" l="1"/>
  <c r="Q56" i="3"/>
  <c r="R56" i="3" l="1"/>
  <c r="S56" i="3"/>
  <c r="T56" i="3" l="1"/>
  <c r="R76" i="1" l="1"/>
  <c r="R77" i="1" s="1"/>
  <c r="Q77" i="1"/>
  <c r="S76" i="1" l="1"/>
  <c r="S77" i="1" s="1"/>
  <c r="N83" i="1" l="1"/>
  <c r="N86" i="1"/>
  <c r="N80" i="1"/>
  <c r="N7" i="1" l="1"/>
  <c r="N91" i="1"/>
  <c r="O39" i="3" l="1"/>
  <c r="M6" i="17"/>
  <c r="N92" i="1"/>
  <c r="N95" i="1" l="1"/>
  <c r="N103" i="1" l="1"/>
  <c r="N8" i="1"/>
  <c r="M7" i="17" l="1"/>
  <c r="O8" i="2"/>
  <c r="O40" i="3"/>
  <c r="N16" i="1"/>
  <c r="O7" i="2"/>
  <c r="O6" i="2"/>
  <c r="N104" i="1"/>
  <c r="O58" i="3"/>
  <c r="O62" i="3" s="1"/>
  <c r="O5" i="2" l="1"/>
  <c r="D14" i="19"/>
  <c r="M15" i="17"/>
  <c r="M15" i="18"/>
  <c r="M22" i="18"/>
  <c r="M32" i="18"/>
  <c r="M29" i="18"/>
  <c r="M13" i="18"/>
  <c r="M12" i="18"/>
  <c r="M14" i="18"/>
  <c r="M23" i="18"/>
  <c r="M9" i="18"/>
  <c r="M21" i="18"/>
  <c r="M18" i="18"/>
  <c r="M11" i="18"/>
  <c r="M20" i="18"/>
  <c r="M19" i="18"/>
  <c r="M24" i="18"/>
  <c r="M10" i="18"/>
  <c r="M8" i="18"/>
  <c r="M6" i="18"/>
  <c r="M7" i="18"/>
  <c r="O59" i="2"/>
  <c r="O66" i="2"/>
  <c r="O22" i="2"/>
  <c r="O45" i="2"/>
  <c r="O55" i="2"/>
  <c r="D21" i="19" s="1"/>
  <c r="O40" i="2"/>
  <c r="O44" i="2"/>
  <c r="O61" i="2"/>
  <c r="D24" i="19" s="1"/>
  <c r="O15" i="2"/>
  <c r="D26" i="19" s="1"/>
  <c r="O42" i="2"/>
  <c r="O60" i="2"/>
  <c r="N27" i="1"/>
  <c r="O14" i="2"/>
  <c r="P58" i="3"/>
  <c r="P40" i="3"/>
  <c r="M26" i="18" l="1"/>
  <c r="M26" i="17"/>
  <c r="Q40" i="3"/>
  <c r="P101" i="1" s="1"/>
  <c r="P103" i="1" s="1"/>
  <c r="O101" i="1"/>
  <c r="Q58" i="3"/>
  <c r="P8" i="1" l="1"/>
  <c r="R40" i="3"/>
  <c r="R58" i="3"/>
  <c r="O103" i="1"/>
  <c r="O8" i="1"/>
  <c r="N7" i="17" s="1"/>
  <c r="O97" i="1"/>
  <c r="P97" i="1" s="1"/>
  <c r="O100" i="1"/>
  <c r="P100" i="1" s="1"/>
  <c r="O96" i="1"/>
  <c r="O99" i="1"/>
  <c r="P104" i="1" l="1"/>
  <c r="O7" i="17"/>
  <c r="P306" i="1"/>
  <c r="Q101" i="1"/>
  <c r="S40" i="3"/>
  <c r="O306" i="1"/>
  <c r="O104" i="1"/>
  <c r="P96" i="1"/>
  <c r="O95" i="1"/>
  <c r="S58" i="3"/>
  <c r="P99" i="1"/>
  <c r="O98" i="1"/>
  <c r="T58" i="3" l="1"/>
  <c r="Q8" i="1"/>
  <c r="P7" i="17" s="1"/>
  <c r="Q103" i="1"/>
  <c r="Q100" i="1"/>
  <c r="R101" i="1"/>
  <c r="T40" i="3"/>
  <c r="S101" i="1" s="1"/>
  <c r="Q97" i="1"/>
  <c r="Q99" i="1"/>
  <c r="P98" i="1"/>
  <c r="Q96" i="1"/>
  <c r="P95" i="1"/>
  <c r="R97" i="1" l="1"/>
  <c r="S97" i="1" s="1"/>
  <c r="S103" i="1"/>
  <c r="S8" i="1"/>
  <c r="R103" i="1"/>
  <c r="R8" i="1"/>
  <c r="Q7" i="17" s="1"/>
  <c r="R100" i="1"/>
  <c r="S100" i="1" s="1"/>
  <c r="Q104" i="1"/>
  <c r="Q306" i="1"/>
  <c r="R96" i="1"/>
  <c r="Q95" i="1"/>
  <c r="R99" i="1"/>
  <c r="Q98" i="1"/>
  <c r="R7" i="17" l="1"/>
  <c r="R306" i="1"/>
  <c r="R104" i="1"/>
  <c r="S104" i="1"/>
  <c r="S306" i="1"/>
  <c r="S99" i="1"/>
  <c r="S98" i="1" s="1"/>
  <c r="R98" i="1"/>
  <c r="S96" i="1"/>
  <c r="S95" i="1" s="1"/>
  <c r="R95" i="1"/>
  <c r="N144" i="1" l="1"/>
  <c r="O145" i="1"/>
  <c r="P145" i="1" s="1"/>
  <c r="O144" i="1" l="1"/>
  <c r="Q145" i="1"/>
  <c r="P144" i="1"/>
  <c r="Q144" i="1" l="1"/>
  <c r="R145" i="1"/>
  <c r="S145" i="1" l="1"/>
  <c r="S144" i="1" s="1"/>
  <c r="R144" i="1"/>
  <c r="N140" i="1"/>
  <c r="O141" i="1"/>
  <c r="P141" i="1" s="1"/>
  <c r="Q141" i="1" s="1"/>
  <c r="O142" i="1"/>
  <c r="O149" i="1" s="1"/>
  <c r="N149" i="1"/>
  <c r="O131" i="1" s="1"/>
  <c r="P131" i="1" s="1"/>
  <c r="Q131" i="1" s="1"/>
  <c r="R131" i="1" s="1"/>
  <c r="S131" i="1" s="1"/>
  <c r="P142" i="1" l="1"/>
  <c r="O140" i="1"/>
  <c r="R141" i="1"/>
  <c r="P149" i="1" l="1"/>
  <c r="Q142" i="1"/>
  <c r="P140" i="1"/>
  <c r="S141" i="1"/>
  <c r="Q149" i="1" l="1"/>
  <c r="R142" i="1"/>
  <c r="Q140" i="1"/>
  <c r="N129" i="1"/>
  <c r="N138" i="1" s="1"/>
  <c r="O130" i="1"/>
  <c r="O129" i="1" s="1"/>
  <c r="N148" i="1" l="1"/>
  <c r="R140" i="1"/>
  <c r="R149" i="1"/>
  <c r="S142" i="1"/>
  <c r="O148" i="1"/>
  <c r="O138" i="1"/>
  <c r="N128" i="1"/>
  <c r="N161" i="1"/>
  <c r="N163" i="1" s="1"/>
  <c r="P130" i="1"/>
  <c r="S149" i="1" l="1"/>
  <c r="S140" i="1"/>
  <c r="O161" i="1"/>
  <c r="O163" i="1" s="1"/>
  <c r="O128" i="1"/>
  <c r="Q130" i="1"/>
  <c r="P129" i="1"/>
  <c r="R130" i="1" l="1"/>
  <c r="Q129" i="1"/>
  <c r="P148" i="1"/>
  <c r="P138" i="1"/>
  <c r="S130" i="1" l="1"/>
  <c r="S129" i="1" s="1"/>
  <c r="R129" i="1"/>
  <c r="P161" i="1"/>
  <c r="P163" i="1" s="1"/>
  <c r="P128" i="1"/>
  <c r="Q148" i="1"/>
  <c r="Q138" i="1"/>
  <c r="R148" i="1" l="1"/>
  <c r="R138" i="1"/>
  <c r="S138" i="1"/>
  <c r="S148" i="1"/>
  <c r="Q161" i="1"/>
  <c r="Q163" i="1" s="1"/>
  <c r="Q128" i="1"/>
  <c r="S161" i="1" l="1"/>
  <c r="S163" i="1" s="1"/>
  <c r="S128" i="1"/>
  <c r="R161" i="1"/>
  <c r="R163" i="1" s="1"/>
  <c r="R128" i="1"/>
  <c r="O97" i="3"/>
  <c r="Q97" i="3" s="1"/>
  <c r="O98" i="3"/>
  <c r="N197" i="1"/>
  <c r="O197" i="1" s="1"/>
  <c r="N198" i="1"/>
  <c r="O198" i="1" s="1"/>
  <c r="N199" i="1"/>
  <c r="O199" i="1" s="1"/>
  <c r="N200" i="1"/>
  <c r="O200" i="1" s="1"/>
  <c r="O32" i="2"/>
  <c r="D16" i="19" s="1"/>
  <c r="O33" i="2"/>
  <c r="D17" i="19" s="1"/>
  <c r="O34" i="2"/>
  <c r="O35" i="2"/>
  <c r="R97" i="3" l="1"/>
  <c r="Q196" i="1" s="1"/>
  <c r="R32" i="2" s="1"/>
  <c r="G16" i="19" s="1"/>
  <c r="P98" i="3"/>
  <c r="P196" i="1"/>
  <c r="S97" i="3"/>
  <c r="R196" i="1" s="1"/>
  <c r="O202" i="1" l="1"/>
  <c r="O205" i="1" s="1"/>
  <c r="T97" i="3"/>
  <c r="S196" i="1" s="1"/>
  <c r="T32" i="2" s="1"/>
  <c r="Q98" i="3"/>
  <c r="P198" i="1"/>
  <c r="Q198" i="1" s="1"/>
  <c r="R198" i="1" s="1"/>
  <c r="P199" i="1"/>
  <c r="Q199" i="1" s="1"/>
  <c r="R199" i="1" s="1"/>
  <c r="P197" i="1"/>
  <c r="Q197" i="1" s="1"/>
  <c r="R197" i="1" s="1"/>
  <c r="P200" i="1"/>
  <c r="Q200" i="1" s="1"/>
  <c r="R200" i="1" s="1"/>
  <c r="S32" i="2"/>
  <c r="Q32" i="2"/>
  <c r="F16" i="19" s="1"/>
  <c r="O208" i="1" l="1"/>
  <c r="P34" i="2" s="1"/>
  <c r="O206" i="1"/>
  <c r="O203" i="1"/>
  <c r="R98" i="3"/>
  <c r="S98" i="3" s="1"/>
  <c r="O204" i="1"/>
  <c r="P202" i="1"/>
  <c r="P208" i="1" s="1"/>
  <c r="Q34" i="2" s="1"/>
  <c r="S200" i="1"/>
  <c r="S199" i="1"/>
  <c r="S198" i="1"/>
  <c r="S197" i="1"/>
  <c r="O210" i="1" l="1"/>
  <c r="O211" i="1" s="1"/>
  <c r="O11" i="1" s="1"/>
  <c r="R202" i="1"/>
  <c r="R208" i="1" s="1"/>
  <c r="S34" i="2" s="1"/>
  <c r="Q202" i="1"/>
  <c r="Q208" i="1" s="1"/>
  <c r="R34" i="2" s="1"/>
  <c r="P203" i="1"/>
  <c r="P206" i="1"/>
  <c r="P205" i="1"/>
  <c r="P204" i="1"/>
  <c r="T98" i="3"/>
  <c r="Q205" i="1" l="1"/>
  <c r="R205" i="1" s="1"/>
  <c r="N10" i="17"/>
  <c r="Q206" i="1"/>
  <c r="R206" i="1" s="1"/>
  <c r="Q204" i="1"/>
  <c r="R204" i="1" s="1"/>
  <c r="O213" i="1"/>
  <c r="O397" i="1"/>
  <c r="O404" i="1" s="1"/>
  <c r="O45" i="1" s="1"/>
  <c r="P33" i="2"/>
  <c r="E17" i="19" s="1"/>
  <c r="O436" i="1"/>
  <c r="O440" i="1" s="1"/>
  <c r="Q203" i="1"/>
  <c r="R203" i="1" s="1"/>
  <c r="S202" i="1"/>
  <c r="S208" i="1" s="1"/>
  <c r="T34" i="2" s="1"/>
  <c r="P48" i="2"/>
  <c r="O214" i="1"/>
  <c r="O301" i="1"/>
  <c r="P8" i="2"/>
  <c r="P92" i="3"/>
  <c r="O307" i="1" l="1"/>
  <c r="O407" i="1"/>
  <c r="N43" i="17"/>
  <c r="P36" i="2"/>
  <c r="O406" i="1"/>
  <c r="S204" i="1"/>
  <c r="S205" i="1"/>
  <c r="S203" i="1"/>
  <c r="S206" i="1"/>
  <c r="P10" i="2"/>
  <c r="O41" i="1" l="1"/>
  <c r="O309" i="1"/>
  <c r="N58" i="18" l="1"/>
  <c r="N39" i="17"/>
  <c r="N50" i="18"/>
  <c r="N38" i="18"/>
  <c r="N48" i="18"/>
  <c r="N47" i="18"/>
  <c r="N49" i="18"/>
  <c r="N56" i="18"/>
  <c r="N46" i="18"/>
  <c r="N39" i="18"/>
  <c r="N51" i="18"/>
  <c r="N52" i="18"/>
  <c r="N42" i="18"/>
  <c r="P7" i="2"/>
  <c r="O43" i="1"/>
  <c r="N41" i="17" s="1"/>
  <c r="O310" i="1"/>
  <c r="N40" i="18" l="1"/>
  <c r="N43" i="18"/>
  <c r="N53" i="18" s="1"/>
  <c r="O46" i="1"/>
  <c r="P6" i="2"/>
  <c r="E14" i="19" s="1"/>
  <c r="O56" i="1" l="1"/>
  <c r="N54" i="17" s="1"/>
  <c r="N44" i="17"/>
  <c r="O60" i="1"/>
  <c r="P16" i="2"/>
  <c r="P13" i="2"/>
  <c r="P21" i="2"/>
  <c r="P17" i="2"/>
  <c r="P58" i="2"/>
  <c r="P67" i="2" l="1"/>
  <c r="O62" i="1"/>
  <c r="N60" i="17" s="1"/>
  <c r="N57" i="18"/>
  <c r="N59" i="18" s="1"/>
  <c r="N61" i="18" s="1"/>
  <c r="N58" i="17"/>
  <c r="P26" i="2" l="1"/>
  <c r="P68" i="2"/>
  <c r="O66" i="1"/>
  <c r="N62" i="17" s="1"/>
  <c r="P24" i="2"/>
  <c r="P25" i="2"/>
  <c r="O68" i="1" l="1"/>
  <c r="P56" i="2" s="1"/>
  <c r="O69" i="1"/>
  <c r="N64" i="17" s="1"/>
  <c r="N63" i="17" l="1"/>
  <c r="N62" i="18"/>
  <c r="N63" i="18" s="1"/>
  <c r="O71" i="1"/>
  <c r="E27" i="19" s="1"/>
  <c r="P69" i="2"/>
  <c r="O72" i="1" l="1"/>
  <c r="O73" i="1" s="1"/>
  <c r="X10" i="2" l="1"/>
  <c r="AD5" i="8"/>
  <c r="AD6" i="8" s="1"/>
  <c r="AD8" i="8" s="1"/>
  <c r="O3" i="1"/>
  <c r="E13" i="19" s="1"/>
  <c r="P74" i="2" l="1"/>
  <c r="J25" i="8"/>
  <c r="J26" i="8" s="1"/>
  <c r="P8" i="8" s="1"/>
  <c r="R8" i="8" s="1"/>
  <c r="O74" i="1"/>
  <c r="P57" i="2"/>
  <c r="P348" i="1"/>
  <c r="Q348" i="1"/>
  <c r="R348" i="1"/>
  <c r="O348" i="1"/>
  <c r="S348" i="1"/>
  <c r="P75" i="2" l="1"/>
  <c r="P78" i="2"/>
  <c r="O79" i="2"/>
  <c r="P79" i="2" l="1"/>
  <c r="P39" i="3"/>
  <c r="Q39" i="3"/>
  <c r="R39" i="3"/>
  <c r="S39" i="3"/>
  <c r="T39" i="3"/>
  <c r="Q92" i="3"/>
  <c r="R92" i="3"/>
  <c r="S92" i="3"/>
  <c r="T92" i="3"/>
  <c r="Q99" i="3"/>
  <c r="R99" i="3"/>
  <c r="S99" i="3"/>
  <c r="T99" i="3"/>
  <c r="O105" i="3"/>
  <c r="F13" i="19"/>
  <c r="G13" i="19"/>
  <c r="F14" i="19"/>
  <c r="G14" i="19"/>
  <c r="F17" i="19"/>
  <c r="G17" i="19"/>
  <c r="D19" i="19"/>
  <c r="E19" i="19"/>
  <c r="F19" i="19"/>
  <c r="G19" i="19"/>
  <c r="D20" i="19"/>
  <c r="E20" i="19"/>
  <c r="F20" i="19"/>
  <c r="G20" i="19"/>
  <c r="E21" i="19"/>
  <c r="F21" i="19"/>
  <c r="G21" i="19"/>
  <c r="D23" i="19"/>
  <c r="E23" i="19"/>
  <c r="F23" i="19"/>
  <c r="G23" i="19"/>
  <c r="E24" i="19"/>
  <c r="F24" i="19"/>
  <c r="G24" i="19"/>
  <c r="D25" i="19"/>
  <c r="E25" i="19"/>
  <c r="F25" i="19"/>
  <c r="G25" i="19"/>
  <c r="E26" i="19"/>
  <c r="F26" i="19"/>
  <c r="G26" i="19"/>
  <c r="F27" i="19"/>
  <c r="G27" i="19"/>
  <c r="N6" i="17"/>
  <c r="O6" i="17"/>
  <c r="P6" i="17"/>
  <c r="Q6" i="17"/>
  <c r="R6" i="17"/>
  <c r="O10" i="17"/>
  <c r="P10" i="17"/>
  <c r="Q10" i="17"/>
  <c r="R10" i="17"/>
  <c r="N15" i="17"/>
  <c r="O15" i="17"/>
  <c r="P15" i="17"/>
  <c r="Q15" i="17"/>
  <c r="R15" i="17"/>
  <c r="N26" i="17"/>
  <c r="O26" i="17"/>
  <c r="P26" i="17"/>
  <c r="Q26" i="17"/>
  <c r="R26" i="17"/>
  <c r="M30" i="17"/>
  <c r="N30" i="17"/>
  <c r="O30" i="17"/>
  <c r="P30" i="17"/>
  <c r="Q30" i="17"/>
  <c r="R30" i="17"/>
  <c r="M31" i="17"/>
  <c r="N31" i="17"/>
  <c r="O31" i="17"/>
  <c r="P31" i="17"/>
  <c r="Q31" i="17"/>
  <c r="R31" i="17"/>
  <c r="M33" i="17"/>
  <c r="N33" i="17"/>
  <c r="O33" i="17"/>
  <c r="P33" i="17"/>
  <c r="Q33" i="17"/>
  <c r="R33" i="17"/>
  <c r="M36" i="17"/>
  <c r="N36" i="17"/>
  <c r="O36" i="17"/>
  <c r="P36" i="17"/>
  <c r="Q36" i="17"/>
  <c r="R36" i="17"/>
  <c r="O39" i="17"/>
  <c r="P39" i="17"/>
  <c r="Q39" i="17"/>
  <c r="R39" i="17"/>
  <c r="O41" i="17"/>
  <c r="P41" i="17"/>
  <c r="Q41" i="17"/>
  <c r="R41" i="17"/>
  <c r="O43" i="17"/>
  <c r="P43" i="17"/>
  <c r="Q43" i="17"/>
  <c r="R43" i="17"/>
  <c r="O44" i="17"/>
  <c r="P44" i="17"/>
  <c r="Q44" i="17"/>
  <c r="R44" i="17"/>
  <c r="O54" i="17"/>
  <c r="P54" i="17"/>
  <c r="Q54" i="17"/>
  <c r="R54" i="17"/>
  <c r="O58" i="17"/>
  <c r="P58" i="17"/>
  <c r="Q58" i="17"/>
  <c r="R58" i="17"/>
  <c r="O60" i="17"/>
  <c r="P60" i="17"/>
  <c r="Q60" i="17"/>
  <c r="R60" i="17"/>
  <c r="O62" i="17"/>
  <c r="P62" i="17"/>
  <c r="Q62" i="17"/>
  <c r="R62" i="17"/>
  <c r="O63" i="17"/>
  <c r="P63" i="17"/>
  <c r="Q63" i="17"/>
  <c r="R63" i="17"/>
  <c r="O64" i="17"/>
  <c r="P64" i="17"/>
  <c r="Q64" i="17"/>
  <c r="R64" i="17"/>
  <c r="P3" i="1"/>
  <c r="Q3" i="1"/>
  <c r="R3" i="1"/>
  <c r="S3" i="1"/>
  <c r="O7" i="1"/>
  <c r="P7" i="1"/>
  <c r="Q7" i="1"/>
  <c r="R7" i="1"/>
  <c r="S7" i="1"/>
  <c r="P11" i="1"/>
  <c r="Q11" i="1"/>
  <c r="R11" i="1"/>
  <c r="S11" i="1"/>
  <c r="O16" i="1"/>
  <c r="P16" i="1"/>
  <c r="Q16" i="1"/>
  <c r="R16" i="1"/>
  <c r="S16" i="1"/>
  <c r="O27" i="1"/>
  <c r="P27" i="1"/>
  <c r="Q27" i="1"/>
  <c r="R27" i="1"/>
  <c r="S27" i="1"/>
  <c r="N31" i="1"/>
  <c r="O31" i="1"/>
  <c r="P31" i="1"/>
  <c r="Q31" i="1"/>
  <c r="R31" i="1"/>
  <c r="S31" i="1"/>
  <c r="N32" i="1"/>
  <c r="O32" i="1"/>
  <c r="P32" i="1"/>
  <c r="Q32" i="1"/>
  <c r="R32" i="1"/>
  <c r="S32" i="1"/>
  <c r="N34" i="1"/>
  <c r="O34" i="1"/>
  <c r="P34" i="1"/>
  <c r="Q34" i="1"/>
  <c r="R34" i="1"/>
  <c r="S34" i="1"/>
  <c r="N37" i="1"/>
  <c r="O37" i="1"/>
  <c r="P37" i="1"/>
  <c r="Q37" i="1"/>
  <c r="R37" i="1"/>
  <c r="S37" i="1"/>
  <c r="N38" i="1"/>
  <c r="O38" i="1"/>
  <c r="P38" i="1"/>
  <c r="Q38" i="1"/>
  <c r="R38" i="1"/>
  <c r="S38" i="1"/>
  <c r="P41" i="1"/>
  <c r="Q41" i="1"/>
  <c r="R41" i="1"/>
  <c r="S41" i="1"/>
  <c r="P43" i="1"/>
  <c r="Q43" i="1"/>
  <c r="R43" i="1"/>
  <c r="S43" i="1"/>
  <c r="P45" i="1"/>
  <c r="Q45" i="1"/>
  <c r="R45" i="1"/>
  <c r="S45" i="1"/>
  <c r="P46" i="1"/>
  <c r="Q46" i="1"/>
  <c r="R46" i="1"/>
  <c r="S46" i="1"/>
  <c r="R48" i="1"/>
  <c r="P56" i="1"/>
  <c r="Q56" i="1"/>
  <c r="R56" i="1"/>
  <c r="S56" i="1"/>
  <c r="P60" i="1"/>
  <c r="Q60" i="1"/>
  <c r="R60" i="1"/>
  <c r="S60" i="1"/>
  <c r="P62" i="1"/>
  <c r="Q62" i="1"/>
  <c r="R62" i="1"/>
  <c r="S62" i="1"/>
  <c r="P66" i="1"/>
  <c r="Q66" i="1"/>
  <c r="R66" i="1"/>
  <c r="S66" i="1"/>
  <c r="P68" i="1"/>
  <c r="Q68" i="1"/>
  <c r="R68" i="1"/>
  <c r="S68" i="1"/>
  <c r="P69" i="1"/>
  <c r="Q69" i="1"/>
  <c r="R69" i="1"/>
  <c r="S69" i="1"/>
  <c r="P71" i="1"/>
  <c r="Q71" i="1"/>
  <c r="R71" i="1"/>
  <c r="S71" i="1"/>
  <c r="P72" i="1"/>
  <c r="Q72" i="1"/>
  <c r="R72" i="1"/>
  <c r="S72" i="1"/>
  <c r="N73" i="1"/>
  <c r="P73" i="1"/>
  <c r="Q73" i="1"/>
  <c r="R73" i="1"/>
  <c r="S73" i="1"/>
  <c r="AC73" i="1"/>
  <c r="N74" i="1"/>
  <c r="P74" i="1"/>
  <c r="Q74" i="1"/>
  <c r="R74" i="1"/>
  <c r="S74" i="1"/>
  <c r="AC74" i="1"/>
  <c r="N75" i="1"/>
  <c r="AC75" i="1"/>
  <c r="O80" i="1"/>
  <c r="P80" i="1"/>
  <c r="Q80" i="1"/>
  <c r="R80" i="1"/>
  <c r="S80" i="1"/>
  <c r="O81" i="1"/>
  <c r="P81" i="1"/>
  <c r="Q81" i="1"/>
  <c r="R81" i="1"/>
  <c r="S81" i="1"/>
  <c r="O82" i="1"/>
  <c r="P82" i="1"/>
  <c r="Q82" i="1"/>
  <c r="R82" i="1"/>
  <c r="S82" i="1"/>
  <c r="O83" i="1"/>
  <c r="P83" i="1"/>
  <c r="Q83" i="1"/>
  <c r="R83" i="1"/>
  <c r="S83" i="1"/>
  <c r="O84" i="1"/>
  <c r="P84" i="1"/>
  <c r="Q84" i="1"/>
  <c r="R84" i="1"/>
  <c r="S84" i="1"/>
  <c r="O85" i="1"/>
  <c r="P85" i="1"/>
  <c r="Q85" i="1"/>
  <c r="R85" i="1"/>
  <c r="S85" i="1"/>
  <c r="O86" i="1"/>
  <c r="P86" i="1"/>
  <c r="Q86" i="1"/>
  <c r="R86" i="1"/>
  <c r="S86" i="1"/>
  <c r="O87" i="1"/>
  <c r="P87" i="1"/>
  <c r="Q87" i="1"/>
  <c r="R87" i="1"/>
  <c r="S87" i="1"/>
  <c r="O88" i="1"/>
  <c r="P88" i="1"/>
  <c r="Q88" i="1"/>
  <c r="R88" i="1"/>
  <c r="S88" i="1"/>
  <c r="O89" i="1"/>
  <c r="P89" i="1"/>
  <c r="Q89" i="1"/>
  <c r="R89" i="1"/>
  <c r="S89" i="1"/>
  <c r="O91" i="1"/>
  <c r="P91" i="1"/>
  <c r="Q91" i="1"/>
  <c r="R91" i="1"/>
  <c r="S91" i="1"/>
  <c r="O92" i="1"/>
  <c r="P92" i="1"/>
  <c r="Q92" i="1"/>
  <c r="R92" i="1"/>
  <c r="S92" i="1"/>
  <c r="P209" i="1"/>
  <c r="Q209" i="1"/>
  <c r="R209" i="1"/>
  <c r="S209" i="1"/>
  <c r="P210" i="1"/>
  <c r="Q210" i="1"/>
  <c r="R210" i="1"/>
  <c r="S210" i="1"/>
  <c r="P211" i="1"/>
  <c r="Q211" i="1"/>
  <c r="R211" i="1"/>
  <c r="S211" i="1"/>
  <c r="P213" i="1"/>
  <c r="Q213" i="1"/>
  <c r="R213" i="1"/>
  <c r="S213" i="1"/>
  <c r="P214" i="1"/>
  <c r="Q214" i="1"/>
  <c r="R214" i="1"/>
  <c r="S214" i="1"/>
  <c r="N291" i="1"/>
  <c r="O291" i="1"/>
  <c r="P291" i="1"/>
  <c r="Q291" i="1"/>
  <c r="R291" i="1"/>
  <c r="S291" i="1"/>
  <c r="N292" i="1"/>
  <c r="N293" i="1"/>
  <c r="O293" i="1"/>
  <c r="P293" i="1"/>
  <c r="Q293" i="1"/>
  <c r="R293" i="1"/>
  <c r="S293" i="1"/>
  <c r="N294" i="1"/>
  <c r="O294" i="1"/>
  <c r="P294" i="1"/>
  <c r="Q294" i="1"/>
  <c r="R294" i="1"/>
  <c r="S294" i="1"/>
  <c r="N295" i="1"/>
  <c r="O295" i="1"/>
  <c r="P295" i="1"/>
  <c r="Q295" i="1"/>
  <c r="R295" i="1"/>
  <c r="S295" i="1"/>
  <c r="N297" i="1"/>
  <c r="O297" i="1"/>
  <c r="P297" i="1"/>
  <c r="Q297" i="1"/>
  <c r="R297" i="1"/>
  <c r="S297" i="1"/>
  <c r="N298" i="1"/>
  <c r="O298" i="1"/>
  <c r="P298" i="1"/>
  <c r="Q298" i="1"/>
  <c r="R298" i="1"/>
  <c r="S298" i="1"/>
  <c r="P301" i="1"/>
  <c r="Q301" i="1"/>
  <c r="R301" i="1"/>
  <c r="S301" i="1"/>
  <c r="P307" i="1"/>
  <c r="Q307" i="1"/>
  <c r="R307" i="1"/>
  <c r="S307" i="1"/>
  <c r="P309" i="1"/>
  <c r="Q309" i="1"/>
  <c r="R309" i="1"/>
  <c r="S309" i="1"/>
  <c r="P310" i="1"/>
  <c r="Q310" i="1"/>
  <c r="R310" i="1"/>
  <c r="S310" i="1"/>
  <c r="P397" i="1"/>
  <c r="Q397" i="1"/>
  <c r="R397" i="1"/>
  <c r="S397" i="1"/>
  <c r="P404" i="1"/>
  <c r="Q404" i="1"/>
  <c r="R404" i="1"/>
  <c r="S404" i="1"/>
  <c r="P406" i="1"/>
  <c r="Q406" i="1"/>
  <c r="R406" i="1"/>
  <c r="S406" i="1"/>
  <c r="P407" i="1"/>
  <c r="Q407" i="1"/>
  <c r="R407" i="1"/>
  <c r="S407" i="1"/>
  <c r="N429" i="1"/>
  <c r="O429" i="1"/>
  <c r="P429" i="1"/>
  <c r="Q429" i="1"/>
  <c r="R429" i="1"/>
  <c r="S429" i="1"/>
  <c r="N431" i="1"/>
  <c r="O431" i="1"/>
  <c r="P431" i="1"/>
  <c r="Q431" i="1"/>
  <c r="R431" i="1"/>
  <c r="S431" i="1"/>
  <c r="N433" i="1"/>
  <c r="O433" i="1"/>
  <c r="P433" i="1"/>
  <c r="Q433" i="1"/>
  <c r="R433" i="1"/>
  <c r="S433" i="1"/>
  <c r="P436" i="1"/>
  <c r="Q436" i="1"/>
  <c r="R436" i="1"/>
  <c r="S436" i="1"/>
  <c r="P440" i="1"/>
  <c r="Q440" i="1"/>
  <c r="R440" i="1"/>
  <c r="S440" i="1"/>
  <c r="C15" i="12"/>
  <c r="G15" i="12"/>
  <c r="G21" i="12"/>
  <c r="C27" i="12"/>
  <c r="G27" i="12"/>
  <c r="Q6" i="2"/>
  <c r="R6" i="2"/>
  <c r="S6" i="2"/>
  <c r="T6" i="2"/>
  <c r="Q7" i="2"/>
  <c r="R7" i="2"/>
  <c r="S7" i="2"/>
  <c r="T7" i="2"/>
  <c r="X7" i="2"/>
  <c r="Q8" i="2"/>
  <c r="R8" i="2"/>
  <c r="S8" i="2"/>
  <c r="T8" i="2"/>
  <c r="X9" i="2"/>
  <c r="Q10" i="2"/>
  <c r="R10" i="2"/>
  <c r="S10" i="2"/>
  <c r="T10" i="2"/>
  <c r="Q13" i="2"/>
  <c r="R13" i="2"/>
  <c r="S13" i="2"/>
  <c r="T13" i="2"/>
  <c r="P14" i="2"/>
  <c r="Q14" i="2"/>
  <c r="R14" i="2"/>
  <c r="S14" i="2"/>
  <c r="T14" i="2"/>
  <c r="P15" i="2"/>
  <c r="Q15" i="2"/>
  <c r="R15" i="2"/>
  <c r="S15" i="2"/>
  <c r="T15" i="2"/>
  <c r="Q16" i="2"/>
  <c r="R16" i="2"/>
  <c r="S16" i="2"/>
  <c r="T16" i="2"/>
  <c r="Q17" i="2"/>
  <c r="R17" i="2"/>
  <c r="S17" i="2"/>
  <c r="T17" i="2"/>
  <c r="Q21" i="2"/>
  <c r="R21" i="2"/>
  <c r="S21" i="2"/>
  <c r="T21" i="2"/>
  <c r="P22" i="2"/>
  <c r="Q22" i="2"/>
  <c r="R22" i="2"/>
  <c r="S22" i="2"/>
  <c r="T22" i="2"/>
  <c r="Q24" i="2"/>
  <c r="R24" i="2"/>
  <c r="S24" i="2"/>
  <c r="T24" i="2"/>
  <c r="Q25" i="2"/>
  <c r="R25" i="2"/>
  <c r="S25" i="2"/>
  <c r="T25" i="2"/>
  <c r="Q26" i="2"/>
  <c r="R26" i="2"/>
  <c r="S26" i="2"/>
  <c r="T26" i="2"/>
  <c r="Q33" i="2"/>
  <c r="R33" i="2"/>
  <c r="S33" i="2"/>
  <c r="T33" i="2"/>
  <c r="Q35" i="2"/>
  <c r="R35" i="2"/>
  <c r="S35" i="2"/>
  <c r="T35" i="2"/>
  <c r="Q36" i="2"/>
  <c r="R36" i="2"/>
  <c r="S36" i="2"/>
  <c r="T36" i="2"/>
  <c r="P40" i="2"/>
  <c r="Q40" i="2"/>
  <c r="R40" i="2"/>
  <c r="S40" i="2"/>
  <c r="T40" i="2"/>
  <c r="P41" i="2"/>
  <c r="Q41" i="2"/>
  <c r="R41" i="2"/>
  <c r="S41" i="2"/>
  <c r="T41" i="2"/>
  <c r="P42" i="2"/>
  <c r="Q42" i="2"/>
  <c r="R42" i="2"/>
  <c r="S42" i="2"/>
  <c r="T42" i="2"/>
  <c r="O43" i="2"/>
  <c r="P43" i="2"/>
  <c r="Q43" i="2"/>
  <c r="R43" i="2"/>
  <c r="S43" i="2"/>
  <c r="T43" i="2"/>
  <c r="P44" i="2"/>
  <c r="Q44" i="2"/>
  <c r="R44" i="2"/>
  <c r="S44" i="2"/>
  <c r="T44" i="2"/>
  <c r="P45" i="2"/>
  <c r="Q45" i="2"/>
  <c r="R45" i="2"/>
  <c r="S45" i="2"/>
  <c r="T45" i="2"/>
  <c r="O46" i="2"/>
  <c r="P46" i="2"/>
  <c r="Q46" i="2"/>
  <c r="R46" i="2"/>
  <c r="S46" i="2"/>
  <c r="T46" i="2"/>
  <c r="Q48" i="2"/>
  <c r="R48" i="2"/>
  <c r="S48" i="2"/>
  <c r="T48" i="2"/>
  <c r="O52" i="2"/>
  <c r="P52" i="2"/>
  <c r="Q52" i="2"/>
  <c r="R52" i="2"/>
  <c r="S52" i="2"/>
  <c r="T52" i="2"/>
  <c r="O53" i="2"/>
  <c r="P53" i="2"/>
  <c r="Q53" i="2"/>
  <c r="R53" i="2"/>
  <c r="S53" i="2"/>
  <c r="T53" i="2"/>
  <c r="O54" i="2"/>
  <c r="P54" i="2"/>
  <c r="Q54" i="2"/>
  <c r="R54" i="2"/>
  <c r="S54" i="2"/>
  <c r="T54" i="2"/>
  <c r="P55" i="2"/>
  <c r="Q55" i="2"/>
  <c r="R55" i="2"/>
  <c r="S55" i="2"/>
  <c r="T55" i="2"/>
  <c r="Q56" i="2"/>
  <c r="R56" i="2"/>
  <c r="S56" i="2"/>
  <c r="T56" i="2"/>
  <c r="O57" i="2"/>
  <c r="Q57" i="2"/>
  <c r="R57" i="2"/>
  <c r="S57" i="2"/>
  <c r="T57" i="2"/>
  <c r="Q58" i="2"/>
  <c r="R58" i="2"/>
  <c r="S58" i="2"/>
  <c r="T58" i="2"/>
  <c r="P59" i="2"/>
  <c r="Q59" i="2"/>
  <c r="R59" i="2"/>
  <c r="S59" i="2"/>
  <c r="T59" i="2"/>
  <c r="P60" i="2"/>
  <c r="Q60" i="2"/>
  <c r="R60" i="2"/>
  <c r="S60" i="2"/>
  <c r="T60" i="2"/>
  <c r="P61" i="2"/>
  <c r="Q61" i="2"/>
  <c r="R61" i="2"/>
  <c r="S61" i="2"/>
  <c r="T61" i="2"/>
  <c r="O62" i="2"/>
  <c r="P62" i="2"/>
  <c r="Q62" i="2"/>
  <c r="R62" i="2"/>
  <c r="S62" i="2"/>
  <c r="T62" i="2"/>
  <c r="P66" i="2"/>
  <c r="Q66" i="2"/>
  <c r="R66" i="2"/>
  <c r="S66" i="2"/>
  <c r="T66" i="2"/>
  <c r="Q67" i="2"/>
  <c r="R67" i="2"/>
  <c r="S67" i="2"/>
  <c r="T67" i="2"/>
  <c r="Q68" i="2"/>
  <c r="R68" i="2"/>
  <c r="S68" i="2"/>
  <c r="T68" i="2"/>
  <c r="Q69" i="2"/>
  <c r="R69" i="2"/>
  <c r="S69" i="2"/>
  <c r="T69" i="2"/>
  <c r="O70" i="2"/>
  <c r="P70" i="2"/>
  <c r="Q70" i="2"/>
  <c r="R70" i="2"/>
  <c r="S70" i="2"/>
  <c r="T70" i="2"/>
  <c r="Q74" i="2"/>
  <c r="R74" i="2"/>
  <c r="S74" i="2"/>
  <c r="T74" i="2"/>
  <c r="Q75" i="2"/>
  <c r="R75" i="2"/>
  <c r="S75" i="2"/>
  <c r="T75" i="2"/>
  <c r="O76" i="2"/>
  <c r="P76" i="2"/>
  <c r="Q76" i="2"/>
  <c r="R76" i="2"/>
  <c r="S76" i="2"/>
  <c r="T76" i="2"/>
  <c r="O77" i="2"/>
  <c r="P77" i="2"/>
  <c r="Q77" i="2"/>
  <c r="R77" i="2"/>
  <c r="S77" i="2"/>
  <c r="T77" i="2"/>
  <c r="Q78" i="2"/>
  <c r="R78" i="2"/>
  <c r="S78" i="2"/>
  <c r="T78" i="2"/>
  <c r="Q79" i="2"/>
  <c r="R79" i="2"/>
  <c r="S79" i="2"/>
  <c r="T79" i="2"/>
  <c r="J5" i="8"/>
  <c r="AE5" i="8"/>
  <c r="AF5" i="8"/>
  <c r="AG5" i="8"/>
  <c r="AH5" i="8"/>
  <c r="J6" i="8"/>
  <c r="M6" i="8"/>
  <c r="P6" i="8"/>
  <c r="R6" i="8"/>
  <c r="AE6" i="8"/>
  <c r="AF6" i="8"/>
  <c r="AG6" i="8"/>
  <c r="AH6" i="8"/>
  <c r="J7" i="8"/>
  <c r="M7" i="8"/>
  <c r="P7" i="8"/>
  <c r="R7" i="8"/>
  <c r="AH7" i="8"/>
  <c r="J8" i="8"/>
  <c r="M8" i="8"/>
  <c r="AE8" i="8"/>
  <c r="AF8" i="8"/>
  <c r="AG8" i="8"/>
  <c r="AH8" i="8"/>
  <c r="J9" i="8"/>
  <c r="AD9" i="8"/>
  <c r="M10" i="8"/>
  <c r="R10" i="8"/>
  <c r="U10" i="8"/>
  <c r="J11" i="8"/>
  <c r="J16" i="8"/>
  <c r="J17" i="8"/>
  <c r="J18" i="8"/>
  <c r="J19" i="8"/>
  <c r="J29" i="8"/>
  <c r="J30" i="8"/>
  <c r="J33" i="8"/>
  <c r="J34" i="8"/>
  <c r="J35" i="8"/>
  <c r="N6" i="18"/>
  <c r="O6" i="18"/>
  <c r="P6" i="18"/>
  <c r="Q6" i="18"/>
  <c r="R6" i="18"/>
  <c r="N7" i="18"/>
  <c r="O7" i="18"/>
  <c r="P7" i="18"/>
  <c r="Q7" i="18"/>
  <c r="R7" i="18"/>
  <c r="N8" i="18"/>
  <c r="O8" i="18"/>
  <c r="P8" i="18"/>
  <c r="Q8" i="18"/>
  <c r="R8" i="18"/>
  <c r="N9" i="18"/>
  <c r="O9" i="18"/>
  <c r="P9" i="18"/>
  <c r="Q9" i="18"/>
  <c r="R9" i="18"/>
  <c r="N10" i="18"/>
  <c r="O10" i="18"/>
  <c r="P10" i="18"/>
  <c r="Q10" i="18"/>
  <c r="R10" i="18"/>
  <c r="N11" i="18"/>
  <c r="O11" i="18"/>
  <c r="P11" i="18"/>
  <c r="Q11" i="18"/>
  <c r="R11" i="18"/>
  <c r="N12" i="18"/>
  <c r="O12" i="18"/>
  <c r="P12" i="18"/>
  <c r="Q12" i="18"/>
  <c r="R12" i="18"/>
  <c r="N13" i="18"/>
  <c r="O13" i="18"/>
  <c r="P13" i="18"/>
  <c r="Q13" i="18"/>
  <c r="R13" i="18"/>
  <c r="N14" i="18"/>
  <c r="O14" i="18"/>
  <c r="P14" i="18"/>
  <c r="Q14" i="18"/>
  <c r="R14" i="18"/>
  <c r="N15" i="18"/>
  <c r="O15" i="18"/>
  <c r="P15" i="18"/>
  <c r="Q15" i="18"/>
  <c r="R15" i="18"/>
  <c r="N18" i="18"/>
  <c r="O18" i="18"/>
  <c r="P18" i="18"/>
  <c r="Q18" i="18"/>
  <c r="R18" i="18"/>
  <c r="N19" i="18"/>
  <c r="O19" i="18"/>
  <c r="P19" i="18"/>
  <c r="Q19" i="18"/>
  <c r="R19" i="18"/>
  <c r="N20" i="18"/>
  <c r="O20" i="18"/>
  <c r="P20" i="18"/>
  <c r="Q20" i="18"/>
  <c r="R20" i="18"/>
  <c r="N21" i="18"/>
  <c r="O21" i="18"/>
  <c r="P21" i="18"/>
  <c r="Q21" i="18"/>
  <c r="R21" i="18"/>
  <c r="N22" i="18"/>
  <c r="O22" i="18"/>
  <c r="P22" i="18"/>
  <c r="Q22" i="18"/>
  <c r="R22" i="18"/>
  <c r="N23" i="18"/>
  <c r="O23" i="18"/>
  <c r="P23" i="18"/>
  <c r="Q23" i="18"/>
  <c r="R23" i="18"/>
  <c r="N24" i="18"/>
  <c r="O24" i="18"/>
  <c r="P24" i="18"/>
  <c r="Q24" i="18"/>
  <c r="R24" i="18"/>
  <c r="N26" i="18"/>
  <c r="O26" i="18"/>
  <c r="P26" i="18"/>
  <c r="Q26" i="18"/>
  <c r="R26" i="18"/>
  <c r="N29" i="18"/>
  <c r="O29" i="18"/>
  <c r="P29" i="18"/>
  <c r="Q29" i="18"/>
  <c r="R29" i="18"/>
  <c r="M30" i="18"/>
  <c r="N30" i="18"/>
  <c r="O30" i="18"/>
  <c r="P30" i="18"/>
  <c r="Q30" i="18"/>
  <c r="R30" i="18"/>
  <c r="M31" i="18"/>
  <c r="N31" i="18"/>
  <c r="O31" i="18"/>
  <c r="P31" i="18"/>
  <c r="Q31" i="18"/>
  <c r="R31" i="18"/>
  <c r="N32" i="18"/>
  <c r="O32" i="18"/>
  <c r="P32" i="18"/>
  <c r="Q32" i="18"/>
  <c r="R32" i="18"/>
  <c r="M33" i="18"/>
  <c r="N33" i="18"/>
  <c r="O33" i="18"/>
  <c r="P33" i="18"/>
  <c r="Q33" i="18"/>
  <c r="R33" i="18"/>
  <c r="M35" i="18"/>
  <c r="N35" i="18"/>
  <c r="O35" i="18"/>
  <c r="P35" i="18"/>
  <c r="Q35" i="18"/>
  <c r="R35" i="18"/>
  <c r="O38" i="18"/>
  <c r="P38" i="18"/>
  <c r="Q38" i="18"/>
  <c r="R38" i="18"/>
  <c r="O39" i="18"/>
  <c r="P39" i="18"/>
  <c r="Q39" i="18"/>
  <c r="R39" i="18"/>
  <c r="O40" i="18"/>
  <c r="P40" i="18"/>
  <c r="Q40" i="18"/>
  <c r="R40" i="18"/>
  <c r="O42" i="18"/>
  <c r="P42" i="18"/>
  <c r="Q42" i="18"/>
  <c r="R42" i="18"/>
  <c r="O43" i="18"/>
  <c r="P43" i="18"/>
  <c r="Q43" i="18"/>
  <c r="R43" i="18"/>
  <c r="O46" i="18"/>
  <c r="P46" i="18"/>
  <c r="Q46" i="18"/>
  <c r="R46" i="18"/>
  <c r="O47" i="18"/>
  <c r="P47" i="18"/>
  <c r="Q47" i="18"/>
  <c r="R47" i="18"/>
  <c r="O48" i="18"/>
  <c r="P48" i="18"/>
  <c r="Q48" i="18"/>
  <c r="R48" i="18"/>
  <c r="O49" i="18"/>
  <c r="P49" i="18"/>
  <c r="Q49" i="18"/>
  <c r="R49" i="18"/>
  <c r="O50" i="18"/>
  <c r="P50" i="18"/>
  <c r="Q50" i="18"/>
  <c r="R50" i="18"/>
  <c r="O51" i="18"/>
  <c r="P51" i="18"/>
  <c r="Q51" i="18"/>
  <c r="R51" i="18"/>
  <c r="O52" i="18"/>
  <c r="P52" i="18"/>
  <c r="Q52" i="18"/>
  <c r="R52" i="18"/>
  <c r="O53" i="18"/>
  <c r="P53" i="18"/>
  <c r="Q53" i="18"/>
  <c r="R53" i="18"/>
  <c r="O56" i="18"/>
  <c r="P56" i="18"/>
  <c r="Q56" i="18"/>
  <c r="R56" i="18"/>
  <c r="O57" i="18"/>
  <c r="P57" i="18"/>
  <c r="Q57" i="18"/>
  <c r="R57" i="18"/>
  <c r="O58" i="18"/>
  <c r="P58" i="18"/>
  <c r="Q58" i="18"/>
  <c r="R58" i="18"/>
  <c r="O59" i="18"/>
  <c r="P59" i="18"/>
  <c r="Q59" i="18"/>
  <c r="R59" i="18"/>
  <c r="O61" i="18"/>
  <c r="P61" i="18"/>
  <c r="Q61" i="18"/>
  <c r="R61" i="18"/>
  <c r="O62" i="18"/>
  <c r="P62" i="18"/>
  <c r="Q62" i="18"/>
  <c r="R62" i="18"/>
  <c r="O63" i="18"/>
  <c r="P63" i="18"/>
  <c r="Q63" i="18"/>
  <c r="R63" i="18"/>
</calcChain>
</file>

<file path=xl/sharedStrings.xml><?xml version="1.0" encoding="utf-8"?>
<sst xmlns="http://schemas.openxmlformats.org/spreadsheetml/2006/main" count="1928" uniqueCount="889">
  <si>
    <t>EPS</t>
  </si>
  <si>
    <t>PKR Million</t>
  </si>
  <si>
    <t>ASSETS</t>
  </si>
  <si>
    <t>Cash &amp; balances with treasury banks</t>
  </si>
  <si>
    <t>Balances with other banks</t>
  </si>
  <si>
    <t>Due from financial institutions - net</t>
  </si>
  <si>
    <t>Investments</t>
  </si>
  <si>
    <t xml:space="preserve">Islamic financing and related assets - net </t>
  </si>
  <si>
    <t>Fixed assets</t>
  </si>
  <si>
    <t>Instangible Assets</t>
  </si>
  <si>
    <t>Deferred tax assets</t>
  </si>
  <si>
    <t>Other assets</t>
  </si>
  <si>
    <t>Total Assets</t>
  </si>
  <si>
    <t>LIABILITIES</t>
  </si>
  <si>
    <t>Bills payable</t>
  </si>
  <si>
    <t>Due to financial institutions</t>
  </si>
  <si>
    <t>Deposits &amp; other accounts</t>
  </si>
  <si>
    <t>Deferred tax liabilities</t>
  </si>
  <si>
    <t>Other liabilities</t>
  </si>
  <si>
    <t>Total liabilities</t>
  </si>
  <si>
    <t>NET ASSETS (TA - TL)</t>
  </si>
  <si>
    <t>REPRESENTED BY</t>
  </si>
  <si>
    <t>Share capital</t>
  </si>
  <si>
    <t>Reserves</t>
  </si>
  <si>
    <t>Unappropriated Profit</t>
  </si>
  <si>
    <t>Surplus/(deficit) on revaluation of assets</t>
  </si>
  <si>
    <t>Total equity</t>
  </si>
  <si>
    <t>Non Controlling Interest</t>
  </si>
  <si>
    <t>NET EQUITY</t>
  </si>
  <si>
    <t>Check</t>
  </si>
  <si>
    <t>PROFIT &amp; LOSS</t>
  </si>
  <si>
    <t>Profit / return earned on Islamic financing and related assets, investments and placements</t>
  </si>
  <si>
    <t>Profit on deposits and other dues expensed</t>
  </si>
  <si>
    <t>Net spread earned - before provisions</t>
  </si>
  <si>
    <t>Provisions</t>
  </si>
  <si>
    <t>Net spread earned</t>
  </si>
  <si>
    <t>OTHER INCOME</t>
  </si>
  <si>
    <t>Fees &amp; Commission Income</t>
  </si>
  <si>
    <t>Dividend Income</t>
  </si>
  <si>
    <t>Foreign Exchange Income</t>
  </si>
  <si>
    <t>(Loss) / gain on securities - net</t>
  </si>
  <si>
    <t>Other Income</t>
  </si>
  <si>
    <t>Total Other Income</t>
  </si>
  <si>
    <t>Total income</t>
  </si>
  <si>
    <t>OTHER EXPENSES</t>
  </si>
  <si>
    <t>Operating expenses</t>
  </si>
  <si>
    <t>Workers Welfare Fund</t>
  </si>
  <si>
    <t>Other charges</t>
  </si>
  <si>
    <t>Total other expenses</t>
  </si>
  <si>
    <t>Share of results associates before taxation</t>
  </si>
  <si>
    <t>Extra ordinary / unusual items</t>
  </si>
  <si>
    <t>Profit before taxation</t>
  </si>
  <si>
    <t>Taxation</t>
  </si>
  <si>
    <t>Profit after Taxation</t>
  </si>
  <si>
    <t>EPS (Earning Per Share)</t>
  </si>
  <si>
    <t>DPS (Dividend Per Share)</t>
  </si>
  <si>
    <t>Dividends Declared</t>
  </si>
  <si>
    <t>Payout</t>
  </si>
  <si>
    <t>Shares Outstanding</t>
  </si>
  <si>
    <t>Variation (Shares Outstanding)</t>
  </si>
  <si>
    <t>BALANCE SHEET</t>
  </si>
  <si>
    <t>Meezan Bank - MEBL</t>
  </si>
  <si>
    <t>Share of profit attributable to non-controlling interest</t>
  </si>
  <si>
    <t>Profit attributable to shareholders</t>
  </si>
  <si>
    <t>Subordinated Sukuk</t>
  </si>
  <si>
    <t>In hand</t>
  </si>
  <si>
    <t>local currency</t>
  </si>
  <si>
    <t>foreign currencies</t>
  </si>
  <si>
    <t>With the State Bank of Pakistan in</t>
  </si>
  <si>
    <t>local currency current accounts</t>
  </si>
  <si>
    <t>foreign currency current accounts</t>
  </si>
  <si>
    <t>With the National Bank of Pakistan in</t>
  </si>
  <si>
    <t>National Prize Bonds</t>
  </si>
  <si>
    <t>Total Cash &amp; balances with treasury banks</t>
  </si>
  <si>
    <t>Esimated</t>
  </si>
  <si>
    <t>In Pakistan</t>
  </si>
  <si>
    <t>in current accounts</t>
  </si>
  <si>
    <t>in deposit accounts</t>
  </si>
  <si>
    <t>Outside Pakistan</t>
  </si>
  <si>
    <t>Total Balances with other banks</t>
  </si>
  <si>
    <t>Bai Muajjal:</t>
  </si>
  <si>
    <t>With State Bank of Pakistan</t>
  </si>
  <si>
    <t>With Scheduled Banks - Secured</t>
  </si>
  <si>
    <t>With Government of Pakistan</t>
  </si>
  <si>
    <t>With other Financial Institution</t>
  </si>
  <si>
    <t>Total Bai Muajjal</t>
  </si>
  <si>
    <t>Commodity Murabaha</t>
  </si>
  <si>
    <t>Provision against non-performing amounts due from financial institutions</t>
  </si>
  <si>
    <t>Total due from financial institutions - net</t>
  </si>
  <si>
    <t>Investment by types</t>
  </si>
  <si>
    <t>Available for sale securities</t>
  </si>
  <si>
    <t>Held to maturity securities</t>
  </si>
  <si>
    <t>Subsidiary (unlisted)</t>
  </si>
  <si>
    <t>Investments (net of provision)</t>
  </si>
  <si>
    <t>Total Investments</t>
  </si>
  <si>
    <t>Capital work-in-progress</t>
  </si>
  <si>
    <t>Property and equipment</t>
  </si>
  <si>
    <t>Right-of-use assets</t>
  </si>
  <si>
    <t>Intangible assets</t>
  </si>
  <si>
    <t>Total</t>
  </si>
  <si>
    <t>CASH AND BALANCES WITH TREASURY BANKS</t>
  </si>
  <si>
    <t>Estimated</t>
  </si>
  <si>
    <t>Actual</t>
  </si>
  <si>
    <t>BALANCES WITH OTHER BANKS</t>
  </si>
  <si>
    <t>DUE FROM FINANCIAL INSTITUTIONS - NET</t>
  </si>
  <si>
    <t>INVESTMENTS</t>
  </si>
  <si>
    <t>ISLAMIC FINANCING AND RELATED ASSETS - NET</t>
  </si>
  <si>
    <t>FIXED ASSETS</t>
  </si>
  <si>
    <t>Secured</t>
  </si>
  <si>
    <t>Murabaha financing</t>
  </si>
  <si>
    <t>Musharakah from the SBP under Islamic Export Refinance Scheme</t>
  </si>
  <si>
    <t>Investments from the SBP under Islamic Long Term Financing Facility</t>
  </si>
  <si>
    <t>Unsecured</t>
  </si>
  <si>
    <t>Overdrawn nostro accounts</t>
  </si>
  <si>
    <t>Others Musharakah/ Mudarabas</t>
  </si>
  <si>
    <t>Customers</t>
  </si>
  <si>
    <t>Fixed deposits</t>
  </si>
  <si>
    <t>Savings deposits</t>
  </si>
  <si>
    <t>Current accounts- non remuunerative</t>
  </si>
  <si>
    <t>Margin</t>
  </si>
  <si>
    <t>Financial Institutions</t>
  </si>
  <si>
    <t>Remunerative deposits</t>
  </si>
  <si>
    <t>Non-remurative deposits</t>
  </si>
  <si>
    <t>Total Deposits</t>
  </si>
  <si>
    <t>Local Currency Deposits</t>
  </si>
  <si>
    <t>Foreign Currency Deposits</t>
  </si>
  <si>
    <t>Additional Tier 1 Sukuk</t>
  </si>
  <si>
    <t>Tier 2 Sukuk</t>
  </si>
  <si>
    <t>Authorized capital</t>
  </si>
  <si>
    <t>Issued, subscribed and paid-up capital</t>
  </si>
  <si>
    <t>Number of shares outstanding</t>
  </si>
  <si>
    <t>Share Premium</t>
  </si>
  <si>
    <t>Statutory Reserve</t>
  </si>
  <si>
    <t>Non Distributable Capital Reserve - Gain on Bargain Purchase</t>
  </si>
  <si>
    <t>General Reserve</t>
  </si>
  <si>
    <t>Total Reserves</t>
  </si>
  <si>
    <t>BILLS PAYABLE</t>
  </si>
  <si>
    <t>DUE TO FINANCIAL INSTITUTIONS</t>
  </si>
  <si>
    <t>DEPOSITS AND OTHER ACCOUNTS</t>
  </si>
  <si>
    <t>SUBORDINATED SUKUK</t>
  </si>
  <si>
    <t>SHARE CAPITAL</t>
  </si>
  <si>
    <t>RESERVES</t>
  </si>
  <si>
    <t>PROFIT/RETURN EARNED ON ISLAMIC FINANCING AND RELATED ASSETS, INVESTMENTS AND PLACEMENTS</t>
  </si>
  <si>
    <t xml:space="preserve">On Financing  </t>
  </si>
  <si>
    <t>On investments in</t>
  </si>
  <si>
    <t xml:space="preserve">Held to Trading </t>
  </si>
  <si>
    <t>On deposits / placements with financial institutions</t>
  </si>
  <si>
    <t xml:space="preserve">Total </t>
  </si>
  <si>
    <t>-</t>
  </si>
  <si>
    <t>FEE, COMMISSION AND BROKERAGE INCOME</t>
  </si>
  <si>
    <t>Trade related fees and commissions</t>
  </si>
  <si>
    <t>Management fees in respect of Mutual Funds</t>
  </si>
  <si>
    <t>Commission on guarantees</t>
  </si>
  <si>
    <t>Branch banking customer fees</t>
  </si>
  <si>
    <t>Credit processing related fees</t>
  </si>
  <si>
    <t>Debit card related fees</t>
  </si>
  <si>
    <t>Investment banking related fees</t>
  </si>
  <si>
    <t>Cash management fees</t>
  </si>
  <si>
    <t>Home remittance related fees</t>
  </si>
  <si>
    <t>Others</t>
  </si>
  <si>
    <t>Shares / Units of Mutual Funds</t>
  </si>
  <si>
    <t>Government sukuks / certificates</t>
  </si>
  <si>
    <t>Associates</t>
  </si>
  <si>
    <t>other securities including foreign securities</t>
  </si>
  <si>
    <t>Gain on termination of Ijarah financings</t>
  </si>
  <si>
    <t>Gain on termination of Diminishing Musharakah financings</t>
  </si>
  <si>
    <t>(Loss) / gain on sale of operating fixed assets - net</t>
  </si>
  <si>
    <t>Sales load</t>
  </si>
  <si>
    <t>rental income from associates</t>
  </si>
  <si>
    <t>gain on non banking assets</t>
  </si>
  <si>
    <t>CAPITAL GAIN ON SALE OF INVESTMENTS - NET</t>
  </si>
  <si>
    <t>Non government debt securities</t>
  </si>
  <si>
    <t>`</t>
  </si>
  <si>
    <t>OPERATING EXPENSES</t>
  </si>
  <si>
    <t>Non- executive directors' fees</t>
  </si>
  <si>
    <t>Rent, electricity, taxes, insurance, etc.</t>
  </si>
  <si>
    <t>Takaful and tracker expenses on Ijarah</t>
  </si>
  <si>
    <t>Communication</t>
  </si>
  <si>
    <t>Stationery and printing</t>
  </si>
  <si>
    <t>Entertainment</t>
  </si>
  <si>
    <t>Office supplies</t>
  </si>
  <si>
    <t>Local transportation and car running</t>
  </si>
  <si>
    <t>Fees, subscription and clearing charges</t>
  </si>
  <si>
    <t>Security charges including cash transportation charges</t>
  </si>
  <si>
    <t>Repairs and maintenance</t>
  </si>
  <si>
    <t>Hardware and software maintenance</t>
  </si>
  <si>
    <t>Advertisement and publicity</t>
  </si>
  <si>
    <t>Depreciation</t>
  </si>
  <si>
    <t>Amortization</t>
  </si>
  <si>
    <t>Traveling</t>
  </si>
  <si>
    <t>Brokerage, commission and bank charges</t>
  </si>
  <si>
    <t>Legal and professional charges</t>
  </si>
  <si>
    <t>Auditors' remuneration</t>
  </si>
  <si>
    <t>Network charges</t>
  </si>
  <si>
    <t>Shariah Board fees</t>
  </si>
  <si>
    <t>NIFT and other clearing charges</t>
  </si>
  <si>
    <t>Training and Development</t>
  </si>
  <si>
    <t>Reimbursement of expenses from associated funds to the subsidiary</t>
  </si>
  <si>
    <t>CAPITAL ADEQUACY</t>
  </si>
  <si>
    <t>Minimum Capital Requirement</t>
  </si>
  <si>
    <t xml:space="preserve">Paid-up capital (net of losses) </t>
  </si>
  <si>
    <t xml:space="preserve"> CET-1 </t>
  </si>
  <si>
    <t>Additional Tier-1 Capital</t>
  </si>
  <si>
    <t>Total Tier 1 Capital</t>
  </si>
  <si>
    <t xml:space="preserve"> Tier-2 Capital </t>
  </si>
  <si>
    <t xml:space="preserve"> Total Capital </t>
  </si>
  <si>
    <t>RWA Breakup</t>
  </si>
  <si>
    <t>Credit RWA</t>
  </si>
  <si>
    <t>Market RWA</t>
  </si>
  <si>
    <t>Operational RWA</t>
  </si>
  <si>
    <t>Total RWA</t>
  </si>
  <si>
    <t>Federal Government Securities</t>
  </si>
  <si>
    <t xml:space="preserve"> Ijarah Sukuk</t>
  </si>
  <si>
    <t>Bai Mujjal with Government of Pakistan (through State Bank of Pakistan )</t>
  </si>
  <si>
    <t>Non Government Sukuk</t>
  </si>
  <si>
    <t xml:space="preserve">Pakistan Energy Sukuk-I guaranteed by the Government of Pakistan </t>
  </si>
  <si>
    <t>Other Sukuk guaranteed by the Government of Pakistan</t>
  </si>
  <si>
    <t>Other Non Government Sukuk</t>
  </si>
  <si>
    <t>Foreign Securities</t>
  </si>
  <si>
    <t>Shares (including units of fund)</t>
  </si>
  <si>
    <t>Federal Government Securities Ijarah Sukuk</t>
  </si>
  <si>
    <t>Held for trading Securities</t>
  </si>
  <si>
    <t>Sukuk</t>
  </si>
  <si>
    <t>Shares</t>
  </si>
  <si>
    <t>Associates (listed)</t>
  </si>
  <si>
    <t>Units of funds</t>
  </si>
  <si>
    <t xml:space="preserve">Associates (Unlisted) </t>
  </si>
  <si>
    <t xml:space="preserve">Shares </t>
  </si>
  <si>
    <t>Investments at Market Value</t>
  </si>
  <si>
    <t>Less: Provision against diminution in value of investments</t>
  </si>
  <si>
    <t>Surplus on revaluation of investments classified as 'available for sale'</t>
  </si>
  <si>
    <t>Deficit on revaluation of investments classified as "held for trading"</t>
  </si>
  <si>
    <t xml:space="preserve">Estimated </t>
  </si>
  <si>
    <t>Murabaha financing and related assets</t>
  </si>
  <si>
    <t>Running Musharakah financing</t>
  </si>
  <si>
    <t>Istisna financing and related assets</t>
  </si>
  <si>
    <t>Tijarah financing and related assets</t>
  </si>
  <si>
    <t>Musawamah financing and related assets</t>
  </si>
  <si>
    <t>Salam Financing and related assets</t>
  </si>
  <si>
    <t>Financing against bills</t>
  </si>
  <si>
    <t>Bai Muajjal financing</t>
  </si>
  <si>
    <t>Ijarah financing and related assets</t>
  </si>
  <si>
    <t>Diminishing Musharakah financing and related assets</t>
  </si>
  <si>
    <t>Musharakah financing</t>
  </si>
  <si>
    <t>Advances against Wakalah Tul Istithmar</t>
  </si>
  <si>
    <t>Wakalah Tul Istithmar financing</t>
  </si>
  <si>
    <t>Wakalah financing</t>
  </si>
  <si>
    <t>Advance against Service Ijarah</t>
  </si>
  <si>
    <t>Labbaik (Qard for Hajj and Umrah)</t>
  </si>
  <si>
    <t>Staff financing</t>
  </si>
  <si>
    <t>Other financing</t>
  </si>
  <si>
    <t>Gross Islamic Financing and Related Assets</t>
  </si>
  <si>
    <t>Category of Classification</t>
  </si>
  <si>
    <t>Non Performing Amount</t>
  </si>
  <si>
    <t>Category of classification (Domestic)</t>
  </si>
  <si>
    <t>Other Assets Especially Mentioned</t>
  </si>
  <si>
    <t>Substandard</t>
  </si>
  <si>
    <t>Doubtful</t>
  </si>
  <si>
    <t>Loss</t>
  </si>
  <si>
    <t>Less: Provision against non-performing Islamic financing and related assets - Specific</t>
  </si>
  <si>
    <t>Less: Provision against non-performing Islamic financing and related assets - General</t>
  </si>
  <si>
    <t>Total Provisions</t>
  </si>
  <si>
    <t>Islamic financing and related assets - net of provision</t>
  </si>
  <si>
    <t>Total Available for sale</t>
  </si>
  <si>
    <t>Qard Financing under SBP's IRFCC</t>
  </si>
  <si>
    <t>Investments from the SBP under Islamic Refinance Facility for Combating COVID-19</t>
  </si>
  <si>
    <t>Investments from the SBP under Islammic Refinance Scheme for Payment of Wages &amp; Salaries.</t>
  </si>
  <si>
    <t>Investments from the SBP under Islamic Financing for Renewal Energy</t>
  </si>
  <si>
    <t>Investments from the Islamic Temporary Economic Refinance Facility for Plant and Machinery.</t>
  </si>
  <si>
    <t>Other Financial Insitutions</t>
  </si>
  <si>
    <t>CONTINGENCIES AND COMMITMENTS</t>
  </si>
  <si>
    <t>Guarantees</t>
  </si>
  <si>
    <t>Financial Guarantees</t>
  </si>
  <si>
    <t>Performance Guarantees</t>
  </si>
  <si>
    <t>Other Guarantees</t>
  </si>
  <si>
    <t>Commitments</t>
  </si>
  <si>
    <t>Documentary Letters of Credit</t>
  </si>
  <si>
    <t>Commitments with respect to foreign exchange contracts</t>
  </si>
  <si>
    <t>Other commitments</t>
  </si>
  <si>
    <t>Other Contingent Liabilities</t>
  </si>
  <si>
    <t>Acceptances</t>
  </si>
  <si>
    <t>Commitments in respect of acquisition of fixed assets / intangible assets / islamic financing and related assets</t>
  </si>
  <si>
    <t>Commitments in respect of purchase of sukuks</t>
  </si>
  <si>
    <t>Unlisted Shares</t>
  </si>
  <si>
    <t>Pakistan Energy Sukuks</t>
  </si>
  <si>
    <t>TOTALS</t>
  </si>
  <si>
    <t>Revenues</t>
  </si>
  <si>
    <t>NII margin on interest-earning assets</t>
  </si>
  <si>
    <t>Gross asset yield</t>
  </si>
  <si>
    <t>Gross funding cost</t>
  </si>
  <si>
    <t>Investment yield</t>
  </si>
  <si>
    <t>Loan yield</t>
  </si>
  <si>
    <t>Customer deposits cost</t>
  </si>
  <si>
    <t>Debt securities cost</t>
  </si>
  <si>
    <t>Fees/ revenues</t>
  </si>
  <si>
    <t>Fees/ assets</t>
  </si>
  <si>
    <t>Total revenues/ assets</t>
  </si>
  <si>
    <t>Cost/ income</t>
  </si>
  <si>
    <t>Cost/ assets</t>
  </si>
  <si>
    <t>Staff costs/ total costs</t>
  </si>
  <si>
    <t>Depreciation/ tangible fixed assets</t>
  </si>
  <si>
    <t>NPLs/ gross loans</t>
  </si>
  <si>
    <t>Provisions/ NPLs</t>
  </si>
  <si>
    <t>Specific provisions/ NPLs</t>
  </si>
  <si>
    <t>General provisions/ performing loans</t>
  </si>
  <si>
    <t>Impairment charge/ gross loans</t>
  </si>
  <si>
    <t>Cash/ total assets</t>
  </si>
  <si>
    <t>Investments/ total assets</t>
  </si>
  <si>
    <t>Deposits/ total assets</t>
  </si>
  <si>
    <t>Shareholders' equity/ total assets</t>
  </si>
  <si>
    <t>CET1 ratio</t>
  </si>
  <si>
    <t>T1 ratio</t>
  </si>
  <si>
    <t>CAR</t>
  </si>
  <si>
    <t>RWAs/ total assets</t>
  </si>
  <si>
    <t>Effective tax rate</t>
  </si>
  <si>
    <t>Payout ratio (reported)</t>
  </si>
  <si>
    <t>Pre-provision profit/ assets</t>
  </si>
  <si>
    <t>Net operating profit/ assets</t>
  </si>
  <si>
    <t>ROA (reported)</t>
  </si>
  <si>
    <t>ROE (reported)</t>
  </si>
  <si>
    <t>Total assets</t>
  </si>
  <si>
    <t>Earnings</t>
  </si>
  <si>
    <t>Shareholders' equity</t>
  </si>
  <si>
    <t xml:space="preserve">Interbank assets/ total assets </t>
  </si>
  <si>
    <t>Number of Branches</t>
  </si>
  <si>
    <t>SEGMENTAL INFORMATION</t>
  </si>
  <si>
    <t>SEGMENT BY CLASS OF BUSINESS</t>
  </si>
  <si>
    <t>Textile</t>
  </si>
  <si>
    <t>Financial institutions</t>
  </si>
  <si>
    <t>Insurance</t>
  </si>
  <si>
    <t>Electronics and electrical appliances</t>
  </si>
  <si>
    <t>Construction</t>
  </si>
  <si>
    <t>Exports / imports</t>
  </si>
  <si>
    <t>Transport, storage and communication</t>
  </si>
  <si>
    <t>Chemical and pharmaceuticals</t>
  </si>
  <si>
    <t>Sugar</t>
  </si>
  <si>
    <t>Footwear and leather garments</t>
  </si>
  <si>
    <t>Wholesale and retail trade</t>
  </si>
  <si>
    <t>Cement</t>
  </si>
  <si>
    <t>Services</t>
  </si>
  <si>
    <t>Individuals</t>
  </si>
  <si>
    <t>Agriculture, forestry, hunting and fishing</t>
  </si>
  <si>
    <t>Automobile and transportation equipment</t>
  </si>
  <si>
    <t>Power (electricity), gas, water</t>
  </si>
  <si>
    <t xml:space="preserve">Details of non-performing financings </t>
  </si>
  <si>
    <t>paper, board and packaging</t>
  </si>
  <si>
    <t>power (electricity), oil, gas, and water</t>
  </si>
  <si>
    <t>fertilizer</t>
  </si>
  <si>
    <t>mining and quarrying</t>
  </si>
  <si>
    <t>oil and gas</t>
  </si>
  <si>
    <t>Agriculture,food, forestry, hunting and fishing</t>
  </si>
  <si>
    <t>food</t>
  </si>
  <si>
    <t>Scheduled Bank Deposits</t>
  </si>
  <si>
    <t>Islamic Bank Deposits</t>
  </si>
  <si>
    <t xml:space="preserve">Inflation </t>
  </si>
  <si>
    <t>GDP Growth Rate</t>
  </si>
  <si>
    <t>M2</t>
  </si>
  <si>
    <t>Meezan Bank Deposits</t>
  </si>
  <si>
    <t>KIBOR</t>
  </si>
  <si>
    <t>Policy Rate</t>
  </si>
  <si>
    <t>LIBOR</t>
  </si>
  <si>
    <t>Cash Balance / Deposits</t>
  </si>
  <si>
    <t>Due from FI / Deposits</t>
  </si>
  <si>
    <t>Investment / Deposits</t>
  </si>
  <si>
    <t>Fixed Assets / Deposits</t>
  </si>
  <si>
    <t>Other Assets / Deposiits</t>
  </si>
  <si>
    <t>Other Liabilities / Deposits</t>
  </si>
  <si>
    <t xml:space="preserve">PROVISION </t>
  </si>
  <si>
    <t>Provisions against non-performing financings(net)</t>
  </si>
  <si>
    <t>Provisions for diminution in value of investments and impairment</t>
  </si>
  <si>
    <t>Provisions against amounts due from financial institutions</t>
  </si>
  <si>
    <t>Provisions against off balance sheet obligations</t>
  </si>
  <si>
    <t>Bad debts written off direclty</t>
  </si>
  <si>
    <t>Recovery against written off financings</t>
  </si>
  <si>
    <t>Balances with other Banks / Deposits</t>
  </si>
  <si>
    <t>Yield on Islamic Financing</t>
  </si>
  <si>
    <t>Yield on Investment</t>
  </si>
  <si>
    <t>Yield on Deposits / Lending to FI</t>
  </si>
  <si>
    <t>Spread of Islamic Financing Yield</t>
  </si>
  <si>
    <t>Spread of Investment Yield</t>
  </si>
  <si>
    <t>PROFIT ON DEPOSITS AND OTHER DUES EXPENSED</t>
  </si>
  <si>
    <t>Deposits and other accounts</t>
  </si>
  <si>
    <t>Sub-ordinated Sukuk</t>
  </si>
  <si>
    <t>Other Musharakahs / Modarabas</t>
  </si>
  <si>
    <t>Ammortisation of lease liability against right-of-use assets</t>
  </si>
  <si>
    <t>Other Provisions / Reversals</t>
  </si>
  <si>
    <t xml:space="preserve">Total revenues/ employee </t>
  </si>
  <si>
    <t xml:space="preserve">Total revenues/ branch </t>
  </si>
  <si>
    <t>Growth In Fees and Commission</t>
  </si>
  <si>
    <t>Dividend Yield</t>
  </si>
  <si>
    <t>Unrealized gain / loss on held for trading investments</t>
  </si>
  <si>
    <t>Total Compensation Expense</t>
  </si>
  <si>
    <t>Staff costs/Employee</t>
  </si>
  <si>
    <t xml:space="preserve">Total costs/ employee </t>
  </si>
  <si>
    <t xml:space="preserve">Total costs/ branch </t>
  </si>
  <si>
    <t xml:space="preserve">Non-staff costs/ branch </t>
  </si>
  <si>
    <t>Net Islamic Financing / total assets</t>
  </si>
  <si>
    <t>Net Islamic Financing / deposits</t>
  </si>
  <si>
    <t xml:space="preserve">NPL Infection </t>
  </si>
  <si>
    <t>Provision Held (Specific)</t>
  </si>
  <si>
    <t>Gross Islamic Financing / Deposits</t>
  </si>
  <si>
    <t>NPL Coverage (Specific)</t>
  </si>
  <si>
    <t>Date</t>
  </si>
  <si>
    <t>Price</t>
  </si>
  <si>
    <t>Subordinated Debt</t>
  </si>
  <si>
    <t>Spread on Deposits</t>
  </si>
  <si>
    <t>Spread on Subordinated Debt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</si>
  <si>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</si>
  <si>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</si>
  <si>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</si>
  <si>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</si>
  <si>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</si>
  <si>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</si>
  <si>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</si>
  <si>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</si>
  <si>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</si>
  <si>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</si>
  <si>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</si>
  <si>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</si>
  <si>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</si>
  <si>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</si>
  <si>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</si>
  <si>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</si>
  <si>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</si>
  <si>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</si>
  <si>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</si>
  <si>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</si>
  <si>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</si>
  <si>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Share of IBIs in Scheduled Bank Deposits</t>
  </si>
  <si>
    <t>Share of Meezan Bank in IBIs</t>
  </si>
  <si>
    <t>Bank Islami</t>
  </si>
  <si>
    <t>DIB</t>
  </si>
  <si>
    <t>Albarka</t>
  </si>
  <si>
    <t>MIB</t>
  </si>
  <si>
    <t>HBL Islamic</t>
  </si>
  <si>
    <t>Bank Alfalah</t>
  </si>
  <si>
    <t>Faysal Bank Barkat</t>
  </si>
  <si>
    <t>June</t>
  </si>
  <si>
    <t>Assets</t>
  </si>
  <si>
    <t>Investments - Net</t>
  </si>
  <si>
    <t>Islamic Finaning &amp; related Assets</t>
  </si>
  <si>
    <t xml:space="preserve">Total Assets </t>
  </si>
  <si>
    <t>Liabilities</t>
  </si>
  <si>
    <t xml:space="preserve"> - Current Accounts*</t>
  </si>
  <si>
    <t xml:space="preserve"> - Savng Accounts</t>
  </si>
  <si>
    <t xml:space="preserve"> - Term Deposits</t>
  </si>
  <si>
    <t xml:space="preserve"> - Others</t>
  </si>
  <si>
    <t xml:space="preserve"> - Deposits from financil Institutions (Remunerative)</t>
  </si>
  <si>
    <t xml:space="preserve"> - Deposits from financil Institutions (N0n - Remunerative)</t>
  </si>
  <si>
    <t>Total Liabilities</t>
  </si>
  <si>
    <t>Net Assets Represented By:</t>
  </si>
  <si>
    <t>Share Capital/islamic Banking Fund</t>
  </si>
  <si>
    <t>Advance against issuance of shares</t>
  </si>
  <si>
    <t>Surplus/ Deficit on Revaluation of Assets</t>
  </si>
  <si>
    <t>Equity Tier 1</t>
  </si>
  <si>
    <t>Total Equity</t>
  </si>
  <si>
    <t>Profit &amp; Loss</t>
  </si>
  <si>
    <t>Profit / Return earned on financings, investments and placements</t>
  </si>
  <si>
    <t>Profit / Return on deposits and other dues expensed</t>
  </si>
  <si>
    <t>Net Spread earned</t>
  </si>
  <si>
    <t xml:space="preserve">Net Income Earned </t>
  </si>
  <si>
    <t>Lower 95.0%</t>
  </si>
  <si>
    <t>Upper 95.0%</t>
  </si>
  <si>
    <t>Growth in Bills Payable</t>
  </si>
  <si>
    <t>Growth in Due to FIs</t>
  </si>
  <si>
    <t>Number of Staff</t>
  </si>
  <si>
    <t>Spread of Deposits / Due from FI and Balances with other banks</t>
  </si>
  <si>
    <t>Total Operating Expenses per branch (Excluding Compensation)</t>
  </si>
  <si>
    <t>Total Compensation per employee</t>
  </si>
  <si>
    <t>Employee per branch</t>
  </si>
  <si>
    <t>Cost of Deposits / (Fixed + Saving + Remunerative FI)</t>
  </si>
  <si>
    <t>Effective Tax Rate</t>
  </si>
  <si>
    <t>Musharakah (Secured)</t>
  </si>
  <si>
    <t>Musharkah (Unsecured)</t>
  </si>
  <si>
    <t>Total Costs</t>
  </si>
  <si>
    <t>Bills Payable / Deposits</t>
  </si>
  <si>
    <t>Due to Financial Institutions / Deposits</t>
  </si>
  <si>
    <t>2020E</t>
  </si>
  <si>
    <t>2021F</t>
  </si>
  <si>
    <t>2022F</t>
  </si>
  <si>
    <t>2023F</t>
  </si>
  <si>
    <t>2024F</t>
  </si>
  <si>
    <t>2025F</t>
  </si>
  <si>
    <t>Islamic Financing per Branch</t>
  </si>
  <si>
    <t>Financing Per Branch</t>
  </si>
  <si>
    <t>Growth in Intangible Assets</t>
  </si>
  <si>
    <t xml:space="preserve">Effective Statutory Reserve </t>
  </si>
  <si>
    <t>Amorisation as % of Right of use assets</t>
  </si>
  <si>
    <t>% Change</t>
  </si>
  <si>
    <t>Growth in FX Income</t>
  </si>
  <si>
    <t>Growth in Other Income</t>
  </si>
  <si>
    <t>Effective WWF cost</t>
  </si>
  <si>
    <t>MEBL</t>
  </si>
  <si>
    <t>KSE-100</t>
  </si>
  <si>
    <t>Valuation Assumptions</t>
  </si>
  <si>
    <t>Risk-free rate</t>
  </si>
  <si>
    <t>Equity Premium</t>
  </si>
  <si>
    <t>Beta</t>
  </si>
  <si>
    <t>Cost of equity</t>
  </si>
  <si>
    <t>Terminal Growth</t>
  </si>
  <si>
    <t>Sustainable ROE</t>
  </si>
  <si>
    <t>STOCK PRICES</t>
  </si>
  <si>
    <t>RETURNS</t>
  </si>
  <si>
    <t>Justified P/B</t>
  </si>
  <si>
    <t>BVPS</t>
  </si>
  <si>
    <t>P/E</t>
  </si>
  <si>
    <t>P/B</t>
  </si>
  <si>
    <t>PEG</t>
  </si>
  <si>
    <t>Market Snapshot</t>
  </si>
  <si>
    <t xml:space="preserve">Ticker </t>
  </si>
  <si>
    <t>52-Week Low</t>
  </si>
  <si>
    <t>52-Week High</t>
  </si>
  <si>
    <t>REVENUES</t>
  </si>
  <si>
    <t>EFFICIENCY</t>
  </si>
  <si>
    <t>CREDIT RISK</t>
  </si>
  <si>
    <t>BALANCE SHEET STRUCTURE</t>
  </si>
  <si>
    <t>CAPITAL STRENGTH</t>
  </si>
  <si>
    <t>GROWTH</t>
  </si>
  <si>
    <t>VALUATION</t>
  </si>
  <si>
    <t>%</t>
  </si>
  <si>
    <t>RATIOS</t>
  </si>
  <si>
    <t>Dividend Discount Model</t>
  </si>
  <si>
    <t>DATE</t>
  </si>
  <si>
    <t>Source: worldgovernmentbonds.com</t>
  </si>
  <si>
    <t>Source: pages.ssrn.com (Pablo fernandez)</t>
  </si>
  <si>
    <t>KEY ASSUMPTIONS</t>
  </si>
  <si>
    <t>RATES</t>
  </si>
  <si>
    <t>PARTICULARS OF BALANCE SHEET AS % OF DEPOSITS</t>
  </si>
  <si>
    <t>PROFIT/RETURN ON ISLAMIC FINANCING, INVESTMENTS AND DEPOSITS</t>
  </si>
  <si>
    <t>GROWTH PERCENTAGES AND OTHER PARTICULARS</t>
  </si>
  <si>
    <t>PARTICULARS AS OF PER BRANCH</t>
  </si>
  <si>
    <t>NPL Coverage (General)</t>
  </si>
  <si>
    <t>NON-PERFORMING LOANS AND PROVISIONS</t>
  </si>
  <si>
    <t>EFFECTIVE RATES</t>
  </si>
  <si>
    <t>Deposits</t>
  </si>
  <si>
    <t>Growth</t>
  </si>
  <si>
    <t>Advances</t>
  </si>
  <si>
    <t>ADR</t>
  </si>
  <si>
    <t>IDR</t>
  </si>
  <si>
    <t>Rates</t>
  </si>
  <si>
    <t>Spread</t>
  </si>
  <si>
    <t>Net Spread Earned</t>
  </si>
  <si>
    <t>Spread over Policy Rate</t>
  </si>
  <si>
    <t>Growth of Non-Controlling Interest</t>
  </si>
  <si>
    <t>CAPITAL ADEQUACY RATIO</t>
  </si>
  <si>
    <t>Operational RWA (Growth)</t>
  </si>
  <si>
    <t xml:space="preserve">CET 1 </t>
  </si>
  <si>
    <t>KIBOR RATES FOR 2020</t>
  </si>
  <si>
    <t>Months</t>
  </si>
  <si>
    <t>January</t>
  </si>
  <si>
    <t>February</t>
  </si>
  <si>
    <t>March</t>
  </si>
  <si>
    <t>April</t>
  </si>
  <si>
    <t>May</t>
  </si>
  <si>
    <t>July</t>
  </si>
  <si>
    <t>August</t>
  </si>
  <si>
    <t>September</t>
  </si>
  <si>
    <t>October</t>
  </si>
  <si>
    <t>November</t>
  </si>
  <si>
    <t>December</t>
  </si>
  <si>
    <t>AVERAGE</t>
  </si>
  <si>
    <t>POTENTIAL PEERS</t>
  </si>
  <si>
    <t>TICKER</t>
  </si>
  <si>
    <t>TRAILING P/E</t>
  </si>
  <si>
    <t>10 YR AVG P/E</t>
  </si>
  <si>
    <t>TRAILING P/B</t>
  </si>
  <si>
    <t>10 YR AVG P/B</t>
  </si>
  <si>
    <t>Muslim Commercial Bank</t>
  </si>
  <si>
    <t>Habib Bank Limited</t>
  </si>
  <si>
    <t>HBL</t>
  </si>
  <si>
    <t>MCB</t>
  </si>
  <si>
    <t>United Bank Limited</t>
  </si>
  <si>
    <t>UBL</t>
  </si>
  <si>
    <t>Allied Bank Limited</t>
  </si>
  <si>
    <t>ABL</t>
  </si>
  <si>
    <t>BAFL</t>
  </si>
  <si>
    <t>CLOSING PRICES</t>
  </si>
  <si>
    <t>WEIGHTS</t>
  </si>
  <si>
    <t>MARKET CAP (Mn)</t>
  </si>
  <si>
    <t>Average P/B (x)</t>
  </si>
  <si>
    <t>Average P/E (x) From PE Sheet - daily basis</t>
  </si>
  <si>
    <t>EPS Growth (%)</t>
  </si>
  <si>
    <t>Weighted Average</t>
  </si>
  <si>
    <t>Relative Valuation (P/E and P/B)</t>
  </si>
  <si>
    <t>FY'21 EPS</t>
  </si>
  <si>
    <t>PER Based Valuation</t>
  </si>
  <si>
    <t>FY'21 BVPS</t>
  </si>
  <si>
    <t>PBR Based Valuation</t>
  </si>
  <si>
    <t>Years</t>
  </si>
  <si>
    <t>EPS Growth</t>
  </si>
  <si>
    <t>Trailing PEG</t>
  </si>
  <si>
    <t>Average PEG</t>
  </si>
  <si>
    <t>FY'21 Growth</t>
  </si>
  <si>
    <t>PEG Based Valuation</t>
  </si>
  <si>
    <t>Justified P/E</t>
  </si>
  <si>
    <t>10 YR AVG PEG</t>
  </si>
  <si>
    <t>CY19</t>
  </si>
  <si>
    <t>CY20E</t>
  </si>
  <si>
    <t>CY21F</t>
  </si>
  <si>
    <t>CY22F</t>
  </si>
  <si>
    <t>CY23F</t>
  </si>
  <si>
    <t>Advances/Deposits (ADR)</t>
  </si>
  <si>
    <t>Invesment/Deposit (IDR)</t>
  </si>
  <si>
    <t>NPL Coverage</t>
  </si>
  <si>
    <t>Capital Adequacy Ratio (CAR)</t>
  </si>
  <si>
    <t>ROE</t>
  </si>
  <si>
    <t>ROA</t>
  </si>
  <si>
    <t>NII margin on interest earning-assets</t>
  </si>
  <si>
    <t>Credit Risk</t>
  </si>
  <si>
    <t>Balanced Sheet Structure</t>
  </si>
  <si>
    <t>Capital Strength</t>
  </si>
  <si>
    <t>Efficiency Ratio</t>
  </si>
  <si>
    <t>Cost/income</t>
  </si>
  <si>
    <t xml:space="preserve">CASA </t>
  </si>
  <si>
    <t>Methodologies</t>
  </si>
  <si>
    <t>Justified P/B Based Valuation</t>
  </si>
  <si>
    <t>DDM Based Valuation</t>
  </si>
  <si>
    <t>Weights</t>
  </si>
  <si>
    <t>Weighted Price</t>
  </si>
  <si>
    <t>EPS'25</t>
  </si>
  <si>
    <t>PV of Fair Price</t>
  </si>
  <si>
    <t>Fair Price</t>
  </si>
  <si>
    <t>BVPS'25</t>
  </si>
  <si>
    <t>PV of Dividends</t>
  </si>
  <si>
    <t>Terminal Value of Dividends</t>
  </si>
  <si>
    <t>PV of Terminal Value</t>
  </si>
  <si>
    <t>PV of Forecast Dividends (Sum)</t>
  </si>
  <si>
    <t>Weighted Avg P/E of Top 5</t>
  </si>
  <si>
    <t>Weighted Avg P/B of Top 5</t>
  </si>
  <si>
    <t>Weighted Avg PEG of Top 5</t>
  </si>
  <si>
    <t>PKR</t>
  </si>
  <si>
    <t>(x)</t>
  </si>
  <si>
    <t xml:space="preserve">Amounts in PKR Million </t>
  </si>
  <si>
    <t>Nominal GDP Growth Rate</t>
  </si>
  <si>
    <t>Relative P/E</t>
  </si>
  <si>
    <t>Weighted Average Target Price</t>
  </si>
  <si>
    <t>Share Price</t>
  </si>
  <si>
    <t>Target Price</t>
  </si>
  <si>
    <t>BUY</t>
  </si>
  <si>
    <t xml:space="preserve">Recommendation: </t>
  </si>
  <si>
    <t>Market Cap (In Mn)</t>
  </si>
  <si>
    <t>Number of Shares</t>
  </si>
  <si>
    <t>Upside (%)</t>
  </si>
  <si>
    <t>Dividend Yield (%)</t>
  </si>
  <si>
    <t>Free Float (%)</t>
  </si>
  <si>
    <t>Last Close (12-1-21)</t>
  </si>
  <si>
    <t>Company Overview</t>
  </si>
  <si>
    <t>Branches (242 Cities)</t>
  </si>
  <si>
    <t>Share of IBIs (in Scheduled Banks)</t>
  </si>
  <si>
    <t>Founded</t>
  </si>
  <si>
    <t xml:space="preserve">Number of Staff </t>
  </si>
  <si>
    <t>CEO</t>
  </si>
  <si>
    <t>Mr. Irfan Siddiqui</t>
  </si>
  <si>
    <t>Headquarter</t>
  </si>
  <si>
    <t>Karachi, Pakistan</t>
  </si>
  <si>
    <t>Market Data</t>
  </si>
  <si>
    <t>Market Cap (Mn)</t>
  </si>
  <si>
    <t>Number of Shares (Mn)</t>
  </si>
  <si>
    <t>NIMS</t>
  </si>
  <si>
    <t>Total Income</t>
  </si>
  <si>
    <t>Non-Interest Income</t>
  </si>
  <si>
    <t>Operating Expenses</t>
  </si>
  <si>
    <t>Profit After Tax</t>
  </si>
  <si>
    <t>Income Statement Summary (2019-2023F Avg)</t>
  </si>
  <si>
    <t>Share Capital</t>
  </si>
  <si>
    <t>Balance Sheet Summary (2019-2023F Avg)</t>
  </si>
  <si>
    <t>Branches</t>
  </si>
  <si>
    <t>Change</t>
  </si>
  <si>
    <t>IBIs Deposits</t>
  </si>
  <si>
    <t>MEBL Deposit</t>
  </si>
  <si>
    <t>MEBL as % of IBI deposit</t>
  </si>
  <si>
    <t xml:space="preserve">Market Share of MEBL </t>
  </si>
  <si>
    <t>Corporate</t>
  </si>
  <si>
    <t>SME/Commercial</t>
  </si>
  <si>
    <t>Consumer</t>
  </si>
  <si>
    <t>Staff</t>
  </si>
  <si>
    <t>Financing Mix</t>
  </si>
  <si>
    <t>PAT</t>
  </si>
  <si>
    <t>Payout Ratio</t>
  </si>
  <si>
    <t>DPS</t>
  </si>
  <si>
    <t>Financial Analysis</t>
  </si>
  <si>
    <t>CY16</t>
  </si>
  <si>
    <t>CY17</t>
  </si>
  <si>
    <t>CY18</t>
  </si>
  <si>
    <t>CY24F</t>
  </si>
  <si>
    <t>CY25F</t>
  </si>
  <si>
    <t>NPL</t>
  </si>
  <si>
    <t>NPL Infection</t>
  </si>
  <si>
    <t>Provision held</t>
  </si>
  <si>
    <t>Non Performing Loans</t>
  </si>
  <si>
    <t>Cost/Income Ratio</t>
  </si>
  <si>
    <t>MIN Capital Required</t>
  </si>
  <si>
    <t>Tier I</t>
  </si>
  <si>
    <t>Tier II</t>
  </si>
  <si>
    <t>Cost of Equity (%)</t>
  </si>
  <si>
    <t>Terminal Growtth Rate (%)</t>
  </si>
  <si>
    <t>YEARS</t>
  </si>
  <si>
    <t>Revenue</t>
  </si>
  <si>
    <t>Revenue from Investments</t>
  </si>
  <si>
    <t>Revenue from Investments (%)</t>
  </si>
  <si>
    <r>
      <t>•</t>
    </r>
    <r>
      <rPr>
        <b/>
        <sz val="7"/>
        <color rgb="FF000000"/>
        <rFont val="Calibri"/>
        <family val="2"/>
        <scheme val="minor"/>
      </rPr>
      <t>P1</t>
    </r>
    <r>
      <rPr>
        <sz val="7"/>
        <color rgb="FF000000"/>
        <rFont val="Calibri"/>
        <family val="2"/>
        <scheme val="minor"/>
      </rPr>
      <t>-</t>
    </r>
    <r>
      <rPr>
        <i/>
        <sz val="7"/>
        <color rgb="FF000000"/>
        <rFont val="Calibri"/>
        <family val="2"/>
        <scheme val="minor"/>
      </rPr>
      <t xml:space="preserve">improving cyber security and launching of new products and App </t>
    </r>
  </si>
  <si>
    <r>
      <t>•</t>
    </r>
    <r>
      <rPr>
        <b/>
        <sz val="7"/>
        <color rgb="FF000000"/>
        <rFont val="Calibri"/>
        <family val="2"/>
        <scheme val="minor"/>
      </rPr>
      <t>P2</t>
    </r>
    <r>
      <rPr>
        <sz val="7"/>
        <color rgb="FF000000"/>
        <rFont val="Calibri"/>
        <family val="2"/>
        <scheme val="minor"/>
      </rPr>
      <t>-</t>
    </r>
    <r>
      <rPr>
        <i/>
        <sz val="7"/>
        <color rgb="FF000000"/>
        <rFont val="Calibri"/>
        <family val="2"/>
        <scheme val="minor"/>
      </rPr>
      <t>focusing on  acquiring better customer insights.</t>
    </r>
  </si>
  <si>
    <r>
      <t>•</t>
    </r>
    <r>
      <rPr>
        <sz val="7"/>
        <color rgb="FF000000"/>
        <rFont val="Calibri"/>
        <family val="2"/>
        <scheme val="minor"/>
      </rPr>
      <t>Foree</t>
    </r>
  </si>
  <si>
    <r>
      <t>•</t>
    </r>
    <r>
      <rPr>
        <sz val="7"/>
        <color rgb="FF000000"/>
        <rFont val="Calibri"/>
        <family val="2"/>
        <scheme val="minor"/>
      </rPr>
      <t>FonePay</t>
    </r>
  </si>
  <si>
    <r>
      <t>•</t>
    </r>
    <r>
      <rPr>
        <sz val="7"/>
        <color rgb="FF000000"/>
        <rFont val="Calibri"/>
        <family val="2"/>
        <scheme val="minor"/>
      </rPr>
      <t>NayaPay</t>
    </r>
  </si>
  <si>
    <t>Terminal Value</t>
  </si>
  <si>
    <t>Sum of PV</t>
  </si>
  <si>
    <t>PV of DPS</t>
  </si>
  <si>
    <t>Share price</t>
  </si>
  <si>
    <t>Meezan Bank Limited</t>
  </si>
  <si>
    <t>Adjustment</t>
  </si>
  <si>
    <t>Variance</t>
  </si>
  <si>
    <t>Assumptions</t>
  </si>
  <si>
    <t>Horizontal Analysis</t>
  </si>
  <si>
    <t>Vertical Analysis</t>
  </si>
  <si>
    <t>Investments / Deposits</t>
  </si>
  <si>
    <t xml:space="preserve">Operating Cost </t>
  </si>
  <si>
    <t xml:space="preserve">branches </t>
  </si>
  <si>
    <t>Employees</t>
  </si>
  <si>
    <t xml:space="preserve">NPLS </t>
  </si>
  <si>
    <t>Provision</t>
  </si>
  <si>
    <t xml:space="preserve">Overall Industry Deposits </t>
  </si>
  <si>
    <t xml:space="preserve">Islamic Banking </t>
  </si>
  <si>
    <t xml:space="preserve">Conventional Banking </t>
  </si>
  <si>
    <t xml:space="preserve">Islamic Banking Growth </t>
  </si>
  <si>
    <t>Conventional Banking Growth</t>
  </si>
  <si>
    <t xml:space="preserve">Islamic Bank CAGR </t>
  </si>
  <si>
    <t xml:space="preserve">Conventional Banking CAGR </t>
  </si>
  <si>
    <t xml:space="preserve">Beginning Value </t>
  </si>
  <si>
    <t xml:space="preserve">Ending Value </t>
  </si>
  <si>
    <t xml:space="preserve">Number of Years </t>
  </si>
  <si>
    <t xml:space="preserve">CAGR </t>
  </si>
  <si>
    <t xml:space="preserve">Currency In Circulation </t>
  </si>
  <si>
    <t xml:space="preserve">Pakistan </t>
  </si>
  <si>
    <t>Morooco</t>
  </si>
  <si>
    <t xml:space="preserve">Russia </t>
  </si>
  <si>
    <t xml:space="preserve">Bangladesh </t>
  </si>
  <si>
    <t xml:space="preserve">Saudi Arabia </t>
  </si>
  <si>
    <t xml:space="preserve">Srilanka </t>
  </si>
  <si>
    <t xml:space="preserve">Oman </t>
  </si>
  <si>
    <t xml:space="preserve">Kuwait </t>
  </si>
  <si>
    <t xml:space="preserve">IT Expenses/ Total Admin Expenses  </t>
  </si>
  <si>
    <t>IT Expense Growth 2019, RHS</t>
  </si>
  <si>
    <t xml:space="preserve">BAFL </t>
  </si>
  <si>
    <t xml:space="preserve">MCB </t>
  </si>
  <si>
    <t xml:space="preserve">UBL </t>
  </si>
  <si>
    <t xml:space="preserve">ABL </t>
  </si>
  <si>
    <t xml:space="preserve">HBL </t>
  </si>
  <si>
    <t xml:space="preserve">MEBL </t>
  </si>
  <si>
    <t>2021E</t>
  </si>
  <si>
    <t>2022E</t>
  </si>
  <si>
    <t>2023E</t>
  </si>
  <si>
    <t>2024E</t>
  </si>
  <si>
    <t>2025E</t>
  </si>
  <si>
    <t xml:space="preserve">Interest rates </t>
  </si>
  <si>
    <t>SEP'2020</t>
  </si>
  <si>
    <t xml:space="preserve">Islamic Banking Investments </t>
  </si>
  <si>
    <t xml:space="preserve">Investment/T.Assets </t>
  </si>
  <si>
    <t xml:space="preserve">Advances </t>
  </si>
  <si>
    <t xml:space="preserve">Advances/T.Assets </t>
  </si>
  <si>
    <t xml:space="preserve">Asset Composition Islamic Banking </t>
  </si>
  <si>
    <t xml:space="preserve">Other Assets </t>
  </si>
  <si>
    <t>Full Fleged Islamic Banks- Competitive Positioning- Sep 2020</t>
  </si>
  <si>
    <t xml:space="preserve">Meezan Bank </t>
  </si>
  <si>
    <t xml:space="preserve">Bank Islami </t>
  </si>
  <si>
    <t xml:space="preserve">DIB </t>
  </si>
  <si>
    <t xml:space="preserve">Al-Baraka </t>
  </si>
  <si>
    <t>MCB Islamic</t>
  </si>
  <si>
    <t xml:space="preserve">Average </t>
  </si>
  <si>
    <t xml:space="preserve">Deposit Growth </t>
  </si>
  <si>
    <t xml:space="preserve">Asset Growth </t>
  </si>
  <si>
    <t>NII Growth (YoY)</t>
  </si>
  <si>
    <t>Net Earning Growth (YoY)</t>
  </si>
  <si>
    <t xml:space="preserve">Growth </t>
  </si>
  <si>
    <t xml:space="preserve">NIMS </t>
  </si>
  <si>
    <t xml:space="preserve">Operating Cost Per Branch </t>
  </si>
  <si>
    <t xml:space="preserve">Operating Cost per Employee </t>
  </si>
  <si>
    <t>Top Five Banks Competitive Positioning -Sep 2020</t>
  </si>
  <si>
    <t xml:space="preserve">Habib Bank Limited </t>
  </si>
  <si>
    <t>NBP</t>
  </si>
  <si>
    <t>MCB (Rupees in 000's)</t>
  </si>
  <si>
    <t xml:space="preserve">Total Deposits </t>
  </si>
  <si>
    <t xml:space="preserve">Net Spread </t>
  </si>
  <si>
    <t xml:space="preserve">PBT </t>
  </si>
  <si>
    <t xml:space="preserve">Net Earning </t>
  </si>
  <si>
    <t xml:space="preserve">CAR </t>
  </si>
  <si>
    <t xml:space="preserve">Branches </t>
  </si>
  <si>
    <t># of Employees as on 31 Dec 2019</t>
  </si>
  <si>
    <t>NPL ( in Billion)- Unconsolidated</t>
  </si>
  <si>
    <t>Provision ( In Billion)- Unconsolidated</t>
  </si>
  <si>
    <t xml:space="preserve">Coverage </t>
  </si>
  <si>
    <t>NPLS</t>
  </si>
  <si>
    <t xml:space="preserve">NPL coverage </t>
  </si>
  <si>
    <t>Operating per branch</t>
  </si>
  <si>
    <t>Operating Expense per Employee</t>
  </si>
  <si>
    <t xml:space="preserve">NII Growth </t>
  </si>
  <si>
    <t xml:space="preserve">Net Profit Earned Growth </t>
  </si>
  <si>
    <t>Meezan Bank Limited- Competitive Positioning Sep-2020</t>
  </si>
  <si>
    <t xml:space="preserve">2020 Sep </t>
  </si>
  <si>
    <t xml:space="preserve">2019 Sep </t>
  </si>
  <si>
    <t>2020 Sep</t>
  </si>
  <si>
    <t xml:space="preserve">NIM Growth </t>
  </si>
  <si>
    <t xml:space="preserve">ADR </t>
  </si>
  <si>
    <t xml:space="preserve">IDR </t>
  </si>
  <si>
    <t xml:space="preserve">Infection Ratio </t>
  </si>
  <si>
    <t xml:space="preserve">Operating Cost per Branch </t>
  </si>
  <si>
    <t xml:space="preserve">Net Earning Asset </t>
  </si>
  <si>
    <t xml:space="preserve">Meezan </t>
  </si>
  <si>
    <t>Al-Baraka</t>
  </si>
  <si>
    <t xml:space="preserve">MCB Islamic </t>
  </si>
  <si>
    <t>Cash and balances with treasury banks</t>
  </si>
  <si>
    <t>Due from financial institutions</t>
  </si>
  <si>
    <t>Islamic financing, related assets and advances</t>
  </si>
  <si>
    <t>Assets classified as held for sale</t>
  </si>
  <si>
    <t>AHL</t>
  </si>
  <si>
    <t>Competitive Positioning -Sep 2020</t>
  </si>
  <si>
    <t>Top 5 Bank</t>
  </si>
  <si>
    <t>Islamic Bank (Full Fledged)</t>
  </si>
  <si>
    <t xml:space="preserve">Deposit Growth 5Yr CAGR </t>
  </si>
  <si>
    <t xml:space="preserve">Asset Growth 5 Yr CAGR </t>
  </si>
  <si>
    <t>Net Interest/ Profit Growth (YoY)</t>
  </si>
  <si>
    <t>Profit After Taxation Growth (YoY)</t>
  </si>
  <si>
    <t>Operating Cost per Branch (000)</t>
  </si>
  <si>
    <t>Operating Cost per Employee (000)</t>
  </si>
  <si>
    <t xml:space="preserve">AHL </t>
  </si>
  <si>
    <t xml:space="preserve">Al Baraka </t>
  </si>
  <si>
    <t xml:space="preserve">BIL </t>
  </si>
  <si>
    <t xml:space="preserve">Infection </t>
  </si>
  <si>
    <t>Deposit Growth 5 Year CAGR</t>
  </si>
  <si>
    <t xml:space="preserve">In Billions </t>
  </si>
  <si>
    <t xml:space="preserve">Total Investment </t>
  </si>
  <si>
    <t xml:space="preserve">Islamic Investment </t>
  </si>
  <si>
    <t xml:space="preserve">Convention Investment </t>
  </si>
  <si>
    <t xml:space="preserve">Competition </t>
  </si>
  <si>
    <t xml:space="preserve">Al- Baraka </t>
  </si>
  <si>
    <t xml:space="preserve">HBL Islamic </t>
  </si>
  <si>
    <t>Al-Falah Islamic</t>
  </si>
  <si>
    <t xml:space="preserve">Others </t>
  </si>
  <si>
    <t>SEP'19</t>
  </si>
  <si>
    <t>Account Ownership at Financial Institution or Mobile money service provider  (% of Popluation)</t>
  </si>
  <si>
    <t>India</t>
  </si>
  <si>
    <t xml:space="preserve">China </t>
  </si>
  <si>
    <t xml:space="preserve">Malaysia </t>
  </si>
  <si>
    <t xml:space="preserve">Japan </t>
  </si>
  <si>
    <t>Sep'19</t>
  </si>
  <si>
    <t>Sep'2020</t>
  </si>
  <si>
    <t xml:space="preserve">Balance Sheet </t>
  </si>
  <si>
    <t xml:space="preserve">Major Islamic-Banks Data </t>
  </si>
  <si>
    <t xml:space="preserve">Banking Growth </t>
  </si>
  <si>
    <t xml:space="preserve">Technological Spendings </t>
  </si>
  <si>
    <t xml:space="preserve">Islamic Banking Industry  Key Ratios </t>
  </si>
  <si>
    <t>Key Metrics</t>
  </si>
  <si>
    <t>M2 Growth</t>
  </si>
  <si>
    <t>Inflation</t>
  </si>
  <si>
    <t>Nominal GDP</t>
  </si>
  <si>
    <t>Profitability</t>
  </si>
  <si>
    <t>NPL measures</t>
  </si>
  <si>
    <t>RWAs/Total assets</t>
  </si>
  <si>
    <t>CET 1</t>
  </si>
  <si>
    <t>Dupont</t>
  </si>
  <si>
    <t>Financial Leverage</t>
  </si>
  <si>
    <t>Asset turnover</t>
  </si>
  <si>
    <t>NI margin</t>
  </si>
  <si>
    <t xml:space="preserve">Net Earning Asset Calculations (Sep 2020) Islamic Banks </t>
  </si>
  <si>
    <t xml:space="preserve">Asset Quality </t>
  </si>
  <si>
    <t>Sensitivity of Policy Rate</t>
  </si>
  <si>
    <t>Policy Rate (%)</t>
  </si>
  <si>
    <t>FY21 EPS</t>
  </si>
  <si>
    <t>Base Case+200bps</t>
  </si>
  <si>
    <t>Base Case +100bps</t>
  </si>
  <si>
    <t>Base Case</t>
  </si>
  <si>
    <t>Base Case-100bps</t>
  </si>
  <si>
    <t>Sensitivity of Market Share</t>
  </si>
  <si>
    <t>Share of IBIs (%)</t>
  </si>
  <si>
    <t>Change in EPS(%)</t>
  </si>
  <si>
    <t>Base Case+2%</t>
  </si>
  <si>
    <t>Base Case+1%</t>
  </si>
  <si>
    <t xml:space="preserve">Base Case </t>
  </si>
  <si>
    <t xml:space="preserve">Base Case-1% </t>
  </si>
  <si>
    <t>Base Case-2%</t>
  </si>
  <si>
    <t>FY21 NIMS (%)</t>
  </si>
  <si>
    <t>Base Case+100bps</t>
  </si>
  <si>
    <t>Base Case+50bps</t>
  </si>
  <si>
    <t xml:space="preserve">Base Case-50bps </t>
  </si>
  <si>
    <t>Sensitivity of Inflation</t>
  </si>
  <si>
    <t xml:space="preserve">Cost/Income </t>
  </si>
  <si>
    <t>Base Case-1%</t>
  </si>
  <si>
    <t xml:space="preserve"> Sensitivity of Policy Rate</t>
  </si>
  <si>
    <t>Sensitivity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</si>
</sst>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8">
    <numFmt numFmtId="41" formatCode="_(* #,##0_);_(* \(#,##0\);_(* &quot;-&quot;_);_(@_)"/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_(* #,##0_);_(* \(#,##0\);_(* &quot;-&quot;??_);_(@_)"/>
    <numFmt numFmtId="167" formatCode="[$-409]mmm\-yy;@"/>
    <numFmt numFmtId="168" formatCode="0.0"/>
    <numFmt numFmtId="169" formatCode="_(* #,##0.0_);_(* \(#,##0.0\);_(* &quot;-&quot;??_);_(@_)"/>
    <numFmt numFmtId="170" formatCode="_-* #,##0.0_-;\-* #,##0.0_-;_-* &quot;-&quot;_-;_-@_-"/>
    <numFmt numFmtId="171" formatCode="_(* #,##0.0000_);_(* \(#,##0.0000\);_(* &quot;-&quot;??_);_(@_)"/>
    <numFmt numFmtId="172" formatCode="_(* #,##0.000_);_(* \(#,##0.000\);_(* &quot;-&quot;??_);_(@_)"/>
    <numFmt numFmtId="173" formatCode="#,##0.000"/>
    <numFmt numFmtId="174" formatCode="0.000"/>
    <numFmt numFmtId="175" formatCode="0.0%"/>
    <numFmt numFmtId="176" formatCode="0.0000000%"/>
    <numFmt numFmtId="177" formatCode="_-* #,##0.0_-;\-* #,##0.0_-;_-* &quot;-&quot;??_-;_-@_-"/>
    <numFmt numFmtId="178" formatCode="[$PKR]\ #,##0.00"/>
    <numFmt numFmtId="179" formatCode="0.000%"/>
  </numFmts>
  <fonts count="7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0"/>
      <name val="Arial Narrow"/>
      <family val="2"/>
    </font>
    <font>
      <sz val="8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  <charset val="1"/>
      <scheme val="minor"/>
    </font>
    <font>
      <b/>
      <sz val="10"/>
      <color theme="7" tint="-0.499984740745262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14"/>
      <name val="Arial"/>
      <family val="2"/>
    </font>
    <font>
      <b/>
      <sz val="8"/>
      <color theme="7" tint="-0.499984740745262"/>
      <name val="Calibri"/>
      <family val="2"/>
      <scheme val="minor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b/>
      <sz val="8"/>
      <color theme="0" tint="-0.34998626667073579"/>
      <name val="Calibri"/>
      <family val="2"/>
      <scheme val="minor"/>
    </font>
    <font>
      <sz val="8"/>
      <color theme="0" tint="-0.34998626667073579"/>
      <name val="Calibri"/>
      <family val="2"/>
      <scheme val="minor"/>
    </font>
    <font>
      <b/>
      <sz val="8"/>
      <color theme="0" tint="-0.249977111117893"/>
      <name val="Calibri"/>
      <family val="2"/>
      <scheme val="minor"/>
    </font>
    <font>
      <sz val="8"/>
      <color theme="0" tint="-0.249977111117893"/>
      <name val="Calibri"/>
      <family val="2"/>
      <scheme val="minor"/>
    </font>
    <font>
      <b/>
      <sz val="8"/>
      <color rgb="FF00B050"/>
      <name val="Calibri"/>
      <family val="2"/>
      <scheme val="minor"/>
    </font>
    <font>
      <b/>
      <sz val="8"/>
      <color theme="9" tint="-0.249977111117893"/>
      <name val="Calibri"/>
      <family val="2"/>
      <scheme val="minor"/>
    </font>
    <font>
      <b/>
      <sz val="8"/>
      <color rgb="FF0070C0"/>
      <name val="Calibri"/>
      <family val="2"/>
      <scheme val="minor"/>
    </font>
    <font>
      <b/>
      <sz val="8"/>
      <color theme="4"/>
      <name val="Calibri"/>
      <family val="2"/>
      <scheme val="minor"/>
    </font>
    <font>
      <sz val="8"/>
      <color rgb="FF0070C0"/>
      <name val="Calibri"/>
      <family val="2"/>
      <scheme val="minor"/>
    </font>
    <font>
      <sz val="8"/>
      <color theme="4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8"/>
      <color theme="0" tint="-0.499984740745262"/>
      <name val="Calibri"/>
      <family val="2"/>
      <scheme val="minor"/>
    </font>
    <font>
      <b/>
      <sz val="10"/>
      <color theme="5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9" tint="-0.249977111117893"/>
      <name val="Calibri"/>
      <family val="2"/>
      <scheme val="minor"/>
    </font>
    <font>
      <b/>
      <sz val="8"/>
      <color theme="0" tint="-0.499984740745262"/>
      <name val="Calibri"/>
      <family val="2"/>
      <scheme val="minor"/>
    </font>
    <font>
      <i/>
      <sz val="11"/>
      <color theme="9" tint="-0.249977111117893"/>
      <name val="Calibri"/>
      <family val="2"/>
      <scheme val="minor"/>
    </font>
    <font>
      <i/>
      <sz val="11"/>
      <color theme="3" tint="0.39997558519241921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b/>
      <sz val="11"/>
      <color theme="3" tint="0.3999755851924192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8"/>
      <color theme="5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b/>
      <sz val="7"/>
      <color rgb="FF000000"/>
      <name val="Calibri"/>
      <family val="2"/>
      <scheme val="minor"/>
    </font>
    <font>
      <sz val="7"/>
      <color rgb="FF000000"/>
      <name val="Calibri"/>
      <family val="2"/>
      <scheme val="minor"/>
    </font>
    <font>
      <i/>
      <sz val="7"/>
      <color rgb="FF000000"/>
      <name val="Calibri"/>
      <family val="2"/>
      <scheme val="minor"/>
    </font>
    <font>
      <b/>
      <sz val="8"/>
      <color theme="7"/>
      <name val="Calibri"/>
      <family val="2"/>
      <scheme val="minor"/>
    </font>
    <font>
      <b/>
      <sz val="8"/>
      <color theme="3" tint="-0.499984740745262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rgb="FF333333"/>
      <name val="Arial"/>
      <family val="2"/>
    </font>
    <font>
      <b/>
      <sz val="18"/>
      <color theme="0"/>
      <name val="Calibri"/>
      <family val="2"/>
      <scheme val="minor"/>
    </font>
    <font>
      <b/>
      <sz val="25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10"/>
      <color rgb="FFFFFFFF"/>
      <name val="Calibri"/>
      <family val="2"/>
      <scheme val="minor"/>
    </font>
    <font>
      <b/>
      <sz val="10"/>
      <color theme="3" tint="-0.499984740745262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7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0040"/>
        <bgColor indexed="64"/>
      </patternFill>
    </fill>
    <fill>
      <patternFill patternType="solid">
        <fgColor rgb="FFC5D9F1"/>
        <bgColor indexed="64"/>
      </patternFill>
    </fill>
  </fills>
  <borders count="7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7" tint="-0.499984740745262"/>
      </bottom>
      <diagonal/>
    </border>
    <border>
      <left/>
      <right style="dotted">
        <color rgb="FFFF0000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tted">
        <color rgb="FFC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theme="1"/>
      </right>
      <top/>
      <bottom/>
      <diagonal/>
    </border>
    <border>
      <left/>
      <right/>
      <top/>
      <bottom style="thin">
        <color rgb="FFFF0000"/>
      </bottom>
      <diagonal/>
    </border>
    <border>
      <left/>
      <right style="medium">
        <color theme="5"/>
      </right>
      <top/>
      <bottom/>
      <diagonal/>
    </border>
    <border>
      <left/>
      <right style="medium">
        <color theme="5"/>
      </right>
      <top style="thin">
        <color indexed="64"/>
      </top>
      <bottom/>
      <diagonal/>
    </border>
    <border>
      <left/>
      <right style="medium">
        <color theme="5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theme="5"/>
      </bottom>
      <diagonal/>
    </border>
    <border>
      <left/>
      <right/>
      <top/>
      <bottom style="thin">
        <color theme="5"/>
      </bottom>
      <diagonal/>
    </border>
    <border>
      <left/>
      <right style="thin">
        <color theme="1"/>
      </right>
      <top/>
      <bottom style="thin">
        <color theme="5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theme="7" tint="-0.499984740745262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medium">
        <color theme="3" tint="-0.499984740745262"/>
      </top>
      <bottom/>
      <diagonal/>
    </border>
    <border>
      <left/>
      <right style="medium">
        <color theme="3" tint="-0.499984740745262"/>
      </right>
      <top style="medium">
        <color theme="3" tint="-0.499984740745262"/>
      </top>
      <bottom/>
      <diagonal/>
    </border>
    <border>
      <left style="medium">
        <color theme="3" tint="-0.499984740745262"/>
      </left>
      <right/>
      <top/>
      <bottom/>
      <diagonal/>
    </border>
    <border>
      <left/>
      <right style="medium">
        <color theme="3" tint="-0.499984740745262"/>
      </right>
      <top/>
      <bottom/>
      <diagonal/>
    </border>
    <border>
      <left/>
      <right style="medium">
        <color theme="3" tint="-0.499984740745262"/>
      </right>
      <top/>
      <bottom style="thin">
        <color indexed="64"/>
      </bottom>
      <diagonal/>
    </border>
    <border>
      <left/>
      <right style="medium">
        <color theme="3" tint="-0.499984740745262"/>
      </right>
      <top style="thin">
        <color indexed="64"/>
      </top>
      <bottom style="thin">
        <color indexed="64"/>
      </bottom>
      <diagonal/>
    </border>
    <border>
      <left style="medium">
        <color theme="3" tint="-0.499984740745262"/>
      </left>
      <right/>
      <top/>
      <bottom style="medium">
        <color theme="3" tint="-0.499984740745262"/>
      </bottom>
      <diagonal/>
    </border>
    <border>
      <left/>
      <right/>
      <top style="thin">
        <color indexed="64"/>
      </top>
      <bottom style="medium">
        <color theme="3" tint="-0.499984740745262"/>
      </bottom>
      <diagonal/>
    </border>
    <border>
      <left/>
      <right style="medium">
        <color theme="3" tint="-0.499984740745262"/>
      </right>
      <top style="thin">
        <color indexed="64"/>
      </top>
      <bottom style="medium">
        <color theme="3" tint="-0.499984740745262"/>
      </bottom>
      <diagonal/>
    </border>
    <border>
      <left style="medium">
        <color theme="3" tint="-0.499984740745262"/>
      </left>
      <right style="medium">
        <color theme="3" tint="-0.499984740745262"/>
      </right>
      <top style="medium">
        <color theme="3" tint="-0.499984740745262"/>
      </top>
      <bottom/>
      <diagonal/>
    </border>
    <border>
      <left style="medium">
        <color theme="3" tint="-0.499984740745262"/>
      </left>
      <right style="medium">
        <color theme="3" tint="-0.499984740745262"/>
      </right>
      <top/>
      <bottom/>
      <diagonal/>
    </border>
    <border>
      <left style="medium">
        <color theme="3" tint="-0.499984740745262"/>
      </left>
      <right style="medium">
        <color theme="3" tint="-0.499984740745262"/>
      </right>
      <top/>
      <bottom style="medium">
        <color theme="3" tint="-0.499984740745262"/>
      </bottom>
      <diagonal/>
    </border>
    <border>
      <left/>
      <right/>
      <top/>
      <bottom style="medium">
        <color theme="3" tint="-0.499984740745262"/>
      </bottom>
      <diagonal/>
    </border>
    <border>
      <left/>
      <right/>
      <top style="thin">
        <color theme="3" tint="-0.499984740745262"/>
      </top>
      <bottom style="thin">
        <color theme="3" tint="-0.499984740745262"/>
      </bottom>
      <diagonal/>
    </border>
    <border>
      <left style="medium">
        <color theme="3"/>
      </left>
      <right style="thin">
        <color indexed="64"/>
      </right>
      <top style="medium">
        <color theme="3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theme="3"/>
      </top>
      <bottom style="thin">
        <color indexed="64"/>
      </bottom>
      <diagonal/>
    </border>
    <border>
      <left style="thin">
        <color indexed="64"/>
      </left>
      <right style="medium">
        <color theme="3"/>
      </right>
      <top style="medium">
        <color theme="3"/>
      </top>
      <bottom style="thin">
        <color indexed="64"/>
      </bottom>
      <diagonal/>
    </border>
    <border>
      <left style="medium">
        <color theme="3" tint="-0.499984740745262"/>
      </left>
      <right style="thin">
        <color auto="1"/>
      </right>
      <top style="medium">
        <color theme="3" tint="-0.499984740745262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theme="3" tint="-0.499984740745262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theme="3" tint="-0.499984740745262"/>
      </top>
      <bottom style="thin">
        <color auto="1"/>
      </bottom>
      <diagonal/>
    </border>
    <border>
      <left style="medium">
        <color theme="3" tint="-0.499984740745262"/>
      </left>
      <right/>
      <top style="thin">
        <color theme="3" tint="-0.499984740745262"/>
      </top>
      <bottom/>
      <diagonal/>
    </border>
    <border>
      <left style="medium">
        <color theme="3" tint="-0.499984740745262"/>
      </left>
      <right/>
      <top style="medium">
        <color theme="3" tint="-0.499984740745262"/>
      </top>
      <bottom style="thin">
        <color theme="3" tint="-0.499984740745262"/>
      </bottom>
      <diagonal/>
    </border>
    <border>
      <left/>
      <right/>
      <top style="medium">
        <color theme="3" tint="-0.499984740745262"/>
      </top>
      <bottom style="thin">
        <color theme="3" tint="-0.499984740745262"/>
      </bottom>
      <diagonal/>
    </border>
    <border>
      <left/>
      <right style="medium">
        <color theme="3" tint="-0.499984740745262"/>
      </right>
      <top style="medium">
        <color theme="3" tint="-0.499984740745262"/>
      </top>
      <bottom style="thin">
        <color theme="3" tint="-0.499984740745262"/>
      </bottom>
      <diagonal/>
    </border>
    <border>
      <left/>
      <right style="medium">
        <color theme="3"/>
      </right>
      <top style="thin">
        <color indexed="64"/>
      </top>
      <bottom style="thin">
        <color auto="1"/>
      </bottom>
      <diagonal/>
    </border>
    <border>
      <left/>
      <right/>
      <top style="thin">
        <color auto="1"/>
      </top>
      <bottom style="medium">
        <color theme="3"/>
      </bottom>
      <diagonal/>
    </border>
    <border>
      <left/>
      <right style="medium">
        <color theme="3"/>
      </right>
      <top style="thin">
        <color auto="1"/>
      </top>
      <bottom style="medium">
        <color theme="3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theme="3" tint="-0.499984740745262"/>
      </left>
      <right/>
      <top style="medium">
        <color theme="3" tint="-0.499984740745262"/>
      </top>
      <bottom style="thin">
        <color auto="1"/>
      </bottom>
      <diagonal/>
    </border>
    <border>
      <left/>
      <right/>
      <top style="medium">
        <color theme="3" tint="-0.499984740745262"/>
      </top>
      <bottom style="thin">
        <color auto="1"/>
      </bottom>
      <diagonal/>
    </border>
    <border>
      <left/>
      <right style="medium">
        <color theme="3" tint="-0.499984740745262"/>
      </right>
      <top style="medium">
        <color theme="3" tint="-0.499984740745262"/>
      </top>
      <bottom style="thin">
        <color auto="1"/>
      </bottom>
      <diagonal/>
    </border>
    <border>
      <left/>
      <right style="medium">
        <color theme="3" tint="-0.499984740745262"/>
      </right>
      <top style="thin">
        <color theme="3" tint="-0.499984740745262"/>
      </top>
      <bottom style="thin">
        <color theme="3" tint="-0.499984740745262"/>
      </bottom>
      <diagonal/>
    </border>
    <border>
      <left/>
      <right/>
      <top style="thin">
        <color theme="3" tint="-0.499984740745262"/>
      </top>
      <bottom style="medium">
        <color theme="3" tint="-0.499984740745262"/>
      </bottom>
      <diagonal/>
    </border>
    <border>
      <left/>
      <right style="medium">
        <color theme="3" tint="-0.499984740745262"/>
      </right>
      <top style="thin">
        <color theme="3" tint="-0.499984740745262"/>
      </top>
      <bottom style="medium">
        <color theme="3" tint="-0.499984740745262"/>
      </bottom>
      <diagonal/>
    </border>
    <border>
      <left style="medium">
        <color theme="3" tint="-0.499984740745262"/>
      </left>
      <right/>
      <top style="thin">
        <color auto="1"/>
      </top>
      <bottom/>
      <diagonal/>
    </border>
    <border>
      <left style="medium">
        <color theme="3" tint="-0.499984740745262"/>
      </left>
      <right/>
      <top/>
      <bottom style="medium">
        <color indexed="64"/>
      </bottom>
      <diagonal/>
    </border>
  </borders>
  <cellStyleXfs count="17">
    <xf numFmtId="0" fontId="0" fillId="0" borderId="0"/>
    <xf numFmtId="43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" fillId="0" borderId="0"/>
    <xf numFmtId="43" fontId="9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62" fillId="0" borderId="0" applyNumberFormat="0" applyFill="0" applyBorder="0" applyAlignment="0" applyProtection="0"/>
  </cellStyleXfs>
  <cellXfs count="1045">
    <xf numFmtId="0" fontId="0" fillId="0" borderId="0" xfId="0"/>
    <xf numFmtId="166" fontId="4" fillId="0" borderId="0" xfId="0" applyNumberFormat="1" applyFont="1"/>
    <xf numFmtId="0" fontId="4" fillId="0" borderId="0" xfId="0" applyFont="1"/>
    <xf numFmtId="0" fontId="7" fillId="0" borderId="0" xfId="0" applyFont="1"/>
    <xf numFmtId="0" fontId="8" fillId="2" borderId="0" xfId="0" applyFont="1" applyFill="1"/>
    <xf numFmtId="10" fontId="4" fillId="0" borderId="0" xfId="10" applyNumberFormat="1" applyFont="1"/>
    <xf numFmtId="0" fontId="6" fillId="0" borderId="0" xfId="0" applyFont="1"/>
    <xf numFmtId="166" fontId="4" fillId="0" borderId="0" xfId="1" applyNumberFormat="1" applyFont="1"/>
    <xf numFmtId="166" fontId="4" fillId="0" borderId="0" xfId="1" applyNumberFormat="1" applyFont="1" applyAlignment="1">
      <alignment horizontal="right"/>
    </xf>
    <xf numFmtId="0" fontId="11" fillId="3" borderId="2" xfId="2" applyFont="1" applyFill="1" applyBorder="1"/>
    <xf numFmtId="0" fontId="4" fillId="3" borderId="0" xfId="0" applyFont="1" applyFill="1"/>
    <xf numFmtId="9" fontId="4" fillId="0" borderId="0" xfId="10" applyFont="1"/>
    <xf numFmtId="0" fontId="0" fillId="0" borderId="0" xfId="0" applyFont="1" applyFill="1"/>
    <xf numFmtId="0" fontId="16" fillId="0" borderId="0" xfId="0" applyFont="1" applyFill="1"/>
    <xf numFmtId="0" fontId="17" fillId="0" borderId="0" xfId="0" applyFont="1" applyFill="1" applyAlignment="1">
      <alignment horizontal="center"/>
    </xf>
    <xf numFmtId="0" fontId="16" fillId="0" borderId="0" xfId="0" applyFont="1" applyFill="1" applyAlignment="1">
      <alignment horizontal="left"/>
    </xf>
    <xf numFmtId="166" fontId="16" fillId="0" borderId="0" xfId="1" applyNumberFormat="1" applyFont="1" applyFill="1" applyAlignment="1">
      <alignment horizontal="right"/>
    </xf>
    <xf numFmtId="0" fontId="12" fillId="0" borderId="0" xfId="0" applyFont="1" applyFill="1"/>
    <xf numFmtId="0" fontId="15" fillId="0" borderId="0" xfId="0" applyFont="1" applyFill="1"/>
    <xf numFmtId="43" fontId="4" fillId="0" borderId="0" xfId="1" applyFont="1"/>
    <xf numFmtId="166" fontId="16" fillId="0" borderId="0" xfId="1" applyNumberFormat="1" applyFont="1" applyFill="1"/>
    <xf numFmtId="166" fontId="0" fillId="0" borderId="0" xfId="1" applyNumberFormat="1" applyFont="1" applyFill="1" applyBorder="1"/>
    <xf numFmtId="166" fontId="0" fillId="0" borderId="0" xfId="1" applyNumberFormat="1" applyFont="1" applyFill="1"/>
    <xf numFmtId="10" fontId="0" fillId="0" borderId="0" xfId="10" applyNumberFormat="1" applyFont="1" applyFill="1" applyBorder="1"/>
    <xf numFmtId="0" fontId="14" fillId="0" borderId="0" xfId="0" applyFont="1" applyFill="1"/>
    <xf numFmtId="0" fontId="15" fillId="0" borderId="9" xfId="0" applyFont="1" applyFill="1" applyBorder="1"/>
    <xf numFmtId="166" fontId="15" fillId="0" borderId="0" xfId="1" applyNumberFormat="1" applyFont="1" applyFill="1"/>
    <xf numFmtId="10" fontId="16" fillId="0" borderId="9" xfId="10" applyNumberFormat="1" applyFont="1" applyFill="1" applyBorder="1" applyAlignment="1">
      <alignment horizontal="center"/>
    </xf>
    <xf numFmtId="0" fontId="0" fillId="0" borderId="0" xfId="0" applyFill="1" applyBorder="1" applyAlignment="1"/>
    <xf numFmtId="0" fontId="0" fillId="0" borderId="12" xfId="0" applyFill="1" applyBorder="1" applyAlignment="1"/>
    <xf numFmtId="0" fontId="22" fillId="0" borderId="13" xfId="0" applyFont="1" applyFill="1" applyBorder="1" applyAlignment="1">
      <alignment horizontal="center"/>
    </xf>
    <xf numFmtId="0" fontId="0" fillId="0" borderId="0" xfId="0" applyFont="1" applyFill="1" applyBorder="1"/>
    <xf numFmtId="0" fontId="22" fillId="0" borderId="0" xfId="0" applyFont="1" applyFill="1" applyBorder="1" applyAlignment="1">
      <alignment horizontal="center"/>
    </xf>
    <xf numFmtId="0" fontId="15" fillId="0" borderId="0" xfId="0" applyFont="1" applyFill="1" applyBorder="1"/>
    <xf numFmtId="3" fontId="0" fillId="0" borderId="0" xfId="0" applyNumberFormat="1"/>
    <xf numFmtId="0" fontId="0" fillId="0" borderId="22" xfId="0" applyBorder="1"/>
    <xf numFmtId="10" fontId="4" fillId="0" borderId="0" xfId="0" applyNumberFormat="1" applyFont="1"/>
    <xf numFmtId="10" fontId="16" fillId="0" borderId="0" xfId="10" applyNumberFormat="1" applyFont="1" applyFill="1" applyBorder="1" applyAlignment="1">
      <alignment horizontal="center"/>
    </xf>
    <xf numFmtId="0" fontId="22" fillId="0" borderId="0" xfId="0" applyFont="1" applyFill="1" applyBorder="1" applyAlignment="1">
      <alignment horizontal="centerContinuous"/>
    </xf>
    <xf numFmtId="166" fontId="1" fillId="0" borderId="0" xfId="1" applyNumberFormat="1" applyFont="1" applyFill="1" applyBorder="1"/>
    <xf numFmtId="166" fontId="16" fillId="0" borderId="26" xfId="1" applyNumberFormat="1" applyFont="1" applyFill="1" applyBorder="1"/>
    <xf numFmtId="166" fontId="0" fillId="0" borderId="26" xfId="1" applyNumberFormat="1" applyFont="1" applyFill="1" applyBorder="1"/>
    <xf numFmtId="166" fontId="15" fillId="0" borderId="26" xfId="1" applyNumberFormat="1" applyFont="1" applyFill="1" applyBorder="1"/>
    <xf numFmtId="166" fontId="0" fillId="0" borderId="22" xfId="1" applyNumberFormat="1" applyFont="1" applyFill="1" applyBorder="1"/>
    <xf numFmtId="166" fontId="15" fillId="0" borderId="22" xfId="1" applyNumberFormat="1" applyFont="1" applyFill="1" applyBorder="1"/>
    <xf numFmtId="0" fontId="0" fillId="0" borderId="27" xfId="0" applyFont="1" applyFill="1" applyBorder="1"/>
    <xf numFmtId="166" fontId="1" fillId="0" borderId="0" xfId="1" applyNumberFormat="1" applyFont="1" applyFill="1" applyBorder="1" applyAlignment="1">
      <alignment horizontal="center"/>
    </xf>
    <xf numFmtId="10" fontId="1" fillId="0" borderId="0" xfId="10" applyNumberFormat="1" applyFont="1" applyFill="1" applyBorder="1" applyAlignment="1">
      <alignment horizontal="center"/>
    </xf>
    <xf numFmtId="10" fontId="0" fillId="0" borderId="0" xfId="10" applyNumberFormat="1" applyFont="1" applyFill="1"/>
    <xf numFmtId="166" fontId="4" fillId="0" borderId="0" xfId="1" applyNumberFormat="1" applyFont="1" applyBorder="1"/>
    <xf numFmtId="0" fontId="4" fillId="0" borderId="0" xfId="0" applyFont="1" applyBorder="1"/>
    <xf numFmtId="0" fontId="4" fillId="0" borderId="0" xfId="0" applyFont="1" applyFill="1"/>
    <xf numFmtId="0" fontId="25" fillId="0" borderId="0" xfId="2" applyFont="1" applyBorder="1"/>
    <xf numFmtId="0" fontId="4" fillId="0" borderId="0" xfId="0" applyFont="1" applyAlignment="1">
      <alignment horizontal="center"/>
    </xf>
    <xf numFmtId="166" fontId="4" fillId="0" borderId="0" xfId="1" applyNumberFormat="1" applyFont="1" applyAlignment="1">
      <alignment horizontal="center"/>
    </xf>
    <xf numFmtId="0" fontId="25" fillId="0" borderId="0" xfId="0" applyFont="1" applyAlignment="1">
      <alignment horizontal="center" vertical="center"/>
    </xf>
    <xf numFmtId="2" fontId="25" fillId="0" borderId="0" xfId="0" applyNumberFormat="1" applyFont="1" applyAlignment="1">
      <alignment horizontal="center" vertical="center"/>
    </xf>
    <xf numFmtId="0" fontId="5" fillId="2" borderId="0" xfId="0" applyFont="1" applyFill="1" applyAlignment="1">
      <alignment horizontal="center"/>
    </xf>
    <xf numFmtId="0" fontId="5" fillId="2" borderId="0" xfId="0" applyFont="1" applyFill="1"/>
    <xf numFmtId="0" fontId="5" fillId="2" borderId="0" xfId="1" applyNumberFormat="1" applyFont="1" applyFill="1" applyAlignment="1">
      <alignment horizontal="center"/>
    </xf>
    <xf numFmtId="166" fontId="4" fillId="0" borderId="0" xfId="0" applyNumberFormat="1" applyFont="1" applyAlignment="1">
      <alignment horizontal="center"/>
    </xf>
    <xf numFmtId="166" fontId="4" fillId="0" borderId="0" xfId="1" applyNumberFormat="1" applyFont="1" applyBorder="1" applyAlignment="1">
      <alignment horizontal="center"/>
    </xf>
    <xf numFmtId="166" fontId="26" fillId="0" borderId="0" xfId="1" applyNumberFormat="1" applyFont="1" applyBorder="1"/>
    <xf numFmtId="166" fontId="26" fillId="3" borderId="0" xfId="1" applyNumberFormat="1" applyFont="1" applyFill="1" applyBorder="1"/>
    <xf numFmtId="166" fontId="7" fillId="0" borderId="0" xfId="1" applyNumberFormat="1" applyFont="1" applyAlignment="1">
      <alignment horizontal="center"/>
    </xf>
    <xf numFmtId="166" fontId="7" fillId="0" borderId="0" xfId="1" applyNumberFormat="1" applyFont="1"/>
    <xf numFmtId="166" fontId="27" fillId="0" borderId="0" xfId="1" applyNumberFormat="1" applyFont="1" applyBorder="1"/>
    <xf numFmtId="166" fontId="27" fillId="3" borderId="0" xfId="1" applyNumberFormat="1" applyFont="1" applyFill="1" applyBorder="1"/>
    <xf numFmtId="10" fontId="4" fillId="0" borderId="0" xfId="10" applyNumberFormat="1" applyFont="1" applyAlignment="1">
      <alignment horizontal="center"/>
    </xf>
    <xf numFmtId="166" fontId="4" fillId="0" borderId="0" xfId="0" applyNumberFormat="1" applyFont="1" applyFill="1"/>
    <xf numFmtId="0" fontId="28" fillId="0" borderId="0" xfId="0" applyFont="1"/>
    <xf numFmtId="166" fontId="28" fillId="0" borderId="0" xfId="1" applyNumberFormat="1" applyFont="1" applyAlignment="1">
      <alignment horizontal="center"/>
    </xf>
    <xf numFmtId="166" fontId="28" fillId="3" borderId="0" xfId="1" applyNumberFormat="1" applyFont="1" applyFill="1" applyAlignment="1">
      <alignment horizontal="center"/>
    </xf>
    <xf numFmtId="166" fontId="29" fillId="0" borderId="0" xfId="1" applyNumberFormat="1" applyFont="1"/>
    <xf numFmtId="43" fontId="30" fillId="0" borderId="0" xfId="1" applyFont="1" applyBorder="1"/>
    <xf numFmtId="43" fontId="30" fillId="3" borderId="0" xfId="1" applyFont="1" applyFill="1" applyBorder="1"/>
    <xf numFmtId="166" fontId="26" fillId="0" borderId="0" xfId="1" applyNumberFormat="1" applyFont="1" applyBorder="1" applyAlignment="1"/>
    <xf numFmtId="166" fontId="26" fillId="3" borderId="0" xfId="1" applyNumberFormat="1" applyFont="1" applyFill="1" applyBorder="1" applyAlignment="1"/>
    <xf numFmtId="1" fontId="4" fillId="0" borderId="0" xfId="0" applyNumberFormat="1" applyFont="1"/>
    <xf numFmtId="166" fontId="26" fillId="3" borderId="0" xfId="1" applyNumberFormat="1" applyFont="1" applyFill="1" applyBorder="1" applyAlignment="1">
      <alignment horizontal="right" indent="1"/>
    </xf>
    <xf numFmtId="166" fontId="7" fillId="0" borderId="0" xfId="1" applyNumberFormat="1" applyFont="1" applyFill="1"/>
    <xf numFmtId="0" fontId="20" fillId="0" borderId="0" xfId="0" applyFont="1"/>
    <xf numFmtId="43" fontId="4" fillId="0" borderId="0" xfId="1" applyFont="1" applyBorder="1"/>
    <xf numFmtId="43" fontId="26" fillId="0" borderId="0" xfId="1" applyFont="1" applyBorder="1"/>
    <xf numFmtId="43" fontId="26" fillId="3" borderId="0" xfId="1" applyFont="1" applyFill="1" applyBorder="1"/>
    <xf numFmtId="166" fontId="26" fillId="0" borderId="0" xfId="1" applyNumberFormat="1" applyFont="1" applyFill="1" applyBorder="1"/>
    <xf numFmtId="166" fontId="27" fillId="0" borderId="0" xfId="1" applyNumberFormat="1" applyFont="1" applyFill="1" applyBorder="1"/>
    <xf numFmtId="0" fontId="7" fillId="0" borderId="0" xfId="0" applyFont="1" applyFill="1"/>
    <xf numFmtId="0" fontId="32" fillId="0" borderId="0" xfId="0" applyFont="1" applyFill="1"/>
    <xf numFmtId="0" fontId="32" fillId="0" borderId="0" xfId="0" applyFont="1"/>
    <xf numFmtId="43" fontId="32" fillId="0" borderId="0" xfId="1" applyNumberFormat="1" applyFont="1" applyAlignment="1">
      <alignment horizontal="center"/>
    </xf>
    <xf numFmtId="43" fontId="32" fillId="0" borderId="0" xfId="1" applyNumberFormat="1" applyFont="1"/>
    <xf numFmtId="43" fontId="32" fillId="0" borderId="0" xfId="1" applyNumberFormat="1" applyFont="1" applyAlignment="1">
      <alignment horizontal="right"/>
    </xf>
    <xf numFmtId="43" fontId="32" fillId="0" borderId="0" xfId="1" applyFont="1" applyFill="1" applyBorder="1"/>
    <xf numFmtId="43" fontId="32" fillId="3" borderId="0" xfId="1" applyFont="1" applyFill="1" applyBorder="1"/>
    <xf numFmtId="166" fontId="32" fillId="0" borderId="0" xfId="1" applyNumberFormat="1" applyFont="1" applyAlignment="1">
      <alignment horizontal="center"/>
    </xf>
    <xf numFmtId="43" fontId="32" fillId="0" borderId="0" xfId="1" applyFont="1"/>
    <xf numFmtId="43" fontId="32" fillId="0" borderId="0" xfId="1" applyFont="1" applyBorder="1"/>
    <xf numFmtId="9" fontId="4" fillId="0" borderId="0" xfId="10" applyFont="1" applyAlignment="1">
      <alignment horizontal="right"/>
    </xf>
    <xf numFmtId="10" fontId="26" fillId="0" borderId="0" xfId="10" applyNumberFormat="1" applyFont="1" applyBorder="1"/>
    <xf numFmtId="10" fontId="26" fillId="3" borderId="0" xfId="10" applyNumberFormat="1" applyFont="1" applyFill="1" applyBorder="1"/>
    <xf numFmtId="10" fontId="4" fillId="0" borderId="0" xfId="0" applyNumberFormat="1" applyFont="1" applyFill="1"/>
    <xf numFmtId="10" fontId="33" fillId="0" borderId="0" xfId="0" applyNumberFormat="1" applyFont="1"/>
    <xf numFmtId="10" fontId="33" fillId="0" borderId="0" xfId="1" applyNumberFormat="1" applyFont="1" applyAlignment="1">
      <alignment horizontal="center"/>
    </xf>
    <xf numFmtId="10" fontId="33" fillId="0" borderId="0" xfId="10" applyNumberFormat="1" applyFont="1"/>
    <xf numFmtId="10" fontId="4" fillId="0" borderId="0" xfId="0" applyNumberFormat="1" applyFont="1" applyBorder="1"/>
    <xf numFmtId="0" fontId="8" fillId="0" borderId="0" xfId="0" applyFont="1" applyFill="1" applyAlignment="1"/>
    <xf numFmtId="0" fontId="4" fillId="0" borderId="0" xfId="0" applyFont="1" applyFill="1" applyAlignment="1"/>
    <xf numFmtId="0" fontId="7" fillId="0" borderId="0" xfId="0" applyFont="1" applyAlignment="1">
      <alignment horizontal="left" vertical="center"/>
    </xf>
    <xf numFmtId="3" fontId="7" fillId="0" borderId="0" xfId="0" applyNumberFormat="1" applyFont="1"/>
    <xf numFmtId="166" fontId="7" fillId="0" borderId="0" xfId="0" applyNumberFormat="1" applyFont="1" applyAlignment="1">
      <alignment horizontal="center" vertical="center"/>
    </xf>
    <xf numFmtId="166" fontId="27" fillId="3" borderId="0" xfId="12" applyNumberFormat="1" applyFont="1" applyFill="1" applyBorder="1" applyAlignment="1">
      <alignment horizontal="left" vertical="center"/>
    </xf>
    <xf numFmtId="166" fontId="27" fillId="0" borderId="0" xfId="12" applyNumberFormat="1" applyFont="1" applyBorder="1" applyAlignment="1">
      <alignment horizontal="left" vertical="center"/>
    </xf>
    <xf numFmtId="0" fontId="4" fillId="0" borderId="0" xfId="0" applyFont="1" applyAlignment="1"/>
    <xf numFmtId="0" fontId="4" fillId="0" borderId="0" xfId="0" quotePrefix="1" applyFont="1" applyAlignment="1">
      <alignment horizontal="left" vertical="center"/>
    </xf>
    <xf numFmtId="3" fontId="4" fillId="0" borderId="0" xfId="0" applyNumberFormat="1" applyFont="1"/>
    <xf numFmtId="166" fontId="4" fillId="0" borderId="0" xfId="0" applyNumberFormat="1" applyFont="1" applyAlignment="1">
      <alignment horizontal="center" vertical="center"/>
    </xf>
    <xf numFmtId="166" fontId="26" fillId="3" borderId="0" xfId="12" applyNumberFormat="1" applyFont="1" applyFill="1" applyBorder="1" applyAlignment="1">
      <alignment horizontal="left" vertical="center"/>
    </xf>
    <xf numFmtId="166" fontId="26" fillId="0" borderId="0" xfId="12" applyNumberFormat="1" applyFont="1" applyBorder="1" applyAlignment="1">
      <alignment horizontal="left" vertical="center"/>
    </xf>
    <xf numFmtId="166" fontId="7" fillId="0" borderId="0" xfId="11" applyNumberFormat="1" applyFont="1"/>
    <xf numFmtId="0" fontId="4" fillId="0" borderId="0" xfId="0" applyFont="1" applyAlignment="1">
      <alignment horizontal="left" vertical="center"/>
    </xf>
    <xf numFmtId="166" fontId="7" fillId="0" borderId="0" xfId="0" applyNumberFormat="1" applyFont="1" applyAlignment="1">
      <alignment horizontal="center"/>
    </xf>
    <xf numFmtId="0" fontId="34" fillId="0" borderId="0" xfId="0" applyFont="1" applyFill="1"/>
    <xf numFmtId="0" fontId="34" fillId="0" borderId="0" xfId="0" applyFont="1"/>
    <xf numFmtId="166" fontId="34" fillId="0" borderId="0" xfId="1" applyNumberFormat="1" applyFont="1" applyAlignment="1">
      <alignment horizontal="center"/>
    </xf>
    <xf numFmtId="166" fontId="34" fillId="0" borderId="0" xfId="0" applyNumberFormat="1" applyFont="1"/>
    <xf numFmtId="166" fontId="34" fillId="0" borderId="0" xfId="1" applyNumberFormat="1" applyFont="1"/>
    <xf numFmtId="166" fontId="34" fillId="0" borderId="0" xfId="0" applyNumberFormat="1" applyFont="1" applyBorder="1"/>
    <xf numFmtId="166" fontId="32" fillId="0" borderId="0" xfId="0" applyNumberFormat="1" applyFont="1"/>
    <xf numFmtId="166" fontId="32" fillId="0" borderId="0" xfId="1" applyNumberFormat="1" applyFont="1"/>
    <xf numFmtId="166" fontId="32" fillId="0" borderId="0" xfId="0" applyNumberFormat="1" applyFont="1" applyBorder="1"/>
    <xf numFmtId="166" fontId="7" fillId="0" borderId="0" xfId="0" applyNumberFormat="1" applyFont="1"/>
    <xf numFmtId="166" fontId="4" fillId="0" borderId="0" xfId="0" applyNumberFormat="1" applyFont="1" applyAlignment="1">
      <alignment horizontal="left"/>
    </xf>
    <xf numFmtId="168" fontId="4" fillId="0" borderId="0" xfId="0" applyNumberFormat="1" applyFont="1"/>
    <xf numFmtId="0" fontId="4" fillId="0" borderId="0" xfId="11" applyFont="1"/>
    <xf numFmtId="166" fontId="4" fillId="0" borderId="0" xfId="0" applyNumberFormat="1" applyFont="1" applyAlignment="1">
      <alignment horizontal="left" vertical="center"/>
    </xf>
    <xf numFmtId="43" fontId="4" fillId="0" borderId="0" xfId="0" applyNumberFormat="1" applyFont="1"/>
    <xf numFmtId="166" fontId="26" fillId="0" borderId="0" xfId="12" applyNumberFormat="1" applyFont="1" applyFill="1" applyBorder="1" applyAlignment="1">
      <alignment horizontal="left" vertical="center"/>
    </xf>
    <xf numFmtId="166" fontId="7" fillId="0" borderId="0" xfId="0" applyNumberFormat="1" applyFont="1" applyAlignment="1">
      <alignment horizontal="left" vertical="center"/>
    </xf>
    <xf numFmtId="166" fontId="27" fillId="0" borderId="0" xfId="12" applyNumberFormat="1" applyFont="1" applyBorder="1" applyAlignment="1">
      <alignment horizontal="center" vertical="center"/>
    </xf>
    <xf numFmtId="166" fontId="27" fillId="3" borderId="0" xfId="1" applyNumberFormat="1" applyFont="1" applyFill="1" applyBorder="1" applyAlignment="1">
      <alignment horizontal="left" vertical="center"/>
    </xf>
    <xf numFmtId="166" fontId="26" fillId="0" borderId="0" xfId="12" applyNumberFormat="1" applyFont="1" applyBorder="1" applyAlignment="1">
      <alignment horizontal="center" vertical="center"/>
    </xf>
    <xf numFmtId="41" fontId="4" fillId="0" borderId="0" xfId="0" applyNumberFormat="1" applyFont="1"/>
    <xf numFmtId="166" fontId="4" fillId="0" borderId="0" xfId="0" applyNumberFormat="1" applyFont="1" applyAlignment="1">
      <alignment horizontal="center" wrapText="1"/>
    </xf>
    <xf numFmtId="166" fontId="26" fillId="0" borderId="0" xfId="12" applyNumberFormat="1" applyFont="1" applyBorder="1" applyAlignment="1">
      <alignment horizontal="left" vertical="center" wrapText="1"/>
    </xf>
    <xf numFmtId="166" fontId="26" fillId="3" borderId="0" xfId="12" applyNumberFormat="1" applyFont="1" applyFill="1" applyBorder="1" applyAlignment="1">
      <alignment horizontal="left" vertical="center" wrapText="1"/>
    </xf>
    <xf numFmtId="0" fontId="27" fillId="0" borderId="0" xfId="11" applyFont="1" applyAlignment="1">
      <alignment horizontal="left" vertical="center"/>
    </xf>
    <xf numFmtId="0" fontId="27" fillId="0" borderId="0" xfId="11" applyFont="1" applyAlignment="1">
      <alignment horizontal="left" vertical="center" indent="2"/>
    </xf>
    <xf numFmtId="166" fontId="35" fillId="0" borderId="0" xfId="0" applyNumberFormat="1" applyFont="1" applyBorder="1" applyAlignment="1">
      <alignment horizontal="center"/>
    </xf>
    <xf numFmtId="166" fontId="7" fillId="0" borderId="0" xfId="1" applyNumberFormat="1" applyFont="1" applyBorder="1" applyAlignment="1">
      <alignment horizontal="center"/>
    </xf>
    <xf numFmtId="166" fontId="27" fillId="0" borderId="0" xfId="1" applyNumberFormat="1" applyFont="1" applyBorder="1" applyAlignment="1">
      <alignment horizontal="left" vertical="center"/>
    </xf>
    <xf numFmtId="0" fontId="26" fillId="0" borderId="0" xfId="11" applyFont="1" applyAlignment="1">
      <alignment horizontal="left" vertical="center" indent="3"/>
    </xf>
    <xf numFmtId="166" fontId="26" fillId="3" borderId="0" xfId="1" applyNumberFormat="1" applyFont="1" applyFill="1" applyBorder="1" applyAlignment="1">
      <alignment horizontal="left" vertical="center"/>
    </xf>
    <xf numFmtId="3" fontId="4" fillId="0" borderId="0" xfId="11" applyNumberFormat="1" applyFont="1"/>
    <xf numFmtId="0" fontId="7" fillId="0" borderId="0" xfId="0" applyFont="1" applyFill="1" applyAlignment="1"/>
    <xf numFmtId="3" fontId="7" fillId="0" borderId="0" xfId="11" applyNumberFormat="1" applyFont="1"/>
    <xf numFmtId="0" fontId="7" fillId="0" borderId="0" xfId="0" applyFont="1" applyAlignment="1"/>
    <xf numFmtId="0" fontId="4" fillId="0" borderId="0" xfId="11" applyFont="1" applyAlignment="1">
      <alignment horizontal="left" indent="3"/>
    </xf>
    <xf numFmtId="166" fontId="27" fillId="0" borderId="5" xfId="0" applyNumberFormat="1" applyFont="1" applyBorder="1" applyAlignment="1">
      <alignment horizontal="center"/>
    </xf>
    <xf numFmtId="166" fontId="7" fillId="0" borderId="5" xfId="1" applyNumberFormat="1" applyFont="1" applyBorder="1"/>
    <xf numFmtId="166" fontId="7" fillId="3" borderId="5" xfId="12" applyNumberFormat="1" applyFont="1" applyFill="1" applyBorder="1" applyAlignment="1">
      <alignment horizontal="left" vertical="center"/>
    </xf>
    <xf numFmtId="166" fontId="7" fillId="0" borderId="5" xfId="12" applyNumberFormat="1" applyFont="1" applyBorder="1" applyAlignment="1">
      <alignment horizontal="left" vertical="center"/>
    </xf>
    <xf numFmtId="166" fontId="7" fillId="3" borderId="5" xfId="1" applyNumberFormat="1" applyFont="1" applyFill="1" applyBorder="1" applyAlignment="1">
      <alignment horizontal="left" vertical="center"/>
    </xf>
    <xf numFmtId="166" fontId="27" fillId="0" borderId="0" xfId="0" applyNumberFormat="1" applyFont="1" applyAlignment="1">
      <alignment horizontal="center"/>
    </xf>
    <xf numFmtId="166" fontId="7" fillId="3" borderId="0" xfId="12" applyNumberFormat="1" applyFont="1" applyFill="1" applyBorder="1" applyAlignment="1">
      <alignment horizontal="left" vertical="center"/>
    </xf>
    <xf numFmtId="166" fontId="7" fillId="3" borderId="0" xfId="1" applyNumberFormat="1" applyFont="1" applyFill="1" applyBorder="1" applyAlignment="1">
      <alignment horizontal="left" vertical="center"/>
    </xf>
    <xf numFmtId="166" fontId="26" fillId="0" borderId="0" xfId="1" applyNumberFormat="1" applyFont="1" applyBorder="1" applyAlignment="1">
      <alignment horizontal="left" vertical="center"/>
    </xf>
    <xf numFmtId="3" fontId="4" fillId="0" borderId="0" xfId="0" applyNumberFormat="1" applyFont="1" applyAlignment="1"/>
    <xf numFmtId="166" fontId="7" fillId="0" borderId="0" xfId="1" applyNumberFormat="1" applyFont="1" applyBorder="1"/>
    <xf numFmtId="0" fontId="35" fillId="0" borderId="0" xfId="11" applyFont="1" applyAlignment="1">
      <alignment horizontal="left" vertical="center"/>
    </xf>
    <xf numFmtId="0" fontId="26" fillId="0" borderId="0" xfId="11" applyFont="1" applyAlignment="1">
      <alignment horizontal="left" vertical="center"/>
    </xf>
    <xf numFmtId="166" fontId="27" fillId="0" borderId="0" xfId="11" applyNumberFormat="1" applyFont="1" applyAlignment="1">
      <alignment horizontal="left" vertical="center"/>
    </xf>
    <xf numFmtId="166" fontId="26" fillId="0" borderId="0" xfId="11" applyNumberFormat="1" applyFont="1" applyAlignment="1">
      <alignment horizontal="left" vertical="center" indent="2"/>
    </xf>
    <xf numFmtId="0" fontId="26" fillId="0" borderId="0" xfId="11" applyFont="1" applyAlignment="1">
      <alignment horizontal="left" vertical="center" indent="2"/>
    </xf>
    <xf numFmtId="3" fontId="27" fillId="0" borderId="0" xfId="0" applyNumberFormat="1" applyFont="1" applyAlignment="1"/>
    <xf numFmtId="166" fontId="27" fillId="3" borderId="5" xfId="12" applyNumberFormat="1" applyFont="1" applyFill="1" applyBorder="1" applyAlignment="1">
      <alignment horizontal="left" vertical="center"/>
    </xf>
    <xf numFmtId="166" fontId="27" fillId="3" borderId="5" xfId="1" applyNumberFormat="1" applyFont="1" applyFill="1" applyBorder="1" applyAlignment="1">
      <alignment horizontal="left" vertical="center"/>
    </xf>
    <xf numFmtId="166" fontId="7" fillId="0" borderId="5" xfId="0" applyNumberFormat="1" applyFont="1" applyBorder="1" applyAlignment="1">
      <alignment horizontal="center"/>
    </xf>
    <xf numFmtId="166" fontId="27" fillId="3" borderId="0" xfId="12" applyNumberFormat="1" applyFont="1" applyFill="1" applyBorder="1" applyAlignment="1">
      <alignment horizontal="right" vertical="center" indent="1"/>
    </xf>
    <xf numFmtId="0" fontId="4" fillId="0" borderId="0" xfId="0" applyFont="1" applyBorder="1" applyAlignment="1"/>
    <xf numFmtId="166" fontId="7" fillId="0" borderId="5" xfId="0" applyNumberFormat="1" applyFont="1" applyBorder="1"/>
    <xf numFmtId="166" fontId="7" fillId="0" borderId="0" xfId="0" applyNumberFormat="1" applyFont="1" applyBorder="1"/>
    <xf numFmtId="166" fontId="4" fillId="0" borderId="0" xfId="0" applyNumberFormat="1" applyFont="1" applyBorder="1"/>
    <xf numFmtId="166" fontId="34" fillId="0" borderId="0" xfId="11" applyNumberFormat="1" applyFont="1" applyAlignment="1">
      <alignment horizontal="left" vertical="center"/>
    </xf>
    <xf numFmtId="166" fontId="32" fillId="0" borderId="0" xfId="11" applyNumberFormat="1" applyFont="1" applyAlignment="1">
      <alignment horizontal="left" vertical="center"/>
    </xf>
    <xf numFmtId="166" fontId="32" fillId="0" borderId="0" xfId="0" applyNumberFormat="1" applyFont="1" applyAlignment="1">
      <alignment horizontal="center"/>
    </xf>
    <xf numFmtId="0" fontId="26" fillId="0" borderId="0" xfId="0" applyFont="1" applyAlignment="1">
      <alignment horizontal="left" vertical="center"/>
    </xf>
    <xf numFmtId="166" fontId="26" fillId="0" borderId="0" xfId="1" applyNumberFormat="1" applyFont="1" applyAlignment="1">
      <alignment vertical="center"/>
    </xf>
    <xf numFmtId="166" fontId="4" fillId="0" borderId="0" xfId="11" applyNumberFormat="1" applyFont="1"/>
    <xf numFmtId="41" fontId="4" fillId="0" borderId="0" xfId="11" applyNumberFormat="1" applyFont="1"/>
    <xf numFmtId="3" fontId="7" fillId="0" borderId="5" xfId="0" applyNumberFormat="1" applyFont="1" applyBorder="1"/>
    <xf numFmtId="166" fontId="27" fillId="0" borderId="5" xfId="1" applyNumberFormat="1" applyFont="1" applyBorder="1" applyAlignment="1">
      <alignment horizontal="left" vertical="center"/>
    </xf>
    <xf numFmtId="0" fontId="7" fillId="0" borderId="0" xfId="11" applyFont="1"/>
    <xf numFmtId="0" fontId="7" fillId="0" borderId="0" xfId="11" applyFont="1" applyAlignment="1">
      <alignment horizontal="left" indent="1"/>
    </xf>
    <xf numFmtId="1" fontId="7" fillId="0" borderId="0" xfId="0" applyNumberFormat="1" applyFont="1"/>
    <xf numFmtId="1" fontId="7" fillId="0" borderId="0" xfId="11" applyNumberFormat="1" applyFont="1"/>
    <xf numFmtId="0" fontId="4" fillId="0" borderId="0" xfId="11" applyFont="1" applyAlignment="1">
      <alignment horizontal="left" indent="2"/>
    </xf>
    <xf numFmtId="43" fontId="4" fillId="0" borderId="0" xfId="0" applyNumberFormat="1" applyFont="1" applyAlignment="1"/>
    <xf numFmtId="3" fontId="4" fillId="0" borderId="0" xfId="11" applyNumberFormat="1" applyFont="1" applyAlignment="1">
      <alignment horizontal="right"/>
    </xf>
    <xf numFmtId="43" fontId="26" fillId="0" borderId="0" xfId="1" applyNumberFormat="1" applyFont="1" applyBorder="1" applyAlignment="1">
      <alignment horizontal="left" vertical="center"/>
    </xf>
    <xf numFmtId="0" fontId="4" fillId="0" borderId="0" xfId="11" applyFont="1" applyAlignment="1">
      <alignment horizontal="left" indent="7"/>
    </xf>
    <xf numFmtId="0" fontId="4" fillId="0" borderId="0" xfId="11" applyFont="1" applyAlignment="1">
      <alignment horizontal="left" indent="6"/>
    </xf>
    <xf numFmtId="1" fontId="4" fillId="0" borderId="0" xfId="11" applyNumberFormat="1" applyFont="1"/>
    <xf numFmtId="166" fontId="26" fillId="0" borderId="0" xfId="12" applyNumberFormat="1" applyFont="1" applyBorder="1" applyAlignment="1">
      <alignment horizontal="center"/>
    </xf>
    <xf numFmtId="166" fontId="26" fillId="0" borderId="0" xfId="12" applyNumberFormat="1" applyFont="1" applyBorder="1" applyAlignment="1">
      <alignment horizontal="left"/>
    </xf>
    <xf numFmtId="166" fontId="26" fillId="3" borderId="0" xfId="12" applyNumberFormat="1" applyFont="1" applyFill="1" applyBorder="1" applyAlignment="1">
      <alignment horizontal="right"/>
    </xf>
    <xf numFmtId="166" fontId="26" fillId="3" borderId="0" xfId="12" applyNumberFormat="1" applyFont="1" applyFill="1" applyBorder="1" applyAlignment="1">
      <alignment horizontal="left"/>
    </xf>
    <xf numFmtId="0" fontId="27" fillId="0" borderId="0" xfId="11" applyFont="1" applyAlignment="1">
      <alignment horizontal="left" vertical="center" wrapText="1"/>
    </xf>
    <xf numFmtId="1" fontId="7" fillId="0" borderId="5" xfId="0" applyNumberFormat="1" applyFont="1" applyBorder="1"/>
    <xf numFmtId="169" fontId="7" fillId="0" borderId="5" xfId="0" applyNumberFormat="1" applyFont="1" applyBorder="1"/>
    <xf numFmtId="43" fontId="4" fillId="0" borderId="0" xfId="11" applyNumberFormat="1" applyFont="1" applyAlignment="1">
      <alignment horizontal="left" indent="2"/>
    </xf>
    <xf numFmtId="166" fontId="7" fillId="0" borderId="0" xfId="11" applyNumberFormat="1" applyFont="1" applyAlignment="1">
      <alignment horizontal="center"/>
    </xf>
    <xf numFmtId="166" fontId="32" fillId="0" borderId="0" xfId="0" applyNumberFormat="1" applyFont="1" applyAlignment="1">
      <alignment horizontal="right"/>
    </xf>
    <xf numFmtId="0" fontId="8" fillId="0" borderId="0" xfId="0" applyFont="1" applyFill="1"/>
    <xf numFmtId="166" fontId="4" fillId="0" borderId="0" xfId="1" applyNumberFormat="1" applyFont="1" applyAlignment="1">
      <alignment horizontal="left" vertical="center"/>
    </xf>
    <xf numFmtId="0" fontId="36" fillId="0" borderId="0" xfId="0" applyFont="1" applyFill="1"/>
    <xf numFmtId="0" fontId="36" fillId="0" borderId="0" xfId="0" applyFont="1"/>
    <xf numFmtId="166" fontId="4" fillId="0" borderId="0" xfId="1" applyNumberFormat="1" applyFont="1" applyAlignment="1"/>
    <xf numFmtId="0" fontId="4" fillId="0" borderId="0" xfId="0" applyFont="1" applyAlignment="1">
      <alignment horizontal="left"/>
    </xf>
    <xf numFmtId="166" fontId="4" fillId="0" borderId="0" xfId="1" applyNumberFormat="1" applyFont="1" applyAlignment="1">
      <alignment horizontal="lef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left" indent="2"/>
    </xf>
    <xf numFmtId="166" fontId="34" fillId="0" borderId="0" xfId="1" applyNumberFormat="1" applyFont="1" applyAlignment="1">
      <alignment horizontal="right"/>
    </xf>
    <xf numFmtId="166" fontId="32" fillId="0" borderId="0" xfId="1" applyNumberFormat="1" applyFont="1" applyAlignment="1">
      <alignment horizontal="right"/>
    </xf>
    <xf numFmtId="0" fontId="5" fillId="0" borderId="0" xfId="0" applyFont="1" applyFill="1"/>
    <xf numFmtId="3" fontId="7" fillId="0" borderId="0" xfId="0" applyNumberFormat="1" applyFont="1" applyBorder="1"/>
    <xf numFmtId="166" fontId="4" fillId="0" borderId="0" xfId="1" applyNumberFormat="1" applyFont="1" applyFill="1"/>
    <xf numFmtId="170" fontId="4" fillId="0" borderId="0" xfId="9" applyNumberFormat="1" applyFont="1"/>
    <xf numFmtId="169" fontId="4" fillId="0" borderId="0" xfId="1" applyNumberFormat="1" applyFont="1"/>
    <xf numFmtId="41" fontId="7" fillId="0" borderId="0" xfId="0" applyNumberFormat="1" applyFont="1"/>
    <xf numFmtId="1" fontId="35" fillId="0" borderId="0" xfId="0" applyNumberFormat="1" applyFont="1"/>
    <xf numFmtId="166" fontId="35" fillId="0" borderId="0" xfId="0" applyNumberFormat="1" applyFont="1"/>
    <xf numFmtId="0" fontId="37" fillId="0" borderId="0" xfId="0" applyFont="1"/>
    <xf numFmtId="0" fontId="7" fillId="0" borderId="0" xfId="0" applyFont="1" applyAlignment="1">
      <alignment horizontal="left"/>
    </xf>
    <xf numFmtId="0" fontId="4" fillId="0" borderId="0" xfId="0" applyFont="1" applyAlignment="1">
      <alignment horizontal="right"/>
    </xf>
    <xf numFmtId="1" fontId="7" fillId="0" borderId="0" xfId="0" applyNumberFormat="1" applyFont="1" applyAlignment="1">
      <alignment horizontal="right"/>
    </xf>
    <xf numFmtId="1" fontId="4" fillId="0" borderId="0" xfId="0" applyNumberFormat="1" applyFont="1" applyAlignment="1">
      <alignment horizontal="right"/>
    </xf>
    <xf numFmtId="3" fontId="4" fillId="0" borderId="0" xfId="0" applyNumberFormat="1" applyFont="1" applyAlignment="1">
      <alignment horizontal="right"/>
    </xf>
    <xf numFmtId="166" fontId="7" fillId="0" borderId="0" xfId="0" applyNumberFormat="1" applyFont="1" applyAlignment="1">
      <alignment horizontal="right"/>
    </xf>
    <xf numFmtId="3" fontId="7" fillId="0" borderId="3" xfId="0" applyNumberFormat="1" applyFont="1" applyBorder="1" applyAlignment="1">
      <alignment horizontal="right"/>
    </xf>
    <xf numFmtId="171" fontId="4" fillId="0" borderId="0" xfId="0" applyNumberFormat="1" applyFont="1" applyAlignment="1">
      <alignment horizontal="center"/>
    </xf>
    <xf numFmtId="172" fontId="4" fillId="0" borderId="0" xfId="0" applyNumberFormat="1" applyFont="1"/>
    <xf numFmtId="173" fontId="4" fillId="0" borderId="0" xfId="0" applyNumberFormat="1" applyFont="1"/>
    <xf numFmtId="171" fontId="4" fillId="0" borderId="0" xfId="0" applyNumberFormat="1" applyFont="1"/>
    <xf numFmtId="3" fontId="7" fillId="0" borderId="3" xfId="0" applyNumberFormat="1" applyFont="1" applyBorder="1"/>
    <xf numFmtId="166" fontId="4" fillId="0" borderId="0" xfId="0" applyNumberFormat="1" applyFont="1" applyAlignment="1"/>
    <xf numFmtId="166" fontId="7" fillId="0" borderId="8" xfId="1" applyNumberFormat="1" applyFont="1" applyBorder="1" applyAlignment="1">
      <alignment horizontal="center"/>
    </xf>
    <xf numFmtId="166" fontId="7" fillId="0" borderId="8" xfId="0" applyNumberFormat="1" applyFont="1" applyBorder="1"/>
    <xf numFmtId="166" fontId="7" fillId="0" borderId="0" xfId="0" applyNumberFormat="1" applyFont="1" applyBorder="1" applyAlignment="1">
      <alignment horizontal="center"/>
    </xf>
    <xf numFmtId="175" fontId="4" fillId="0" borderId="0" xfId="10" applyNumberFormat="1" applyFont="1" applyBorder="1"/>
    <xf numFmtId="0" fontId="5" fillId="2" borderId="0" xfId="1" applyNumberFormat="1" applyFont="1" applyFill="1" applyBorder="1" applyAlignment="1">
      <alignment horizontal="center"/>
    </xf>
    <xf numFmtId="167" fontId="18" fillId="0" borderId="0" xfId="0" applyNumberFormat="1" applyFont="1" applyFill="1" applyBorder="1"/>
    <xf numFmtId="167" fontId="18" fillId="0" borderId="3" xfId="0" applyNumberFormat="1" applyFont="1" applyFill="1" applyBorder="1"/>
    <xf numFmtId="0" fontId="5" fillId="2" borderId="0" xfId="0" applyFont="1" applyFill="1" applyBorder="1"/>
    <xf numFmtId="0" fontId="4" fillId="0" borderId="0" xfId="1" applyNumberFormat="1" applyFont="1" applyBorder="1" applyAlignment="1">
      <alignment horizontal="left"/>
    </xf>
    <xf numFmtId="167" fontId="18" fillId="0" borderId="0" xfId="0" applyNumberFormat="1" applyFont="1" applyFill="1" applyBorder="1" applyAlignment="1">
      <alignment horizontal="center"/>
    </xf>
    <xf numFmtId="0" fontId="5" fillId="2" borderId="0" xfId="0" applyFont="1" applyFill="1" applyAlignment="1">
      <alignment horizontal="center"/>
    </xf>
    <xf numFmtId="0" fontId="7" fillId="0" borderId="0" xfId="0" applyFont="1" applyFill="1" applyAlignment="1">
      <alignment horizontal="left"/>
    </xf>
    <xf numFmtId="0" fontId="4" fillId="0" borderId="0" xfId="0" applyFont="1" applyFill="1" applyAlignment="1">
      <alignment horizontal="right"/>
    </xf>
    <xf numFmtId="0" fontId="11" fillId="3" borderId="0" xfId="2" applyFont="1" applyFill="1" applyBorder="1"/>
    <xf numFmtId="175" fontId="5" fillId="2" borderId="0" xfId="0" applyNumberFormat="1" applyFont="1" applyFill="1" applyBorder="1"/>
    <xf numFmtId="175" fontId="4" fillId="3" borderId="0" xfId="0" applyNumberFormat="1" applyFont="1" applyFill="1" applyBorder="1"/>
    <xf numFmtId="0" fontId="4" fillId="3" borderId="0" xfId="0" applyFont="1" applyFill="1" applyBorder="1"/>
    <xf numFmtId="175" fontId="5" fillId="0" borderId="0" xfId="0" applyNumberFormat="1" applyFont="1" applyFill="1" applyBorder="1"/>
    <xf numFmtId="0" fontId="5" fillId="0" borderId="0" xfId="1" applyNumberFormat="1" applyFont="1" applyFill="1" applyBorder="1" applyAlignment="1">
      <alignment horizontal="center"/>
    </xf>
    <xf numFmtId="175" fontId="5" fillId="0" borderId="0" xfId="1" applyNumberFormat="1" applyFont="1" applyFill="1" applyBorder="1" applyAlignment="1">
      <alignment horizontal="center"/>
    </xf>
    <xf numFmtId="175" fontId="5" fillId="0" borderId="0" xfId="1" applyNumberFormat="1" applyFont="1" applyFill="1" applyAlignment="1">
      <alignment horizontal="center"/>
    </xf>
    <xf numFmtId="0" fontId="4" fillId="0" borderId="9" xfId="0" applyFont="1" applyFill="1" applyBorder="1"/>
    <xf numFmtId="175" fontId="8" fillId="0" borderId="0" xfId="0" applyNumberFormat="1" applyFont="1" applyFill="1"/>
    <xf numFmtId="0" fontId="5" fillId="0" borderId="0" xfId="0" applyFont="1" applyFill="1" applyBorder="1"/>
    <xf numFmtId="0" fontId="6" fillId="0" borderId="0" xfId="0" applyFont="1" applyFill="1"/>
    <xf numFmtId="0" fontId="6" fillId="0" borderId="0" xfId="0" applyFont="1" applyFill="1" applyAlignment="1">
      <alignment horizontal="center"/>
    </xf>
    <xf numFmtId="10" fontId="6" fillId="0" borderId="0" xfId="10" applyNumberFormat="1" applyFont="1" applyFill="1" applyAlignment="1">
      <alignment horizontal="right"/>
    </xf>
    <xf numFmtId="0" fontId="4" fillId="0" borderId="0" xfId="0" applyFont="1" applyFill="1" applyBorder="1"/>
    <xf numFmtId="175" fontId="4" fillId="3" borderId="17" xfId="0" applyNumberFormat="1" applyFont="1" applyFill="1" applyBorder="1"/>
    <xf numFmtId="175" fontId="4" fillId="3" borderId="14" xfId="0" applyNumberFormat="1" applyFont="1" applyFill="1" applyBorder="1"/>
    <xf numFmtId="175" fontId="4" fillId="0" borderId="14" xfId="10" applyNumberFormat="1" applyFont="1" applyBorder="1"/>
    <xf numFmtId="175" fontId="4" fillId="3" borderId="21" xfId="0" applyNumberFormat="1" applyFont="1" applyFill="1" applyBorder="1"/>
    <xf numFmtId="175" fontId="4" fillId="0" borderId="21" xfId="0" applyNumberFormat="1" applyFont="1" applyFill="1" applyBorder="1"/>
    <xf numFmtId="175" fontId="4" fillId="0" borderId="0" xfId="0" applyNumberFormat="1" applyFont="1" applyFill="1" applyBorder="1"/>
    <xf numFmtId="175" fontId="4" fillId="0" borderId="0" xfId="10" applyNumberFormat="1" applyFont="1" applyBorder="1" applyAlignment="1">
      <alignment horizontal="center"/>
    </xf>
    <xf numFmtId="169" fontId="4" fillId="0" borderId="0" xfId="1" applyNumberFormat="1" applyFont="1" applyBorder="1"/>
    <xf numFmtId="175" fontId="4" fillId="3" borderId="20" xfId="0" applyNumberFormat="1" applyFont="1" applyFill="1" applyBorder="1"/>
    <xf numFmtId="175" fontId="4" fillId="3" borderId="12" xfId="0" applyNumberFormat="1" applyFont="1" applyFill="1" applyBorder="1"/>
    <xf numFmtId="169" fontId="4" fillId="0" borderId="12" xfId="1" applyNumberFormat="1" applyFont="1" applyBorder="1"/>
    <xf numFmtId="175" fontId="4" fillId="0" borderId="0" xfId="0" applyNumberFormat="1" applyFont="1" applyBorder="1"/>
    <xf numFmtId="175" fontId="4" fillId="0" borderId="0" xfId="1" applyNumberFormat="1" applyFont="1" applyBorder="1"/>
    <xf numFmtId="175" fontId="4" fillId="0" borderId="21" xfId="0" applyNumberFormat="1" applyFont="1" applyBorder="1"/>
    <xf numFmtId="175" fontId="4" fillId="0" borderId="12" xfId="10" applyNumberFormat="1" applyFont="1" applyBorder="1"/>
    <xf numFmtId="0" fontId="4" fillId="3" borderId="17" xfId="0" applyFont="1" applyFill="1" applyBorder="1"/>
    <xf numFmtId="0" fontId="4" fillId="3" borderId="14" xfId="0" applyFont="1" applyFill="1" applyBorder="1"/>
    <xf numFmtId="0" fontId="4" fillId="3" borderId="21" xfId="0" applyFont="1" applyFill="1" applyBorder="1"/>
    <xf numFmtId="0" fontId="4" fillId="3" borderId="20" xfId="0" applyFont="1" applyFill="1" applyBorder="1"/>
    <xf numFmtId="0" fontId="4" fillId="3" borderId="12" xfId="0" applyFont="1" applyFill="1" applyBorder="1"/>
    <xf numFmtId="175" fontId="4" fillId="0" borderId="12" xfId="0" applyNumberFormat="1" applyFont="1" applyBorder="1"/>
    <xf numFmtId="0" fontId="4" fillId="0" borderId="14" xfId="0" applyFont="1" applyBorder="1"/>
    <xf numFmtId="0" fontId="4" fillId="0" borderId="12" xfId="0" applyFont="1" applyBorder="1"/>
    <xf numFmtId="0" fontId="4" fillId="0" borderId="17" xfId="1" applyNumberFormat="1" applyFont="1" applyBorder="1" applyAlignment="1">
      <alignment horizontal="left"/>
    </xf>
    <xf numFmtId="0" fontId="4" fillId="0" borderId="14" xfId="1" applyNumberFormat="1" applyFont="1" applyBorder="1" applyAlignment="1">
      <alignment horizontal="left"/>
    </xf>
    <xf numFmtId="43" fontId="4" fillId="0" borderId="14" xfId="1" applyFont="1" applyBorder="1" applyAlignment="1">
      <alignment horizontal="right"/>
    </xf>
    <xf numFmtId="0" fontId="4" fillId="0" borderId="21" xfId="1" applyNumberFormat="1" applyFont="1" applyBorder="1" applyAlignment="1">
      <alignment horizontal="left"/>
    </xf>
    <xf numFmtId="43" fontId="4" fillId="0" borderId="0" xfId="1" applyFont="1" applyBorder="1" applyAlignment="1">
      <alignment horizontal="right"/>
    </xf>
    <xf numFmtId="43" fontId="4" fillId="0" borderId="0" xfId="1" applyNumberFormat="1" applyFont="1" applyBorder="1" applyAlignment="1">
      <alignment horizontal="right"/>
    </xf>
    <xf numFmtId="0" fontId="4" fillId="0" borderId="21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10" fontId="4" fillId="0" borderId="0" xfId="10" applyNumberFormat="1" applyFont="1" applyBorder="1"/>
    <xf numFmtId="0" fontId="4" fillId="0" borderId="20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43" fontId="4" fillId="0" borderId="12" xfId="1" applyFont="1" applyBorder="1"/>
    <xf numFmtId="175" fontId="5" fillId="7" borderId="0" xfId="1" applyNumberFormat="1" applyFont="1" applyFill="1" applyBorder="1" applyAlignment="1">
      <alignment horizontal="center"/>
    </xf>
    <xf numFmtId="175" fontId="5" fillId="7" borderId="0" xfId="1" applyNumberFormat="1" applyFont="1" applyFill="1" applyAlignment="1">
      <alignment horizontal="center"/>
    </xf>
    <xf numFmtId="175" fontId="7" fillId="3" borderId="14" xfId="0" applyNumberFormat="1" applyFont="1" applyFill="1" applyBorder="1" applyAlignment="1">
      <alignment horizontal="center"/>
    </xf>
    <xf numFmtId="175" fontId="7" fillId="3" borderId="0" xfId="0" applyNumberFormat="1" applyFont="1" applyFill="1" applyBorder="1" applyAlignment="1">
      <alignment horizontal="center"/>
    </xf>
    <xf numFmtId="16" fontId="4" fillId="0" borderId="9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4" fontId="4" fillId="0" borderId="9" xfId="0" applyNumberFormat="1" applyFont="1" applyBorder="1" applyAlignment="1">
      <alignment horizontal="center"/>
    </xf>
    <xf numFmtId="10" fontId="4" fillId="0" borderId="9" xfId="10" applyNumberFormat="1" applyFont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0" fontId="4" fillId="0" borderId="9" xfId="0" applyFont="1" applyBorder="1"/>
    <xf numFmtId="16" fontId="4" fillId="0" borderId="0" xfId="0" applyNumberFormat="1" applyFont="1" applyAlignment="1">
      <alignment horizontal="center"/>
    </xf>
    <xf numFmtId="4" fontId="4" fillId="0" borderId="0" xfId="0" applyNumberFormat="1" applyFont="1"/>
    <xf numFmtId="15" fontId="4" fillId="0" borderId="0" xfId="0" applyNumberFormat="1" applyFont="1"/>
    <xf numFmtId="0" fontId="38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175" fontId="42" fillId="0" borderId="14" xfId="10" applyNumberFormat="1" applyFont="1" applyBorder="1"/>
    <xf numFmtId="175" fontId="42" fillId="0" borderId="16" xfId="10" applyNumberFormat="1" applyFont="1" applyBorder="1"/>
    <xf numFmtId="175" fontId="42" fillId="0" borderId="0" xfId="10" applyNumberFormat="1" applyFont="1" applyBorder="1"/>
    <xf numFmtId="175" fontId="42" fillId="0" borderId="23" xfId="10" applyNumberFormat="1" applyFont="1" applyBorder="1"/>
    <xf numFmtId="43" fontId="42" fillId="0" borderId="0" xfId="1" applyFont="1" applyBorder="1"/>
    <xf numFmtId="43" fontId="42" fillId="0" borderId="23" xfId="1" applyFont="1" applyBorder="1"/>
    <xf numFmtId="169" fontId="42" fillId="0" borderId="0" xfId="1" applyNumberFormat="1" applyFont="1" applyBorder="1"/>
    <xf numFmtId="169" fontId="42" fillId="0" borderId="23" xfId="1" applyNumberFormat="1" applyFont="1" applyBorder="1"/>
    <xf numFmtId="169" fontId="42" fillId="0" borderId="12" xfId="1" applyNumberFormat="1" applyFont="1" applyBorder="1"/>
    <xf numFmtId="169" fontId="42" fillId="0" borderId="19" xfId="1" applyNumberFormat="1" applyFont="1" applyBorder="1"/>
    <xf numFmtId="175" fontId="42" fillId="0" borderId="0" xfId="1" applyNumberFormat="1" applyFont="1" applyBorder="1"/>
    <xf numFmtId="175" fontId="42" fillId="0" borderId="23" xfId="1" applyNumberFormat="1" applyFont="1" applyBorder="1"/>
    <xf numFmtId="175" fontId="42" fillId="0" borderId="12" xfId="10" applyNumberFormat="1" applyFont="1" applyBorder="1"/>
    <xf numFmtId="175" fontId="42" fillId="0" borderId="19" xfId="10" applyNumberFormat="1" applyFont="1" applyBorder="1"/>
    <xf numFmtId="175" fontId="42" fillId="3" borderId="0" xfId="10" applyNumberFormat="1" applyFont="1" applyFill="1" applyBorder="1"/>
    <xf numFmtId="43" fontId="42" fillId="0" borderId="14" xfId="1" applyFont="1" applyBorder="1"/>
    <xf numFmtId="43" fontId="42" fillId="0" borderId="16" xfId="1" applyFont="1" applyBorder="1"/>
    <xf numFmtId="43" fontId="42" fillId="0" borderId="0" xfId="1" applyNumberFormat="1" applyFont="1" applyBorder="1"/>
    <xf numFmtId="43" fontId="42" fillId="0" borderId="23" xfId="1" applyNumberFormat="1" applyFont="1" applyBorder="1"/>
    <xf numFmtId="10" fontId="42" fillId="0" borderId="0" xfId="10" applyNumberFormat="1" applyFont="1" applyBorder="1"/>
    <xf numFmtId="10" fontId="42" fillId="0" borderId="23" xfId="10" applyNumberFormat="1" applyFont="1" applyBorder="1"/>
    <xf numFmtId="43" fontId="42" fillId="0" borderId="12" xfId="1" applyFont="1" applyBorder="1"/>
    <xf numFmtId="43" fontId="42" fillId="0" borderId="19" xfId="1" applyFont="1" applyBorder="1"/>
    <xf numFmtId="0" fontId="38" fillId="2" borderId="9" xfId="0" applyFont="1" applyFill="1" applyBorder="1" applyAlignment="1">
      <alignment horizontal="center"/>
    </xf>
    <xf numFmtId="0" fontId="5" fillId="7" borderId="0" xfId="1" applyNumberFormat="1" applyFont="1" applyFill="1" applyAlignment="1">
      <alignment horizontal="center"/>
    </xf>
    <xf numFmtId="2" fontId="33" fillId="0" borderId="0" xfId="0" applyNumberFormat="1" applyFont="1" applyAlignment="1">
      <alignment horizontal="center" vertical="center"/>
    </xf>
    <xf numFmtId="167" fontId="5" fillId="8" borderId="0" xfId="0" applyNumberFormat="1" applyFont="1" applyFill="1" applyBorder="1" applyAlignment="1">
      <alignment horizontal="center"/>
    </xf>
    <xf numFmtId="2" fontId="43" fillId="0" borderId="0" xfId="0" applyNumberFormat="1" applyFont="1" applyBorder="1" applyAlignment="1">
      <alignment horizontal="center"/>
    </xf>
    <xf numFmtId="166" fontId="8" fillId="0" borderId="0" xfId="0" applyNumberFormat="1" applyFont="1" applyFill="1" applyAlignment="1">
      <alignment horizontal="center"/>
    </xf>
    <xf numFmtId="166" fontId="8" fillId="0" borderId="0" xfId="0" applyNumberFormat="1" applyFont="1" applyFill="1"/>
    <xf numFmtId="0" fontId="8" fillId="0" borderId="0" xfId="0" applyFont="1" applyFill="1" applyBorder="1"/>
    <xf numFmtId="166" fontId="8" fillId="0" borderId="0" xfId="1" applyNumberFormat="1" applyFont="1" applyFill="1" applyAlignment="1">
      <alignment horizontal="center"/>
    </xf>
    <xf numFmtId="166" fontId="5" fillId="0" borderId="0" xfId="1" applyNumberFormat="1" applyFont="1" applyFill="1" applyAlignment="1">
      <alignment horizontal="center"/>
    </xf>
    <xf numFmtId="166" fontId="5" fillId="0" borderId="0" xfId="0" applyNumberFormat="1" applyFont="1" applyFill="1"/>
    <xf numFmtId="166" fontId="5" fillId="0" borderId="0" xfId="1" applyNumberFormat="1" applyFont="1" applyFill="1"/>
    <xf numFmtId="166" fontId="34" fillId="0" borderId="0" xfId="0" applyNumberFormat="1" applyFont="1" applyAlignment="1">
      <alignment horizontal="center"/>
    </xf>
    <xf numFmtId="0" fontId="36" fillId="0" borderId="0" xfId="0" applyFont="1" applyFill="1" applyAlignment="1"/>
    <xf numFmtId="0" fontId="34" fillId="0" borderId="0" xfId="11" applyFont="1" applyAlignment="1">
      <alignment horizontal="left"/>
    </xf>
    <xf numFmtId="1" fontId="34" fillId="0" borderId="0" xfId="0" applyNumberFormat="1" applyFont="1"/>
    <xf numFmtId="174" fontId="34" fillId="0" borderId="0" xfId="0" applyNumberFormat="1" applyFont="1"/>
    <xf numFmtId="166" fontId="34" fillId="0" borderId="0" xfId="1" applyNumberFormat="1" applyFont="1" applyBorder="1" applyAlignment="1">
      <alignment horizontal="left" vertical="center"/>
    </xf>
    <xf numFmtId="1" fontId="34" fillId="0" borderId="0" xfId="11" applyNumberFormat="1" applyFont="1"/>
    <xf numFmtId="3" fontId="34" fillId="0" borderId="0" xfId="11" applyNumberFormat="1" applyFont="1"/>
    <xf numFmtId="166" fontId="34" fillId="0" borderId="0" xfId="12" applyNumberFormat="1" applyFont="1" applyBorder="1" applyAlignment="1">
      <alignment horizontal="left" vertical="center"/>
    </xf>
    <xf numFmtId="0" fontId="36" fillId="0" borderId="0" xfId="0" applyFont="1" applyAlignment="1"/>
    <xf numFmtId="0" fontId="5" fillId="2" borderId="0" xfId="0" applyFont="1" applyFill="1" applyAlignment="1"/>
    <xf numFmtId="0" fontId="11" fillId="0" borderId="2" xfId="2" applyFont="1" applyBorder="1"/>
    <xf numFmtId="0" fontId="12" fillId="0" borderId="0" xfId="0" applyFont="1" applyFill="1" applyAlignment="1">
      <alignment horizontal="left"/>
    </xf>
    <xf numFmtId="0" fontId="12" fillId="0" borderId="0" xfId="0" applyFont="1" applyFill="1" applyAlignment="1">
      <alignment horizontal="center"/>
    </xf>
    <xf numFmtId="166" fontId="0" fillId="0" borderId="0" xfId="1" applyNumberFormat="1" applyFont="1" applyFill="1" applyAlignment="1">
      <alignment horizontal="right"/>
    </xf>
    <xf numFmtId="166" fontId="13" fillId="0" borderId="0" xfId="1" applyNumberFormat="1" applyFont="1" applyFill="1" applyAlignment="1">
      <alignment horizontal="right"/>
    </xf>
    <xf numFmtId="166" fontId="0" fillId="0" borderId="22" xfId="1" applyNumberFormat="1" applyFont="1" applyFill="1" applyBorder="1" applyAlignment="1">
      <alignment horizontal="right"/>
    </xf>
    <xf numFmtId="0" fontId="0" fillId="0" borderId="0" xfId="0" applyFill="1"/>
    <xf numFmtId="166" fontId="13" fillId="0" borderId="0" xfId="1" applyNumberFormat="1" applyFont="1" applyFill="1"/>
    <xf numFmtId="0" fontId="23" fillId="0" borderId="0" xfId="0" applyFont="1" applyFill="1" applyBorder="1" applyAlignment="1"/>
    <xf numFmtId="15" fontId="0" fillId="0" borderId="0" xfId="0" applyNumberFormat="1" applyFill="1"/>
    <xf numFmtId="4" fontId="0" fillId="0" borderId="0" xfId="0" applyNumberFormat="1" applyFill="1"/>
    <xf numFmtId="0" fontId="0" fillId="0" borderId="0" xfId="0" applyFont="1" applyFill="1" applyBorder="1" applyAlignment="1">
      <alignment horizontal="center"/>
    </xf>
    <xf numFmtId="10" fontId="0" fillId="0" borderId="0" xfId="10" applyNumberFormat="1" applyFont="1" applyFill="1" applyBorder="1" applyAlignment="1">
      <alignment horizontal="center"/>
    </xf>
    <xf numFmtId="10" fontId="0" fillId="0" borderId="9" xfId="10" applyNumberFormat="1" applyFont="1" applyFill="1" applyBorder="1" applyAlignment="1">
      <alignment horizontal="center"/>
    </xf>
    <xf numFmtId="0" fontId="22" fillId="0" borderId="0" xfId="0" applyFont="1" applyFill="1"/>
    <xf numFmtId="166" fontId="22" fillId="0" borderId="0" xfId="1" applyNumberFormat="1" applyFont="1" applyFill="1" applyAlignment="1">
      <alignment horizontal="right"/>
    </xf>
    <xf numFmtId="0" fontId="0" fillId="0" borderId="0" xfId="0" applyFont="1" applyFill="1" applyAlignment="1"/>
    <xf numFmtId="166" fontId="1" fillId="0" borderId="0" xfId="1" applyNumberFormat="1" applyFont="1" applyFill="1" applyAlignment="1">
      <alignment horizontal="right"/>
    </xf>
    <xf numFmtId="166" fontId="1" fillId="0" borderId="0" xfId="1" applyNumberFormat="1" applyFont="1" applyFill="1"/>
    <xf numFmtId="166" fontId="1" fillId="0" borderId="26" xfId="1" applyNumberFormat="1" applyFont="1" applyFill="1" applyBorder="1"/>
    <xf numFmtId="166" fontId="1" fillId="0" borderId="22" xfId="1" applyNumberFormat="1" applyFont="1" applyFill="1" applyBorder="1"/>
    <xf numFmtId="10" fontId="0" fillId="0" borderId="0" xfId="10" applyNumberFormat="1" applyFont="1" applyFill="1" applyAlignment="1">
      <alignment horizontal="right"/>
    </xf>
    <xf numFmtId="10" fontId="0" fillId="0" borderId="26" xfId="10" applyNumberFormat="1" applyFont="1" applyFill="1" applyBorder="1"/>
    <xf numFmtId="10" fontId="0" fillId="0" borderId="22" xfId="10" applyNumberFormat="1" applyFont="1" applyFill="1" applyBorder="1"/>
    <xf numFmtId="0" fontId="0" fillId="0" borderId="0" xfId="0" applyFont="1" applyFill="1" applyAlignment="1">
      <alignment vertical="center"/>
    </xf>
    <xf numFmtId="10" fontId="0" fillId="0" borderId="0" xfId="10" applyNumberFormat="1" applyFont="1" applyFill="1" applyBorder="1" applyAlignment="1">
      <alignment horizontal="right" vertical="center"/>
    </xf>
    <xf numFmtId="10" fontId="13" fillId="0" borderId="0" xfId="10" applyNumberFormat="1" applyFont="1" applyFill="1" applyBorder="1" applyAlignment="1">
      <alignment horizontal="right" vertical="center"/>
    </xf>
    <xf numFmtId="10" fontId="0" fillId="0" borderId="10" xfId="10" applyNumberFormat="1" applyFont="1" applyFill="1" applyBorder="1"/>
    <xf numFmtId="0" fontId="0" fillId="0" borderId="0" xfId="0" applyFill="1" applyBorder="1"/>
    <xf numFmtId="2" fontId="0" fillId="0" borderId="0" xfId="0" applyNumberFormat="1" applyFont="1" applyFill="1" applyAlignment="1">
      <alignment vertical="center"/>
    </xf>
    <xf numFmtId="43" fontId="0" fillId="0" borderId="0" xfId="1" applyFont="1" applyFill="1"/>
    <xf numFmtId="10" fontId="0" fillId="0" borderId="0" xfId="0" applyNumberFormat="1" applyFont="1" applyFill="1" applyAlignment="1">
      <alignment horizontal="right"/>
    </xf>
    <xf numFmtId="0" fontId="14" fillId="0" borderId="0" xfId="0" applyFont="1" applyFill="1" applyAlignment="1">
      <alignment horizontal="center"/>
    </xf>
    <xf numFmtId="10" fontId="21" fillId="0" borderId="0" xfId="10" applyNumberFormat="1" applyFont="1" applyFill="1" applyAlignment="1">
      <alignment horizontal="right"/>
    </xf>
    <xf numFmtId="10" fontId="21" fillId="0" borderId="0" xfId="10" applyNumberFormat="1" applyFont="1" applyFill="1"/>
    <xf numFmtId="10" fontId="21" fillId="0" borderId="22" xfId="10" applyNumberFormat="1" applyFont="1" applyFill="1" applyBorder="1"/>
    <xf numFmtId="0" fontId="13" fillId="0" borderId="0" xfId="0" applyFont="1" applyFill="1"/>
    <xf numFmtId="0" fontId="0" fillId="0" borderId="0" xfId="0" applyFont="1" applyFill="1" applyAlignment="1">
      <alignment horizontal="center"/>
    </xf>
    <xf numFmtId="10" fontId="0" fillId="0" borderId="3" xfId="10" applyNumberFormat="1" applyFont="1" applyFill="1" applyBorder="1"/>
    <xf numFmtId="0" fontId="0" fillId="0" borderId="0" xfId="10" applyNumberFormat="1" applyFont="1" applyFill="1"/>
    <xf numFmtId="175" fontId="0" fillId="0" borderId="0" xfId="10" applyNumberFormat="1" applyFont="1" applyFill="1"/>
    <xf numFmtId="166" fontId="14" fillId="0" borderId="0" xfId="1" applyNumberFormat="1" applyFont="1" applyFill="1" applyBorder="1" applyAlignment="1">
      <alignment horizontal="center"/>
    </xf>
    <xf numFmtId="0" fontId="14" fillId="0" borderId="0" xfId="0" applyFont="1" applyFill="1" applyBorder="1" applyAlignment="1">
      <alignment horizontal="center"/>
    </xf>
    <xf numFmtId="166" fontId="0" fillId="0" borderId="0" xfId="1" applyNumberFormat="1" applyFont="1" applyFill="1" applyBorder="1" applyAlignment="1">
      <alignment horizontal="center"/>
    </xf>
    <xf numFmtId="43" fontId="0" fillId="0" borderId="0" xfId="1" applyNumberFormat="1" applyFont="1" applyFill="1"/>
    <xf numFmtId="43" fontId="0" fillId="0" borderId="26" xfId="1" applyNumberFormat="1" applyFont="1" applyFill="1" applyBorder="1"/>
    <xf numFmtId="43" fontId="0" fillId="0" borderId="22" xfId="1" applyNumberFormat="1" applyFont="1" applyFill="1" applyBorder="1"/>
    <xf numFmtId="166" fontId="7" fillId="0" borderId="0" xfId="1" applyNumberFormat="1" applyFont="1" applyFill="1" applyBorder="1"/>
    <xf numFmtId="0" fontId="7" fillId="0" borderId="0" xfId="0" applyFont="1" applyFill="1" applyBorder="1"/>
    <xf numFmtId="0" fontId="32" fillId="0" borderId="0" xfId="0" applyFont="1" applyFill="1" applyBorder="1"/>
    <xf numFmtId="10" fontId="4" fillId="0" borderId="0" xfId="0" applyNumberFormat="1" applyFont="1" applyFill="1" applyBorder="1"/>
    <xf numFmtId="0" fontId="34" fillId="0" borderId="0" xfId="0" applyFont="1" applyFill="1" applyBorder="1"/>
    <xf numFmtId="0" fontId="36" fillId="0" borderId="0" xfId="0" applyFont="1" applyFill="1" applyBorder="1"/>
    <xf numFmtId="166" fontId="4" fillId="0" borderId="28" xfId="0" applyNumberFormat="1" applyFont="1" applyBorder="1"/>
    <xf numFmtId="2" fontId="25" fillId="0" borderId="28" xfId="0" applyNumberFormat="1" applyFont="1" applyBorder="1" applyAlignment="1">
      <alignment horizontal="center" vertical="center"/>
    </xf>
    <xf numFmtId="0" fontId="5" fillId="2" borderId="28" xfId="1" applyNumberFormat="1" applyFont="1" applyFill="1" applyBorder="1" applyAlignment="1">
      <alignment horizontal="center"/>
    </xf>
    <xf numFmtId="166" fontId="4" fillId="0" borderId="28" xfId="0" applyNumberFormat="1" applyFont="1" applyBorder="1" applyAlignment="1">
      <alignment horizontal="center"/>
    </xf>
    <xf numFmtId="166" fontId="4" fillId="0" borderId="28" xfId="1" applyNumberFormat="1" applyFont="1" applyBorder="1" applyAlignment="1">
      <alignment horizontal="center"/>
    </xf>
    <xf numFmtId="166" fontId="7" fillId="0" borderId="28" xfId="1" applyNumberFormat="1" applyFont="1" applyBorder="1" applyAlignment="1">
      <alignment horizontal="center"/>
    </xf>
    <xf numFmtId="10" fontId="4" fillId="0" borderId="28" xfId="10" applyNumberFormat="1" applyFont="1" applyBorder="1" applyAlignment="1">
      <alignment horizontal="center"/>
    </xf>
    <xf numFmtId="166" fontId="28" fillId="0" borderId="28" xfId="1" applyNumberFormat="1" applyFont="1" applyBorder="1" applyAlignment="1">
      <alignment horizontal="center"/>
    </xf>
    <xf numFmtId="43" fontId="32" fillId="0" borderId="28" xfId="1" applyNumberFormat="1" applyFont="1" applyBorder="1" applyAlignment="1">
      <alignment horizontal="center"/>
    </xf>
    <xf numFmtId="9" fontId="4" fillId="0" borderId="28" xfId="10" applyFont="1" applyBorder="1" applyAlignment="1">
      <alignment horizontal="right"/>
    </xf>
    <xf numFmtId="10" fontId="33" fillId="0" borderId="28" xfId="10" applyNumberFormat="1" applyFont="1" applyBorder="1"/>
    <xf numFmtId="166" fontId="8" fillId="0" borderId="28" xfId="0" applyNumberFormat="1" applyFont="1" applyFill="1" applyBorder="1"/>
    <xf numFmtId="166" fontId="7" fillId="0" borderId="28" xfId="1" applyNumberFormat="1" applyFont="1" applyBorder="1" applyAlignment="1">
      <alignment horizontal="center" vertical="center"/>
    </xf>
    <xf numFmtId="166" fontId="4" fillId="0" borderId="28" xfId="0" applyNumberFormat="1" applyFont="1" applyBorder="1" applyAlignment="1">
      <alignment horizontal="center" vertical="center"/>
    </xf>
    <xf numFmtId="166" fontId="34" fillId="0" borderId="28" xfId="1" applyNumberFormat="1" applyFont="1" applyBorder="1"/>
    <xf numFmtId="166" fontId="32" fillId="0" borderId="28" xfId="1" applyNumberFormat="1" applyFont="1" applyBorder="1"/>
    <xf numFmtId="166" fontId="7" fillId="0" borderId="28" xfId="0" applyNumberFormat="1" applyFont="1" applyBorder="1" applyAlignment="1">
      <alignment horizontal="center" vertical="center"/>
    </xf>
    <xf numFmtId="0" fontId="4" fillId="0" borderId="28" xfId="0" applyFont="1" applyBorder="1"/>
    <xf numFmtId="166" fontId="4" fillId="0" borderId="28" xfId="0" applyNumberFormat="1" applyFont="1" applyBorder="1" applyAlignment="1">
      <alignment horizontal="center" wrapText="1"/>
    </xf>
    <xf numFmtId="166" fontId="34" fillId="0" borderId="28" xfId="0" applyNumberFormat="1" applyFont="1" applyBorder="1"/>
    <xf numFmtId="166" fontId="32" fillId="0" borderId="28" xfId="0" applyNumberFormat="1" applyFont="1" applyBorder="1"/>
    <xf numFmtId="3" fontId="4" fillId="0" borderId="28" xfId="11" applyNumberFormat="1" applyFont="1" applyBorder="1"/>
    <xf numFmtId="166" fontId="27" fillId="0" borderId="28" xfId="12" applyNumberFormat="1" applyFont="1" applyBorder="1" applyAlignment="1">
      <alignment horizontal="left" vertical="center"/>
    </xf>
    <xf numFmtId="166" fontId="26" fillId="0" borderId="28" xfId="12" applyNumberFormat="1" applyFont="1" applyBorder="1" applyAlignment="1">
      <alignment horizontal="left" vertical="center"/>
    </xf>
    <xf numFmtId="3" fontId="7" fillId="0" borderId="28" xfId="11" applyNumberFormat="1" applyFont="1" applyBorder="1"/>
    <xf numFmtId="166" fontId="27" fillId="0" borderId="29" xfId="1" applyNumberFormat="1" applyFont="1" applyBorder="1" applyAlignment="1">
      <alignment horizontal="center"/>
    </xf>
    <xf numFmtId="166" fontId="35" fillId="0" borderId="28" xfId="0" applyNumberFormat="1" applyFont="1" applyBorder="1" applyAlignment="1">
      <alignment horizontal="center"/>
    </xf>
    <xf numFmtId="166" fontId="27" fillId="0" borderId="28" xfId="1" applyNumberFormat="1" applyFont="1" applyBorder="1" applyAlignment="1">
      <alignment horizontal="center"/>
    </xf>
    <xf numFmtId="166" fontId="26" fillId="3" borderId="28" xfId="1" applyNumberFormat="1" applyFont="1" applyFill="1" applyBorder="1" applyAlignment="1">
      <alignment horizontal="left" vertical="center"/>
    </xf>
    <xf numFmtId="3" fontId="4" fillId="0" borderId="28" xfId="0" applyNumberFormat="1" applyFont="1" applyBorder="1"/>
    <xf numFmtId="41" fontId="4" fillId="0" borderId="28" xfId="0" applyNumberFormat="1" applyFont="1" applyBorder="1"/>
    <xf numFmtId="166" fontId="27" fillId="0" borderId="28" xfId="0" applyNumberFormat="1" applyFont="1" applyBorder="1" applyAlignment="1">
      <alignment horizontal="center"/>
    </xf>
    <xf numFmtId="166" fontId="7" fillId="0" borderId="29" xfId="0" applyNumberFormat="1" applyFont="1" applyBorder="1" applyAlignment="1">
      <alignment horizontal="center"/>
    </xf>
    <xf numFmtId="166" fontId="27" fillId="3" borderId="28" xfId="12" applyNumberFormat="1" applyFont="1" applyFill="1" applyBorder="1" applyAlignment="1">
      <alignment horizontal="left" vertical="center"/>
    </xf>
    <xf numFmtId="166" fontId="27" fillId="3" borderId="28" xfId="12" applyNumberFormat="1" applyFont="1" applyFill="1" applyBorder="1" applyAlignment="1">
      <alignment horizontal="right" vertical="center" indent="1"/>
    </xf>
    <xf numFmtId="166" fontId="27" fillId="3" borderId="28" xfId="1" applyNumberFormat="1" applyFont="1" applyFill="1" applyBorder="1" applyAlignment="1">
      <alignment horizontal="left" vertical="center"/>
    </xf>
    <xf numFmtId="166" fontId="34" fillId="0" borderId="28" xfId="1" applyNumberFormat="1" applyFont="1" applyBorder="1" applyAlignment="1">
      <alignment horizontal="center"/>
    </xf>
    <xf numFmtId="166" fontId="32" fillId="0" borderId="28" xfId="1" applyNumberFormat="1" applyFont="1" applyBorder="1" applyAlignment="1">
      <alignment horizontal="center"/>
    </xf>
    <xf numFmtId="166" fontId="26" fillId="0" borderId="28" xfId="1" applyNumberFormat="1" applyFont="1" applyBorder="1" applyAlignment="1">
      <alignment horizontal="left" vertical="center"/>
    </xf>
    <xf numFmtId="166" fontId="27" fillId="0" borderId="29" xfId="1" applyNumberFormat="1" applyFont="1" applyBorder="1" applyAlignment="1">
      <alignment horizontal="left" vertical="center"/>
    </xf>
    <xf numFmtId="166" fontId="27" fillId="0" borderId="28" xfId="1" applyNumberFormat="1" applyFont="1" applyBorder="1" applyAlignment="1">
      <alignment horizontal="left" vertical="center"/>
    </xf>
    <xf numFmtId="166" fontId="34" fillId="0" borderId="28" xfId="1" applyNumberFormat="1" applyFont="1" applyBorder="1" applyAlignment="1">
      <alignment horizontal="left" vertical="center"/>
    </xf>
    <xf numFmtId="166" fontId="7" fillId="0" borderId="29" xfId="1" applyNumberFormat="1" applyFont="1" applyBorder="1"/>
    <xf numFmtId="43" fontId="4" fillId="0" borderId="28" xfId="0" applyNumberFormat="1" applyFont="1" applyBorder="1"/>
    <xf numFmtId="166" fontId="4" fillId="0" borderId="28" xfId="1" applyNumberFormat="1" applyFont="1" applyBorder="1"/>
    <xf numFmtId="166" fontId="7" fillId="0" borderId="28" xfId="1" applyNumberFormat="1" applyFont="1" applyBorder="1"/>
    <xf numFmtId="166" fontId="7" fillId="0" borderId="28" xfId="0" applyNumberFormat="1" applyFont="1" applyBorder="1"/>
    <xf numFmtId="43" fontId="4" fillId="0" borderId="28" xfId="1" applyFont="1" applyBorder="1"/>
    <xf numFmtId="166" fontId="5" fillId="0" borderId="28" xfId="0" applyNumberFormat="1" applyFont="1" applyFill="1" applyBorder="1"/>
    <xf numFmtId="3" fontId="7" fillId="0" borderId="28" xfId="0" applyNumberFormat="1" applyFont="1" applyBorder="1"/>
    <xf numFmtId="1" fontId="4" fillId="0" borderId="28" xfId="0" applyNumberFormat="1" applyFont="1" applyBorder="1"/>
    <xf numFmtId="166" fontId="7" fillId="0" borderId="30" xfId="0" applyNumberFormat="1" applyFont="1" applyBorder="1"/>
    <xf numFmtId="2" fontId="43" fillId="0" borderId="28" xfId="0" applyNumberFormat="1" applyFont="1" applyBorder="1" applyAlignment="1">
      <alignment horizontal="center"/>
    </xf>
    <xf numFmtId="167" fontId="5" fillId="8" borderId="28" xfId="0" applyNumberFormat="1" applyFont="1" applyFill="1" applyBorder="1" applyAlignment="1">
      <alignment horizontal="center"/>
    </xf>
    <xf numFmtId="166" fontId="26" fillId="0" borderId="28" xfId="1" applyNumberFormat="1" applyFont="1" applyBorder="1"/>
    <xf numFmtId="166" fontId="27" fillId="0" borderId="28" xfId="1" applyNumberFormat="1" applyFont="1" applyBorder="1"/>
    <xf numFmtId="43" fontId="30" fillId="0" borderId="28" xfId="1" applyFont="1" applyBorder="1"/>
    <xf numFmtId="166" fontId="26" fillId="0" borderId="28" xfId="1" applyNumberFormat="1" applyFont="1" applyBorder="1" applyAlignment="1"/>
    <xf numFmtId="166" fontId="26" fillId="3" borderId="28" xfId="1" applyNumberFormat="1" applyFont="1" applyFill="1" applyBorder="1" applyAlignment="1">
      <alignment horizontal="right" indent="1"/>
    </xf>
    <xf numFmtId="166" fontId="26" fillId="3" borderId="28" xfId="1" applyNumberFormat="1" applyFont="1" applyFill="1" applyBorder="1"/>
    <xf numFmtId="166" fontId="27" fillId="3" borderId="28" xfId="1" applyNumberFormat="1" applyFont="1" applyFill="1" applyBorder="1"/>
    <xf numFmtId="43" fontId="26" fillId="0" borderId="28" xfId="1" applyFont="1" applyBorder="1"/>
    <xf numFmtId="166" fontId="26" fillId="0" borderId="28" xfId="1" applyNumberFormat="1" applyFont="1" applyFill="1" applyBorder="1"/>
    <xf numFmtId="166" fontId="27" fillId="0" borderId="28" xfId="1" applyNumberFormat="1" applyFont="1" applyFill="1" applyBorder="1"/>
    <xf numFmtId="43" fontId="32" fillId="0" borderId="28" xfId="1" applyFont="1" applyFill="1" applyBorder="1"/>
    <xf numFmtId="43" fontId="32" fillId="0" borderId="28" xfId="1" applyFont="1" applyBorder="1"/>
    <xf numFmtId="10" fontId="26" fillId="0" borderId="28" xfId="10" applyNumberFormat="1" applyFont="1" applyBorder="1"/>
    <xf numFmtId="10" fontId="4" fillId="0" borderId="28" xfId="0" applyNumberFormat="1" applyFont="1" applyBorder="1"/>
    <xf numFmtId="0" fontId="8" fillId="0" borderId="28" xfId="0" applyFont="1" applyFill="1" applyBorder="1"/>
    <xf numFmtId="166" fontId="27" fillId="0" borderId="28" xfId="12" applyNumberFormat="1" applyFont="1" applyBorder="1" applyAlignment="1">
      <alignment horizontal="center" vertical="center"/>
    </xf>
    <xf numFmtId="166" fontId="26" fillId="0" borderId="28" xfId="12" applyNumberFormat="1" applyFont="1" applyBorder="1" applyAlignment="1">
      <alignment horizontal="center" vertical="center"/>
    </xf>
    <xf numFmtId="166" fontId="7" fillId="0" borderId="28" xfId="11" applyNumberFormat="1" applyFont="1" applyBorder="1" applyAlignment="1">
      <alignment horizontal="center"/>
    </xf>
    <xf numFmtId="166" fontId="26" fillId="0" borderId="28" xfId="12" applyNumberFormat="1" applyFont="1" applyBorder="1" applyAlignment="1">
      <alignment horizontal="center" wrapText="1"/>
    </xf>
    <xf numFmtId="41" fontId="4" fillId="0" borderId="28" xfId="11" applyNumberFormat="1" applyFont="1" applyBorder="1"/>
    <xf numFmtId="166" fontId="7" fillId="3" borderId="29" xfId="12" applyNumberFormat="1" applyFont="1" applyFill="1" applyBorder="1" applyAlignment="1">
      <alignment horizontal="left" vertical="center"/>
    </xf>
    <xf numFmtId="166" fontId="7" fillId="3" borderId="28" xfId="12" applyNumberFormat="1" applyFont="1" applyFill="1" applyBorder="1" applyAlignment="1">
      <alignment horizontal="left" vertical="center"/>
    </xf>
    <xf numFmtId="166" fontId="27" fillId="3" borderId="29" xfId="12" applyNumberFormat="1" applyFont="1" applyFill="1" applyBorder="1" applyAlignment="1">
      <alignment horizontal="left" vertical="center"/>
    </xf>
    <xf numFmtId="0" fontId="4" fillId="0" borderId="28" xfId="11" applyFont="1" applyBorder="1"/>
    <xf numFmtId="3" fontId="34" fillId="0" borderId="28" xfId="11" applyNumberFormat="1" applyFont="1" applyBorder="1"/>
    <xf numFmtId="43" fontId="4" fillId="0" borderId="28" xfId="11" applyNumberFormat="1" applyFont="1" applyBorder="1"/>
    <xf numFmtId="166" fontId="4" fillId="0" borderId="28" xfId="1" applyNumberFormat="1" applyFont="1" applyBorder="1" applyAlignment="1">
      <alignment horizontal="right" vertical="center"/>
    </xf>
    <xf numFmtId="166" fontId="4" fillId="0" borderId="28" xfId="1" applyNumberFormat="1" applyFont="1" applyBorder="1" applyAlignment="1">
      <alignment horizontal="left" vertical="center"/>
    </xf>
    <xf numFmtId="166" fontId="4" fillId="0" borderId="28" xfId="1" applyNumberFormat="1" applyFont="1" applyBorder="1" applyAlignment="1"/>
    <xf numFmtId="166" fontId="4" fillId="0" borderId="28" xfId="1" applyNumberFormat="1" applyFont="1" applyBorder="1" applyAlignment="1">
      <alignment horizontal="right"/>
    </xf>
    <xf numFmtId="166" fontId="34" fillId="0" borderId="28" xfId="1" applyNumberFormat="1" applyFont="1" applyBorder="1" applyAlignment="1">
      <alignment horizontal="right"/>
    </xf>
    <xf numFmtId="166" fontId="32" fillId="0" borderId="28" xfId="1" applyNumberFormat="1" applyFont="1" applyBorder="1" applyAlignment="1">
      <alignment horizontal="right"/>
    </xf>
    <xf numFmtId="0" fontId="5" fillId="0" borderId="28" xfId="0" applyFont="1" applyFill="1" applyBorder="1"/>
    <xf numFmtId="166" fontId="5" fillId="0" borderId="28" xfId="1" applyNumberFormat="1" applyFont="1" applyFill="1" applyBorder="1"/>
    <xf numFmtId="166" fontId="4" fillId="0" borderId="28" xfId="1" applyNumberFormat="1" applyFont="1" applyFill="1" applyBorder="1"/>
    <xf numFmtId="169" fontId="4" fillId="0" borderId="28" xfId="1" applyNumberFormat="1" applyFont="1" applyBorder="1"/>
    <xf numFmtId="166" fontId="35" fillId="0" borderId="28" xfId="0" applyNumberFormat="1" applyFont="1" applyBorder="1"/>
    <xf numFmtId="0" fontId="4" fillId="0" borderId="28" xfId="0" applyFont="1" applyBorder="1" applyAlignment="1"/>
    <xf numFmtId="3" fontId="7" fillId="0" borderId="28" xfId="0" applyNumberFormat="1" applyFont="1" applyBorder="1" applyAlignment="1">
      <alignment horizontal="right"/>
    </xf>
    <xf numFmtId="0" fontId="4" fillId="0" borderId="28" xfId="0" applyFont="1" applyBorder="1" applyAlignment="1">
      <alignment horizontal="right"/>
    </xf>
    <xf numFmtId="166" fontId="7" fillId="0" borderId="29" xfId="12" applyNumberFormat="1" applyFont="1" applyBorder="1" applyAlignment="1">
      <alignment horizontal="left" vertical="center"/>
    </xf>
    <xf numFmtId="166" fontId="34" fillId="0" borderId="28" xfId="12" applyNumberFormat="1" applyFont="1" applyBorder="1" applyAlignment="1">
      <alignment horizontal="left" vertical="center"/>
    </xf>
    <xf numFmtId="166" fontId="7" fillId="0" borderId="28" xfId="11" applyNumberFormat="1" applyFont="1" applyBorder="1"/>
    <xf numFmtId="0" fontId="4" fillId="0" borderId="28" xfId="0" applyFont="1" applyFill="1" applyBorder="1"/>
    <xf numFmtId="2" fontId="33" fillId="0" borderId="28" xfId="0" applyNumberFormat="1" applyFont="1" applyFill="1" applyBorder="1" applyAlignment="1">
      <alignment horizontal="center"/>
    </xf>
    <xf numFmtId="167" fontId="5" fillId="7" borderId="28" xfId="0" applyNumberFormat="1" applyFont="1" applyFill="1" applyBorder="1" applyAlignment="1">
      <alignment horizontal="center"/>
    </xf>
    <xf numFmtId="166" fontId="7" fillId="0" borderId="28" xfId="1" applyNumberFormat="1" applyFont="1" applyFill="1" applyBorder="1"/>
    <xf numFmtId="166" fontId="31" fillId="0" borderId="28" xfId="1" applyNumberFormat="1" applyFont="1" applyFill="1" applyBorder="1"/>
    <xf numFmtId="10" fontId="4" fillId="0" borderId="28" xfId="10" applyNumberFormat="1" applyFont="1" applyFill="1" applyBorder="1"/>
    <xf numFmtId="10" fontId="4" fillId="0" borderId="28" xfId="1" applyNumberFormat="1" applyFont="1" applyFill="1" applyBorder="1"/>
    <xf numFmtId="166" fontId="8" fillId="0" borderId="28" xfId="1" applyNumberFormat="1" applyFont="1" applyFill="1" applyBorder="1"/>
    <xf numFmtId="166" fontId="27" fillId="0" borderId="28" xfId="12" applyNumberFormat="1" applyFont="1" applyFill="1" applyBorder="1" applyAlignment="1">
      <alignment horizontal="left" vertical="center"/>
    </xf>
    <xf numFmtId="43" fontId="4" fillId="0" borderId="28" xfId="1" applyNumberFormat="1" applyFont="1" applyFill="1" applyBorder="1"/>
    <xf numFmtId="166" fontId="34" fillId="0" borderId="28" xfId="1" applyNumberFormat="1" applyFont="1" applyFill="1" applyBorder="1"/>
    <xf numFmtId="166" fontId="32" fillId="0" borderId="28" xfId="1" applyNumberFormat="1" applyFont="1" applyFill="1" applyBorder="1"/>
    <xf numFmtId="166" fontId="4" fillId="0" borderId="28" xfId="1" applyNumberFormat="1" applyFont="1" applyFill="1" applyBorder="1" applyAlignment="1"/>
    <xf numFmtId="166" fontId="34" fillId="0" borderId="28" xfId="0" applyNumberFormat="1" applyFont="1" applyFill="1" applyBorder="1"/>
    <xf numFmtId="166" fontId="32" fillId="0" borderId="28" xfId="0" applyNumberFormat="1" applyFont="1" applyFill="1" applyBorder="1"/>
    <xf numFmtId="166" fontId="7" fillId="0" borderId="29" xfId="1" applyNumberFormat="1" applyFont="1" applyFill="1" applyBorder="1"/>
    <xf numFmtId="166" fontId="34" fillId="0" borderId="28" xfId="1" applyNumberFormat="1" applyFont="1" applyFill="1" applyBorder="1" applyAlignment="1">
      <alignment horizontal="right"/>
    </xf>
    <xf numFmtId="0" fontId="12" fillId="0" borderId="0" xfId="0" applyFont="1" applyFill="1" applyBorder="1" applyAlignment="1">
      <alignment horizontal="center"/>
    </xf>
    <xf numFmtId="0" fontId="12" fillId="2" borderId="0" xfId="0" applyFont="1" applyFill="1" applyAlignment="1">
      <alignment horizontal="left"/>
    </xf>
    <xf numFmtId="0" fontId="12" fillId="2" borderId="0" xfId="0" applyFont="1" applyFill="1" applyAlignment="1">
      <alignment horizontal="center"/>
    </xf>
    <xf numFmtId="0" fontId="12" fillId="2" borderId="0" xfId="0" applyFont="1" applyFill="1" applyBorder="1" applyAlignment="1">
      <alignment horizontal="center"/>
    </xf>
    <xf numFmtId="0" fontId="12" fillId="7" borderId="0" xfId="0" applyFont="1" applyFill="1" applyBorder="1" applyAlignment="1">
      <alignment horizontal="center"/>
    </xf>
    <xf numFmtId="0" fontId="41" fillId="0" borderId="0" xfId="0" applyFont="1"/>
    <xf numFmtId="167" fontId="12" fillId="0" borderId="0" xfId="1" applyNumberFormat="1" applyFont="1" applyFill="1" applyBorder="1" applyAlignment="1">
      <alignment horizontal="center"/>
    </xf>
    <xf numFmtId="167" fontId="12" fillId="8" borderId="0" xfId="1" applyNumberFormat="1" applyFont="1" applyFill="1" applyBorder="1" applyAlignment="1">
      <alignment horizontal="center"/>
    </xf>
    <xf numFmtId="166" fontId="21" fillId="0" borderId="0" xfId="1" applyNumberFormat="1" applyFont="1" applyFill="1" applyAlignment="1">
      <alignment horizontal="right"/>
    </xf>
    <xf numFmtId="166" fontId="21" fillId="0" borderId="0" xfId="0" applyNumberFormat="1" applyFont="1" applyFill="1" applyAlignment="1">
      <alignment horizontal="center"/>
    </xf>
    <xf numFmtId="166" fontId="21" fillId="0" borderId="0" xfId="1" applyNumberFormat="1" applyFont="1" applyFill="1"/>
    <xf numFmtId="166" fontId="44" fillId="0" borderId="0" xfId="1" applyNumberFormat="1" applyFont="1" applyFill="1" applyAlignment="1">
      <alignment horizontal="right"/>
    </xf>
    <xf numFmtId="166" fontId="44" fillId="0" borderId="0" xfId="1" applyNumberFormat="1" applyFont="1" applyFill="1"/>
    <xf numFmtId="10" fontId="45" fillId="0" borderId="0" xfId="10" applyNumberFormat="1" applyFont="1" applyFill="1" applyAlignment="1">
      <alignment horizontal="right"/>
    </xf>
    <xf numFmtId="10" fontId="46" fillId="0" borderId="0" xfId="10" applyNumberFormat="1" applyFont="1" applyFill="1" applyAlignment="1">
      <alignment horizontal="right"/>
    </xf>
    <xf numFmtId="0" fontId="45" fillId="0" borderId="0" xfId="0" applyFont="1" applyFill="1" applyAlignment="1">
      <alignment horizontal="left" indent="2"/>
    </xf>
    <xf numFmtId="0" fontId="47" fillId="0" borderId="0" xfId="0" applyFont="1" applyFill="1" applyAlignment="1">
      <alignment horizontal="center"/>
    </xf>
    <xf numFmtId="166" fontId="46" fillId="0" borderId="0" xfId="1" applyNumberFormat="1" applyFont="1" applyFill="1" applyAlignment="1">
      <alignment horizontal="right"/>
    </xf>
    <xf numFmtId="0" fontId="46" fillId="0" borderId="0" xfId="0" applyFont="1" applyFill="1" applyBorder="1"/>
    <xf numFmtId="10" fontId="46" fillId="0" borderId="0" xfId="10" applyNumberFormat="1" applyFont="1" applyFill="1"/>
    <xf numFmtId="0" fontId="46" fillId="0" borderId="0" xfId="0" applyFont="1" applyFill="1"/>
    <xf numFmtId="10" fontId="46" fillId="0" borderId="26" xfId="10" applyNumberFormat="1" applyFont="1" applyFill="1" applyBorder="1"/>
    <xf numFmtId="10" fontId="46" fillId="0" borderId="0" xfId="10" applyNumberFormat="1" applyFont="1" applyFill="1" applyBorder="1"/>
    <xf numFmtId="10" fontId="46" fillId="0" borderId="22" xfId="10" applyNumberFormat="1" applyFont="1" applyFill="1" applyBorder="1"/>
    <xf numFmtId="10" fontId="46" fillId="0" borderId="0" xfId="10" applyNumberFormat="1" applyFont="1" applyFill="1" applyBorder="1" applyAlignment="1">
      <alignment horizontal="center"/>
    </xf>
    <xf numFmtId="10" fontId="45" fillId="0" borderId="0" xfId="10" applyNumberFormat="1" applyFont="1" applyFill="1"/>
    <xf numFmtId="10" fontId="45" fillId="0" borderId="26" xfId="10" applyNumberFormat="1" applyFont="1" applyFill="1" applyBorder="1"/>
    <xf numFmtId="10" fontId="45" fillId="0" borderId="22" xfId="10" applyNumberFormat="1" applyFont="1" applyFill="1" applyBorder="1"/>
    <xf numFmtId="0" fontId="45" fillId="0" borderId="0" xfId="0" applyFont="1" applyFill="1"/>
    <xf numFmtId="166" fontId="45" fillId="0" borderId="0" xfId="1" applyNumberFormat="1" applyFont="1" applyFill="1" applyAlignment="1">
      <alignment horizontal="right"/>
    </xf>
    <xf numFmtId="166" fontId="46" fillId="0" borderId="0" xfId="1" applyNumberFormat="1" applyFont="1" applyFill="1"/>
    <xf numFmtId="0" fontId="46" fillId="0" borderId="0" xfId="0" applyFont="1" applyFill="1" applyBorder="1" applyAlignment="1">
      <alignment horizontal="center"/>
    </xf>
    <xf numFmtId="10" fontId="21" fillId="0" borderId="0" xfId="10" applyNumberFormat="1" applyFont="1" applyFill="1" applyBorder="1" applyAlignment="1">
      <alignment horizontal="right" vertical="center"/>
    </xf>
    <xf numFmtId="10" fontId="21" fillId="0" borderId="0" xfId="0" applyNumberFormat="1" applyFont="1" applyFill="1" applyAlignment="1">
      <alignment horizontal="right"/>
    </xf>
    <xf numFmtId="10" fontId="21" fillId="0" borderId="0" xfId="0" applyNumberFormat="1" applyFont="1" applyFill="1"/>
    <xf numFmtId="43" fontId="21" fillId="0" borderId="0" xfId="1" applyFont="1" applyFill="1"/>
    <xf numFmtId="166" fontId="0" fillId="0" borderId="0" xfId="1" applyNumberFormat="1" applyFont="1" applyFill="1" applyBorder="1" applyAlignment="1">
      <alignment horizontal="right"/>
    </xf>
    <xf numFmtId="10" fontId="0" fillId="0" borderId="0" xfId="10" applyNumberFormat="1" applyFont="1" applyFill="1" applyBorder="1" applyAlignment="1">
      <alignment horizontal="right"/>
    </xf>
    <xf numFmtId="166" fontId="13" fillId="0" borderId="0" xfId="1" applyNumberFormat="1" applyFont="1" applyFill="1" applyBorder="1"/>
    <xf numFmtId="4" fontId="0" fillId="0" borderId="0" xfId="0" applyNumberFormat="1" applyFill="1" applyBorder="1"/>
    <xf numFmtId="176" fontId="0" fillId="0" borderId="0" xfId="10" applyNumberFormat="1" applyFont="1" applyFill="1" applyBorder="1"/>
    <xf numFmtId="15" fontId="0" fillId="0" borderId="0" xfId="0" applyNumberFormat="1" applyFont="1" applyFill="1"/>
    <xf numFmtId="4" fontId="0" fillId="0" borderId="0" xfId="0" applyNumberFormat="1" applyFont="1" applyFill="1"/>
    <xf numFmtId="0" fontId="0" fillId="0" borderId="9" xfId="0" applyFont="1" applyFill="1" applyBorder="1" applyAlignment="1">
      <alignment horizontal="center"/>
    </xf>
    <xf numFmtId="166" fontId="21" fillId="0" borderId="22" xfId="1" applyNumberFormat="1" applyFont="1" applyFill="1" applyBorder="1"/>
    <xf numFmtId="43" fontId="21" fillId="0" borderId="22" xfId="1" applyNumberFormat="1" applyFont="1" applyFill="1" applyBorder="1"/>
    <xf numFmtId="166" fontId="13" fillId="0" borderId="0" xfId="1" applyNumberFormat="1" applyFont="1" applyFill="1" applyBorder="1" applyAlignment="1">
      <alignment horizontal="right"/>
    </xf>
    <xf numFmtId="0" fontId="0" fillId="2" borderId="0" xfId="0" applyFont="1" applyFill="1" applyBorder="1"/>
    <xf numFmtId="0" fontId="12" fillId="2" borderId="0" xfId="0" applyFont="1" applyFill="1" applyBorder="1"/>
    <xf numFmtId="0" fontId="12" fillId="2" borderId="0" xfId="0" applyFont="1" applyFill="1"/>
    <xf numFmtId="0" fontId="15" fillId="2" borderId="0" xfId="0" applyFont="1" applyFill="1"/>
    <xf numFmtId="175" fontId="0" fillId="0" borderId="0" xfId="10" applyNumberFormat="1" applyFont="1" applyFill="1" applyBorder="1"/>
    <xf numFmtId="0" fontId="45" fillId="0" borderId="0" xfId="0" applyFont="1" applyFill="1" applyBorder="1" applyAlignment="1">
      <alignment horizontal="left" indent="2"/>
    </xf>
    <xf numFmtId="0" fontId="0" fillId="0" borderId="32" xfId="0" applyFont="1" applyFill="1" applyBorder="1"/>
    <xf numFmtId="166" fontId="0" fillId="0" borderId="32" xfId="1" applyNumberFormat="1" applyFont="1" applyFill="1" applyBorder="1" applyAlignment="1">
      <alignment horizontal="right"/>
    </xf>
    <xf numFmtId="10" fontId="0" fillId="0" borderId="32" xfId="10" applyNumberFormat="1" applyFont="1" applyFill="1" applyBorder="1" applyAlignment="1">
      <alignment horizontal="right"/>
    </xf>
    <xf numFmtId="166" fontId="13" fillId="0" borderId="32" xfId="1" applyNumberFormat="1" applyFont="1" applyFill="1" applyBorder="1" applyAlignment="1">
      <alignment horizontal="right"/>
    </xf>
    <xf numFmtId="166" fontId="13" fillId="0" borderId="32" xfId="1" applyNumberFormat="1" applyFont="1" applyFill="1" applyBorder="1"/>
    <xf numFmtId="0" fontId="15" fillId="0" borderId="32" xfId="0" applyFont="1" applyFill="1" applyBorder="1"/>
    <xf numFmtId="166" fontId="0" fillId="0" borderId="32" xfId="1" applyNumberFormat="1" applyFont="1" applyFill="1" applyBorder="1"/>
    <xf numFmtId="166" fontId="0" fillId="0" borderId="33" xfId="1" applyNumberFormat="1" applyFont="1" applyFill="1" applyBorder="1"/>
    <xf numFmtId="166" fontId="0" fillId="0" borderId="31" xfId="1" applyNumberFormat="1" applyFont="1" applyFill="1" applyBorder="1"/>
    <xf numFmtId="166" fontId="13" fillId="0" borderId="31" xfId="1" applyNumberFormat="1" applyFont="1" applyFill="1" applyBorder="1"/>
    <xf numFmtId="167" fontId="12" fillId="8" borderId="26" xfId="1" applyNumberFormat="1" applyFont="1" applyFill="1" applyBorder="1" applyAlignment="1">
      <alignment horizontal="center"/>
    </xf>
    <xf numFmtId="167" fontId="12" fillId="0" borderId="26" xfId="1" applyNumberFormat="1" applyFont="1" applyFill="1" applyBorder="1" applyAlignment="1">
      <alignment horizontal="center"/>
    </xf>
    <xf numFmtId="0" fontId="0" fillId="0" borderId="26" xfId="0" applyFont="1" applyFill="1" applyBorder="1"/>
    <xf numFmtId="0" fontId="0" fillId="0" borderId="32" xfId="0" applyFont="1" applyFill="1" applyBorder="1" applyAlignment="1">
      <alignment vertical="center"/>
    </xf>
    <xf numFmtId="10" fontId="0" fillId="0" borderId="32" xfId="10" applyNumberFormat="1" applyFont="1" applyFill="1" applyBorder="1" applyAlignment="1">
      <alignment horizontal="right" vertical="center"/>
    </xf>
    <xf numFmtId="10" fontId="13" fillId="0" borderId="32" xfId="10" applyNumberFormat="1" applyFont="1" applyFill="1" applyBorder="1" applyAlignment="1">
      <alignment horizontal="right" vertical="center"/>
    </xf>
    <xf numFmtId="166" fontId="21" fillId="0" borderId="32" xfId="1" applyNumberFormat="1" applyFont="1" applyFill="1" applyBorder="1"/>
    <xf numFmtId="0" fontId="14" fillId="0" borderId="32" xfId="0" applyFont="1" applyFill="1" applyBorder="1" applyAlignment="1">
      <alignment horizontal="center"/>
    </xf>
    <xf numFmtId="10" fontId="21" fillId="0" borderId="32" xfId="10" applyNumberFormat="1" applyFont="1" applyFill="1" applyBorder="1" applyAlignment="1">
      <alignment horizontal="right"/>
    </xf>
    <xf numFmtId="10" fontId="0" fillId="0" borderId="32" xfId="10" applyNumberFormat="1" applyFont="1" applyFill="1" applyBorder="1"/>
    <xf numFmtId="10" fontId="0" fillId="0" borderId="33" xfId="10" applyNumberFormat="1" applyFont="1" applyFill="1" applyBorder="1"/>
    <xf numFmtId="10" fontId="0" fillId="0" borderId="31" xfId="10" applyNumberFormat="1" applyFont="1" applyFill="1" applyBorder="1"/>
    <xf numFmtId="10" fontId="21" fillId="0" borderId="32" xfId="10" applyNumberFormat="1" applyFont="1" applyFill="1" applyBorder="1"/>
    <xf numFmtId="10" fontId="13" fillId="0" borderId="32" xfId="10" applyNumberFormat="1" applyFont="1" applyFill="1" applyBorder="1"/>
    <xf numFmtId="10" fontId="21" fillId="0" borderId="31" xfId="10" applyNumberFormat="1" applyFont="1" applyFill="1" applyBorder="1"/>
    <xf numFmtId="175" fontId="0" fillId="0" borderId="32" xfId="10" applyNumberFormat="1" applyFont="1" applyFill="1" applyBorder="1"/>
    <xf numFmtId="0" fontId="0" fillId="0" borderId="33" xfId="0" applyFont="1" applyFill="1" applyBorder="1"/>
    <xf numFmtId="43" fontId="0" fillId="0" borderId="32" xfId="1" applyNumberFormat="1" applyFont="1" applyFill="1" applyBorder="1"/>
    <xf numFmtId="43" fontId="0" fillId="0" borderId="33" xfId="1" applyNumberFormat="1" applyFont="1" applyFill="1" applyBorder="1"/>
    <xf numFmtId="43" fontId="0" fillId="0" borderId="31" xfId="1" applyNumberFormat="1" applyFont="1" applyFill="1" applyBorder="1"/>
    <xf numFmtId="43" fontId="21" fillId="0" borderId="31" xfId="1" applyNumberFormat="1" applyFont="1" applyFill="1" applyBorder="1"/>
    <xf numFmtId="0" fontId="14" fillId="0" borderId="0" xfId="0" applyFont="1" applyFill="1" applyBorder="1"/>
    <xf numFmtId="0" fontId="38" fillId="0" borderId="0" xfId="0" applyFont="1" applyFill="1" applyBorder="1" applyAlignment="1">
      <alignment horizontal="center"/>
    </xf>
    <xf numFmtId="167" fontId="12" fillId="8" borderId="22" xfId="1" applyNumberFormat="1" applyFont="1" applyFill="1" applyBorder="1" applyAlignment="1">
      <alignment horizontal="center"/>
    </xf>
    <xf numFmtId="167" fontId="12" fillId="0" borderId="22" xfId="1" applyNumberFormat="1" applyFont="1" applyFill="1" applyBorder="1" applyAlignment="1">
      <alignment horizontal="center"/>
    </xf>
    <xf numFmtId="0" fontId="0" fillId="0" borderId="31" xfId="0" applyFont="1" applyFill="1" applyBorder="1"/>
    <xf numFmtId="0" fontId="0" fillId="0" borderId="22" xfId="0" applyFont="1" applyFill="1" applyBorder="1"/>
    <xf numFmtId="167" fontId="12" fillId="7" borderId="22" xfId="1" applyNumberFormat="1" applyFont="1" applyFill="1" applyBorder="1" applyAlignment="1">
      <alignment horizontal="center"/>
    </xf>
    <xf numFmtId="166" fontId="13" fillId="0" borderId="22" xfId="1" applyNumberFormat="1" applyFont="1" applyFill="1" applyBorder="1"/>
    <xf numFmtId="166" fontId="21" fillId="0" borderId="31" xfId="1" applyNumberFormat="1" applyFont="1" applyFill="1" applyBorder="1"/>
    <xf numFmtId="10" fontId="45" fillId="0" borderId="0" xfId="10" applyNumberFormat="1" applyFont="1" applyFill="1" applyAlignment="1"/>
    <xf numFmtId="10" fontId="45" fillId="0" borderId="26" xfId="10" applyNumberFormat="1" applyFont="1" applyFill="1" applyBorder="1" applyAlignment="1"/>
    <xf numFmtId="10" fontId="45" fillId="0" borderId="22" xfId="10" applyNumberFormat="1" applyFont="1" applyFill="1" applyBorder="1" applyAlignment="1"/>
    <xf numFmtId="10" fontId="46" fillId="0" borderId="0" xfId="10" applyNumberFormat="1" applyFont="1" applyFill="1" applyAlignment="1"/>
    <xf numFmtId="10" fontId="45" fillId="0" borderId="26" xfId="10" applyNumberFormat="1" applyFont="1" applyFill="1" applyBorder="1" applyAlignment="1">
      <alignment horizontal="right"/>
    </xf>
    <xf numFmtId="10" fontId="45" fillId="0" borderId="22" xfId="10" applyNumberFormat="1" applyFont="1" applyFill="1" applyBorder="1" applyAlignment="1">
      <alignment horizontal="right"/>
    </xf>
    <xf numFmtId="9" fontId="4" fillId="0" borderId="0" xfId="10" applyFont="1" applyAlignment="1">
      <alignment horizontal="center"/>
    </xf>
    <xf numFmtId="9" fontId="4" fillId="0" borderId="28" xfId="10" applyFont="1" applyBorder="1" applyAlignment="1">
      <alignment horizontal="center"/>
    </xf>
    <xf numFmtId="43" fontId="4" fillId="0" borderId="0" xfId="1" applyNumberFormat="1" applyFont="1"/>
    <xf numFmtId="43" fontId="4" fillId="0" borderId="0" xfId="1" applyFont="1" applyFill="1"/>
    <xf numFmtId="43" fontId="4" fillId="0" borderId="0" xfId="1" applyFont="1" applyFill="1" applyBorder="1"/>
    <xf numFmtId="43" fontId="4" fillId="0" borderId="28" xfId="1" applyFont="1" applyFill="1" applyBorder="1"/>
    <xf numFmtId="166" fontId="27" fillId="0" borderId="28" xfId="1" applyNumberFormat="1" applyFont="1" applyFill="1" applyBorder="1" applyAlignment="1">
      <alignment horizontal="center"/>
    </xf>
    <xf numFmtId="0" fontId="21" fillId="0" borderId="0" xfId="0" applyFont="1" applyFill="1"/>
    <xf numFmtId="166" fontId="4" fillId="0" borderId="0" xfId="1" applyNumberFormat="1" applyFont="1" applyFill="1" applyBorder="1"/>
    <xf numFmtId="14" fontId="0" fillId="0" borderId="9" xfId="0" applyNumberFormat="1" applyFont="1" applyFill="1" applyBorder="1"/>
    <xf numFmtId="10" fontId="0" fillId="0" borderId="9" xfId="10" applyNumberFormat="1" applyFont="1" applyFill="1" applyBorder="1"/>
    <xf numFmtId="14" fontId="48" fillId="0" borderId="9" xfId="0" applyNumberFormat="1" applyFont="1" applyFill="1" applyBorder="1"/>
    <xf numFmtId="10" fontId="14" fillId="0" borderId="9" xfId="0" applyNumberFormat="1" applyFont="1" applyFill="1" applyBorder="1"/>
    <xf numFmtId="0" fontId="14" fillId="0" borderId="9" xfId="0" applyFont="1" applyFill="1" applyBorder="1" applyAlignment="1">
      <alignment horizontal="center"/>
    </xf>
    <xf numFmtId="43" fontId="4" fillId="0" borderId="0" xfId="1" applyNumberFormat="1" applyFont="1" applyBorder="1" applyAlignment="1">
      <alignment horizontal="center"/>
    </xf>
    <xf numFmtId="43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43" fontId="40" fillId="0" borderId="0" xfId="0" applyNumberFormat="1" applyFont="1" applyBorder="1" applyAlignment="1">
      <alignment horizontal="center"/>
    </xf>
    <xf numFmtId="43" fontId="4" fillId="0" borderId="0" xfId="0" applyNumberFormat="1" applyFont="1" applyBorder="1"/>
    <xf numFmtId="2" fontId="4" fillId="0" borderId="0" xfId="0" applyNumberFormat="1" applyFont="1" applyBorder="1"/>
    <xf numFmtId="43" fontId="40" fillId="0" borderId="0" xfId="0" applyNumberFormat="1" applyFont="1" applyBorder="1" applyAlignment="1">
      <alignment horizontal="right"/>
    </xf>
    <xf numFmtId="2" fontId="4" fillId="0" borderId="0" xfId="0" applyNumberFormat="1" applyFont="1" applyAlignment="1">
      <alignment horizontal="center"/>
    </xf>
    <xf numFmtId="2" fontId="4" fillId="0" borderId="0" xfId="1" applyNumberFormat="1" applyFont="1" applyAlignment="1">
      <alignment horizontal="center"/>
    </xf>
    <xf numFmtId="3" fontId="4" fillId="0" borderId="0" xfId="1" applyNumberFormat="1" applyFont="1" applyAlignment="1">
      <alignment horizontal="center"/>
    </xf>
    <xf numFmtId="177" fontId="49" fillId="0" borderId="0" xfId="15" applyNumberFormat="1" applyFont="1"/>
    <xf numFmtId="0" fontId="49" fillId="0" borderId="0" xfId="0" applyFont="1"/>
    <xf numFmtId="0" fontId="49" fillId="0" borderId="22" xfId="0" applyFont="1" applyBorder="1"/>
    <xf numFmtId="9" fontId="49" fillId="0" borderId="0" xfId="10" applyFont="1"/>
    <xf numFmtId="0" fontId="48" fillId="0" borderId="0" xfId="0" applyFont="1"/>
    <xf numFmtId="0" fontId="48" fillId="0" borderId="0" xfId="0" applyFont="1" applyAlignment="1">
      <alignment horizontal="center"/>
    </xf>
    <xf numFmtId="0" fontId="41" fillId="0" borderId="0" xfId="0" applyFont="1" applyBorder="1"/>
    <xf numFmtId="0" fontId="7" fillId="0" borderId="0" xfId="0" applyFont="1" applyBorder="1"/>
    <xf numFmtId="43" fontId="49" fillId="0" borderId="0" xfId="1" applyFont="1"/>
    <xf numFmtId="43" fontId="49" fillId="0" borderId="22" xfId="1" applyFont="1" applyBorder="1"/>
    <xf numFmtId="43" fontId="41" fillId="0" borderId="0" xfId="0" applyNumberFormat="1" applyFont="1" applyBorder="1" applyAlignment="1">
      <alignment horizontal="right"/>
    </xf>
    <xf numFmtId="10" fontId="21" fillId="0" borderId="0" xfId="10" applyNumberFormat="1" applyFont="1" applyFill="1" applyBorder="1"/>
    <xf numFmtId="0" fontId="7" fillId="0" borderId="0" xfId="0" applyFont="1" applyBorder="1" applyAlignment="1">
      <alignment horizontal="center"/>
    </xf>
    <xf numFmtId="2" fontId="4" fillId="0" borderId="0" xfId="0" applyNumberFormat="1" applyFont="1" applyBorder="1" applyAlignment="1">
      <alignment horizontal="center"/>
    </xf>
    <xf numFmtId="9" fontId="4" fillId="0" borderId="0" xfId="0" applyNumberFormat="1" applyFont="1" applyBorder="1" applyAlignment="1">
      <alignment horizontal="center"/>
    </xf>
    <xf numFmtId="2" fontId="4" fillId="0" borderId="0" xfId="0" applyNumberFormat="1" applyFont="1" applyFill="1" applyAlignment="1">
      <alignment horizontal="center"/>
    </xf>
    <xf numFmtId="168" fontId="50" fillId="0" borderId="0" xfId="0" applyNumberFormat="1" applyFont="1" applyAlignment="1">
      <alignment horizontal="center"/>
    </xf>
    <xf numFmtId="43" fontId="4" fillId="0" borderId="0" xfId="0" applyNumberFormat="1" applyFont="1" applyBorder="1" applyAlignment="1">
      <alignment horizontal="right"/>
    </xf>
    <xf numFmtId="43" fontId="50" fillId="0" borderId="0" xfId="0" applyNumberFormat="1" applyFont="1" applyBorder="1" applyAlignment="1">
      <alignment horizontal="right"/>
    </xf>
    <xf numFmtId="10" fontId="4" fillId="0" borderId="0" xfId="0" applyNumberFormat="1" applyFont="1" applyBorder="1" applyAlignment="1">
      <alignment horizontal="right"/>
    </xf>
    <xf numFmtId="0" fontId="4" fillId="0" borderId="34" xfId="0" applyFont="1" applyBorder="1"/>
    <xf numFmtId="43" fontId="4" fillId="0" borderId="0" xfId="0" applyNumberFormat="1" applyFont="1" applyBorder="1" applyAlignment="1">
      <alignment horizontal="left"/>
    </xf>
    <xf numFmtId="43" fontId="50" fillId="0" borderId="0" xfId="0" applyNumberFormat="1" applyFont="1" applyBorder="1" applyAlignment="1">
      <alignment horizontal="center"/>
    </xf>
    <xf numFmtId="43" fontId="4" fillId="0" borderId="0" xfId="1" applyNumberFormat="1" applyFont="1" applyBorder="1" applyAlignment="1">
      <alignment horizontal="left"/>
    </xf>
    <xf numFmtId="43" fontId="7" fillId="0" borderId="0" xfId="0" applyNumberFormat="1" applyFont="1" applyBorder="1" applyAlignment="1">
      <alignment horizontal="left"/>
    </xf>
    <xf numFmtId="0" fontId="39" fillId="0" borderId="0" xfId="0" applyFont="1" applyBorder="1"/>
    <xf numFmtId="2" fontId="4" fillId="0" borderId="0" xfId="1" applyNumberFormat="1" applyFont="1" applyBorder="1" applyAlignment="1">
      <alignment horizontal="center"/>
    </xf>
    <xf numFmtId="3" fontId="4" fillId="0" borderId="0" xfId="1" applyNumberFormat="1" applyFont="1" applyBorder="1" applyAlignment="1">
      <alignment horizontal="center"/>
    </xf>
    <xf numFmtId="9" fontId="4" fillId="0" borderId="0" xfId="10" applyFont="1" applyBorder="1" applyAlignment="1">
      <alignment horizontal="center"/>
    </xf>
    <xf numFmtId="3" fontId="4" fillId="0" borderId="0" xfId="0" applyNumberFormat="1" applyFont="1" applyBorder="1" applyAlignment="1">
      <alignment horizontal="center"/>
    </xf>
    <xf numFmtId="2" fontId="7" fillId="0" borderId="0" xfId="0" applyNumberFormat="1" applyFont="1" applyBorder="1" applyAlignment="1">
      <alignment horizontal="center"/>
    </xf>
    <xf numFmtId="175" fontId="7" fillId="0" borderId="0" xfId="0" applyNumberFormat="1" applyFont="1" applyFill="1" applyBorder="1" applyAlignment="1">
      <alignment horizontal="center"/>
    </xf>
    <xf numFmtId="175" fontId="7" fillId="3" borderId="12" xfId="0" applyNumberFormat="1" applyFont="1" applyFill="1" applyBorder="1" applyAlignment="1">
      <alignment horizontal="center"/>
    </xf>
    <xf numFmtId="175" fontId="7" fillId="0" borderId="0" xfId="0" applyNumberFormat="1" applyFont="1" applyBorder="1" applyAlignment="1">
      <alignment horizontal="center"/>
    </xf>
    <xf numFmtId="0" fontId="7" fillId="3" borderId="14" xfId="0" applyFont="1" applyFill="1" applyBorder="1" applyAlignment="1">
      <alignment horizontal="center"/>
    </xf>
    <xf numFmtId="0" fontId="7" fillId="3" borderId="0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0" fontId="7" fillId="0" borderId="14" xfId="1" applyNumberFormat="1" applyFont="1" applyBorder="1" applyAlignment="1">
      <alignment horizontal="center"/>
    </xf>
    <xf numFmtId="0" fontId="7" fillId="0" borderId="0" xfId="1" applyNumberFormat="1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7" fillId="2" borderId="0" xfId="0" applyFont="1" applyFill="1"/>
    <xf numFmtId="0" fontId="5" fillId="2" borderId="9" xfId="0" applyFont="1" applyFill="1" applyBorder="1" applyAlignment="1">
      <alignment horizontal="center"/>
    </xf>
    <xf numFmtId="2" fontId="50" fillId="0" borderId="0" xfId="0" applyNumberFormat="1" applyFont="1" applyAlignment="1">
      <alignment horizontal="center"/>
    </xf>
    <xf numFmtId="10" fontId="20" fillId="0" borderId="0" xfId="10" applyNumberFormat="1" applyFont="1"/>
    <xf numFmtId="10" fontId="20" fillId="3" borderId="0" xfId="10" applyNumberFormat="1" applyFont="1" applyFill="1"/>
    <xf numFmtId="10" fontId="6" fillId="0" borderId="0" xfId="10" applyNumberFormat="1" applyFont="1"/>
    <xf numFmtId="9" fontId="20" fillId="0" borderId="0" xfId="10" applyFont="1"/>
    <xf numFmtId="166" fontId="28" fillId="0" borderId="0" xfId="1" applyNumberFormat="1" applyFont="1"/>
    <xf numFmtId="166" fontId="6" fillId="0" borderId="0" xfId="1" applyNumberFormat="1" applyFont="1"/>
    <xf numFmtId="0" fontId="4" fillId="0" borderId="0" xfId="0" applyFont="1" applyFill="1" applyAlignment="1">
      <alignment horizontal="right" vertical="center"/>
    </xf>
    <xf numFmtId="178" fontId="4" fillId="0" borderId="0" xfId="1" applyNumberFormat="1" applyFont="1" applyFill="1" applyAlignment="1">
      <alignment horizontal="right" vertical="center"/>
    </xf>
    <xf numFmtId="178" fontId="4" fillId="0" borderId="0" xfId="0" applyNumberFormat="1" applyFont="1" applyAlignment="1">
      <alignment horizontal="right" vertical="center"/>
    </xf>
    <xf numFmtId="9" fontId="4" fillId="0" borderId="0" xfId="10" applyFont="1" applyAlignment="1">
      <alignment vertical="center"/>
    </xf>
    <xf numFmtId="9" fontId="4" fillId="0" borderId="0" xfId="10" applyNumberFormat="1" applyFont="1" applyAlignment="1">
      <alignment vertical="center"/>
    </xf>
    <xf numFmtId="41" fontId="4" fillId="0" borderId="0" xfId="1" applyNumberFormat="1" applyFont="1" applyAlignment="1">
      <alignment horizontal="right" vertical="center"/>
    </xf>
    <xf numFmtId="1" fontId="4" fillId="0" borderId="0" xfId="1" applyNumberFormat="1" applyFont="1" applyAlignment="1">
      <alignment horizontal="right" vertical="center"/>
    </xf>
    <xf numFmtId="9" fontId="4" fillId="0" borderId="0" xfId="0" applyNumberFormat="1" applyFont="1" applyAlignment="1">
      <alignment vertical="center"/>
    </xf>
    <xf numFmtId="0" fontId="4" fillId="0" borderId="0" xfId="0" applyFont="1" applyBorder="1" applyAlignment="1">
      <alignment horizontal="right"/>
    </xf>
    <xf numFmtId="178" fontId="4" fillId="0" borderId="0" xfId="0" applyNumberFormat="1" applyFont="1" applyBorder="1" applyAlignment="1">
      <alignment horizontal="right"/>
    </xf>
    <xf numFmtId="9" fontId="4" fillId="0" borderId="0" xfId="0" applyNumberFormat="1" applyFont="1" applyBorder="1" applyAlignment="1">
      <alignment horizontal="right"/>
    </xf>
    <xf numFmtId="41" fontId="4" fillId="0" borderId="0" xfId="0" applyNumberFormat="1" applyFont="1" applyBorder="1" applyAlignment="1">
      <alignment horizontal="right"/>
    </xf>
    <xf numFmtId="1" fontId="4" fillId="0" borderId="0" xfId="0" applyNumberFormat="1" applyFont="1" applyBorder="1" applyAlignment="1">
      <alignment horizontal="right"/>
    </xf>
    <xf numFmtId="0" fontId="5" fillId="11" borderId="0" xfId="0" applyFont="1" applyFill="1" applyAlignment="1">
      <alignment horizontal="center"/>
    </xf>
    <xf numFmtId="0" fontId="4" fillId="0" borderId="0" xfId="0" applyFont="1" applyFill="1" applyAlignment="1">
      <alignment horizontal="left"/>
    </xf>
    <xf numFmtId="178" fontId="7" fillId="0" borderId="0" xfId="0" applyNumberFormat="1" applyFont="1" applyBorder="1" applyAlignment="1">
      <alignment horizontal="right"/>
    </xf>
    <xf numFmtId="10" fontId="18" fillId="0" borderId="0" xfId="10" applyNumberFormat="1" applyFont="1" applyFill="1" applyBorder="1"/>
    <xf numFmtId="43" fontId="5" fillId="12" borderId="0" xfId="1" applyFont="1" applyFill="1" applyBorder="1"/>
    <xf numFmtId="43" fontId="5" fillId="12" borderId="0" xfId="1" applyFont="1" applyFill="1" applyBorder="1" applyAlignment="1">
      <alignment horizontal="center"/>
    </xf>
    <xf numFmtId="43" fontId="7" fillId="10" borderId="0" xfId="1" applyFont="1" applyFill="1" applyBorder="1"/>
    <xf numFmtId="43" fontId="4" fillId="10" borderId="0" xfId="1" applyFont="1" applyFill="1" applyBorder="1"/>
    <xf numFmtId="10" fontId="4" fillId="0" borderId="0" xfId="10" applyNumberFormat="1" applyFont="1" applyBorder="1" applyAlignment="1">
      <alignment horizontal="center"/>
    </xf>
    <xf numFmtId="10" fontId="4" fillId="10" borderId="0" xfId="10" applyNumberFormat="1" applyFont="1" applyFill="1" applyBorder="1" applyAlignment="1">
      <alignment horizontal="center"/>
    </xf>
    <xf numFmtId="166" fontId="0" fillId="0" borderId="0" xfId="1" applyNumberFormat="1" applyFont="1"/>
    <xf numFmtId="10" fontId="0" fillId="0" borderId="0" xfId="10" applyNumberFormat="1" applyFont="1"/>
    <xf numFmtId="0" fontId="0" fillId="0" borderId="0" xfId="0" applyAlignment="1">
      <alignment horizontal="center"/>
    </xf>
    <xf numFmtId="166" fontId="0" fillId="0" borderId="0" xfId="1" applyNumberFormat="1" applyFont="1" applyAlignment="1">
      <alignment horizontal="center"/>
    </xf>
    <xf numFmtId="9" fontId="0" fillId="0" borderId="0" xfId="0" applyNumberFormat="1"/>
    <xf numFmtId="43" fontId="0" fillId="0" borderId="0" xfId="1" applyFont="1"/>
    <xf numFmtId="0" fontId="14" fillId="0" borderId="0" xfId="0" applyFont="1" applyAlignment="1">
      <alignment horizontal="center"/>
    </xf>
    <xf numFmtId="2" fontId="0" fillId="0" borderId="0" xfId="0" applyNumberFormat="1"/>
    <xf numFmtId="168" fontId="0" fillId="0" borderId="0" xfId="0" applyNumberFormat="1"/>
    <xf numFmtId="43" fontId="52" fillId="12" borderId="17" xfId="1" applyFont="1" applyFill="1" applyBorder="1"/>
    <xf numFmtId="43" fontId="51" fillId="12" borderId="14" xfId="1" applyFont="1" applyFill="1" applyBorder="1"/>
    <xf numFmtId="43" fontId="51" fillId="12" borderId="16" xfId="1" applyFont="1" applyFill="1" applyBorder="1"/>
    <xf numFmtId="0" fontId="0" fillId="0" borderId="17" xfId="0" applyBorder="1"/>
    <xf numFmtId="43" fontId="19" fillId="13" borderId="21" xfId="1" applyFont="1" applyFill="1" applyBorder="1"/>
    <xf numFmtId="43" fontId="19" fillId="13" borderId="0" xfId="1" applyFont="1" applyFill="1" applyBorder="1"/>
    <xf numFmtId="43" fontId="19" fillId="13" borderId="23" xfId="1" applyFont="1" applyFill="1" applyBorder="1"/>
    <xf numFmtId="0" fontId="0" fillId="0" borderId="21" xfId="0" applyBorder="1"/>
    <xf numFmtId="9" fontId="18" fillId="0" borderId="23" xfId="10" applyFont="1" applyBorder="1"/>
    <xf numFmtId="43" fontId="19" fillId="10" borderId="9" xfId="1" applyFont="1" applyFill="1" applyBorder="1"/>
    <xf numFmtId="43" fontId="18" fillId="10" borderId="9" xfId="1" applyFont="1" applyFill="1" applyBorder="1"/>
    <xf numFmtId="43" fontId="18" fillId="0" borderId="9" xfId="1" applyFont="1" applyBorder="1"/>
    <xf numFmtId="9" fontId="18" fillId="0" borderId="9" xfId="10" applyFont="1" applyBorder="1"/>
    <xf numFmtId="175" fontId="18" fillId="0" borderId="9" xfId="10" applyNumberFormat="1" applyFont="1" applyBorder="1"/>
    <xf numFmtId="9" fontId="18" fillId="10" borderId="9" xfId="10" applyFont="1" applyFill="1" applyBorder="1"/>
    <xf numFmtId="0" fontId="0" fillId="0" borderId="20" xfId="0" applyBorder="1"/>
    <xf numFmtId="9" fontId="18" fillId="0" borderId="19" xfId="10" applyFont="1" applyBorder="1"/>
    <xf numFmtId="0" fontId="14" fillId="0" borderId="16" xfId="0" applyFont="1" applyBorder="1"/>
    <xf numFmtId="175" fontId="18" fillId="0" borderId="23" xfId="10" applyNumberFormat="1" applyFont="1" applyBorder="1"/>
    <xf numFmtId="9" fontId="18" fillId="0" borderId="9" xfId="10" applyNumberFormat="1" applyFont="1" applyBorder="1"/>
    <xf numFmtId="175" fontId="18" fillId="0" borderId="19" xfId="10" applyNumberFormat="1" applyFont="1" applyBorder="1"/>
    <xf numFmtId="0" fontId="14" fillId="0" borderId="14" xfId="0" applyFont="1" applyBorder="1" applyAlignment="1">
      <alignment horizontal="center"/>
    </xf>
    <xf numFmtId="0" fontId="14" fillId="0" borderId="14" xfId="0" applyFont="1" applyBorder="1"/>
    <xf numFmtId="0" fontId="0" fillId="0" borderId="16" xfId="0" applyBorder="1"/>
    <xf numFmtId="2" fontId="0" fillId="0" borderId="0" xfId="0" applyNumberFormat="1" applyBorder="1"/>
    <xf numFmtId="0" fontId="0" fillId="0" borderId="0" xfId="0" applyBorder="1"/>
    <xf numFmtId="175" fontId="0" fillId="0" borderId="0" xfId="10" applyNumberFormat="1" applyFont="1" applyBorder="1"/>
    <xf numFmtId="0" fontId="0" fillId="0" borderId="23" xfId="0" applyBorder="1"/>
    <xf numFmtId="2" fontId="0" fillId="0" borderId="12" xfId="0" applyNumberFormat="1" applyBorder="1"/>
    <xf numFmtId="0" fontId="0" fillId="0" borderId="12" xfId="0" applyBorder="1"/>
    <xf numFmtId="175" fontId="0" fillId="0" borderId="12" xfId="10" applyNumberFormat="1" applyFont="1" applyBorder="1"/>
    <xf numFmtId="0" fontId="0" fillId="0" borderId="19" xfId="0" applyBorder="1"/>
    <xf numFmtId="9" fontId="0" fillId="0" borderId="0" xfId="10" applyFont="1" applyBorder="1"/>
    <xf numFmtId="9" fontId="0" fillId="0" borderId="12" xfId="10" applyFont="1" applyBorder="1"/>
    <xf numFmtId="0" fontId="14" fillId="0" borderId="16" xfId="0" applyFont="1" applyBorder="1" applyAlignment="1">
      <alignment horizontal="center"/>
    </xf>
    <xf numFmtId="9" fontId="0" fillId="0" borderId="23" xfId="10" applyFont="1" applyBorder="1"/>
    <xf numFmtId="9" fontId="0" fillId="0" borderId="19" xfId="10" applyFont="1" applyBorder="1"/>
    <xf numFmtId="9" fontId="53" fillId="0" borderId="0" xfId="10" applyFont="1" applyBorder="1"/>
    <xf numFmtId="10" fontId="0" fillId="0" borderId="0" xfId="0" applyNumberFormat="1" applyBorder="1"/>
    <xf numFmtId="175" fontId="0" fillId="0" borderId="23" xfId="10" applyNumberFormat="1" applyFont="1" applyBorder="1"/>
    <xf numFmtId="9" fontId="53" fillId="0" borderId="0" xfId="10" applyNumberFormat="1" applyFont="1" applyBorder="1"/>
    <xf numFmtId="10" fontId="0" fillId="0" borderId="0" xfId="1" applyNumberFormat="1" applyFont="1" applyBorder="1"/>
    <xf numFmtId="9" fontId="53" fillId="0" borderId="12" xfId="10" applyFont="1" applyBorder="1"/>
    <xf numFmtId="10" fontId="0" fillId="0" borderId="12" xfId="0" applyNumberFormat="1" applyBorder="1"/>
    <xf numFmtId="175" fontId="0" fillId="0" borderId="19" xfId="10" applyNumberFormat="1" applyFont="1" applyBorder="1"/>
    <xf numFmtId="0" fontId="4" fillId="0" borderId="24" xfId="0" applyFont="1" applyBorder="1" applyAlignment="1">
      <alignment horizontal="center"/>
    </xf>
    <xf numFmtId="2" fontId="4" fillId="0" borderId="24" xfId="0" applyNumberFormat="1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2" fontId="4" fillId="0" borderId="15" xfId="0" applyNumberFormat="1" applyFont="1" applyBorder="1" applyAlignment="1">
      <alignment horizontal="center"/>
    </xf>
    <xf numFmtId="0" fontId="19" fillId="10" borderId="0" xfId="0" applyFont="1" applyFill="1" applyBorder="1"/>
    <xf numFmtId="10" fontId="19" fillId="10" borderId="0" xfId="1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14" fillId="0" borderId="0" xfId="0" applyFont="1"/>
    <xf numFmtId="166" fontId="7" fillId="0" borderId="0" xfId="0" applyNumberFormat="1" applyFont="1" applyFill="1"/>
    <xf numFmtId="0" fontId="54" fillId="0" borderId="0" xfId="0" applyFont="1" applyAlignment="1">
      <alignment horizontal="left" vertical="center" indent="3"/>
    </xf>
    <xf numFmtId="0" fontId="58" fillId="0" borderId="0" xfId="0" applyFont="1"/>
    <xf numFmtId="9" fontId="4" fillId="0" borderId="0" xfId="0" applyNumberFormat="1" applyFont="1"/>
    <xf numFmtId="0" fontId="27" fillId="0" borderId="0" xfId="0" applyFont="1"/>
    <xf numFmtId="9" fontId="27" fillId="0" borderId="0" xfId="10" applyFont="1"/>
    <xf numFmtId="0" fontId="7" fillId="10" borderId="0" xfId="0" applyFont="1" applyFill="1"/>
    <xf numFmtId="0" fontId="4" fillId="10" borderId="0" xfId="0" applyFont="1" applyFill="1"/>
    <xf numFmtId="0" fontId="59" fillId="0" borderId="0" xfId="0" applyFont="1"/>
    <xf numFmtId="9" fontId="59" fillId="0" borderId="0" xfId="10" applyFont="1"/>
    <xf numFmtId="0" fontId="26" fillId="0" borderId="0" xfId="0" applyFont="1"/>
    <xf numFmtId="0" fontId="27" fillId="2" borderId="0" xfId="1" applyNumberFormat="1" applyFont="1" applyFill="1" applyAlignment="1">
      <alignment horizontal="center"/>
    </xf>
    <xf numFmtId="0" fontId="27" fillId="10" borderId="0" xfId="0" applyFont="1" applyFill="1"/>
    <xf numFmtId="0" fontId="26" fillId="10" borderId="0" xfId="0" applyFont="1" applyFill="1"/>
    <xf numFmtId="9" fontId="26" fillId="0" borderId="0" xfId="10" applyFont="1"/>
    <xf numFmtId="9" fontId="26" fillId="0" borderId="0" xfId="10" applyFont="1" applyAlignment="1">
      <alignment horizontal="center"/>
    </xf>
    <xf numFmtId="166" fontId="27" fillId="0" borderId="0" xfId="1" applyNumberFormat="1" applyFont="1"/>
    <xf numFmtId="0" fontId="5" fillId="2" borderId="0" xfId="0" applyFont="1" applyFill="1" applyAlignment="1">
      <alignment horizontal="center"/>
    </xf>
    <xf numFmtId="0" fontId="4" fillId="0" borderId="0" xfId="0" applyFont="1" applyBorder="1" applyAlignment="1">
      <alignment horizontal="left"/>
    </xf>
    <xf numFmtId="175" fontId="7" fillId="0" borderId="0" xfId="1" applyNumberFormat="1" applyFont="1" applyFill="1" applyBorder="1" applyAlignment="1">
      <alignment horizontal="center"/>
    </xf>
    <xf numFmtId="175" fontId="7" fillId="0" borderId="0" xfId="1" applyNumberFormat="1" applyFont="1" applyFill="1" applyAlignment="1">
      <alignment horizontal="center"/>
    </xf>
    <xf numFmtId="10" fontId="14" fillId="0" borderId="0" xfId="10" applyNumberFormat="1" applyFont="1" applyFill="1" applyBorder="1" applyAlignment="1">
      <alignment horizontal="center"/>
    </xf>
    <xf numFmtId="0" fontId="5" fillId="2" borderId="9" xfId="0" applyFont="1" applyFill="1" applyBorder="1" applyAlignment="1">
      <alignment wrapText="1"/>
    </xf>
    <xf numFmtId="0" fontId="5" fillId="2" borderId="9" xfId="0" applyFont="1" applyFill="1" applyBorder="1" applyAlignment="1">
      <alignment horizontal="center" wrapText="1"/>
    </xf>
    <xf numFmtId="43" fontId="4" fillId="0" borderId="9" xfId="1" applyFont="1" applyBorder="1"/>
    <xf numFmtId="43" fontId="4" fillId="0" borderId="9" xfId="0" applyNumberFormat="1" applyFont="1" applyBorder="1"/>
    <xf numFmtId="0" fontId="7" fillId="0" borderId="35" xfId="0" applyFont="1" applyBorder="1"/>
    <xf numFmtId="43" fontId="50" fillId="0" borderId="35" xfId="1" applyFont="1" applyBorder="1"/>
    <xf numFmtId="43" fontId="4" fillId="0" borderId="35" xfId="1" applyFont="1" applyBorder="1"/>
    <xf numFmtId="0" fontId="0" fillId="2" borderId="0" xfId="0" applyFill="1"/>
    <xf numFmtId="43" fontId="7" fillId="3" borderId="0" xfId="1" applyFont="1" applyFill="1" applyBorder="1" applyAlignment="1">
      <alignment horizontal="left"/>
    </xf>
    <xf numFmtId="2" fontId="7" fillId="3" borderId="0" xfId="1" applyNumberFormat="1" applyFont="1" applyFill="1" applyBorder="1" applyAlignment="1">
      <alignment horizontal="center"/>
    </xf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center"/>
    </xf>
    <xf numFmtId="10" fontId="4" fillId="10" borderId="0" xfId="0" applyNumberFormat="1" applyFont="1" applyFill="1" applyBorder="1" applyAlignment="1">
      <alignment horizontal="center"/>
    </xf>
    <xf numFmtId="2" fontId="4" fillId="10" borderId="0" xfId="1" applyNumberFormat="1" applyFont="1" applyFill="1" applyBorder="1" applyAlignment="1">
      <alignment horizontal="center"/>
    </xf>
    <xf numFmtId="10" fontId="7" fillId="10" borderId="0" xfId="10" applyNumberFormat="1" applyFont="1" applyFill="1" applyBorder="1" applyAlignment="1">
      <alignment horizontal="center"/>
    </xf>
    <xf numFmtId="10" fontId="7" fillId="10" borderId="0" xfId="0" applyNumberFormat="1" applyFont="1" applyFill="1" applyBorder="1" applyAlignment="1">
      <alignment horizontal="center"/>
    </xf>
    <xf numFmtId="3" fontId="4" fillId="0" borderId="0" xfId="1" applyNumberFormat="1" applyFont="1" applyFill="1" applyBorder="1" applyAlignment="1">
      <alignment horizontal="center"/>
    </xf>
    <xf numFmtId="9" fontId="4" fillId="0" borderId="0" xfId="10" applyFont="1" applyFill="1" applyBorder="1" applyAlignment="1">
      <alignment horizontal="center"/>
    </xf>
    <xf numFmtId="2" fontId="4" fillId="0" borderId="0" xfId="1" applyNumberFormat="1" applyFont="1" applyFill="1" applyBorder="1" applyAlignment="1">
      <alignment horizontal="center"/>
    </xf>
    <xf numFmtId="3" fontId="4" fillId="0" borderId="0" xfId="0" applyNumberFormat="1" applyFont="1" applyFill="1" applyBorder="1" applyAlignment="1">
      <alignment horizontal="center"/>
    </xf>
    <xf numFmtId="9" fontId="4" fillId="0" borderId="0" xfId="0" applyNumberFormat="1" applyFont="1" applyFill="1" applyBorder="1" applyAlignment="1">
      <alignment horizontal="center"/>
    </xf>
    <xf numFmtId="2" fontId="7" fillId="0" borderId="0" xfId="0" applyNumberFormat="1" applyFont="1" applyFill="1" applyBorder="1" applyAlignment="1">
      <alignment horizontal="center"/>
    </xf>
    <xf numFmtId="43" fontId="40" fillId="0" borderId="0" xfId="0" applyNumberFormat="1" applyFont="1" applyFill="1" applyBorder="1" applyAlignment="1">
      <alignment horizontal="right"/>
    </xf>
    <xf numFmtId="2" fontId="50" fillId="0" borderId="0" xfId="1" applyNumberFormat="1" applyFont="1" applyFill="1" applyBorder="1" applyAlignment="1">
      <alignment horizontal="center"/>
    </xf>
    <xf numFmtId="0" fontId="26" fillId="0" borderId="0" xfId="0" applyFont="1" applyFill="1"/>
    <xf numFmtId="0" fontId="59" fillId="0" borderId="0" xfId="0" applyFont="1" applyFill="1"/>
    <xf numFmtId="0" fontId="27" fillId="0" borderId="0" xfId="0" applyFont="1" applyFill="1"/>
    <xf numFmtId="0" fontId="41" fillId="0" borderId="2" xfId="0" applyFont="1" applyBorder="1"/>
    <xf numFmtId="3" fontId="0" fillId="0" borderId="0" xfId="0" applyNumberFormat="1" applyFill="1" applyBorder="1"/>
    <xf numFmtId="9" fontId="0" fillId="0" borderId="22" xfId="10" applyFont="1" applyBorder="1"/>
    <xf numFmtId="9" fontId="0" fillId="0" borderId="0" xfId="10" applyFont="1"/>
    <xf numFmtId="0" fontId="49" fillId="0" borderId="21" xfId="0" applyFont="1" applyBorder="1"/>
    <xf numFmtId="1" fontId="0" fillId="0" borderId="0" xfId="0" applyNumberFormat="1" applyBorder="1"/>
    <xf numFmtId="1" fontId="0" fillId="0" borderId="23" xfId="0" applyNumberFormat="1" applyBorder="1"/>
    <xf numFmtId="0" fontId="49" fillId="0" borderId="20" xfId="0" applyFont="1" applyBorder="1"/>
    <xf numFmtId="9" fontId="0" fillId="0" borderId="12" xfId="10" applyNumberFormat="1" applyFont="1" applyBorder="1"/>
    <xf numFmtId="10" fontId="0" fillId="0" borderId="0" xfId="0" applyNumberFormat="1"/>
    <xf numFmtId="0" fontId="63" fillId="0" borderId="0" xfId="0" applyFont="1"/>
    <xf numFmtId="179" fontId="0" fillId="0" borderId="0" xfId="10" applyNumberFormat="1" applyFont="1"/>
    <xf numFmtId="0" fontId="0" fillId="0" borderId="0" xfId="0" applyNumberFormat="1"/>
    <xf numFmtId="0" fontId="0" fillId="0" borderId="0" xfId="0" applyNumberFormat="1" applyAlignment="1">
      <alignment horizontal="right"/>
    </xf>
    <xf numFmtId="0" fontId="0" fillId="0" borderId="14" xfId="0" applyBorder="1"/>
    <xf numFmtId="0" fontId="0" fillId="0" borderId="16" xfId="0" applyBorder="1" applyAlignment="1">
      <alignment horizontal="right"/>
    </xf>
    <xf numFmtId="9" fontId="0" fillId="0" borderId="0" xfId="0" applyNumberFormat="1" applyBorder="1"/>
    <xf numFmtId="9" fontId="0" fillId="0" borderId="23" xfId="0" applyNumberFormat="1" applyBorder="1"/>
    <xf numFmtId="9" fontId="0" fillId="0" borderId="12" xfId="0" applyNumberFormat="1" applyBorder="1"/>
    <xf numFmtId="9" fontId="0" fillId="0" borderId="19" xfId="0" applyNumberFormat="1" applyBorder="1"/>
    <xf numFmtId="0" fontId="14" fillId="0" borderId="17" xfId="0" applyFont="1" applyBorder="1"/>
    <xf numFmtId="166" fontId="0" fillId="0" borderId="0" xfId="0" applyNumberFormat="1" applyBorder="1"/>
    <xf numFmtId="166" fontId="0" fillId="0" borderId="0" xfId="1" applyNumberFormat="1" applyFont="1" applyBorder="1"/>
    <xf numFmtId="4" fontId="0" fillId="0" borderId="0" xfId="0" applyNumberFormat="1"/>
    <xf numFmtId="0" fontId="0" fillId="0" borderId="0" xfId="10" applyNumberFormat="1" applyFont="1" applyBorder="1"/>
    <xf numFmtId="0" fontId="0" fillId="0" borderId="23" xfId="0" applyNumberFormat="1" applyBorder="1"/>
    <xf numFmtId="166" fontId="0" fillId="0" borderId="0" xfId="10" applyNumberFormat="1" applyFont="1" applyBorder="1"/>
    <xf numFmtId="0" fontId="49" fillId="0" borderId="21" xfId="0" applyFont="1" applyFill="1" applyBorder="1"/>
    <xf numFmtId="1" fontId="0" fillId="0" borderId="0" xfId="10" applyNumberFormat="1" applyFont="1" applyBorder="1"/>
    <xf numFmtId="166" fontId="0" fillId="0" borderId="23" xfId="1" applyNumberFormat="1" applyFont="1" applyBorder="1"/>
    <xf numFmtId="0" fontId="14" fillId="0" borderId="0" xfId="0" applyFont="1" applyBorder="1" applyAlignment="1">
      <alignment horizontal="center"/>
    </xf>
    <xf numFmtId="3" fontId="0" fillId="0" borderId="0" xfId="0" applyNumberFormat="1" applyBorder="1"/>
    <xf numFmtId="3" fontId="0" fillId="0" borderId="23" xfId="0" applyNumberFormat="1" applyBorder="1"/>
    <xf numFmtId="173" fontId="0" fillId="0" borderId="0" xfId="0" applyNumberFormat="1" applyBorder="1"/>
    <xf numFmtId="173" fontId="0" fillId="0" borderId="0" xfId="0" applyNumberFormat="1"/>
    <xf numFmtId="3" fontId="0" fillId="0" borderId="0" xfId="1" applyNumberFormat="1" applyFont="1" applyBorder="1"/>
    <xf numFmtId="3" fontId="0" fillId="0" borderId="0" xfId="10" applyNumberFormat="1" applyFont="1" applyBorder="1"/>
    <xf numFmtId="9" fontId="0" fillId="0" borderId="0" xfId="10" applyNumberFormat="1" applyFont="1" applyBorder="1"/>
    <xf numFmtId="10" fontId="0" fillId="0" borderId="0" xfId="10" applyNumberFormat="1" applyFont="1" applyBorder="1"/>
    <xf numFmtId="10" fontId="0" fillId="0" borderId="23" xfId="0" applyNumberFormat="1" applyBorder="1"/>
    <xf numFmtId="9" fontId="0" fillId="0" borderId="21" xfId="10" applyFont="1" applyBorder="1"/>
    <xf numFmtId="0" fontId="49" fillId="3" borderId="21" xfId="0" applyFont="1" applyFill="1" applyBorder="1"/>
    <xf numFmtId="9" fontId="0" fillId="3" borderId="0" xfId="10" applyFont="1" applyFill="1" applyBorder="1"/>
    <xf numFmtId="0" fontId="49" fillId="3" borderId="20" xfId="0" applyFont="1" applyFill="1" applyBorder="1"/>
    <xf numFmtId="9" fontId="0" fillId="3" borderId="12" xfId="10" applyFont="1" applyFill="1" applyBorder="1"/>
    <xf numFmtId="0" fontId="49" fillId="3" borderId="0" xfId="0" applyFont="1" applyFill="1" applyBorder="1"/>
    <xf numFmtId="0" fontId="14" fillId="0" borderId="0" xfId="0" applyFont="1" applyBorder="1"/>
    <xf numFmtId="0" fontId="14" fillId="0" borderId="23" xfId="0" applyFont="1" applyBorder="1"/>
    <xf numFmtId="166" fontId="0" fillId="0" borderId="0" xfId="0" applyNumberFormat="1"/>
    <xf numFmtId="179" fontId="0" fillId="0" borderId="0" xfId="10" applyNumberFormat="1" applyFont="1" applyBorder="1"/>
    <xf numFmtId="0" fontId="0" fillId="0" borderId="14" xfId="0" applyFill="1" applyBorder="1"/>
    <xf numFmtId="0" fontId="14" fillId="0" borderId="21" xfId="0" applyFont="1" applyBorder="1"/>
    <xf numFmtId="0" fontId="14" fillId="0" borderId="20" xfId="0" applyFont="1" applyBorder="1"/>
    <xf numFmtId="3" fontId="0" fillId="0" borderId="12" xfId="0" applyNumberFormat="1" applyBorder="1"/>
    <xf numFmtId="0" fontId="14" fillId="0" borderId="4" xfId="0" applyFont="1" applyBorder="1"/>
    <xf numFmtId="0" fontId="14" fillId="0" borderId="6" xfId="0" applyFont="1" applyBorder="1" applyAlignment="1">
      <alignment horizontal="center"/>
    </xf>
    <xf numFmtId="0" fontId="14" fillId="0" borderId="7" xfId="0" applyFont="1" applyBorder="1" applyAlignment="1">
      <alignment horizontal="center"/>
    </xf>
    <xf numFmtId="0" fontId="0" fillId="0" borderId="37" xfId="0" applyBorder="1"/>
    <xf numFmtId="175" fontId="0" fillId="0" borderId="0" xfId="0" applyNumberFormat="1" applyBorder="1"/>
    <xf numFmtId="175" fontId="0" fillId="0" borderId="23" xfId="0" applyNumberFormat="1" applyBorder="1"/>
    <xf numFmtId="0" fontId="0" fillId="0" borderId="18" xfId="0" applyBorder="1"/>
    <xf numFmtId="175" fontId="0" fillId="0" borderId="12" xfId="0" applyNumberFormat="1" applyBorder="1"/>
    <xf numFmtId="175" fontId="0" fillId="0" borderId="19" xfId="0" applyNumberFormat="1" applyBorder="1"/>
    <xf numFmtId="175" fontId="0" fillId="0" borderId="0" xfId="10" applyNumberFormat="1" applyFont="1"/>
    <xf numFmtId="43" fontId="0" fillId="0" borderId="0" xfId="0" applyNumberFormat="1"/>
    <xf numFmtId="166" fontId="0" fillId="0" borderId="19" xfId="1" applyNumberFormat="1" applyFont="1" applyBorder="1"/>
    <xf numFmtId="0" fontId="0" fillId="0" borderId="17" xfId="0" applyBorder="1" applyAlignment="1">
      <alignment wrapText="1"/>
    </xf>
    <xf numFmtId="0" fontId="0" fillId="0" borderId="16" xfId="0" applyBorder="1" applyAlignment="1">
      <alignment wrapText="1"/>
    </xf>
    <xf numFmtId="0" fontId="0" fillId="0" borderId="0" xfId="0" applyAlignment="1">
      <alignment wrapText="1"/>
    </xf>
    <xf numFmtId="166" fontId="24" fillId="0" borderId="7" xfId="1" applyNumberFormat="1" applyFont="1" applyFill="1" applyBorder="1" applyAlignment="1">
      <alignment horizontal="center" vertical="center"/>
    </xf>
    <xf numFmtId="0" fontId="12" fillId="2" borderId="21" xfId="0" applyFont="1" applyFill="1" applyBorder="1" applyAlignment="1">
      <alignment horizontal="center"/>
    </xf>
    <xf numFmtId="0" fontId="12" fillId="2" borderId="23" xfId="0" applyFont="1" applyFill="1" applyBorder="1" applyAlignment="1">
      <alignment horizontal="center"/>
    </xf>
    <xf numFmtId="166" fontId="14" fillId="0" borderId="21" xfId="1" applyNumberFormat="1" applyFont="1" applyBorder="1"/>
    <xf numFmtId="166" fontId="0" fillId="0" borderId="21" xfId="1" applyNumberFormat="1" applyFont="1" applyBorder="1"/>
    <xf numFmtId="166" fontId="49" fillId="0" borderId="0" xfId="1" applyNumberFormat="1" applyFont="1" applyBorder="1"/>
    <xf numFmtId="9" fontId="0" fillId="0" borderId="36" xfId="10" applyFont="1" applyBorder="1"/>
    <xf numFmtId="0" fontId="49" fillId="0" borderId="0" xfId="0" applyFont="1" applyBorder="1"/>
    <xf numFmtId="166" fontId="14" fillId="0" borderId="17" xfId="1" applyNumberFormat="1" applyFont="1" applyFill="1" applyBorder="1"/>
    <xf numFmtId="0" fontId="48" fillId="0" borderId="14" xfId="0" applyFont="1" applyBorder="1"/>
    <xf numFmtId="0" fontId="48" fillId="0" borderId="16" xfId="0" applyFont="1" applyBorder="1"/>
    <xf numFmtId="0" fontId="48" fillId="0" borderId="0" xfId="0" applyFont="1" applyBorder="1"/>
    <xf numFmtId="0" fontId="48" fillId="0" borderId="23" xfId="0" applyFont="1" applyBorder="1"/>
    <xf numFmtId="10" fontId="0" fillId="0" borderId="19" xfId="0" applyNumberFormat="1" applyBorder="1"/>
    <xf numFmtId="0" fontId="60" fillId="0" borderId="12" xfId="0" applyFont="1" applyBorder="1" applyAlignment="1"/>
    <xf numFmtId="0" fontId="60" fillId="0" borderId="36" xfId="0" applyFont="1" applyBorder="1" applyAlignment="1"/>
    <xf numFmtId="0" fontId="60" fillId="0" borderId="0" xfId="0" applyFont="1" applyAlignment="1"/>
    <xf numFmtId="9" fontId="14" fillId="0" borderId="23" xfId="10" applyFont="1" applyBorder="1"/>
    <xf numFmtId="9" fontId="14" fillId="0" borderId="23" xfId="0" applyNumberFormat="1" applyFont="1" applyBorder="1"/>
    <xf numFmtId="166" fontId="14" fillId="0" borderId="23" xfId="1" applyNumberFormat="1" applyFont="1" applyBorder="1"/>
    <xf numFmtId="1" fontId="14" fillId="0" borderId="23" xfId="10" applyNumberFormat="1" applyFont="1" applyBorder="1"/>
    <xf numFmtId="0" fontId="60" fillId="0" borderId="14" xfId="0" applyFont="1" applyBorder="1" applyAlignment="1"/>
    <xf numFmtId="173" fontId="14" fillId="0" borderId="23" xfId="0" applyNumberFormat="1" applyFont="1" applyBorder="1"/>
    <xf numFmtId="3" fontId="14" fillId="0" borderId="23" xfId="0" applyNumberFormat="1" applyFont="1" applyBorder="1"/>
    <xf numFmtId="1" fontId="14" fillId="0" borderId="23" xfId="0" applyNumberFormat="1" applyFont="1" applyBorder="1"/>
    <xf numFmtId="10" fontId="14" fillId="0" borderId="23" xfId="0" applyNumberFormat="1" applyFont="1" applyBorder="1"/>
    <xf numFmtId="9" fontId="14" fillId="0" borderId="19" xfId="0" applyNumberFormat="1" applyFont="1" applyBorder="1"/>
    <xf numFmtId="0" fontId="0" fillId="0" borderId="0" xfId="0" applyFill="1" applyBorder="1" applyAlignment="1">
      <alignment horizontal="center"/>
    </xf>
    <xf numFmtId="0" fontId="0" fillId="0" borderId="0" xfId="0" applyFill="1" applyAlignment="1"/>
    <xf numFmtId="0" fontId="62" fillId="0" borderId="0" xfId="16" applyFill="1" applyBorder="1" applyAlignment="1"/>
    <xf numFmtId="0" fontId="61" fillId="0" borderId="0" xfId="0" applyFont="1" applyFill="1" applyBorder="1" applyAlignment="1">
      <alignment textRotation="90"/>
    </xf>
    <xf numFmtId="0" fontId="64" fillId="0" borderId="0" xfId="0" applyFont="1" applyFill="1" applyAlignment="1">
      <alignment vertical="center"/>
    </xf>
    <xf numFmtId="0" fontId="14" fillId="10" borderId="0" xfId="0" applyFont="1" applyFill="1" applyAlignment="1">
      <alignment horizontal="center"/>
    </xf>
    <xf numFmtId="0" fontId="14" fillId="10" borderId="0" xfId="0" applyFont="1" applyFill="1" applyBorder="1" applyAlignment="1">
      <alignment horizontal="center"/>
    </xf>
    <xf numFmtId="0" fontId="0" fillId="0" borderId="0" xfId="0" applyFill="1" applyAlignment="1">
      <alignment horizontal="left"/>
    </xf>
    <xf numFmtId="9" fontId="0" fillId="0" borderId="0" xfId="10" applyFont="1" applyFill="1"/>
    <xf numFmtId="175" fontId="0" fillId="0" borderId="0" xfId="10" applyNumberFormat="1" applyFont="1" applyFill="1" applyAlignment="1">
      <alignment horizontal="center"/>
    </xf>
    <xf numFmtId="175" fontId="0" fillId="0" borderId="0" xfId="10" applyNumberFormat="1" applyFont="1" applyFill="1" applyBorder="1" applyAlignment="1">
      <alignment horizontal="center"/>
    </xf>
    <xf numFmtId="0" fontId="48" fillId="0" borderId="0" xfId="0" applyFont="1" applyFill="1" applyBorder="1" applyAlignment="1"/>
    <xf numFmtId="168" fontId="0" fillId="0" borderId="0" xfId="0" applyNumberFormat="1" applyFill="1" applyAlignment="1">
      <alignment horizontal="center"/>
    </xf>
    <xf numFmtId="168" fontId="0" fillId="0" borderId="0" xfId="0" applyNumberFormat="1" applyFill="1" applyBorder="1" applyAlignment="1">
      <alignment horizontal="center"/>
    </xf>
    <xf numFmtId="0" fontId="14" fillId="10" borderId="0" xfId="0" applyFont="1" applyFill="1" applyAlignment="1">
      <alignment horizontal="left"/>
    </xf>
    <xf numFmtId="2" fontId="0" fillId="0" borderId="0" xfId="1" applyNumberFormat="1" applyFont="1" applyFill="1" applyAlignment="1">
      <alignment horizontal="center"/>
    </xf>
    <xf numFmtId="168" fontId="0" fillId="0" borderId="0" xfId="1" applyNumberFormat="1" applyFont="1" applyFill="1" applyAlignment="1">
      <alignment horizontal="center"/>
    </xf>
    <xf numFmtId="168" fontId="0" fillId="0" borderId="0" xfId="1" applyNumberFormat="1" applyFont="1" applyFill="1" applyBorder="1" applyAlignment="1">
      <alignment horizontal="center"/>
    </xf>
    <xf numFmtId="0" fontId="0" fillId="0" borderId="23" xfId="0" applyBorder="1" applyAlignment="1">
      <alignment horizontal="right"/>
    </xf>
    <xf numFmtId="0" fontId="26" fillId="3" borderId="0" xfId="0" applyFont="1" applyFill="1"/>
    <xf numFmtId="10" fontId="19" fillId="10" borderId="41" xfId="10" applyNumberFormat="1" applyFont="1" applyFill="1" applyBorder="1" applyAlignment="1">
      <alignment horizontal="center"/>
    </xf>
    <xf numFmtId="0" fontId="4" fillId="0" borderId="42" xfId="0" applyFont="1" applyBorder="1" applyAlignment="1">
      <alignment horizontal="center"/>
    </xf>
    <xf numFmtId="0" fontId="4" fillId="0" borderId="43" xfId="0" applyFont="1" applyBorder="1" applyAlignment="1">
      <alignment horizontal="center"/>
    </xf>
    <xf numFmtId="2" fontId="4" fillId="0" borderId="43" xfId="0" applyNumberFormat="1" applyFont="1" applyBorder="1" applyAlignment="1">
      <alignment horizontal="center"/>
    </xf>
    <xf numFmtId="2" fontId="4" fillId="0" borderId="45" xfId="0" applyNumberFormat="1" applyFont="1" applyBorder="1" applyAlignment="1">
      <alignment horizontal="center"/>
    </xf>
    <xf numFmtId="0" fontId="4" fillId="0" borderId="45" xfId="0" applyFont="1" applyBorder="1" applyAlignment="1">
      <alignment horizontal="center"/>
    </xf>
    <xf numFmtId="0" fontId="4" fillId="0" borderId="46" xfId="0" applyFont="1" applyBorder="1" applyAlignment="1">
      <alignment horizontal="center"/>
    </xf>
    <xf numFmtId="0" fontId="38" fillId="2" borderId="47" xfId="0" applyFont="1" applyFill="1" applyBorder="1" applyAlignment="1">
      <alignment vertical="center" textRotation="90" wrapText="1"/>
    </xf>
    <xf numFmtId="10" fontId="19" fillId="10" borderId="50" xfId="10" applyNumberFormat="1" applyFont="1" applyFill="1" applyBorder="1" applyAlignment="1">
      <alignment horizontal="center"/>
    </xf>
    <xf numFmtId="0" fontId="66" fillId="10" borderId="58" xfId="0" applyFont="1" applyFill="1" applyBorder="1" applyAlignment="1">
      <alignment horizontal="center" vertical="center"/>
    </xf>
    <xf numFmtId="0" fontId="66" fillId="10" borderId="40" xfId="0" applyFont="1" applyFill="1" applyBorder="1" applyAlignment="1">
      <alignment horizontal="center" vertical="center"/>
    </xf>
    <xf numFmtId="0" fontId="66" fillId="18" borderId="15" xfId="0" applyFont="1" applyFill="1" applyBorder="1" applyAlignment="1">
      <alignment horizontal="center" vertical="center"/>
    </xf>
    <xf numFmtId="0" fontId="66" fillId="18" borderId="62" xfId="0" applyFont="1" applyFill="1" applyBorder="1" applyAlignment="1">
      <alignment horizontal="center" vertical="center"/>
    </xf>
    <xf numFmtId="0" fontId="67" fillId="0" borderId="15" xfId="0" applyFont="1" applyBorder="1" applyAlignment="1">
      <alignment horizontal="center" vertical="center"/>
    </xf>
    <xf numFmtId="9" fontId="67" fillId="0" borderId="15" xfId="0" applyNumberFormat="1" applyFont="1" applyBorder="1" applyAlignment="1">
      <alignment horizontal="center" vertical="center"/>
    </xf>
    <xf numFmtId="0" fontId="67" fillId="0" borderId="62" xfId="0" applyFont="1" applyBorder="1" applyAlignment="1">
      <alignment horizontal="center" vertical="center"/>
    </xf>
    <xf numFmtId="0" fontId="67" fillId="0" borderId="63" xfId="0" applyFont="1" applyBorder="1" applyAlignment="1">
      <alignment horizontal="center" vertical="center"/>
    </xf>
    <xf numFmtId="9" fontId="67" fillId="0" borderId="63" xfId="0" applyNumberFormat="1" applyFont="1" applyBorder="1" applyAlignment="1">
      <alignment horizontal="center" vertical="center"/>
    </xf>
    <xf numFmtId="0" fontId="67" fillId="0" borderId="64" xfId="0" applyFont="1" applyBorder="1" applyAlignment="1">
      <alignment horizontal="center" vertical="center"/>
    </xf>
    <xf numFmtId="0" fontId="66" fillId="18" borderId="65" xfId="0" applyFont="1" applyFill="1" applyBorder="1" applyAlignment="1">
      <alignment horizontal="center" vertical="center"/>
    </xf>
    <xf numFmtId="10" fontId="67" fillId="0" borderId="15" xfId="0" applyNumberFormat="1" applyFont="1" applyBorder="1" applyAlignment="1">
      <alignment horizontal="center" vertical="center"/>
    </xf>
    <xf numFmtId="0" fontId="67" fillId="0" borderId="65" xfId="0" applyFont="1" applyBorder="1" applyAlignment="1">
      <alignment horizontal="center" vertical="center"/>
    </xf>
    <xf numFmtId="10" fontId="67" fillId="0" borderId="25" xfId="0" applyNumberFormat="1" applyFont="1" applyBorder="1" applyAlignment="1">
      <alignment horizontal="center" vertical="center"/>
    </xf>
    <xf numFmtId="0" fontId="67" fillId="0" borderId="25" xfId="0" applyFont="1" applyBorder="1" applyAlignment="1">
      <alignment horizontal="center" vertical="center"/>
    </xf>
    <xf numFmtId="0" fontId="67" fillId="0" borderId="66" xfId="0" applyFont="1" applyBorder="1" applyAlignment="1">
      <alignment horizontal="center" vertical="center"/>
    </xf>
    <xf numFmtId="0" fontId="66" fillId="18" borderId="43" xfId="0" applyFont="1" applyFill="1" applyBorder="1" applyAlignment="1">
      <alignment horizontal="center" vertical="center"/>
    </xf>
    <xf numFmtId="0" fontId="67" fillId="0" borderId="43" xfId="0" applyFont="1" applyBorder="1" applyAlignment="1">
      <alignment horizontal="center" vertical="center"/>
    </xf>
    <xf numFmtId="10" fontId="67" fillId="0" borderId="45" xfId="0" applyNumberFormat="1" applyFont="1" applyBorder="1" applyAlignment="1">
      <alignment horizontal="center" vertical="center"/>
    </xf>
    <xf numFmtId="0" fontId="67" fillId="0" borderId="45" xfId="0" applyFont="1" applyBorder="1" applyAlignment="1">
      <alignment horizontal="center" vertical="center"/>
    </xf>
    <xf numFmtId="0" fontId="67" fillId="0" borderId="46" xfId="0" applyFont="1" applyBorder="1" applyAlignment="1">
      <alignment horizontal="center" vertical="center"/>
    </xf>
    <xf numFmtId="0" fontId="66" fillId="18" borderId="51" xfId="0" applyFont="1" applyFill="1" applyBorder="1" applyAlignment="1">
      <alignment horizontal="center" vertical="center"/>
    </xf>
    <xf numFmtId="0" fontId="66" fillId="18" borderId="70" xfId="0" applyFont="1" applyFill="1" applyBorder="1" applyAlignment="1">
      <alignment horizontal="center" vertical="center"/>
    </xf>
    <xf numFmtId="0" fontId="67" fillId="0" borderId="51" xfId="0" applyFont="1" applyBorder="1" applyAlignment="1">
      <alignment horizontal="center" vertical="center"/>
    </xf>
    <xf numFmtId="0" fontId="67" fillId="0" borderId="70" xfId="0" applyFont="1" applyBorder="1" applyAlignment="1">
      <alignment horizontal="center" vertical="center"/>
    </xf>
    <xf numFmtId="0" fontId="67" fillId="0" borderId="71" xfId="0" applyFont="1" applyBorder="1" applyAlignment="1">
      <alignment horizontal="center" vertical="center"/>
    </xf>
    <xf numFmtId="0" fontId="67" fillId="0" borderId="72" xfId="0" applyFont="1" applyBorder="1" applyAlignment="1">
      <alignment horizontal="center" vertical="center"/>
    </xf>
    <xf numFmtId="0" fontId="69" fillId="3" borderId="50" xfId="0" applyFont="1" applyFill="1" applyBorder="1" applyAlignment="1"/>
    <xf numFmtId="0" fontId="69" fillId="3" borderId="0" xfId="0" applyFont="1" applyFill="1" applyBorder="1" applyAlignment="1"/>
    <xf numFmtId="9" fontId="26" fillId="0" borderId="0" xfId="0" applyNumberFormat="1" applyFont="1"/>
    <xf numFmtId="9" fontId="27" fillId="0" borderId="0" xfId="0" applyNumberFormat="1" applyFont="1"/>
    <xf numFmtId="0" fontId="66" fillId="10" borderId="44" xfId="0" applyFont="1" applyFill="1" applyBorder="1" applyAlignment="1">
      <alignment horizontal="center" vertical="center"/>
    </xf>
    <xf numFmtId="0" fontId="66" fillId="18" borderId="73" xfId="0" applyFont="1" applyFill="1" applyBorder="1" applyAlignment="1">
      <alignment horizontal="center" vertical="center"/>
    </xf>
    <xf numFmtId="0" fontId="67" fillId="10" borderId="40" xfId="0" applyFont="1" applyFill="1" applyBorder="1" applyAlignment="1">
      <alignment horizontal="center" vertical="center"/>
    </xf>
    <xf numFmtId="0" fontId="67" fillId="10" borderId="74" xfId="0" applyFont="1" applyFill="1" applyBorder="1" applyAlignment="1">
      <alignment horizontal="center" vertical="center"/>
    </xf>
    <xf numFmtId="0" fontId="64" fillId="2" borderId="0" xfId="0" applyFont="1" applyFill="1" applyAlignment="1">
      <alignment horizontal="center" vertical="center"/>
    </xf>
    <xf numFmtId="0" fontId="65" fillId="10" borderId="0" xfId="0" applyFont="1" applyFill="1" applyBorder="1" applyAlignment="1">
      <alignment horizontal="center" vertical="center"/>
    </xf>
    <xf numFmtId="0" fontId="0" fillId="10" borderId="0" xfId="0" applyFill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5" fillId="2" borderId="0" xfId="0" applyFont="1" applyFill="1" applyAlignment="1">
      <alignment horizontal="center"/>
    </xf>
    <xf numFmtId="0" fontId="60" fillId="0" borderId="17" xfId="0" applyFont="1" applyBorder="1" applyAlignment="1">
      <alignment horizontal="center"/>
    </xf>
    <xf numFmtId="0" fontId="60" fillId="0" borderId="14" xfId="0" applyFont="1" applyBorder="1" applyAlignment="1">
      <alignment horizontal="center"/>
    </xf>
    <xf numFmtId="0" fontId="60" fillId="0" borderId="16" xfId="0" applyFont="1" applyBorder="1" applyAlignment="1">
      <alignment horizontal="center"/>
    </xf>
    <xf numFmtId="0" fontId="60" fillId="0" borderId="20" xfId="0" applyFont="1" applyBorder="1" applyAlignment="1">
      <alignment horizontal="center"/>
    </xf>
    <xf numFmtId="0" fontId="60" fillId="0" borderId="12" xfId="0" applyFont="1" applyBorder="1" applyAlignment="1">
      <alignment horizontal="center"/>
    </xf>
    <xf numFmtId="0" fontId="60" fillId="0" borderId="19" xfId="0" applyFont="1" applyBorder="1" applyAlignment="1">
      <alignment horizontal="center"/>
    </xf>
    <xf numFmtId="0" fontId="0" fillId="16" borderId="14" xfId="0" applyFill="1" applyBorder="1" applyAlignment="1">
      <alignment horizontal="center"/>
    </xf>
    <xf numFmtId="0" fontId="0" fillId="16" borderId="16" xfId="0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0" fillId="9" borderId="14" xfId="0" applyFill="1" applyBorder="1" applyAlignment="1">
      <alignment horizontal="center"/>
    </xf>
    <xf numFmtId="0" fontId="0" fillId="14" borderId="14" xfId="0" applyFill="1" applyBorder="1" applyAlignment="1">
      <alignment horizontal="center"/>
    </xf>
    <xf numFmtId="0" fontId="0" fillId="15" borderId="14" xfId="0" applyFill="1" applyBorder="1" applyAlignment="1">
      <alignment horizontal="center"/>
    </xf>
    <xf numFmtId="0" fontId="0" fillId="6" borderId="14" xfId="0" applyFill="1" applyBorder="1" applyAlignment="1">
      <alignment horizontal="center"/>
    </xf>
    <xf numFmtId="0" fontId="0" fillId="5" borderId="14" xfId="0" applyFill="1" applyBorder="1" applyAlignment="1">
      <alignment horizontal="center"/>
    </xf>
    <xf numFmtId="0" fontId="0" fillId="10" borderId="14" xfId="0" applyFill="1" applyBorder="1" applyAlignment="1">
      <alignment horizontal="center"/>
    </xf>
    <xf numFmtId="0" fontId="23" fillId="0" borderId="9" xfId="0" applyFont="1" applyFill="1" applyBorder="1" applyAlignment="1">
      <alignment horizontal="center"/>
    </xf>
    <xf numFmtId="0" fontId="23" fillId="0" borderId="0" xfId="0" applyFont="1" applyFill="1" applyBorder="1" applyAlignment="1">
      <alignment horizontal="center"/>
    </xf>
    <xf numFmtId="0" fontId="14" fillId="0" borderId="9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38" fillId="2" borderId="11" xfId="0" applyFont="1" applyFill="1" applyBorder="1" applyAlignment="1">
      <alignment horizontal="center"/>
    </xf>
    <xf numFmtId="0" fontId="68" fillId="17" borderId="55" xfId="0" applyFont="1" applyFill="1" applyBorder="1" applyAlignment="1">
      <alignment horizontal="center" vertical="center"/>
    </xf>
    <xf numFmtId="0" fontId="68" fillId="17" borderId="56" xfId="0" applyFont="1" applyFill="1" applyBorder="1" applyAlignment="1">
      <alignment horizontal="center" vertical="center"/>
    </xf>
    <xf numFmtId="0" fontId="68" fillId="17" borderId="57" xfId="0" applyFont="1" applyFill="1" applyBorder="1" applyAlignment="1">
      <alignment horizontal="center" vertical="center"/>
    </xf>
    <xf numFmtId="0" fontId="38" fillId="2" borderId="38" xfId="0" applyFont="1" applyFill="1" applyBorder="1" applyAlignment="1">
      <alignment horizontal="center" vertical="center"/>
    </xf>
    <xf numFmtId="0" fontId="38" fillId="2" borderId="39" xfId="0" applyFont="1" applyFill="1" applyBorder="1" applyAlignment="1">
      <alignment horizontal="center" vertical="center"/>
    </xf>
    <xf numFmtId="0" fontId="38" fillId="2" borderId="48" xfId="0" applyFont="1" applyFill="1" applyBorder="1" applyAlignment="1">
      <alignment horizontal="center" vertical="center" textRotation="90" wrapText="1"/>
    </xf>
    <xf numFmtId="0" fontId="38" fillId="2" borderId="49" xfId="0" applyFont="1" applyFill="1" applyBorder="1" applyAlignment="1">
      <alignment horizontal="center" vertical="center" textRotation="90" wrapText="1"/>
    </xf>
    <xf numFmtId="0" fontId="68" fillId="17" borderId="52" xfId="0" applyFont="1" applyFill="1" applyBorder="1" applyAlignment="1">
      <alignment horizontal="center" vertical="center"/>
    </xf>
    <xf numFmtId="0" fontId="68" fillId="17" borderId="53" xfId="0" applyFont="1" applyFill="1" applyBorder="1" applyAlignment="1">
      <alignment horizontal="center" vertical="center"/>
    </xf>
    <xf numFmtId="0" fontId="68" fillId="17" borderId="54" xfId="0" applyFont="1" applyFill="1" applyBorder="1" applyAlignment="1">
      <alignment horizontal="center" vertical="center"/>
    </xf>
    <xf numFmtId="0" fontId="68" fillId="17" borderId="67" xfId="0" applyFont="1" applyFill="1" applyBorder="1" applyAlignment="1">
      <alignment horizontal="center" vertical="center"/>
    </xf>
    <xf numFmtId="0" fontId="68" fillId="17" borderId="68" xfId="0" applyFont="1" applyFill="1" applyBorder="1" applyAlignment="1">
      <alignment horizontal="center" vertical="center"/>
    </xf>
    <xf numFmtId="0" fontId="68" fillId="17" borderId="69" xfId="0" applyFont="1" applyFill="1" applyBorder="1" applyAlignment="1">
      <alignment horizontal="center" vertical="center"/>
    </xf>
    <xf numFmtId="0" fontId="68" fillId="17" borderId="59" xfId="0" applyFont="1" applyFill="1" applyBorder="1" applyAlignment="1">
      <alignment horizontal="center" vertical="center"/>
    </xf>
    <xf numFmtId="0" fontId="68" fillId="17" borderId="60" xfId="0" applyFont="1" applyFill="1" applyBorder="1" applyAlignment="1">
      <alignment horizontal="center" vertical="center"/>
    </xf>
    <xf numFmtId="0" fontId="68" fillId="17" borderId="61" xfId="0" applyFont="1" applyFill="1" applyBorder="1" applyAlignment="1">
      <alignment horizontal="center" vertical="center"/>
    </xf>
    <xf numFmtId="0" fontId="0" fillId="0" borderId="0" xfId="0" applyAlignment="1">
      <alignment horizontal="center"/>
    </xf>
  </cellXfs>
  <cellStyles count="17">
    <cellStyle name="Comma" xfId="1" builtinId="3"/>
    <cellStyle name="Comma [0]" xfId="9" builtinId="6"/>
    <cellStyle name="Comma [0] 2" xfId="14" xr:uid="{00000000-0005-0000-0000-000002000000}"/>
    <cellStyle name="Comma 10" xfId="4" xr:uid="{00000000-0005-0000-0000-000003000000}"/>
    <cellStyle name="Comma 2" xfId="6" xr:uid="{00000000-0005-0000-0000-000004000000}"/>
    <cellStyle name="Comma 3" xfId="12" xr:uid="{00000000-0005-0000-0000-000005000000}"/>
    <cellStyle name="Comma 4" xfId="15" xr:uid="{00000000-0005-0000-0000-000006000000}"/>
    <cellStyle name="Heading 1" xfId="2" builtinId="16"/>
    <cellStyle name="Hyperlink" xfId="16" builtinId="8"/>
    <cellStyle name="Normal" xfId="0" builtinId="0"/>
    <cellStyle name="Normal 2" xfId="5" xr:uid="{00000000-0005-0000-0000-00000A000000}"/>
    <cellStyle name="Normal 2 2" xfId="8" xr:uid="{00000000-0005-0000-0000-00000B000000}"/>
    <cellStyle name="Normal 3" xfId="3" xr:uid="{00000000-0005-0000-0000-00000C000000}"/>
    <cellStyle name="Normal 4" xfId="11" xr:uid="{00000000-0005-0000-0000-00000D000000}"/>
    <cellStyle name="Normal 5" xfId="13" xr:uid="{00000000-0005-0000-0000-00000E000000}"/>
    <cellStyle name="Percent" xfId="10" builtinId="5"/>
    <cellStyle name="Percent 2" xfId="7" xr:uid="{00000000-0005-0000-0000-000010000000}"/>
  </cellStyles>
  <dxfs count="0"/>
  <tableStyles count="0" defaultTableStyle="TableStyleMedium2" defaultPivotStyle="PivotStyleMedium9"/>
  <colors>
    <mruColors>
      <color rgb="FF660066"/>
      <color rgb="FFBCF6BF"/>
      <color rgb="FF990099"/>
      <color rgb="FF99CCFF"/>
      <color rgb="FFFFCC99"/>
      <color rgb="FFFFCC00"/>
      <color rgb="FFFFFFCC"/>
      <color rgb="FF800080"/>
      <color rgb="FFCC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0000527042553415E-2"/>
          <c:y val="2.3399683017526006E-2"/>
          <c:w val="0.9"/>
          <c:h val="0.8987342148269201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invertIfNegative val="0"/>
          <c:val>
            <c:numRef>
              <c:f>MEBL!$M$46:$Q$46</c:f>
              <c:numCache>
                <c:formatCode>_(* #,##0_);_(* \(#,##0\);_(* "-"??_);_(@_)</c:formatCode>
                <c:ptCount val="5"/>
                <c:pt idx="0">
                  <c:v>42346.320999999996</c:v>
                </c:pt>
                <c:pt idx="1">
                  <c:v>62401.465156272723</c:v>
                </c:pt>
                <c:pt idx="2">
                  <c:v>56655.574270009667</c:v>
                </c:pt>
                <c:pt idx="3">
                  <c:v>66434.396561705755</c:v>
                </c:pt>
                <c:pt idx="4">
                  <c:v>72939.494230107288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8B-4E50-B003-0BA56A5D95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4566128"/>
        <c:axId val="344562600"/>
      </c:barChart>
      <c:catAx>
        <c:axId val="344566128"/>
        <c:scaling>
          <c:orientation val="minMax"/>
        </c:scaling>
        <c:delete val="1"/>
        <c:axPos val="b"/>
        <c:majorTickMark val="none"/>
        <c:minorTickMark val="none"/>
        <c:tickLblPos val="nextTo"/>
        <c:crossAx val="344562600"/>
        <c:crosses val="autoZero"/>
        <c:auto val="1"/>
        <c:lblAlgn val="ctr"/>
        <c:lblOffset val="100"/>
        <c:noMultiLvlLbl val="0"/>
      </c:catAx>
      <c:valAx>
        <c:axId val="344562600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44566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6934404283801874E-2"/>
          <c:y val="0.30593047542494656"/>
          <c:w val="0.88286479250334671"/>
          <c:h val="0.6621621621621621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MEBL!$M$37:$Q$37</c:f>
              <c:numCache>
                <c:formatCode>_(* #,##0_);_(* \(#,##0\);_(* "-"??_);_(@_)</c:formatCode>
                <c:ptCount val="5"/>
                <c:pt idx="0">
                  <c:v>62780.945999999996</c:v>
                </c:pt>
                <c:pt idx="1">
                  <c:v>79286.512741720537</c:v>
                </c:pt>
                <c:pt idx="2">
                  <c:v>87493.574967453693</c:v>
                </c:pt>
                <c:pt idx="3">
                  <c:v>104920.68262253082</c:v>
                </c:pt>
                <c:pt idx="4">
                  <c:v>123866.70905600724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99-4DB9-9B88-6E6E876B52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6426648"/>
        <c:axId val="306430176"/>
      </c:barChart>
      <c:catAx>
        <c:axId val="306426648"/>
        <c:scaling>
          <c:orientation val="minMax"/>
        </c:scaling>
        <c:delete val="1"/>
        <c:axPos val="b"/>
        <c:majorTickMark val="none"/>
        <c:minorTickMark val="none"/>
        <c:tickLblPos val="nextTo"/>
        <c:crossAx val="306430176"/>
        <c:crosses val="autoZero"/>
        <c:auto val="1"/>
        <c:lblAlgn val="ctr"/>
        <c:lblOffset val="100"/>
        <c:noMultiLvlLbl val="0"/>
      </c:catAx>
      <c:valAx>
        <c:axId val="3064301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06426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NIMS</a:t>
            </a:r>
            <a:r>
              <a:rPr lang="en-US" b="1" baseline="0"/>
              <a:t> and Interest Earning Assets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'Raw Data'!$A$3:$A$18</c:f>
              <c:strCache>
                <c:ptCount val="1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2020E</c:v>
                </c:pt>
                <c:pt idx="11">
                  <c:v>2021F</c:v>
                </c:pt>
                <c:pt idx="12">
                  <c:v>2022F</c:v>
                </c:pt>
                <c:pt idx="13">
                  <c:v>2023F</c:v>
                </c:pt>
                <c:pt idx="14">
                  <c:v>2024F</c:v>
                </c:pt>
                <c:pt idx="15">
                  <c:v>2025F</c:v>
                </c:pt>
              </c:strCache>
            </c:strRef>
          </c:cat>
          <c:val>
            <c:numRef>
              <c:f>'Raw Data'!$B$3:$B$18</c:f>
              <c:numCache>
                <c:formatCode>_(* #,##0_);_(* \(#,##0\);_(* "-"??_);_(@_)</c:formatCode>
                <c:ptCount val="16"/>
                <c:pt idx="0">
                  <c:v>9957.7569999999996</c:v>
                </c:pt>
                <c:pt idx="1">
                  <c:v>2354.9079999999999</c:v>
                </c:pt>
                <c:pt idx="2">
                  <c:v>3851.15</c:v>
                </c:pt>
                <c:pt idx="3">
                  <c:v>3554.2339999999999</c:v>
                </c:pt>
                <c:pt idx="4">
                  <c:v>5501.0770000000002</c:v>
                </c:pt>
                <c:pt idx="5">
                  <c:v>11175.06</c:v>
                </c:pt>
                <c:pt idx="6">
                  <c:v>12067.855</c:v>
                </c:pt>
                <c:pt idx="7">
                  <c:v>4940.09</c:v>
                </c:pt>
                <c:pt idx="8">
                  <c:v>8277.1460000000006</c:v>
                </c:pt>
                <c:pt idx="9">
                  <c:v>15414.833000000001</c:v>
                </c:pt>
                <c:pt idx="10">
                  <c:v>16093.769504580312</c:v>
                </c:pt>
                <c:pt idx="11">
                  <c:v>14442.733157189343</c:v>
                </c:pt>
                <c:pt idx="12">
                  <c:v>18285.285897117396</c:v>
                </c:pt>
                <c:pt idx="13">
                  <c:v>21720.020262217869</c:v>
                </c:pt>
                <c:pt idx="14">
                  <c:v>23489.473499574426</c:v>
                </c:pt>
                <c:pt idx="15">
                  <c:v>26059.809591803274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5E-4363-A649-8F4779174734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'Raw Data'!$A$3:$A$18</c:f>
              <c:strCache>
                <c:ptCount val="1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2020E</c:v>
                </c:pt>
                <c:pt idx="11">
                  <c:v>2021F</c:v>
                </c:pt>
                <c:pt idx="12">
                  <c:v>2022F</c:v>
                </c:pt>
                <c:pt idx="13">
                  <c:v>2023F</c:v>
                </c:pt>
                <c:pt idx="14">
                  <c:v>2024F</c:v>
                </c:pt>
                <c:pt idx="15">
                  <c:v>2025F</c:v>
                </c:pt>
              </c:strCache>
            </c:strRef>
          </c:cat>
          <c:val>
            <c:numRef>
              <c:f>'Raw Data'!$C$3:$C$18</c:f>
              <c:numCache>
                <c:formatCode>_(* #,##0_);_(* \(#,##0\);_(* "-"??_);_(@_)</c:formatCode>
                <c:ptCount val="16"/>
                <c:pt idx="0">
                  <c:v>10511.855</c:v>
                </c:pt>
                <c:pt idx="1">
                  <c:v>4065.4059999999999</c:v>
                </c:pt>
                <c:pt idx="2">
                  <c:v>500</c:v>
                </c:pt>
                <c:pt idx="3">
                  <c:v>7442.732</c:v>
                </c:pt>
                <c:pt idx="4">
                  <c:v>90766.297000000006</c:v>
                </c:pt>
                <c:pt idx="5">
                  <c:v>170474.42199999999</c:v>
                </c:pt>
                <c:pt idx="6">
                  <c:v>129115.16499999999</c:v>
                </c:pt>
                <c:pt idx="7">
                  <c:v>147229.22099999999</c:v>
                </c:pt>
                <c:pt idx="8">
                  <c:v>184814.6</c:v>
                </c:pt>
                <c:pt idx="9">
                  <c:v>223689.32500000001</c:v>
                </c:pt>
                <c:pt idx="10">
                  <c:v>267520.46852020646</c:v>
                </c:pt>
                <c:pt idx="11">
                  <c:v>235436.2063769105</c:v>
                </c:pt>
                <c:pt idx="12">
                  <c:v>223593.95095288794</c:v>
                </c:pt>
                <c:pt idx="13">
                  <c:v>220154.03168405217</c:v>
                </c:pt>
                <c:pt idx="14">
                  <c:v>231234.52143440818</c:v>
                </c:pt>
                <c:pt idx="15">
                  <c:v>242144.8586668038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5E-4363-A649-8F4779174734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'Raw Data'!$A$3:$A$18</c:f>
              <c:strCache>
                <c:ptCount val="1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2020E</c:v>
                </c:pt>
                <c:pt idx="11">
                  <c:v>2021F</c:v>
                </c:pt>
                <c:pt idx="12">
                  <c:v>2022F</c:v>
                </c:pt>
                <c:pt idx="13">
                  <c:v>2023F</c:v>
                </c:pt>
                <c:pt idx="14">
                  <c:v>2024F</c:v>
                </c:pt>
                <c:pt idx="15">
                  <c:v>2025F</c:v>
                </c:pt>
              </c:strCache>
            </c:strRef>
          </c:cat>
          <c:val>
            <c:numRef>
              <c:f>'Raw Data'!$D$3:$D$18</c:f>
              <c:numCache>
                <c:formatCode>_(* #,##0_);_(* \(#,##0\);_(* "-"??_);_(@_)</c:formatCode>
                <c:ptCount val="16"/>
                <c:pt idx="0">
                  <c:v>50519.385999999999</c:v>
                </c:pt>
                <c:pt idx="1">
                  <c:v>99949.542000000001</c:v>
                </c:pt>
                <c:pt idx="2">
                  <c:v>152459.85500000001</c:v>
                </c:pt>
                <c:pt idx="3">
                  <c:v>151613.93299999999</c:v>
                </c:pt>
                <c:pt idx="4">
                  <c:v>114089.25199999999</c:v>
                </c:pt>
                <c:pt idx="5">
                  <c:v>76909.951000000001</c:v>
                </c:pt>
                <c:pt idx="6">
                  <c:v>134796.57399999999</c:v>
                </c:pt>
                <c:pt idx="7">
                  <c:v>123160.901</c:v>
                </c:pt>
                <c:pt idx="8">
                  <c:v>127115.376</c:v>
                </c:pt>
                <c:pt idx="9">
                  <c:v>229667.07199999999</c:v>
                </c:pt>
                <c:pt idx="10">
                  <c:v>382748.72247422516</c:v>
                </c:pt>
                <c:pt idx="11">
                  <c:v>470865.8123224224</c:v>
                </c:pt>
                <c:pt idx="12">
                  <c:v>558975.57269861014</c:v>
                </c:pt>
                <c:pt idx="13">
                  <c:v>628999.55304036802</c:v>
                </c:pt>
                <c:pt idx="14">
                  <c:v>711476.25893227523</c:v>
                </c:pt>
                <c:pt idx="15">
                  <c:v>807131.61491796689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15E-4363-A649-8F4779174734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'Raw Data'!$A$3:$A$18</c:f>
              <c:strCache>
                <c:ptCount val="1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2020E</c:v>
                </c:pt>
                <c:pt idx="11">
                  <c:v>2021F</c:v>
                </c:pt>
                <c:pt idx="12">
                  <c:v>2022F</c:v>
                </c:pt>
                <c:pt idx="13">
                  <c:v>2023F</c:v>
                </c:pt>
                <c:pt idx="14">
                  <c:v>2024F</c:v>
                </c:pt>
                <c:pt idx="15">
                  <c:v>2025F</c:v>
                </c:pt>
              </c:strCache>
            </c:strRef>
          </c:cat>
          <c:val>
            <c:numRef>
              <c:f>'Raw Data'!$E$3:$E$18</c:f>
              <c:numCache>
                <c:formatCode>_(* #,##0_);_(* \(#,##0\);_(* "-"??_);_(@_)</c:formatCode>
                <c:ptCount val="16"/>
                <c:pt idx="0">
                  <c:v>53995.163</c:v>
                </c:pt>
                <c:pt idx="1">
                  <c:v>58955.584999999999</c:v>
                </c:pt>
                <c:pt idx="2">
                  <c:v>88678.076000000001</c:v>
                </c:pt>
                <c:pt idx="3">
                  <c:v>127622.868</c:v>
                </c:pt>
                <c:pt idx="4">
                  <c:v>175711.94200000001</c:v>
                </c:pt>
                <c:pt idx="5">
                  <c:v>207568.823</c:v>
                </c:pt>
                <c:pt idx="6">
                  <c:v>311530.27</c:v>
                </c:pt>
                <c:pt idx="7">
                  <c:v>419929.14899999998</c:v>
                </c:pt>
                <c:pt idx="8">
                  <c:v>512564.522</c:v>
                </c:pt>
                <c:pt idx="9">
                  <c:v>493775.34600000002</c:v>
                </c:pt>
                <c:pt idx="10">
                  <c:v>525777.78094048181</c:v>
                </c:pt>
                <c:pt idx="11">
                  <c:v>594246.96567297215</c:v>
                </c:pt>
                <c:pt idx="12">
                  <c:v>686372.43312637124</c:v>
                </c:pt>
                <c:pt idx="13">
                  <c:v>789143.07354830357</c:v>
                </c:pt>
                <c:pt idx="14">
                  <c:v>911449.86025834479</c:v>
                </c:pt>
                <c:pt idx="15">
                  <c:v>1055088.3193154507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15E-4363-A649-8F47791747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6428608"/>
        <c:axId val="306427432"/>
      </c:barChart>
      <c:lineChart>
        <c:grouping val="standard"/>
        <c:varyColors val="0"/>
        <c:ser>
          <c:idx val="4"/>
          <c:order val="4"/>
          <c:spPr>
            <a:ln w="28575" cap="rnd">
              <a:solidFill>
                <a:srgbClr val="FFCC00"/>
              </a:solidFill>
              <a:round/>
            </a:ln>
            <a:effectLst/>
          </c:spPr>
          <c:marker>
            <c:symbol val="none"/>
          </c:marker>
          <c:dPt>
            <c:idx val="10"/>
            <c:marker>
              <c:symbol val="none"/>
            </c:marker>
            <c:bubble3D val="0"/>
            <c:spPr>
              <a:ln w="28575" cap="rnd">
                <a:solidFill>
                  <a:schemeClr val="accent6">
                    <a:lumMod val="7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915E-4363-A649-8F4779174734}"/>
              </c:ext>
            </c:extLst>
          </c:dPt>
          <c:dPt>
            <c:idx val="11"/>
            <c:marker>
              <c:symbol val="none"/>
            </c:marker>
            <c:bubble3D val="0"/>
            <c:spPr>
              <a:ln w="28575" cap="rnd">
                <a:solidFill>
                  <a:schemeClr val="accent6">
                    <a:lumMod val="7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915E-4363-A649-8F4779174734}"/>
              </c:ext>
            </c:extLst>
          </c:dPt>
          <c:dPt>
            <c:idx val="12"/>
            <c:marker>
              <c:symbol val="none"/>
            </c:marker>
            <c:bubble3D val="0"/>
            <c:spPr>
              <a:ln w="28575" cap="rnd">
                <a:solidFill>
                  <a:schemeClr val="accent6">
                    <a:lumMod val="7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915E-4363-A649-8F4779174734}"/>
              </c:ext>
            </c:extLst>
          </c:dPt>
          <c:dPt>
            <c:idx val="13"/>
            <c:marker>
              <c:symbol val="none"/>
            </c:marker>
            <c:bubble3D val="0"/>
            <c:spPr>
              <a:ln w="28575" cap="rnd">
                <a:solidFill>
                  <a:schemeClr val="accent6">
                    <a:lumMod val="7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915E-4363-A649-8F4779174734}"/>
              </c:ext>
            </c:extLst>
          </c:dPt>
          <c:dPt>
            <c:idx val="14"/>
            <c:marker>
              <c:symbol val="none"/>
            </c:marker>
            <c:bubble3D val="0"/>
            <c:spPr>
              <a:ln w="28575" cap="rnd">
                <a:solidFill>
                  <a:schemeClr val="accent6">
                    <a:lumMod val="7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915E-4363-A649-8F4779174734}"/>
              </c:ext>
            </c:extLst>
          </c:dPt>
          <c:dPt>
            <c:idx val="15"/>
            <c:marker>
              <c:symbol val="none"/>
            </c:marker>
            <c:bubble3D val="0"/>
            <c:spPr>
              <a:ln w="28575" cap="rnd">
                <a:solidFill>
                  <a:schemeClr val="accent6">
                    <a:lumMod val="7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F-915E-4363-A649-8F4779174734}"/>
              </c:ext>
            </c:extLst>
          </c:dPt>
          <c:cat>
            <c:strRef>
              <c:f>'Raw Data'!$A$3:$A$18</c:f>
              <c:strCache>
                <c:ptCount val="1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2020E</c:v>
                </c:pt>
                <c:pt idx="11">
                  <c:v>2021F</c:v>
                </c:pt>
                <c:pt idx="12">
                  <c:v>2022F</c:v>
                </c:pt>
                <c:pt idx="13">
                  <c:v>2023F</c:v>
                </c:pt>
                <c:pt idx="14">
                  <c:v>2024F</c:v>
                </c:pt>
                <c:pt idx="15">
                  <c:v>2025F</c:v>
                </c:pt>
              </c:strCache>
            </c:strRef>
          </c:cat>
          <c:val>
            <c:numRef>
              <c:f>'Raw Data'!$F$3:$F$18</c:f>
              <c:numCache>
                <c:formatCode>0.00%</c:formatCode>
                <c:ptCount val="16"/>
                <c:pt idx="0">
                  <c:v>4.5431348697056104E-2</c:v>
                </c:pt>
                <c:pt idx="1">
                  <c:v>5.6503675075634627E-2</c:v>
                </c:pt>
                <c:pt idx="2">
                  <c:v>4.2578015924056523E-2</c:v>
                </c:pt>
                <c:pt idx="3">
                  <c:v>3.6676810937715597E-2</c:v>
                </c:pt>
                <c:pt idx="4">
                  <c:v>3.4612527689640876E-2</c:v>
                </c:pt>
                <c:pt idx="5">
                  <c:v>3.9080643075196896E-2</c:v>
                </c:pt>
                <c:pt idx="6">
                  <c:v>3.1587304549494336E-2</c:v>
                </c:pt>
                <c:pt idx="7">
                  <c:v>2.9951701721855708E-2</c:v>
                </c:pt>
                <c:pt idx="8">
                  <c:v>3.3833740861618479E-2</c:v>
                </c:pt>
                <c:pt idx="9">
                  <c:v>4.8343375957320946E-2</c:v>
                </c:pt>
                <c:pt idx="10">
                  <c:v>5.6806722590910491E-2</c:v>
                </c:pt>
                <c:pt idx="11">
                  <c:v>4.7239168965521459E-2</c:v>
                </c:pt>
                <c:pt idx="12">
                  <c:v>4.5791103388969918E-2</c:v>
                </c:pt>
                <c:pt idx="13">
                  <c:v>4.5849561158982845E-2</c:v>
                </c:pt>
                <c:pt idx="14">
                  <c:v>4.6175430142741947E-2</c:v>
                </c:pt>
                <c:pt idx="15">
                  <c:v>4.6436499446310613E-2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915E-4363-A649-8F47791747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7008656"/>
        <c:axId val="344563384"/>
      </c:lineChart>
      <c:catAx>
        <c:axId val="306428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427432"/>
        <c:crosses val="autoZero"/>
        <c:auto val="1"/>
        <c:lblAlgn val="ctr"/>
        <c:lblOffset val="100"/>
        <c:noMultiLvlLbl val="0"/>
      </c:catAx>
      <c:valAx>
        <c:axId val="3064274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Earnings</a:t>
                </a:r>
                <a:r>
                  <a:rPr lang="en-US" b="1" baseline="0"/>
                  <a:t> Assets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428608"/>
        <c:crosses val="autoZero"/>
        <c:crossBetween val="between"/>
      </c:valAx>
      <c:valAx>
        <c:axId val="34456338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NIMS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008656"/>
        <c:crosses val="max"/>
        <c:crossBetween val="between"/>
      </c:valAx>
      <c:catAx>
        <c:axId val="30700865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445633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Deposits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980358705161855"/>
          <c:y val="0.15824074074074074"/>
          <c:w val="0.84352974628171484"/>
          <c:h val="0.6751567512394285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rgbClr val="FFCC00"/>
                </a:solidFill>
                <a:prstDash val="solid"/>
                <a:headEnd type="none" w="med" len="med"/>
                <a:tailEnd type="triangle" w="med" len="med"/>
              </a:ln>
              <a:effectLst/>
            </c:spPr>
            <c:trendlineType val="linear"/>
            <c:dispRSqr val="0"/>
            <c:dispEq val="0"/>
          </c:trendline>
          <c:cat>
            <c:strRef>
              <c:f>'Raw Data'!$A$31:$A$35</c:f>
              <c:strCache>
                <c:ptCount val="5"/>
                <c:pt idx="0">
                  <c:v>2019</c:v>
                </c:pt>
                <c:pt idx="1">
                  <c:v>2020E</c:v>
                </c:pt>
                <c:pt idx="2">
                  <c:v>2021F</c:v>
                </c:pt>
                <c:pt idx="3">
                  <c:v>2022F</c:v>
                </c:pt>
                <c:pt idx="4">
                  <c:v>2023F</c:v>
                </c:pt>
              </c:strCache>
            </c:strRef>
          </c:cat>
          <c:val>
            <c:numRef>
              <c:f>'Raw Data'!$B$31:$B$35</c:f>
              <c:numCache>
                <c:formatCode>_(* #,##0_);_(* \(#,##0\);_(* "-"??_);_(@_)</c:formatCode>
                <c:ptCount val="5"/>
                <c:pt idx="0">
                  <c:v>932568.76500000001</c:v>
                </c:pt>
                <c:pt idx="1">
                  <c:v>1114656.249153849</c:v>
                </c:pt>
                <c:pt idx="2">
                  <c:v>1239120.5587432168</c:v>
                </c:pt>
                <c:pt idx="3">
                  <c:v>1397438.9317465252</c:v>
                </c:pt>
                <c:pt idx="4">
                  <c:v>1572498.88260092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D8-4163-B9C0-613717EB18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7005520"/>
        <c:axId val="307009048"/>
      </c:barChart>
      <c:catAx>
        <c:axId val="307005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009048"/>
        <c:crosses val="autoZero"/>
        <c:auto val="1"/>
        <c:lblAlgn val="ctr"/>
        <c:lblOffset val="100"/>
        <c:noMultiLvlLbl val="0"/>
      </c:catAx>
      <c:valAx>
        <c:axId val="307009048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005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Deposit</a:t>
            </a:r>
            <a:r>
              <a:rPr lang="en-US" baseline="0"/>
              <a:t> Composition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876159230096237"/>
          <c:y val="0.17171296296296296"/>
          <c:w val="0.84068285214348204"/>
          <c:h val="0.6037006104574006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'Raw Data'!$L$21</c:f>
              <c:strCache>
                <c:ptCount val="1"/>
                <c:pt idx="0">
                  <c:v>Fixed deposits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'Raw Data'!$K$27:$K$32</c:f>
              <c:strCach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2020E</c:v>
                </c:pt>
              </c:strCache>
            </c:strRef>
          </c:cat>
          <c:val>
            <c:numRef>
              <c:f>'Raw Data'!$L$27:$L$32</c:f>
              <c:numCache>
                <c:formatCode>0.00%</c:formatCode>
                <c:ptCount val="6"/>
                <c:pt idx="0">
                  <c:v>0.28360810577856088</c:v>
                </c:pt>
                <c:pt idx="1">
                  <c:v>0.25428695163109855</c:v>
                </c:pt>
                <c:pt idx="2">
                  <c:v>0.25358144997636539</c:v>
                </c:pt>
                <c:pt idx="3">
                  <c:v>0.26906656770334686</c:v>
                </c:pt>
                <c:pt idx="4">
                  <c:v>0.26284907495577231</c:v>
                </c:pt>
                <c:pt idx="5">
                  <c:v>0.26284907495577231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48-4B15-85EE-C4D09DA2579D}"/>
            </c:ext>
          </c:extLst>
        </c:ser>
        <c:ser>
          <c:idx val="1"/>
          <c:order val="1"/>
          <c:tx>
            <c:strRef>
              <c:f>'Raw Data'!$M$21</c:f>
              <c:strCache>
                <c:ptCount val="1"/>
                <c:pt idx="0">
                  <c:v>Savings deposits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'Raw Data'!$K$27:$K$32</c:f>
              <c:strCach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2020E</c:v>
                </c:pt>
              </c:strCache>
            </c:strRef>
          </c:cat>
          <c:val>
            <c:numRef>
              <c:f>'Raw Data'!$M$27:$M$32</c:f>
              <c:numCache>
                <c:formatCode>0.00%</c:formatCode>
                <c:ptCount val="6"/>
                <c:pt idx="0">
                  <c:v>0.39736430833156927</c:v>
                </c:pt>
                <c:pt idx="1">
                  <c:v>0.39494180236753074</c:v>
                </c:pt>
                <c:pt idx="2">
                  <c:v>0.39010819699635746</c:v>
                </c:pt>
                <c:pt idx="3">
                  <c:v>0.36270932683833479</c:v>
                </c:pt>
                <c:pt idx="4">
                  <c:v>0.37536804047485944</c:v>
                </c:pt>
                <c:pt idx="5">
                  <c:v>0.37536804047485944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48-4B15-85EE-C4D09DA2579D}"/>
            </c:ext>
          </c:extLst>
        </c:ser>
        <c:ser>
          <c:idx val="2"/>
          <c:order val="2"/>
          <c:tx>
            <c:strRef>
              <c:f>'Raw Data'!$N$21</c:f>
              <c:strCache>
                <c:ptCount val="1"/>
                <c:pt idx="0">
                  <c:v>Current accounts- non remuunerative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'Raw Data'!$K$27:$K$32</c:f>
              <c:strCach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2020E</c:v>
                </c:pt>
              </c:strCache>
            </c:strRef>
          </c:cat>
          <c:val>
            <c:numRef>
              <c:f>'Raw Data'!$N$27:$N$32</c:f>
              <c:numCache>
                <c:formatCode>0.00%</c:formatCode>
                <c:ptCount val="6"/>
                <c:pt idx="0">
                  <c:v>0.31902758588986985</c:v>
                </c:pt>
                <c:pt idx="1">
                  <c:v>0.35077124600137077</c:v>
                </c:pt>
                <c:pt idx="2">
                  <c:v>0.35631035302727704</c:v>
                </c:pt>
                <c:pt idx="3">
                  <c:v>0.3682241054583183</c:v>
                </c:pt>
                <c:pt idx="4">
                  <c:v>0.36178288456936825</c:v>
                </c:pt>
                <c:pt idx="5">
                  <c:v>0.36178288456936825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948-4B15-85EE-C4D09DA2579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07003168"/>
        <c:axId val="307009440"/>
      </c:barChart>
      <c:catAx>
        <c:axId val="307003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009440"/>
        <c:crosses val="autoZero"/>
        <c:auto val="1"/>
        <c:lblAlgn val="ctr"/>
        <c:lblOffset val="100"/>
        <c:noMultiLvlLbl val="0"/>
      </c:catAx>
      <c:valAx>
        <c:axId val="307009440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003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'Raw Data'!$B$42:$B$48</c:f>
              <c:strCache>
                <c:ptCount val="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2020E</c:v>
                </c:pt>
              </c:strCache>
            </c:strRef>
          </c:cat>
          <c:val>
            <c:numRef>
              <c:f>'Raw Data'!$C$42:$C$48</c:f>
              <c:numCache>
                <c:formatCode>General</c:formatCode>
                <c:ptCount val="7"/>
                <c:pt idx="0">
                  <c:v>428</c:v>
                </c:pt>
                <c:pt idx="1">
                  <c:v>551</c:v>
                </c:pt>
                <c:pt idx="2">
                  <c:v>571</c:v>
                </c:pt>
                <c:pt idx="3">
                  <c:v>601</c:v>
                </c:pt>
                <c:pt idx="4">
                  <c:v>660</c:v>
                </c:pt>
                <c:pt idx="5">
                  <c:v>760</c:v>
                </c:pt>
                <c:pt idx="6">
                  <c:v>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55-4B6F-BB32-392B255F54E8}"/>
            </c:ext>
          </c:extLst>
        </c:ser>
        <c:ser>
          <c:idx val="1"/>
          <c:order val="1"/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2.7777777777777779E-3"/>
                  <c:y val="-6.0174249052201811E-2"/>
                </c:manualLayout>
              </c:layout>
              <c:tx>
                <c:rich>
                  <a:bodyPr/>
                  <a:lstStyle/>
                  <a:p>
                    <a:fld id="{8FA82BF0-89EE-48CD-9621-040E206678D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3155-4B6F-BB32-392B255F54E8}"/>
                </c:ext>
              </c:extLst>
            </c:dLbl>
            <c:dLbl>
              <c:idx val="1"/>
              <c:layout>
                <c:manualLayout>
                  <c:x val="0"/>
                  <c:y val="-7.1371391076115481E-2"/>
                </c:manualLayout>
              </c:layout>
              <c:tx>
                <c:rich>
                  <a:bodyPr/>
                  <a:lstStyle/>
                  <a:p>
                    <a:fld id="{FB161192-5679-4C0D-B5BE-78C7533CF70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3155-4B6F-BB32-392B255F54E8}"/>
                </c:ext>
              </c:extLst>
            </c:dLbl>
            <c:dLbl>
              <c:idx val="2"/>
              <c:layout>
                <c:manualLayout>
                  <c:x val="-5.5555555555555558E-3"/>
                  <c:y val="-3.9052566345873431E-2"/>
                </c:manualLayout>
              </c:layout>
              <c:tx>
                <c:rich>
                  <a:bodyPr/>
                  <a:lstStyle/>
                  <a:p>
                    <a:fld id="{ADD0E3BA-038E-4DCC-885D-80859C3B82C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3155-4B6F-BB32-392B255F54E8}"/>
                </c:ext>
              </c:extLst>
            </c:dLbl>
            <c:dLbl>
              <c:idx val="3"/>
              <c:layout>
                <c:manualLayout>
                  <c:x val="0"/>
                  <c:y val="-4.4707640711577679E-2"/>
                </c:manualLayout>
              </c:layout>
              <c:tx>
                <c:rich>
                  <a:bodyPr/>
                  <a:lstStyle/>
                  <a:p>
                    <a:fld id="{126F42C9-F241-4513-9765-49D85772D18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3155-4B6F-BB32-392B255F54E8}"/>
                </c:ext>
              </c:extLst>
            </c:dLbl>
            <c:dLbl>
              <c:idx val="4"/>
              <c:layout>
                <c:manualLayout>
                  <c:x val="-2.7777777777777779E-3"/>
                  <c:y val="-5.2773038786818313E-2"/>
                </c:manualLayout>
              </c:layout>
              <c:tx>
                <c:rich>
                  <a:bodyPr/>
                  <a:lstStyle/>
                  <a:p>
                    <a:fld id="{EB7A24D2-0701-4B44-BB43-86A32FFD59E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3155-4B6F-BB32-392B255F54E8}"/>
                </c:ext>
              </c:extLst>
            </c:dLbl>
            <c:dLbl>
              <c:idx val="5"/>
              <c:layout>
                <c:manualLayout>
                  <c:x val="-1.0185067526415994E-16"/>
                  <c:y val="-6.5772820064158646E-2"/>
                </c:manualLayout>
              </c:layout>
              <c:tx>
                <c:rich>
                  <a:bodyPr/>
                  <a:lstStyle/>
                  <a:p>
                    <a:fld id="{77EDEA7B-D842-4D38-9884-A59E8D978BC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3155-4B6F-BB32-392B255F54E8}"/>
                </c:ext>
              </c:extLst>
            </c:dLbl>
            <c:dLbl>
              <c:idx val="6"/>
              <c:layout>
                <c:manualLayout>
                  <c:x val="-1.0185067526415994E-16"/>
                  <c:y val="-4.50116652085156E-2"/>
                </c:manualLayout>
              </c:layout>
              <c:tx>
                <c:rich>
                  <a:bodyPr/>
                  <a:lstStyle/>
                  <a:p>
                    <a:fld id="{A7DDC9AC-909A-46F0-99A5-22F1B0D01CE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3155-4B6F-BB32-392B255F54E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'Raw Data'!$B$42:$B$48</c:f>
              <c:strCache>
                <c:ptCount val="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2020E</c:v>
                </c:pt>
              </c:strCache>
            </c:strRef>
          </c:cat>
          <c:val>
            <c:numRef>
              <c:f>'Raw Data'!$D$42:$D$48</c:f>
              <c:numCache>
                <c:formatCode>General</c:formatCode>
                <c:ptCount val="7"/>
                <c:pt idx="0">
                  <c:v>77</c:v>
                </c:pt>
                <c:pt idx="1">
                  <c:v>123</c:v>
                </c:pt>
                <c:pt idx="2">
                  <c:v>20</c:v>
                </c:pt>
                <c:pt idx="3">
                  <c:v>30</c:v>
                </c:pt>
                <c:pt idx="4">
                  <c:v>59</c:v>
                </c:pt>
                <c:pt idx="5">
                  <c:v>100</c:v>
                </c:pt>
                <c:pt idx="6">
                  <c:v>42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'Raw Data'!$D$42:$D$48</c15:f>
                <c15:dlblRangeCache>
                  <c:ptCount val="7"/>
                  <c:pt idx="0">
                    <c:v>77</c:v>
                  </c:pt>
                  <c:pt idx="1">
                    <c:v>123</c:v>
                  </c:pt>
                  <c:pt idx="2">
                    <c:v>20</c:v>
                  </c:pt>
                  <c:pt idx="3">
                    <c:v>30</c:v>
                  </c:pt>
                  <c:pt idx="4">
                    <c:v>59</c:v>
                  </c:pt>
                  <c:pt idx="5">
                    <c:v>100</c:v>
                  </c:pt>
                  <c:pt idx="6">
                    <c:v>42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8-3155-4B6F-BB32-392B255F54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07002776"/>
        <c:axId val="307003560"/>
      </c:barChart>
      <c:catAx>
        <c:axId val="307002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003560"/>
        <c:crosses val="autoZero"/>
        <c:auto val="1"/>
        <c:lblAlgn val="ctr"/>
        <c:lblOffset val="100"/>
        <c:noMultiLvlLbl val="0"/>
      </c:catAx>
      <c:valAx>
        <c:axId val="3070035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002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Bank's</a:t>
            </a:r>
            <a:r>
              <a:rPr lang="en-US" sz="1200" baseline="0"/>
              <a:t> Growth in Comparison with Islamic Banking Industry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'Raw Data'!$C$55</c:f>
              <c:strCache>
                <c:ptCount val="1"/>
                <c:pt idx="0">
                  <c:v>IBIs Deposits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'Raw Data'!$B$56:$B$71</c:f>
              <c:strCache>
                <c:ptCount val="1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2020E</c:v>
                </c:pt>
                <c:pt idx="11">
                  <c:v>2021F</c:v>
                </c:pt>
                <c:pt idx="12">
                  <c:v>2022F</c:v>
                </c:pt>
                <c:pt idx="13">
                  <c:v>2023F</c:v>
                </c:pt>
                <c:pt idx="14">
                  <c:v>2024F</c:v>
                </c:pt>
                <c:pt idx="15">
                  <c:v>2025F</c:v>
                </c:pt>
              </c:strCache>
            </c:strRef>
          </c:cat>
          <c:val>
            <c:numRef>
              <c:f>'Raw Data'!$C$56:$C$71</c:f>
              <c:numCache>
                <c:formatCode>_(* #,##0_);_(* \(#,##0\);_(* "-"??_);_(@_)</c:formatCode>
                <c:ptCount val="16"/>
                <c:pt idx="0">
                  <c:v>390060</c:v>
                </c:pt>
                <c:pt idx="1">
                  <c:v>521000.3</c:v>
                </c:pt>
                <c:pt idx="2">
                  <c:v>706469.9</c:v>
                </c:pt>
                <c:pt idx="3">
                  <c:v>867698.8</c:v>
                </c:pt>
                <c:pt idx="4">
                  <c:v>1069713.5</c:v>
                </c:pt>
                <c:pt idx="5">
                  <c:v>1375000</c:v>
                </c:pt>
                <c:pt idx="6">
                  <c:v>1573000</c:v>
                </c:pt>
                <c:pt idx="7">
                  <c:v>1885000</c:v>
                </c:pt>
                <c:pt idx="8">
                  <c:v>2203000</c:v>
                </c:pt>
                <c:pt idx="9">
                  <c:v>2652000</c:v>
                </c:pt>
                <c:pt idx="10">
                  <c:v>3100603.9453702858</c:v>
                </c:pt>
                <c:pt idx="11">
                  <c:v>3445245.6920849476</c:v>
                </c:pt>
                <c:pt idx="12">
                  <c:v>3883050.9995768275</c:v>
                </c:pt>
                <c:pt idx="13">
                  <c:v>4362829.3576837713</c:v>
                </c:pt>
                <c:pt idx="14">
                  <c:v>4924270.9468373181</c:v>
                </c:pt>
                <c:pt idx="15">
                  <c:v>5556674.560847369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D8-42E1-AD5D-1F3BA7F05778}"/>
            </c:ext>
          </c:extLst>
        </c:ser>
        <c:ser>
          <c:idx val="1"/>
          <c:order val="1"/>
          <c:tx>
            <c:strRef>
              <c:f>'Raw Data'!$D$55</c:f>
              <c:strCache>
                <c:ptCount val="1"/>
                <c:pt idx="0">
                  <c:v>MEBL Deposit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'Raw Data'!$B$56:$B$71</c:f>
              <c:strCache>
                <c:ptCount val="1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2020E</c:v>
                </c:pt>
                <c:pt idx="11">
                  <c:v>2021F</c:v>
                </c:pt>
                <c:pt idx="12">
                  <c:v>2022F</c:v>
                </c:pt>
                <c:pt idx="13">
                  <c:v>2023F</c:v>
                </c:pt>
                <c:pt idx="14">
                  <c:v>2024F</c:v>
                </c:pt>
                <c:pt idx="15">
                  <c:v>2025F</c:v>
                </c:pt>
              </c:strCache>
            </c:strRef>
          </c:cat>
          <c:val>
            <c:numRef>
              <c:f>'Raw Data'!$D$56:$D$71</c:f>
              <c:numCache>
                <c:formatCode>_(* #,##0_);_(* \(#,##0\);_(* "-"??_);_(@_)</c:formatCode>
                <c:ptCount val="16"/>
                <c:pt idx="0">
                  <c:v>131067.996</c:v>
                </c:pt>
                <c:pt idx="1">
                  <c:v>170022.486</c:v>
                </c:pt>
                <c:pt idx="2">
                  <c:v>230425.986</c:v>
                </c:pt>
                <c:pt idx="3">
                  <c:v>289810.51899999997</c:v>
                </c:pt>
                <c:pt idx="4">
                  <c:v>380421.56900000002</c:v>
                </c:pt>
                <c:pt idx="5">
                  <c:v>471820.95899999997</c:v>
                </c:pt>
                <c:pt idx="6">
                  <c:v>563999.85199999996</c:v>
                </c:pt>
                <c:pt idx="7">
                  <c:v>673180.31</c:v>
                </c:pt>
                <c:pt idx="8">
                  <c:v>785444.59199999995</c:v>
                </c:pt>
                <c:pt idx="9">
                  <c:v>932568.76500000001</c:v>
                </c:pt>
                <c:pt idx="10">
                  <c:v>1114656.249153849</c:v>
                </c:pt>
                <c:pt idx="11">
                  <c:v>1239120.5587432168</c:v>
                </c:pt>
                <c:pt idx="12">
                  <c:v>1397438.9317465252</c:v>
                </c:pt>
                <c:pt idx="13">
                  <c:v>1572498.88260092</c:v>
                </c:pt>
                <c:pt idx="14">
                  <c:v>1778690.6473306878</c:v>
                </c:pt>
                <c:pt idx="15">
                  <c:v>2017829.037294917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D8-42E1-AD5D-1F3BA7F057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7004344"/>
        <c:axId val="307005128"/>
      </c:barChart>
      <c:lineChart>
        <c:grouping val="standard"/>
        <c:varyColors val="0"/>
        <c:ser>
          <c:idx val="2"/>
          <c:order val="2"/>
          <c:tx>
            <c:strRef>
              <c:f>'Raw Data'!$E$55</c:f>
              <c:strCache>
                <c:ptCount val="1"/>
                <c:pt idx="0">
                  <c:v>MEBL as % of IBI deposit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Pt>
            <c:idx val="10"/>
            <c:marker>
              <c:symbol val="none"/>
            </c:marker>
            <c:bubble3D val="0"/>
            <c:spPr>
              <a:ln w="28575" cap="rnd">
                <a:solidFill>
                  <a:schemeClr val="accent6">
                    <a:lumMod val="7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01D8-42E1-AD5D-1F3BA7F05778}"/>
              </c:ext>
            </c:extLst>
          </c:dPt>
          <c:dPt>
            <c:idx val="11"/>
            <c:marker>
              <c:symbol val="none"/>
            </c:marker>
            <c:bubble3D val="0"/>
            <c:spPr>
              <a:ln w="28575" cap="rnd">
                <a:solidFill>
                  <a:schemeClr val="accent6">
                    <a:lumMod val="7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01D8-42E1-AD5D-1F3BA7F05778}"/>
              </c:ext>
            </c:extLst>
          </c:dPt>
          <c:dPt>
            <c:idx val="12"/>
            <c:marker>
              <c:symbol val="none"/>
            </c:marker>
            <c:bubble3D val="0"/>
            <c:spPr>
              <a:ln w="28575" cap="rnd">
                <a:solidFill>
                  <a:schemeClr val="accent6">
                    <a:lumMod val="7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01D8-42E1-AD5D-1F3BA7F05778}"/>
              </c:ext>
            </c:extLst>
          </c:dPt>
          <c:dPt>
            <c:idx val="13"/>
            <c:marker>
              <c:symbol val="none"/>
            </c:marker>
            <c:bubble3D val="0"/>
            <c:spPr>
              <a:ln w="28575" cap="rnd">
                <a:solidFill>
                  <a:schemeClr val="accent6">
                    <a:lumMod val="7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01D8-42E1-AD5D-1F3BA7F05778}"/>
              </c:ext>
            </c:extLst>
          </c:dPt>
          <c:dPt>
            <c:idx val="14"/>
            <c:marker>
              <c:symbol val="none"/>
            </c:marker>
            <c:bubble3D val="0"/>
            <c:spPr>
              <a:ln w="28575" cap="rnd">
                <a:solidFill>
                  <a:schemeClr val="accent6">
                    <a:lumMod val="7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01D8-42E1-AD5D-1F3BA7F05778}"/>
              </c:ext>
            </c:extLst>
          </c:dPt>
          <c:dPt>
            <c:idx val="15"/>
            <c:marker>
              <c:symbol val="none"/>
            </c:marker>
            <c:bubble3D val="0"/>
            <c:spPr>
              <a:ln w="28575" cap="rnd">
                <a:solidFill>
                  <a:schemeClr val="accent6">
                    <a:lumMod val="7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01D8-42E1-AD5D-1F3BA7F05778}"/>
              </c:ext>
            </c:extLst>
          </c:dPt>
          <c:cat>
            <c:strRef>
              <c:f>'Raw Data'!$B$56:$B$71</c:f>
              <c:strCache>
                <c:ptCount val="1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2020E</c:v>
                </c:pt>
                <c:pt idx="11">
                  <c:v>2021F</c:v>
                </c:pt>
                <c:pt idx="12">
                  <c:v>2022F</c:v>
                </c:pt>
                <c:pt idx="13">
                  <c:v>2023F</c:v>
                </c:pt>
                <c:pt idx="14">
                  <c:v>2024F</c:v>
                </c:pt>
                <c:pt idx="15">
                  <c:v>2025F</c:v>
                </c:pt>
              </c:strCache>
            </c:strRef>
          </c:cat>
          <c:val>
            <c:numRef>
              <c:f>'Raw Data'!$E$56:$E$71</c:f>
              <c:numCache>
                <c:formatCode>0.00%</c:formatCode>
                <c:ptCount val="16"/>
                <c:pt idx="0">
                  <c:v>0.33602008921704352</c:v>
                </c:pt>
                <c:pt idx="1">
                  <c:v>0.32633855681081181</c:v>
                </c:pt>
                <c:pt idx="2">
                  <c:v>0.32616532707196727</c:v>
                </c:pt>
                <c:pt idx="3">
                  <c:v>0.33399898559269642</c:v>
                </c:pt>
                <c:pt idx="4">
                  <c:v>0.35562939889979889</c:v>
                </c:pt>
                <c:pt idx="5">
                  <c:v>0.34314251563636361</c:v>
                </c:pt>
                <c:pt idx="6">
                  <c:v>0.3585504462809917</c:v>
                </c:pt>
                <c:pt idx="7">
                  <c:v>0.35712483289124669</c:v>
                </c:pt>
                <c:pt idx="8">
                  <c:v>0.35653408624602811</c:v>
                </c:pt>
                <c:pt idx="9">
                  <c:v>0.35164734728506786</c:v>
                </c:pt>
                <c:pt idx="10">
                  <c:v>0.35949649448721593</c:v>
                </c:pt>
                <c:pt idx="11">
                  <c:v>0.35966101389806615</c:v>
                </c:pt>
                <c:pt idx="12">
                  <c:v>0.3598816837324097</c:v>
                </c:pt>
                <c:pt idx="13">
                  <c:v>0.36043098495966863</c:v>
                </c:pt>
                <c:pt idx="14">
                  <c:v>0.3612089315420543</c:v>
                </c:pt>
                <c:pt idx="15">
                  <c:v>0.36313608349725035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1D8-42E1-AD5D-1F3BA7F057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7005912"/>
        <c:axId val="307009832"/>
      </c:lineChart>
      <c:catAx>
        <c:axId val="307004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005128"/>
        <c:crosses val="autoZero"/>
        <c:auto val="1"/>
        <c:lblAlgn val="ctr"/>
        <c:lblOffset val="100"/>
        <c:noMultiLvlLbl val="0"/>
      </c:catAx>
      <c:valAx>
        <c:axId val="307005128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004344"/>
        <c:crosses val="autoZero"/>
        <c:crossBetween val="between"/>
      </c:valAx>
      <c:valAx>
        <c:axId val="307009832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005912"/>
        <c:crosses val="max"/>
        <c:crossBetween val="between"/>
      </c:valAx>
      <c:catAx>
        <c:axId val="30700591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070098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Financing</a:t>
            </a:r>
            <a:r>
              <a:rPr lang="en-US" baseline="0"/>
              <a:t> Mix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explosion val="27"/>
          <c:dPt>
            <c:idx val="0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151-4502-BD52-796AA38C825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151-4502-BD52-796AA38C825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151-4502-BD52-796AA38C8251}"/>
              </c:ext>
            </c:extLst>
          </c:dPt>
          <c:dPt>
            <c:idx val="3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151-4502-BD52-796AA38C8251}"/>
              </c:ext>
            </c:extLst>
          </c:dPt>
          <c:dLbls>
            <c:dLbl>
              <c:idx val="0"/>
              <c:layout>
                <c:manualLayout>
                  <c:x val="5.8333333333333334E-2"/>
                  <c:y val="-2.3148148148148147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60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151-4502-BD52-796AA38C8251}"/>
                </c:ext>
              </c:extLst>
            </c:dLbl>
            <c:dLbl>
              <c:idx val="1"/>
              <c:layout>
                <c:manualLayout>
                  <c:x val="-3.3333333333333333E-2"/>
                  <c:y val="-3.2407407407407447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60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151-4502-BD52-796AA38C8251}"/>
                </c:ext>
              </c:extLst>
            </c:dLbl>
            <c:dLbl>
              <c:idx val="2"/>
              <c:layout>
                <c:manualLayout>
                  <c:x val="-2.7777777777777776E-2"/>
                  <c:y val="-5.0925925925925923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60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151-4502-BD52-796AA38C8251}"/>
                </c:ext>
              </c:extLst>
            </c:dLbl>
            <c:dLbl>
              <c:idx val="3"/>
              <c:layout>
                <c:manualLayout>
                  <c:x val="3.3333333333333333E-2"/>
                  <c:y val="-3.7037037037037035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60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151-4502-BD52-796AA38C825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'Raw Data'!$B$74:$B$77</c:f>
              <c:strCache>
                <c:ptCount val="4"/>
                <c:pt idx="0">
                  <c:v>Corporate</c:v>
                </c:pt>
                <c:pt idx="1">
                  <c:v>SME/Commercial</c:v>
                </c:pt>
                <c:pt idx="2">
                  <c:v>Consumer</c:v>
                </c:pt>
                <c:pt idx="3">
                  <c:v>Staff</c:v>
                </c:pt>
              </c:strCache>
            </c:strRef>
          </c:cat>
          <c:val>
            <c:numRef>
              <c:f>'Raw Data'!$C$74:$C$77</c:f>
              <c:numCache>
                <c:formatCode>0%</c:formatCode>
                <c:ptCount val="4"/>
                <c:pt idx="0">
                  <c:v>0.73</c:v>
                </c:pt>
                <c:pt idx="1">
                  <c:v>0.16</c:v>
                </c:pt>
                <c:pt idx="2">
                  <c:v>0.1</c:v>
                </c:pt>
                <c:pt idx="3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151-4502-BD52-796AA38C825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</a:t>
            </a:r>
            <a:r>
              <a:rPr lang="en-US" baseline="0"/>
              <a:t> After Tax - In Bn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'Raw Data'!$B$99:$B$103</c:f>
              <c:strCache>
                <c:ptCount val="5"/>
                <c:pt idx="0">
                  <c:v>2019</c:v>
                </c:pt>
                <c:pt idx="1">
                  <c:v>2020E</c:v>
                </c:pt>
                <c:pt idx="2">
                  <c:v>2021F</c:v>
                </c:pt>
                <c:pt idx="3">
                  <c:v>2022F</c:v>
                </c:pt>
                <c:pt idx="4">
                  <c:v>2023F</c:v>
                </c:pt>
              </c:strCache>
            </c:strRef>
          </c:cat>
          <c:val>
            <c:numRef>
              <c:f>'Raw Data'!$C$99:$C$103</c:f>
              <c:numCache>
                <c:formatCode>0.00</c:formatCode>
                <c:ptCount val="5"/>
                <c:pt idx="0">
                  <c:v>15.779638999999996</c:v>
                </c:pt>
                <c:pt idx="1">
                  <c:v>24.219277255887995</c:v>
                </c:pt>
                <c:pt idx="2">
                  <c:v>20.791255699743942</c:v>
                </c:pt>
                <c:pt idx="3">
                  <c:v>25.690106110395366</c:v>
                </c:pt>
                <c:pt idx="4">
                  <c:v>28.44926658663584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9B-4A3C-BB03-28BF2144FF9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07007088"/>
        <c:axId val="307007480"/>
      </c:barChart>
      <c:catAx>
        <c:axId val="307007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007480"/>
        <c:crosses val="autoZero"/>
        <c:auto val="1"/>
        <c:lblAlgn val="ctr"/>
        <c:lblOffset val="100"/>
        <c:noMultiLvlLbl val="0"/>
      </c:catAx>
      <c:valAx>
        <c:axId val="307007480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007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Dividend</a:t>
            </a:r>
            <a:r>
              <a:rPr lang="en-US" baseline="0"/>
              <a:t> Payout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'Raw Data'!$C$109</c:f>
              <c:strCache>
                <c:ptCount val="1"/>
                <c:pt idx="0">
                  <c:v>EPS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'Raw Data'!$B$110:$B$125</c:f>
              <c:strCache>
                <c:ptCount val="1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2020E</c:v>
                </c:pt>
                <c:pt idx="11">
                  <c:v>2021F</c:v>
                </c:pt>
                <c:pt idx="12">
                  <c:v>2022F</c:v>
                </c:pt>
                <c:pt idx="13">
                  <c:v>2023F</c:v>
                </c:pt>
                <c:pt idx="14">
                  <c:v>2024F</c:v>
                </c:pt>
                <c:pt idx="15">
                  <c:v>2025F</c:v>
                </c:pt>
              </c:strCache>
            </c:strRef>
          </c:cat>
          <c:val>
            <c:numRef>
              <c:f>'Raw Data'!$C$110:$C$125</c:f>
              <c:numCache>
                <c:formatCode>_(* #,##0.00_);_(* \(#,##0.00\);_(* "-"??_);_(@_)</c:formatCode>
                <c:ptCount val="16"/>
                <c:pt idx="0">
                  <c:v>2.6147394023942714</c:v>
                </c:pt>
                <c:pt idx="1">
                  <c:v>3.6686208506519242</c:v>
                </c:pt>
                <c:pt idx="2">
                  <c:v>3.8833764828280493</c:v>
                </c:pt>
                <c:pt idx="3">
                  <c:v>3.9459723420545512</c:v>
                </c:pt>
                <c:pt idx="4">
                  <c:v>4.5576077485333304</c:v>
                </c:pt>
                <c:pt idx="5">
                  <c:v>5.0087954439978608</c:v>
                </c:pt>
                <c:pt idx="6">
                  <c:v>6.1650218175907243</c:v>
                </c:pt>
                <c:pt idx="7">
                  <c:v>5.2860104806936468</c:v>
                </c:pt>
                <c:pt idx="8">
                  <c:v>7.661263449882159</c:v>
                </c:pt>
                <c:pt idx="9">
                  <c:v>12.117487108751122</c:v>
                </c:pt>
                <c:pt idx="10">
                  <c:v>16.967749914813961</c:v>
                </c:pt>
                <c:pt idx="11">
                  <c:v>14.529025781087135</c:v>
                </c:pt>
                <c:pt idx="12">
                  <c:v>17.97485345534313</c:v>
                </c:pt>
                <c:pt idx="13">
                  <c:v>19.906361672219983</c:v>
                </c:pt>
                <c:pt idx="14">
                  <c:v>23.188890593079797</c:v>
                </c:pt>
                <c:pt idx="15">
                  <c:v>27.008361235317654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A9-4E87-90D8-B8F2F9267532}"/>
            </c:ext>
          </c:extLst>
        </c:ser>
        <c:ser>
          <c:idx val="1"/>
          <c:order val="1"/>
          <c:tx>
            <c:strRef>
              <c:f>'Raw Data'!$D$109</c:f>
              <c:strCache>
                <c:ptCount val="1"/>
                <c:pt idx="0">
                  <c:v>DPS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'Raw Data'!$B$110:$B$125</c:f>
              <c:strCache>
                <c:ptCount val="1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2020E</c:v>
                </c:pt>
                <c:pt idx="11">
                  <c:v>2021F</c:v>
                </c:pt>
                <c:pt idx="12">
                  <c:v>2022F</c:v>
                </c:pt>
                <c:pt idx="13">
                  <c:v>2023F</c:v>
                </c:pt>
                <c:pt idx="14">
                  <c:v>2024F</c:v>
                </c:pt>
                <c:pt idx="15">
                  <c:v>2025F</c:v>
                </c:pt>
              </c:strCache>
            </c:strRef>
          </c:cat>
          <c:val>
            <c:numRef>
              <c:f>'Raw Data'!$D$110:$D$125</c:f>
              <c:numCache>
                <c:formatCode>_(* #,##0.00_);_(* \(#,##0.00\);_(* "-"??_);_(@_)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1.5</c:v>
                </c:pt>
                <c:pt idx="3">
                  <c:v>1.5</c:v>
                </c:pt>
                <c:pt idx="4">
                  <c:v>2.75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3.5</c:v>
                </c:pt>
                <c:pt idx="9">
                  <c:v>5</c:v>
                </c:pt>
                <c:pt idx="10">
                  <c:v>8</c:v>
                </c:pt>
                <c:pt idx="11">
                  <c:v>7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A9-4E87-90D8-B8F2F92675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4561032"/>
        <c:axId val="307323264"/>
      </c:barChart>
      <c:lineChart>
        <c:grouping val="standard"/>
        <c:varyColors val="0"/>
        <c:ser>
          <c:idx val="2"/>
          <c:order val="2"/>
          <c:tx>
            <c:strRef>
              <c:f>'Raw Data'!$E$109</c:f>
              <c:strCache>
                <c:ptCount val="1"/>
                <c:pt idx="0">
                  <c:v>Payout Ratio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f>'Raw Data'!$B$110:$B$125</c:f>
              <c:strCache>
                <c:ptCount val="1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2020E</c:v>
                </c:pt>
                <c:pt idx="11">
                  <c:v>2021F</c:v>
                </c:pt>
                <c:pt idx="12">
                  <c:v>2022F</c:v>
                </c:pt>
                <c:pt idx="13">
                  <c:v>2023F</c:v>
                </c:pt>
                <c:pt idx="14">
                  <c:v>2024F</c:v>
                </c:pt>
                <c:pt idx="15">
                  <c:v>2025F</c:v>
                </c:pt>
              </c:strCache>
            </c:strRef>
          </c:cat>
          <c:val>
            <c:numRef>
              <c:f>'Raw Data'!$E$110:$E$125</c:f>
              <c:numCache>
                <c:formatCode>0.00%</c:formatCode>
                <c:ptCount val="16"/>
                <c:pt idx="0">
                  <c:v>0</c:v>
                </c:pt>
                <c:pt idx="1">
                  <c:v>0.27258199762515584</c:v>
                </c:pt>
                <c:pt idx="2">
                  <c:v>0.38626180248885694</c:v>
                </c:pt>
                <c:pt idx="3">
                  <c:v>0.38013444342060299</c:v>
                </c:pt>
                <c:pt idx="4">
                  <c:v>0.60338672209888378</c:v>
                </c:pt>
                <c:pt idx="5">
                  <c:v>0.59894640009604694</c:v>
                </c:pt>
                <c:pt idx="6">
                  <c:v>0.48661628275832974</c:v>
                </c:pt>
                <c:pt idx="7">
                  <c:v>0.56753576462949629</c:v>
                </c:pt>
                <c:pt idx="8">
                  <c:v>0.4568437076855561</c:v>
                </c:pt>
                <c:pt idx="9">
                  <c:v>0.41262680579945099</c:v>
                </c:pt>
                <c:pt idx="10">
                  <c:v>0.47148266801218436</c:v>
                </c:pt>
                <c:pt idx="11">
                  <c:v>0.45</c:v>
                </c:pt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A9-4E87-90D8-B8F2F92675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7322088"/>
        <c:axId val="307329536"/>
      </c:lineChart>
      <c:catAx>
        <c:axId val="344561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323264"/>
        <c:crosses val="autoZero"/>
        <c:auto val="1"/>
        <c:lblAlgn val="ctr"/>
        <c:lblOffset val="100"/>
        <c:noMultiLvlLbl val="0"/>
      </c:catAx>
      <c:valAx>
        <c:axId val="307323264"/>
        <c:scaling>
          <c:orientation val="minMax"/>
        </c:scaling>
        <c:delete val="0"/>
        <c:axPos val="l"/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561032"/>
        <c:crosses val="autoZero"/>
        <c:crossBetween val="between"/>
      </c:valAx>
      <c:valAx>
        <c:axId val="307329536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322088"/>
        <c:crosses val="max"/>
        <c:crossBetween val="between"/>
      </c:valAx>
      <c:catAx>
        <c:axId val="30732208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073295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0">
                <a:solidFill>
                  <a:sysClr val="windowText" lastClr="000000"/>
                </a:solidFill>
              </a:rPr>
              <a:t> ROE</a:t>
            </a:r>
            <a:r>
              <a:rPr lang="en-US" b="0" baseline="0">
                <a:solidFill>
                  <a:sysClr val="windowText" lastClr="000000"/>
                </a:solidFill>
              </a:rPr>
              <a:t> - Annualized %</a:t>
            </a:r>
            <a:r>
              <a:rPr lang="en-US" b="0">
                <a:solidFill>
                  <a:sysClr val="windowText" lastClr="000000"/>
                </a:solidFill>
              </a:rPr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5567147856517942E-2"/>
          <c:y val="0.14856481481481484"/>
          <c:w val="0.88498840769903764"/>
          <c:h val="0.72088764946048411"/>
        </c:manualLayout>
      </c:layout>
      <c:lineChart>
        <c:grouping val="standard"/>
        <c:varyColors val="0"/>
        <c:ser>
          <c:idx val="0"/>
          <c:order val="0"/>
          <c:tx>
            <c:strRef>
              <c:f>'Raw Data 2'!$O$5</c:f>
              <c:strCache>
                <c:ptCount val="1"/>
                <c:pt idx="0">
                  <c:v> ROE </c:v>
                </c:pt>
              </c:strCache>
            </c:strRef>
          </c:tx>
          <c:spPr>
            <a:ln w="28575" cap="rnd">
              <a:solidFill>
                <a:srgbClr val="660033"/>
              </a:solidFill>
              <a:round/>
            </a:ln>
            <a:effectLst/>
          </c:spPr>
          <c:marker>
            <c:symbol val="none"/>
          </c:marker>
          <c:dPt>
            <c:idx val="5"/>
            <c:marker>
              <c:symbol val="none"/>
            </c:marker>
            <c:bubble3D val="0"/>
            <c:spPr>
              <a:ln w="28575" cap="rnd">
                <a:solidFill>
                  <a:srgbClr val="C0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CA06-484E-8BE6-80F6A4C7FE2C}"/>
              </c:ext>
            </c:extLst>
          </c:dPt>
          <c:dPt>
            <c:idx val="6"/>
            <c:marker>
              <c:symbol val="none"/>
            </c:marker>
            <c:bubble3D val="0"/>
            <c:spPr>
              <a:ln w="28575" cap="rnd">
                <a:solidFill>
                  <a:srgbClr val="C0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CA06-484E-8BE6-80F6A4C7FE2C}"/>
              </c:ext>
            </c:extLst>
          </c:dPt>
          <c:dPt>
            <c:idx val="7"/>
            <c:marker>
              <c:symbol val="none"/>
            </c:marker>
            <c:bubble3D val="0"/>
            <c:spPr>
              <a:ln w="28575" cap="rnd">
                <a:solidFill>
                  <a:srgbClr val="C0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CA06-484E-8BE6-80F6A4C7FE2C}"/>
              </c:ext>
            </c:extLst>
          </c:dPt>
          <c:dPt>
            <c:idx val="8"/>
            <c:marker>
              <c:symbol val="none"/>
            </c:marker>
            <c:bubble3D val="0"/>
            <c:spPr>
              <a:ln w="28575" cap="rnd">
                <a:solidFill>
                  <a:srgbClr val="C0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CA06-484E-8BE6-80F6A4C7FE2C}"/>
              </c:ext>
            </c:extLst>
          </c:dPt>
          <c:dPt>
            <c:idx val="9"/>
            <c:marker>
              <c:symbol val="none"/>
            </c:marker>
            <c:bubble3D val="0"/>
            <c:spPr>
              <a:ln w="28575" cap="rnd">
                <a:solidFill>
                  <a:srgbClr val="C0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CA06-484E-8BE6-80F6A4C7FE2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'Raw Data 2'!$N$6:$N$15</c:f>
              <c:strCache>
                <c:ptCount val="10"/>
                <c:pt idx="0">
                  <c:v>CY16</c:v>
                </c:pt>
                <c:pt idx="1">
                  <c:v>CY17</c:v>
                </c:pt>
                <c:pt idx="2">
                  <c:v>CY18</c:v>
                </c:pt>
                <c:pt idx="3">
                  <c:v>CY19</c:v>
                </c:pt>
                <c:pt idx="4">
                  <c:v>CY20E</c:v>
                </c:pt>
                <c:pt idx="5">
                  <c:v>CY21F</c:v>
                </c:pt>
                <c:pt idx="6">
                  <c:v>CY22F</c:v>
                </c:pt>
                <c:pt idx="7">
                  <c:v>CY23F</c:v>
                </c:pt>
                <c:pt idx="8">
                  <c:v>CY24F</c:v>
                </c:pt>
                <c:pt idx="9">
                  <c:v>CY25F</c:v>
                </c:pt>
              </c:strCache>
            </c:strRef>
          </c:cat>
          <c:val>
            <c:numRef>
              <c:f>'Raw Data 2'!$O$6:$O$15</c:f>
              <c:numCache>
                <c:formatCode>0%</c:formatCode>
                <c:ptCount val="10"/>
                <c:pt idx="0">
                  <c:v>0.20228841534724146</c:v>
                </c:pt>
                <c:pt idx="1">
                  <c:v>0.15354872733492328</c:v>
                </c:pt>
                <c:pt idx="2">
                  <c:v>0.21851133269335818</c:v>
                </c:pt>
                <c:pt idx="3">
                  <c:v>0.29305661728794241</c:v>
                </c:pt>
                <c:pt idx="4">
                  <c:v>0.33793328862924527</c:v>
                </c:pt>
                <c:pt idx="5">
                  <c:v>0.24648677844678638</c:v>
                </c:pt>
                <c:pt idx="6">
                  <c:v>0.26431964424853638</c:v>
                </c:pt>
                <c:pt idx="7">
                  <c:v>0.24618474349555139</c:v>
                </c:pt>
                <c:pt idx="8">
                  <c:v>0.24275239375070873</c:v>
                </c:pt>
                <c:pt idx="9">
                  <c:v>0.24004606153500446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06-484E-8BE6-80F6A4C7FE2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07326008"/>
        <c:axId val="307322480"/>
      </c:lineChart>
      <c:catAx>
        <c:axId val="307326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322480"/>
        <c:crosses val="autoZero"/>
        <c:auto val="1"/>
        <c:lblAlgn val="ctr"/>
        <c:lblOffset val="100"/>
        <c:noMultiLvlLbl val="0"/>
      </c:catAx>
      <c:valAx>
        <c:axId val="307322480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307326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3466681483127758E-2"/>
          <c:y val="3.6346725623237021E-2"/>
          <c:w val="0.94979919678714864"/>
          <c:h val="0.8873873873873875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MEBL!$M$55:$Q$55</c:f>
              <c:numCache>
                <c:formatCode>_(* #,##0_);_(* \(#,##0\);_(* "-"??_);_(@_)</c:formatCode>
                <c:ptCount val="5"/>
                <c:pt idx="0">
                  <c:v>10494.868</c:v>
                </c:pt>
                <c:pt idx="1">
                  <c:v>10113.87760548977</c:v>
                </c:pt>
                <c:pt idx="2">
                  <c:v>11536.16000310766</c:v>
                </c:pt>
                <c:pt idx="3">
                  <c:v>12974.797182369042</c:v>
                </c:pt>
                <c:pt idx="4">
                  <c:v>14256.344567516482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34-44C8-B40E-DC54DDCFF0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4562992"/>
        <c:axId val="344558680"/>
      </c:barChart>
      <c:catAx>
        <c:axId val="344562992"/>
        <c:scaling>
          <c:orientation val="minMax"/>
        </c:scaling>
        <c:delete val="1"/>
        <c:axPos val="b"/>
        <c:majorTickMark val="none"/>
        <c:minorTickMark val="none"/>
        <c:tickLblPos val="nextTo"/>
        <c:crossAx val="344558680"/>
        <c:crosses val="autoZero"/>
        <c:auto val="1"/>
        <c:lblAlgn val="ctr"/>
        <c:lblOffset val="100"/>
        <c:noMultiLvlLbl val="0"/>
      </c:catAx>
      <c:valAx>
        <c:axId val="344558680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44562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>
                <a:solidFill>
                  <a:sysClr val="windowText" lastClr="000000"/>
                </a:solidFill>
              </a:rPr>
              <a:t>ROA</a:t>
            </a:r>
            <a:r>
              <a:rPr lang="en-US" b="0" baseline="0">
                <a:solidFill>
                  <a:sysClr val="windowText" lastClr="000000"/>
                </a:solidFill>
              </a:rPr>
              <a:t> - Annualized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3287182852143479E-2"/>
          <c:y val="0.1500415573053368"/>
          <c:w val="0.93888888888888888"/>
          <c:h val="0.7123071595217264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5"/>
            <c:marker>
              <c:symbol val="none"/>
            </c:marker>
            <c:bubble3D val="0"/>
            <c:spPr>
              <a:ln w="28575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F-448F-4729-931F-4BCEFE6374B8}"/>
              </c:ext>
            </c:extLst>
          </c:dPt>
          <c:dPt>
            <c:idx val="6"/>
            <c:marker>
              <c:symbol val="none"/>
            </c:marker>
            <c:bubble3D val="0"/>
            <c:spPr>
              <a:ln w="28575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0-448F-4729-931F-4BCEFE6374B8}"/>
              </c:ext>
            </c:extLst>
          </c:dPt>
          <c:dPt>
            <c:idx val="7"/>
            <c:marker>
              <c:symbol val="none"/>
            </c:marker>
            <c:bubble3D val="0"/>
            <c:spPr>
              <a:ln w="28575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1-448F-4729-931F-4BCEFE6374B8}"/>
              </c:ext>
            </c:extLst>
          </c:dPt>
          <c:dPt>
            <c:idx val="8"/>
            <c:marker>
              <c:symbol val="none"/>
            </c:marker>
            <c:bubble3D val="0"/>
            <c:spPr>
              <a:ln w="28575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2-448F-4729-931F-4BCEFE6374B8}"/>
              </c:ext>
            </c:extLst>
          </c:dPt>
          <c:dPt>
            <c:idx val="9"/>
            <c:marker>
              <c:symbol val="none"/>
            </c:marker>
            <c:bubble3D val="0"/>
            <c:spPr>
              <a:ln w="28575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3-448F-4729-931F-4BCEFE6374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'Raw Data 2'!$N$19:$N$28</c:f>
              <c:strCache>
                <c:ptCount val="10"/>
                <c:pt idx="0">
                  <c:v>CY16</c:v>
                </c:pt>
                <c:pt idx="1">
                  <c:v>CY17</c:v>
                </c:pt>
                <c:pt idx="2">
                  <c:v>CY18</c:v>
                </c:pt>
                <c:pt idx="3">
                  <c:v>CY19</c:v>
                </c:pt>
                <c:pt idx="4">
                  <c:v>CY20E</c:v>
                </c:pt>
                <c:pt idx="5">
                  <c:v>CY21F</c:v>
                </c:pt>
                <c:pt idx="6">
                  <c:v>CY22F</c:v>
                </c:pt>
                <c:pt idx="7">
                  <c:v>CY23F</c:v>
                </c:pt>
                <c:pt idx="8">
                  <c:v>CY24F</c:v>
                </c:pt>
                <c:pt idx="9">
                  <c:v>CY25F</c:v>
                </c:pt>
              </c:strCache>
            </c:strRef>
          </c:cat>
          <c:val>
            <c:numRef>
              <c:f>'Raw Data 2'!$O$19:$O$28</c:f>
              <c:numCache>
                <c:formatCode>0.0%</c:formatCode>
                <c:ptCount val="10"/>
                <c:pt idx="0">
                  <c:v>1.0345259668916812E-2</c:v>
                </c:pt>
                <c:pt idx="1">
                  <c:v>7.753762480884707E-3</c:v>
                </c:pt>
                <c:pt idx="2">
                  <c:v>1.0369154207053758E-2</c:v>
                </c:pt>
                <c:pt idx="3">
                  <c:v>1.5072967214994647E-2</c:v>
                </c:pt>
                <c:pt idx="4">
                  <c:v>1.935194147568494E-2</c:v>
                </c:pt>
                <c:pt idx="5">
                  <c:v>1.4423739823304091E-2</c:v>
                </c:pt>
                <c:pt idx="6">
                  <c:v>1.5943658387874964E-2</c:v>
                </c:pt>
                <c:pt idx="7">
                  <c:v>1.5639246052083125E-2</c:v>
                </c:pt>
                <c:pt idx="8">
                  <c:v>1.6142359080145521E-2</c:v>
                </c:pt>
                <c:pt idx="9">
                  <c:v>1.6579223328469984E-2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8F-4729-931F-4BCEFE6374B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07326400"/>
        <c:axId val="307323656"/>
      </c:lineChart>
      <c:catAx>
        <c:axId val="307326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323656"/>
        <c:crosses val="autoZero"/>
        <c:auto val="1"/>
        <c:lblAlgn val="ctr"/>
        <c:lblOffset val="100"/>
        <c:noMultiLvlLbl val="0"/>
      </c:catAx>
      <c:valAx>
        <c:axId val="307323656"/>
        <c:scaling>
          <c:orientation val="minMax"/>
        </c:scaling>
        <c:delete val="1"/>
        <c:axPos val="l"/>
        <c:numFmt formatCode="0.0%" sourceLinked="1"/>
        <c:majorTickMark val="none"/>
        <c:minorTickMark val="none"/>
        <c:tickLblPos val="nextTo"/>
        <c:crossAx val="307326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987092339960177"/>
          <c:y val="0.16062802696127787"/>
          <c:w val="0.75810664269307104"/>
          <c:h val="0.6319361535212518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'Raw Data 2'!$E$30</c:f>
              <c:strCache>
                <c:ptCount val="1"/>
                <c:pt idx="0">
                  <c:v>NPL</c:v>
                </c:pt>
              </c:strCache>
            </c:strRef>
          </c:tx>
          <c:spPr>
            <a:solidFill>
              <a:srgbClr val="FF006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'Raw Data 2'!$D$31:$D$40</c:f>
              <c:strCache>
                <c:ptCount val="10"/>
                <c:pt idx="0">
                  <c:v>CY16</c:v>
                </c:pt>
                <c:pt idx="1">
                  <c:v>CY17</c:v>
                </c:pt>
                <c:pt idx="2">
                  <c:v>CY18</c:v>
                </c:pt>
                <c:pt idx="3">
                  <c:v>CY19</c:v>
                </c:pt>
                <c:pt idx="4">
                  <c:v>CY20E</c:v>
                </c:pt>
                <c:pt idx="5">
                  <c:v>CY21F</c:v>
                </c:pt>
                <c:pt idx="6">
                  <c:v>CY22F</c:v>
                </c:pt>
                <c:pt idx="7">
                  <c:v>CY23F</c:v>
                </c:pt>
                <c:pt idx="8">
                  <c:v>CY24F</c:v>
                </c:pt>
                <c:pt idx="9">
                  <c:v>CY25F</c:v>
                </c:pt>
              </c:strCache>
            </c:strRef>
          </c:cat>
          <c:val>
            <c:numRef>
              <c:f>'Raw Data 2'!$E$31:$E$40</c:f>
              <c:numCache>
                <c:formatCode>0.00</c:formatCode>
                <c:ptCount val="10"/>
                <c:pt idx="0">
                  <c:v>6847.2920000000004</c:v>
                </c:pt>
                <c:pt idx="1">
                  <c:v>6606.1289999999999</c:v>
                </c:pt>
                <c:pt idx="2">
                  <c:v>6985.2420000000002</c:v>
                </c:pt>
                <c:pt idx="3">
                  <c:v>8995.719000000001</c:v>
                </c:pt>
                <c:pt idx="4">
                  <c:v>10627.763241419703</c:v>
                </c:pt>
                <c:pt idx="5">
                  <c:v>12889.612002452652</c:v>
                </c:pt>
                <c:pt idx="6">
                  <c:v>12370.165677630406</c:v>
                </c:pt>
                <c:pt idx="7">
                  <c:v>14129.566404050827</c:v>
                </c:pt>
                <c:pt idx="8">
                  <c:v>16696.795505403137</c:v>
                </c:pt>
                <c:pt idx="9">
                  <c:v>20199.057948155973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43-4E8C-8828-6C1F58B7D199}"/>
            </c:ext>
          </c:extLst>
        </c:ser>
        <c:ser>
          <c:idx val="1"/>
          <c:order val="1"/>
          <c:tx>
            <c:strRef>
              <c:f>'Raw Data 2'!$F$30</c:f>
              <c:strCache>
                <c:ptCount val="1"/>
                <c:pt idx="0">
                  <c:v>Advances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'Raw Data 2'!$D$31:$D$40</c:f>
              <c:strCache>
                <c:ptCount val="10"/>
                <c:pt idx="0">
                  <c:v>CY16</c:v>
                </c:pt>
                <c:pt idx="1">
                  <c:v>CY17</c:v>
                </c:pt>
                <c:pt idx="2">
                  <c:v>CY18</c:v>
                </c:pt>
                <c:pt idx="3">
                  <c:v>CY19</c:v>
                </c:pt>
                <c:pt idx="4">
                  <c:v>CY20E</c:v>
                </c:pt>
                <c:pt idx="5">
                  <c:v>CY21F</c:v>
                </c:pt>
                <c:pt idx="6">
                  <c:v>CY22F</c:v>
                </c:pt>
                <c:pt idx="7">
                  <c:v>CY23F</c:v>
                </c:pt>
                <c:pt idx="8">
                  <c:v>CY24F</c:v>
                </c:pt>
                <c:pt idx="9">
                  <c:v>CY25F</c:v>
                </c:pt>
              </c:strCache>
            </c:strRef>
          </c:cat>
          <c:val>
            <c:numRef>
              <c:f>'Raw Data 2'!$F$31:$F$40</c:f>
              <c:numCache>
                <c:formatCode>General</c:formatCode>
                <c:ptCount val="10"/>
                <c:pt idx="0">
                  <c:v>311530.16200000001</c:v>
                </c:pt>
                <c:pt idx="1">
                  <c:v>419929.14899999998</c:v>
                </c:pt>
                <c:pt idx="2">
                  <c:v>512564.522</c:v>
                </c:pt>
                <c:pt idx="3">
                  <c:v>493775.34600000014</c:v>
                </c:pt>
                <c:pt idx="4">
                  <c:v>525777.78094048181</c:v>
                </c:pt>
                <c:pt idx="5">
                  <c:v>594246.96567297215</c:v>
                </c:pt>
                <c:pt idx="6">
                  <c:v>686372.43312637124</c:v>
                </c:pt>
                <c:pt idx="7">
                  <c:v>789143.07354830357</c:v>
                </c:pt>
                <c:pt idx="8">
                  <c:v>911449.86025834479</c:v>
                </c:pt>
                <c:pt idx="9">
                  <c:v>1055088.3189999999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43-4E8C-8828-6C1F58B7D19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07327184"/>
        <c:axId val="307325224"/>
        <c:extLst>
          <c:ext xmlns:c15="http://schemas.microsoft.com/office/drawing/2012/chart" uri="{02D57815-91ED-43cb-92C2-25804820EDAC}">
            <c15:filteredBa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'Raw Data 2'!$H$30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'Raw Data 2'!$D$31:$D$40</c15:sqref>
                        </c15:formulaRef>
                      </c:ext>
                    </c:extLst>
                    <c:strCache>
                      <c:ptCount val="10"/>
                      <c:pt idx="0">
                        <c:v>CY16</c:v>
                      </c:pt>
                      <c:pt idx="1">
                        <c:v>CY17</c:v>
                      </c:pt>
                      <c:pt idx="2">
                        <c:v>CY18</c:v>
                      </c:pt>
                      <c:pt idx="3">
                        <c:v>CY19</c:v>
                      </c:pt>
                      <c:pt idx="4">
                        <c:v>CY20E</c:v>
                      </c:pt>
                      <c:pt idx="5">
                        <c:v>CY21F</c:v>
                      </c:pt>
                      <c:pt idx="6">
                        <c:v>CY22F</c:v>
                      </c:pt>
                      <c:pt idx="7">
                        <c:v>CY23F</c:v>
                      </c:pt>
                      <c:pt idx="8">
                        <c:v>CY24F</c:v>
                      </c:pt>
                      <c:pt idx="9">
                        <c:v>CY25F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'Raw Data 2'!$H$31:$H$40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A743-4E8C-8828-6C1F58B7D199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2"/>
          <c:order val="2"/>
          <c:tx>
            <c:strRef>
              <c:f>'Raw Data 2'!$G$30</c:f>
              <c:strCache>
                <c:ptCount val="1"/>
                <c:pt idx="0">
                  <c:v>NPL Infection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dLbls>
            <c:dLbl>
              <c:idx val="9"/>
              <c:layout>
                <c:manualLayout>
                  <c:x val="-4.5972222222222324E-2"/>
                  <c:y val="-0.1162153689122193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16C-4B33-A8E5-9D637C9AD96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'Raw Data 2'!$D$31:$D$40</c:f>
              <c:strCache>
                <c:ptCount val="10"/>
                <c:pt idx="0">
                  <c:v>CY16</c:v>
                </c:pt>
                <c:pt idx="1">
                  <c:v>CY17</c:v>
                </c:pt>
                <c:pt idx="2">
                  <c:v>CY18</c:v>
                </c:pt>
                <c:pt idx="3">
                  <c:v>CY19</c:v>
                </c:pt>
                <c:pt idx="4">
                  <c:v>CY20E</c:v>
                </c:pt>
                <c:pt idx="5">
                  <c:v>CY21F</c:v>
                </c:pt>
                <c:pt idx="6">
                  <c:v>CY22F</c:v>
                </c:pt>
                <c:pt idx="7">
                  <c:v>CY23F</c:v>
                </c:pt>
                <c:pt idx="8">
                  <c:v>CY24F</c:v>
                </c:pt>
                <c:pt idx="9">
                  <c:v>CY25F</c:v>
                </c:pt>
              </c:strCache>
            </c:strRef>
          </c:cat>
          <c:val>
            <c:numRef>
              <c:f>'Raw Data 2'!$G$31:$G$40</c:f>
              <c:numCache>
                <c:formatCode>0.0%</c:formatCode>
                <c:ptCount val="10"/>
                <c:pt idx="0">
                  <c:v>2.1423437782056458E-2</c:v>
                </c:pt>
                <c:pt idx="1">
                  <c:v>1.5408470758242969E-2</c:v>
                </c:pt>
                <c:pt idx="2">
                  <c:v>1.3374931394579639E-2</c:v>
                </c:pt>
                <c:pt idx="3">
                  <c:v>1.7760109869414179E-2</c:v>
                </c:pt>
                <c:pt idx="4">
                  <c:v>1.9633336052449116E-2</c:v>
                </c:pt>
                <c:pt idx="5">
                  <c:v>2.1000000000000001E-2</c:v>
                </c:pt>
                <c:pt idx="6">
                  <c:v>1.7520057171348472E-2</c:v>
                </c:pt>
                <c:pt idx="7">
                  <c:v>1.7435369614937184E-2</c:v>
                </c:pt>
                <c:pt idx="8">
                  <c:v>1.7857686897558282E-2</c:v>
                </c:pt>
                <c:pt idx="9">
                  <c:v>1.866977454162979E-2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43-4E8C-8828-6C1F58B7D19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07327576"/>
        <c:axId val="307324048"/>
      </c:lineChart>
      <c:catAx>
        <c:axId val="307327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325224"/>
        <c:crosses val="autoZero"/>
        <c:auto val="1"/>
        <c:lblAlgn val="ctr"/>
        <c:lblOffset val="100"/>
        <c:noMultiLvlLbl val="0"/>
      </c:catAx>
      <c:valAx>
        <c:axId val="307325224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327184"/>
        <c:crosses val="autoZero"/>
        <c:crossBetween val="between"/>
      </c:valAx>
      <c:valAx>
        <c:axId val="307324048"/>
        <c:scaling>
          <c:orientation val="minMax"/>
        </c:scaling>
        <c:delete val="0"/>
        <c:axPos val="r"/>
        <c:numFmt formatCode="0.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327576"/>
        <c:crosses val="max"/>
        <c:crossBetween val="between"/>
      </c:valAx>
      <c:catAx>
        <c:axId val="3073275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73240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>
                <a:solidFill>
                  <a:sysClr val="windowText" lastClr="000000"/>
                </a:solidFill>
              </a:rPr>
              <a:t>Asset</a:t>
            </a:r>
            <a:r>
              <a:rPr lang="en-US" b="0" baseline="0">
                <a:solidFill>
                  <a:sysClr val="windowText" lastClr="000000"/>
                </a:solidFill>
              </a:rPr>
              <a:t> Quality</a:t>
            </a:r>
            <a:endParaRPr lang="en-US" b="0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'Raw Data 2'!$D$45:$D$46</c:f>
              <c:strCache>
                <c:ptCount val="2"/>
                <c:pt idx="1">
                  <c:v>Provision held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'Raw Data 2'!$C$47:$C$56</c:f>
              <c:strCache>
                <c:ptCount val="10"/>
                <c:pt idx="0">
                  <c:v>CY16</c:v>
                </c:pt>
                <c:pt idx="1">
                  <c:v>CY17</c:v>
                </c:pt>
                <c:pt idx="2">
                  <c:v>CY18</c:v>
                </c:pt>
                <c:pt idx="3">
                  <c:v>CY19</c:v>
                </c:pt>
                <c:pt idx="4">
                  <c:v>CY20E</c:v>
                </c:pt>
                <c:pt idx="5">
                  <c:v>CY21F</c:v>
                </c:pt>
                <c:pt idx="6">
                  <c:v>CY22F</c:v>
                </c:pt>
                <c:pt idx="7">
                  <c:v>CY23F</c:v>
                </c:pt>
                <c:pt idx="8">
                  <c:v>CY24F</c:v>
                </c:pt>
                <c:pt idx="9">
                  <c:v>CY25F</c:v>
                </c:pt>
              </c:strCache>
            </c:strRef>
          </c:cat>
          <c:val>
            <c:numRef>
              <c:f>'Raw Data 2'!$D$47:$D$56</c:f>
              <c:numCache>
                <c:formatCode>0.00</c:formatCode>
                <c:ptCount val="10"/>
                <c:pt idx="0">
                  <c:v>8086.7019999999993</c:v>
                </c:pt>
                <c:pt idx="1">
                  <c:v>8804.4419999999991</c:v>
                </c:pt>
                <c:pt idx="2">
                  <c:v>9699.241</c:v>
                </c:pt>
                <c:pt idx="3">
                  <c:v>12737.23</c:v>
                </c:pt>
                <c:pt idx="4">
                  <c:v>15534.36351771724</c:v>
                </c:pt>
                <c:pt idx="5">
                  <c:v>19544.082062868409</c:v>
                </c:pt>
                <c:pt idx="6">
                  <c:v>19684.947660035614</c:v>
                </c:pt>
                <c:pt idx="7">
                  <c:v>21253.649670330175</c:v>
                </c:pt>
                <c:pt idx="8">
                  <c:v>23542.202329902611</c:v>
                </c:pt>
                <c:pt idx="9">
                  <c:v>26823.939620306337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E7-4652-884E-9E65995CE8A7}"/>
            </c:ext>
          </c:extLst>
        </c:ser>
        <c:ser>
          <c:idx val="1"/>
          <c:order val="1"/>
          <c:tx>
            <c:strRef>
              <c:f>'Raw Data 2'!$E$45:$E$46</c:f>
              <c:strCache>
                <c:ptCount val="2"/>
                <c:pt idx="1">
                  <c:v>Non Performing Loans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'Raw Data 2'!$C$47:$C$56</c:f>
              <c:strCache>
                <c:ptCount val="10"/>
                <c:pt idx="0">
                  <c:v>CY16</c:v>
                </c:pt>
                <c:pt idx="1">
                  <c:v>CY17</c:v>
                </c:pt>
                <c:pt idx="2">
                  <c:v>CY18</c:v>
                </c:pt>
                <c:pt idx="3">
                  <c:v>CY19</c:v>
                </c:pt>
                <c:pt idx="4">
                  <c:v>CY20E</c:v>
                </c:pt>
                <c:pt idx="5">
                  <c:v>CY21F</c:v>
                </c:pt>
                <c:pt idx="6">
                  <c:v>CY22F</c:v>
                </c:pt>
                <c:pt idx="7">
                  <c:v>CY23F</c:v>
                </c:pt>
                <c:pt idx="8">
                  <c:v>CY24F</c:v>
                </c:pt>
                <c:pt idx="9">
                  <c:v>CY25F</c:v>
                </c:pt>
              </c:strCache>
            </c:strRef>
          </c:cat>
          <c:val>
            <c:numRef>
              <c:f>'Raw Data 2'!$E$47:$E$56</c:f>
              <c:numCache>
                <c:formatCode>0.00</c:formatCode>
                <c:ptCount val="10"/>
                <c:pt idx="0">
                  <c:v>6847.2920000000004</c:v>
                </c:pt>
                <c:pt idx="1">
                  <c:v>6606.1289999999999</c:v>
                </c:pt>
                <c:pt idx="2">
                  <c:v>6985.2420000000002</c:v>
                </c:pt>
                <c:pt idx="3">
                  <c:v>8995.719000000001</c:v>
                </c:pt>
                <c:pt idx="4">
                  <c:v>10627.763241419703</c:v>
                </c:pt>
                <c:pt idx="5">
                  <c:v>12889.612002452652</c:v>
                </c:pt>
                <c:pt idx="6">
                  <c:v>12370.165677630406</c:v>
                </c:pt>
                <c:pt idx="7">
                  <c:v>14129.566404050827</c:v>
                </c:pt>
                <c:pt idx="8">
                  <c:v>16696.795505403137</c:v>
                </c:pt>
                <c:pt idx="9">
                  <c:v>20199.057948155973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E7-4652-884E-9E65995CE8A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07328360"/>
        <c:axId val="307328752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'Raw Data 2'!$F$45:$F$46</c15:sqref>
                        </c15:formulaRef>
                      </c:ext>
                    </c:extLst>
                    <c:strCache>
                      <c:ptCount val="2"/>
                      <c:pt idx="1">
                        <c:v>Non Performing Loans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'Raw Data 2'!$C$47:$C$56</c15:sqref>
                        </c15:formulaRef>
                      </c:ext>
                    </c:extLst>
                    <c:strCache>
                      <c:ptCount val="10"/>
                      <c:pt idx="0">
                        <c:v>CY16</c:v>
                      </c:pt>
                      <c:pt idx="1">
                        <c:v>CY17</c:v>
                      </c:pt>
                      <c:pt idx="2">
                        <c:v>CY18</c:v>
                      </c:pt>
                      <c:pt idx="3">
                        <c:v>CY19</c:v>
                      </c:pt>
                      <c:pt idx="4">
                        <c:v>CY20E</c:v>
                      </c:pt>
                      <c:pt idx="5">
                        <c:v>CY21F</c:v>
                      </c:pt>
                      <c:pt idx="6">
                        <c:v>CY22F</c:v>
                      </c:pt>
                      <c:pt idx="7">
                        <c:v>CY23F</c:v>
                      </c:pt>
                      <c:pt idx="8">
                        <c:v>CY24F</c:v>
                      </c:pt>
                      <c:pt idx="9">
                        <c:v>CY25F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'Raw Data 2'!$F$47:$F$56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21E7-4652-884E-9E65995CE8A7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'Raw Data 2'!$H$45:$H$46</c15:sqref>
                        </c15:formulaRef>
                      </c:ext>
                    </c:extLst>
                    <c:strCache>
                      <c:ptCount val="2"/>
                      <c:pt idx="1">
                        <c:v>NPL Coverage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'Raw Data 2'!$C$47:$C$56</c15:sqref>
                        </c15:formulaRef>
                      </c:ext>
                    </c:extLst>
                    <c:strCache>
                      <c:ptCount val="10"/>
                      <c:pt idx="0">
                        <c:v>CY16</c:v>
                      </c:pt>
                      <c:pt idx="1">
                        <c:v>CY17</c:v>
                      </c:pt>
                      <c:pt idx="2">
                        <c:v>CY18</c:v>
                      </c:pt>
                      <c:pt idx="3">
                        <c:v>CY19</c:v>
                      </c:pt>
                      <c:pt idx="4">
                        <c:v>CY20E</c:v>
                      </c:pt>
                      <c:pt idx="5">
                        <c:v>CY21F</c:v>
                      </c:pt>
                      <c:pt idx="6">
                        <c:v>CY22F</c:v>
                      </c:pt>
                      <c:pt idx="7">
                        <c:v>CY23F</c:v>
                      </c:pt>
                      <c:pt idx="8">
                        <c:v>CY24F</c:v>
                      </c:pt>
                      <c:pt idx="9">
                        <c:v>CY25F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'Raw Data 2'!$H$47:$H$56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21E7-4652-884E-9E65995CE8A7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3"/>
          <c:order val="3"/>
          <c:tx>
            <c:strRef>
              <c:f>'Raw Data 2'!$G$45:$G$46</c:f>
              <c:strCache>
                <c:ptCount val="2"/>
                <c:pt idx="1">
                  <c:v>NPL Coverage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dLbls>
            <c:dLbl>
              <c:idx val="9"/>
              <c:layout>
                <c:manualLayout>
                  <c:x val="-6.0416666666666771E-2"/>
                  <c:y val="-0.11772447679036518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1E7-4652-884E-9E65995CE8A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'Raw Data 2'!$C$47:$C$56</c:f>
              <c:strCache>
                <c:ptCount val="10"/>
                <c:pt idx="0">
                  <c:v>CY16</c:v>
                </c:pt>
                <c:pt idx="1">
                  <c:v>CY17</c:v>
                </c:pt>
                <c:pt idx="2">
                  <c:v>CY18</c:v>
                </c:pt>
                <c:pt idx="3">
                  <c:v>CY19</c:v>
                </c:pt>
                <c:pt idx="4">
                  <c:v>CY20E</c:v>
                </c:pt>
                <c:pt idx="5">
                  <c:v>CY21F</c:v>
                </c:pt>
                <c:pt idx="6">
                  <c:v>CY22F</c:v>
                </c:pt>
                <c:pt idx="7">
                  <c:v>CY23F</c:v>
                </c:pt>
                <c:pt idx="8">
                  <c:v>CY24F</c:v>
                </c:pt>
                <c:pt idx="9">
                  <c:v>CY25F</c:v>
                </c:pt>
              </c:strCache>
            </c:strRef>
          </c:cat>
          <c:val>
            <c:numRef>
              <c:f>'Raw Data 2'!$G$47:$G$56</c:f>
              <c:numCache>
                <c:formatCode>0%</c:formatCode>
                <c:ptCount val="10"/>
                <c:pt idx="0">
                  <c:v>1.1810073237712075</c:v>
                </c:pt>
                <c:pt idx="1">
                  <c:v>1.3327687061515145</c:v>
                </c:pt>
                <c:pt idx="2">
                  <c:v>1.388533282025161</c:v>
                </c:pt>
                <c:pt idx="3">
                  <c:v>1.4159212843353597</c:v>
                </c:pt>
                <c:pt idx="4">
                  <c:v>1.4616776046699071</c:v>
                </c:pt>
                <c:pt idx="5">
                  <c:v>1.5162661264861608</c:v>
                </c:pt>
                <c:pt idx="6">
                  <c:v>1.5913244958095345</c:v>
                </c:pt>
                <c:pt idx="7">
                  <c:v>1.5041968778487733</c:v>
                </c:pt>
                <c:pt idx="8">
                  <c:v>1.4099832702798736</c:v>
                </c:pt>
                <c:pt idx="9">
                  <c:v>1.3279797349536873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1E7-4652-884E-9E65995CE8A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07322872"/>
        <c:axId val="307324440"/>
      </c:lineChart>
      <c:catAx>
        <c:axId val="307328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328752"/>
        <c:crosses val="autoZero"/>
        <c:auto val="1"/>
        <c:lblAlgn val="ctr"/>
        <c:lblOffset val="100"/>
        <c:noMultiLvlLbl val="0"/>
      </c:catAx>
      <c:valAx>
        <c:axId val="307328752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328360"/>
        <c:crosses val="autoZero"/>
        <c:crossBetween val="between"/>
      </c:valAx>
      <c:valAx>
        <c:axId val="307324440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322872"/>
        <c:crosses val="max"/>
        <c:crossBetween val="between"/>
      </c:valAx>
      <c:catAx>
        <c:axId val="3073228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73244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0">
                <a:solidFill>
                  <a:sysClr val="windowText" lastClr="000000"/>
                </a:solidFill>
              </a:rPr>
              <a:t>Cost / Income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'Raw Data 2'!$D$64</c:f>
              <c:strCache>
                <c:ptCount val="1"/>
                <c:pt idx="0">
                  <c:v>Cost/Income Ratio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58D-4994-9A29-A1006B655D0E}"/>
              </c:ext>
            </c:extLst>
          </c:dPt>
          <c:dPt>
            <c:idx val="5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58D-4994-9A29-A1006B655D0E}"/>
              </c:ext>
            </c:extLst>
          </c:dPt>
          <c:dPt>
            <c:idx val="6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58D-4994-9A29-A1006B655D0E}"/>
              </c:ext>
            </c:extLst>
          </c:dPt>
          <c:dPt>
            <c:idx val="7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758D-4994-9A29-A1006B655D0E}"/>
              </c:ext>
            </c:extLst>
          </c:dPt>
          <c:dPt>
            <c:idx val="8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758D-4994-9A29-A1006B655D0E}"/>
              </c:ext>
            </c:extLst>
          </c:dPt>
          <c:dPt>
            <c:idx val="9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758D-4994-9A29-A1006B655D0E}"/>
              </c:ext>
            </c:extLst>
          </c:dPt>
          <c:dLbls>
            <c:dLbl>
              <c:idx val="3"/>
              <c:layout>
                <c:manualLayout>
                  <c:x val="-5.0925337632079971E-17"/>
                  <c:y val="-3.240740740740744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38F-41ED-801D-5C8282E6660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olid"/>
                <a:headEnd type="none" w="med" len="med"/>
                <a:tailEnd type="none" w="med" len="med"/>
              </a:ln>
              <a:effectLst/>
            </c:spPr>
            <c:trendlineType val="linear"/>
            <c:dispRSqr val="0"/>
            <c:dispEq val="0"/>
          </c:trendline>
          <c:cat>
            <c:strRef>
              <c:f>'Raw Data 2'!$C$65:$C$74</c:f>
              <c:strCache>
                <c:ptCount val="10"/>
                <c:pt idx="0">
                  <c:v>CY16</c:v>
                </c:pt>
                <c:pt idx="1">
                  <c:v>CY17</c:v>
                </c:pt>
                <c:pt idx="2">
                  <c:v>CY18</c:v>
                </c:pt>
                <c:pt idx="3">
                  <c:v>CY19</c:v>
                </c:pt>
                <c:pt idx="4">
                  <c:v>CY20E</c:v>
                </c:pt>
                <c:pt idx="5">
                  <c:v>CY21F</c:v>
                </c:pt>
                <c:pt idx="6">
                  <c:v>CY22F</c:v>
                </c:pt>
                <c:pt idx="7">
                  <c:v>CY23F</c:v>
                </c:pt>
                <c:pt idx="8">
                  <c:v>CY24F</c:v>
                </c:pt>
                <c:pt idx="9">
                  <c:v>CY25F</c:v>
                </c:pt>
              </c:strCache>
            </c:strRef>
          </c:cat>
          <c:val>
            <c:numRef>
              <c:f>'Raw Data 2'!$D$65:$D$74</c:f>
              <c:numCache>
                <c:formatCode>0%</c:formatCode>
                <c:ptCount val="10"/>
                <c:pt idx="0">
                  <c:v>0.62750585725900032</c:v>
                </c:pt>
                <c:pt idx="1">
                  <c:v>0.60465052973983535</c:v>
                </c:pt>
                <c:pt idx="2">
                  <c:v>0.55480064845926713</c:v>
                </c:pt>
                <c:pt idx="3">
                  <c:v>0.48170765044669989</c:v>
                </c:pt>
                <c:pt idx="4">
                  <c:v>0.41976149657223344</c:v>
                </c:pt>
                <c:pt idx="5">
                  <c:v>0.48134630141069584</c:v>
                </c:pt>
                <c:pt idx="6">
                  <c:v>0.44969503677098899</c:v>
                </c:pt>
                <c:pt idx="7">
                  <c:v>0.44502256185392802</c:v>
                </c:pt>
                <c:pt idx="8">
                  <c:v>0.42865750865105151</c:v>
                </c:pt>
                <c:pt idx="9">
                  <c:v>0.41248936040902723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8F-41ED-801D-5C8282E6660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07920936"/>
        <c:axId val="307921328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'Raw Data 2'!$E$64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'Raw Data 2'!$C$65:$C$74</c15:sqref>
                        </c15:formulaRef>
                      </c:ext>
                    </c:extLst>
                    <c:strCache>
                      <c:ptCount val="10"/>
                      <c:pt idx="0">
                        <c:v>CY16</c:v>
                      </c:pt>
                      <c:pt idx="1">
                        <c:v>CY17</c:v>
                      </c:pt>
                      <c:pt idx="2">
                        <c:v>CY18</c:v>
                      </c:pt>
                      <c:pt idx="3">
                        <c:v>CY19</c:v>
                      </c:pt>
                      <c:pt idx="4">
                        <c:v>CY20E</c:v>
                      </c:pt>
                      <c:pt idx="5">
                        <c:v>CY21F</c:v>
                      </c:pt>
                      <c:pt idx="6">
                        <c:v>CY22F</c:v>
                      </c:pt>
                      <c:pt idx="7">
                        <c:v>CY23F</c:v>
                      </c:pt>
                      <c:pt idx="8">
                        <c:v>CY24F</c:v>
                      </c:pt>
                      <c:pt idx="9">
                        <c:v>CY25F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'Raw Data 2'!$E$65:$E$74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B38F-41ED-801D-5C8282E66601}"/>
                  </c:ext>
                </c:extLst>
              </c15:ser>
            </c15:filteredBarSeries>
          </c:ext>
        </c:extLst>
      </c:barChart>
      <c:catAx>
        <c:axId val="307920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921328"/>
        <c:crosses val="autoZero"/>
        <c:auto val="1"/>
        <c:lblAlgn val="ctr"/>
        <c:lblOffset val="100"/>
        <c:noMultiLvlLbl val="0"/>
      </c:catAx>
      <c:valAx>
        <c:axId val="307921328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307920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0">
                <a:solidFill>
                  <a:sysClr val="windowText" lastClr="000000"/>
                </a:solidFill>
              </a:rPr>
              <a:t>ADR</a:t>
            </a:r>
            <a:r>
              <a:rPr lang="en-US" b="0" baseline="0">
                <a:solidFill>
                  <a:sysClr val="windowText" lastClr="000000"/>
                </a:solidFill>
              </a:rPr>
              <a:t> &amp; IDR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'Raw Data 2'!$D$78</c:f>
              <c:strCache>
                <c:ptCount val="1"/>
                <c:pt idx="0">
                  <c:v>ADR</c:v>
                </c:pt>
              </c:strCache>
            </c:strRef>
          </c:tx>
          <c:spPr>
            <a:solidFill>
              <a:srgbClr val="002060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'Raw Data 2'!$C$79:$C$88</c:f>
              <c:strCache>
                <c:ptCount val="10"/>
                <c:pt idx="0">
                  <c:v>CY16</c:v>
                </c:pt>
                <c:pt idx="1">
                  <c:v>CY17</c:v>
                </c:pt>
                <c:pt idx="2">
                  <c:v>CY18</c:v>
                </c:pt>
                <c:pt idx="3">
                  <c:v>CY19</c:v>
                </c:pt>
                <c:pt idx="4">
                  <c:v>CY20E</c:v>
                </c:pt>
                <c:pt idx="5">
                  <c:v>CY21F</c:v>
                </c:pt>
                <c:pt idx="6">
                  <c:v>CY22F</c:v>
                </c:pt>
                <c:pt idx="7">
                  <c:v>CY23F</c:v>
                </c:pt>
                <c:pt idx="8">
                  <c:v>CY24F</c:v>
                </c:pt>
                <c:pt idx="9">
                  <c:v>CY25F</c:v>
                </c:pt>
              </c:strCache>
            </c:strRef>
          </c:cat>
          <c:val>
            <c:numRef>
              <c:f>'Raw Data 2'!$D$79:$D$88</c:f>
              <c:numCache>
                <c:formatCode>0%</c:formatCode>
                <c:ptCount val="10"/>
                <c:pt idx="0">
                  <c:v>0.55235877969698477</c:v>
                </c:pt>
                <c:pt idx="1">
                  <c:v>0.62379891800459808</c:v>
                </c:pt>
                <c:pt idx="2">
                  <c:v>0.65257884161483926</c:v>
                </c:pt>
                <c:pt idx="3">
                  <c:v>0.5294787521647264</c:v>
                </c:pt>
                <c:pt idx="4">
                  <c:v>0.47169500134198955</c:v>
                </c:pt>
                <c:pt idx="5">
                  <c:v>0.479571548934423</c:v>
                </c:pt>
                <c:pt idx="6">
                  <c:v>0.49116452786136422</c:v>
                </c:pt>
                <c:pt idx="7">
                  <c:v>0.5018401490009694</c:v>
                </c:pt>
                <c:pt idx="8">
                  <c:v>0.51242742048830892</c:v>
                </c:pt>
                <c:pt idx="9">
                  <c:v>0.52288291020427202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86-4A4D-8A81-FC69DD0A7943}"/>
            </c:ext>
          </c:extLst>
        </c:ser>
        <c:ser>
          <c:idx val="1"/>
          <c:order val="1"/>
          <c:tx>
            <c:strRef>
              <c:f>'Raw Data 2'!$E$78</c:f>
              <c:strCache>
                <c:ptCount val="1"/>
                <c:pt idx="0">
                  <c:v>IDR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1.3888888888888888E-2"/>
                  <c:y val="-9.2592592592592587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7B86-4A4D-8A81-FC69DD0A7943}"/>
                </c:ext>
              </c:extLst>
            </c:dLbl>
            <c:dLbl>
              <c:idx val="1"/>
              <c:layout>
                <c:manualLayout>
                  <c:x val="1.1111111111111086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7B86-4A4D-8A81-FC69DD0A7943}"/>
                </c:ext>
              </c:extLst>
            </c:dLbl>
            <c:dLbl>
              <c:idx val="2"/>
              <c:layout>
                <c:manualLayout>
                  <c:x val="1.1111111111111112E-2"/>
                  <c:y val="-4.629629629629714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B86-4A4D-8A81-FC69DD0A7943}"/>
                </c:ext>
              </c:extLst>
            </c:dLbl>
            <c:dLbl>
              <c:idx val="3"/>
              <c:layout>
                <c:manualLayout>
                  <c:x val="1.6666666666666614E-2"/>
                  <c:y val="-8.4875562720133283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B86-4A4D-8A81-FC69DD0A7943}"/>
                </c:ext>
              </c:extLst>
            </c:dLbl>
            <c:dLbl>
              <c:idx val="4"/>
              <c:layout>
                <c:manualLayout>
                  <c:x val="1.3888888888888888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B86-4A4D-8A81-FC69DD0A7943}"/>
                </c:ext>
              </c:extLst>
            </c:dLbl>
            <c:dLbl>
              <c:idx val="5"/>
              <c:layout>
                <c:manualLayout>
                  <c:x val="1.3888888888888888E-2"/>
                  <c:y val="-4.2437781360066642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B86-4A4D-8A81-FC69DD0A7943}"/>
                </c:ext>
              </c:extLst>
            </c:dLbl>
            <c:dLbl>
              <c:idx val="6"/>
              <c:layout>
                <c:manualLayout>
                  <c:x val="1.6666666666666666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7B86-4A4D-8A81-FC69DD0A7943}"/>
                </c:ext>
              </c:extLst>
            </c:dLbl>
            <c:dLbl>
              <c:idx val="7"/>
              <c:layout>
                <c:manualLayout>
                  <c:x val="1.1111111111111112E-2"/>
                  <c:y val="-4.629629629629629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B86-4A4D-8A81-FC69DD0A7943}"/>
                </c:ext>
              </c:extLst>
            </c:dLbl>
            <c:dLbl>
              <c:idx val="8"/>
              <c:layout>
                <c:manualLayout>
                  <c:x val="1.3888888888888788E-2"/>
                  <c:y val="-4.2437781360066642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B86-4A4D-8A81-FC69DD0A7943}"/>
                </c:ext>
              </c:extLst>
            </c:dLbl>
            <c:dLbl>
              <c:idx val="9"/>
              <c:layout>
                <c:manualLayout>
                  <c:x val="1.9444444444444445E-2"/>
                  <c:y val="-4.2437781360066642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B86-4A4D-8A81-FC69DD0A794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'Raw Data 2'!$C$79:$C$88</c:f>
              <c:strCache>
                <c:ptCount val="10"/>
                <c:pt idx="0">
                  <c:v>CY16</c:v>
                </c:pt>
                <c:pt idx="1">
                  <c:v>CY17</c:v>
                </c:pt>
                <c:pt idx="2">
                  <c:v>CY18</c:v>
                </c:pt>
                <c:pt idx="3">
                  <c:v>CY19</c:v>
                </c:pt>
                <c:pt idx="4">
                  <c:v>CY20E</c:v>
                </c:pt>
                <c:pt idx="5">
                  <c:v>CY21F</c:v>
                </c:pt>
                <c:pt idx="6">
                  <c:v>CY22F</c:v>
                </c:pt>
                <c:pt idx="7">
                  <c:v>CY23F</c:v>
                </c:pt>
                <c:pt idx="8">
                  <c:v>CY24F</c:v>
                </c:pt>
                <c:pt idx="9">
                  <c:v>CY25F</c:v>
                </c:pt>
              </c:strCache>
            </c:strRef>
          </c:cat>
          <c:val>
            <c:numRef>
              <c:f>'Raw Data 2'!$E$79:$E$88</c:f>
              <c:numCache>
                <c:formatCode>0%</c:formatCode>
                <c:ptCount val="10"/>
                <c:pt idx="0">
                  <c:v>0.23900108044709203</c:v>
                </c:pt>
                <c:pt idx="1">
                  <c:v>0.18295380772500608</c:v>
                </c:pt>
                <c:pt idx="2">
                  <c:v>0.16183875641224099</c:v>
                </c:pt>
                <c:pt idx="3">
                  <c:v>0.24627360535713416</c:v>
                </c:pt>
                <c:pt idx="4">
                  <c:v>0.34337825922994197</c:v>
                </c:pt>
                <c:pt idx="5">
                  <c:v>0.38</c:v>
                </c:pt>
                <c:pt idx="6">
                  <c:v>0.4</c:v>
                </c:pt>
                <c:pt idx="7">
                  <c:v>0.4</c:v>
                </c:pt>
                <c:pt idx="8">
                  <c:v>0.40000000000000008</c:v>
                </c:pt>
                <c:pt idx="9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86-4A4D-8A81-FC69DD0A794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07920544"/>
        <c:axId val="307926032"/>
      </c:barChart>
      <c:catAx>
        <c:axId val="307920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926032"/>
        <c:crosses val="autoZero"/>
        <c:auto val="1"/>
        <c:lblAlgn val="ctr"/>
        <c:lblOffset val="100"/>
        <c:noMultiLvlLbl val="0"/>
      </c:catAx>
      <c:valAx>
        <c:axId val="307926032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307920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0">
                <a:solidFill>
                  <a:sysClr val="windowText" lastClr="000000"/>
                </a:solidFill>
              </a:rPr>
              <a:t>CAR</a:t>
            </a:r>
            <a:r>
              <a:rPr lang="en-US" b="0" baseline="0">
                <a:solidFill>
                  <a:sysClr val="windowText" lastClr="000000"/>
                </a:solidFill>
              </a:rPr>
              <a:t> above the Minimum Requirement</a:t>
            </a:r>
            <a:endParaRPr lang="en-US" b="0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'Raw Data 2'!$D$95</c:f>
              <c:strCache>
                <c:ptCount val="1"/>
                <c:pt idx="0">
                  <c:v>CAR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-5.0925337632079971E-17"/>
                  <c:y val="-3.703703703703703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4D9-42B8-9017-3BFD9622044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'Raw Data 2'!$C$96:$C$101</c:f>
              <c:strCache>
                <c:ptCount val="6"/>
                <c:pt idx="0">
                  <c:v>CY16</c:v>
                </c:pt>
                <c:pt idx="1">
                  <c:v>CY17</c:v>
                </c:pt>
                <c:pt idx="2">
                  <c:v>CY18</c:v>
                </c:pt>
                <c:pt idx="3">
                  <c:v>CY19</c:v>
                </c:pt>
                <c:pt idx="4">
                  <c:v>CY20E</c:v>
                </c:pt>
                <c:pt idx="5">
                  <c:v>CY21F</c:v>
                </c:pt>
              </c:strCache>
            </c:strRef>
          </c:cat>
          <c:val>
            <c:numRef>
              <c:f>'Raw Data 2'!$D$96:$D$101</c:f>
              <c:numCache>
                <c:formatCode>0%</c:formatCode>
                <c:ptCount val="6"/>
                <c:pt idx="0">
                  <c:v>0.13689770343386726</c:v>
                </c:pt>
                <c:pt idx="1">
                  <c:v>0.13364584369746974</c:v>
                </c:pt>
                <c:pt idx="2">
                  <c:v>0.1488034751167088</c:v>
                </c:pt>
                <c:pt idx="3">
                  <c:v>0.17172851718397766</c:v>
                </c:pt>
                <c:pt idx="4">
                  <c:v>0.18701372352380013</c:v>
                </c:pt>
                <c:pt idx="5">
                  <c:v>0.17453893727358857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D9-42B8-9017-3BFD9622044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07922112"/>
        <c:axId val="307927600"/>
      </c:barChart>
      <c:lineChart>
        <c:grouping val="standard"/>
        <c:varyColors val="0"/>
        <c:ser>
          <c:idx val="1"/>
          <c:order val="1"/>
          <c:tx>
            <c:strRef>
              <c:f>'Raw Data 2'!$E$95</c:f>
              <c:strCache>
                <c:ptCount val="1"/>
                <c:pt idx="0">
                  <c:v>MIN Capital Required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4"/>
              <c:layout>
                <c:manualLayout>
                  <c:x val="-6.9805555555555662E-2"/>
                  <c:y val="-0.1144211140274132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4D9-42B8-9017-3BFD96220442}"/>
                </c:ext>
              </c:extLst>
            </c:dLbl>
            <c:dLbl>
              <c:idx val="5"/>
              <c:layout>
                <c:manualLayout>
                  <c:x val="-5.4268591426071947E-2"/>
                  <c:y val="-0.10516185476815398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4D9-42B8-9017-3BFD9622044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'Raw Data 2'!$C$96:$C$101</c:f>
              <c:strCache>
                <c:ptCount val="6"/>
                <c:pt idx="0">
                  <c:v>CY16</c:v>
                </c:pt>
                <c:pt idx="1">
                  <c:v>CY17</c:v>
                </c:pt>
                <c:pt idx="2">
                  <c:v>CY18</c:v>
                </c:pt>
                <c:pt idx="3">
                  <c:v>CY19</c:v>
                </c:pt>
                <c:pt idx="4">
                  <c:v>CY20E</c:v>
                </c:pt>
                <c:pt idx="5">
                  <c:v>CY21F</c:v>
                </c:pt>
              </c:strCache>
            </c:strRef>
          </c:cat>
          <c:val>
            <c:numRef>
              <c:f>'Raw Data 2'!$E$96:$E$101</c:f>
              <c:numCache>
                <c:formatCode>0.00%</c:formatCode>
                <c:ptCount val="6"/>
                <c:pt idx="0">
                  <c:v>0.1125</c:v>
                </c:pt>
                <c:pt idx="1">
                  <c:v>0.11874999999999999</c:v>
                </c:pt>
                <c:pt idx="2">
                  <c:v>0.125</c:v>
                </c:pt>
                <c:pt idx="3">
                  <c:v>0.125</c:v>
                </c:pt>
                <c:pt idx="4">
                  <c:v>0.125</c:v>
                </c:pt>
                <c:pt idx="5">
                  <c:v>0.125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D9-42B8-9017-3BFD96220442}"/>
            </c:ext>
          </c:extLst>
        </c:ser>
        <c:ser>
          <c:idx val="2"/>
          <c:order val="2"/>
          <c:tx>
            <c:strRef>
              <c:f>'Raw Data 2'!$F$95</c:f>
              <c:strCache>
                <c:ptCount val="1"/>
                <c:pt idx="0">
                  <c:v>Tier 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rgbClr val="00206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'Raw Data 2'!$C$96:$C$101</c:f>
              <c:strCache>
                <c:ptCount val="6"/>
                <c:pt idx="0">
                  <c:v>CY16</c:v>
                </c:pt>
                <c:pt idx="1">
                  <c:v>CY17</c:v>
                </c:pt>
                <c:pt idx="2">
                  <c:v>CY18</c:v>
                </c:pt>
                <c:pt idx="3">
                  <c:v>CY19</c:v>
                </c:pt>
                <c:pt idx="4">
                  <c:v>CY20E</c:v>
                </c:pt>
                <c:pt idx="5">
                  <c:v>CY21F</c:v>
                </c:pt>
              </c:strCache>
            </c:strRef>
          </c:cat>
          <c:val>
            <c:numRef>
              <c:f>'Raw Data 2'!$F$96:$F$101</c:f>
              <c:numCache>
                <c:formatCode>0.0%</c:formatCode>
                <c:ptCount val="6"/>
                <c:pt idx="0">
                  <c:v>0.10258048822390037</c:v>
                </c:pt>
                <c:pt idx="1">
                  <c:v>0.10451480902295006</c:v>
                </c:pt>
                <c:pt idx="2">
                  <c:v>0.12363090247739926</c:v>
                </c:pt>
                <c:pt idx="3">
                  <c:v>0.13325386362694422</c:v>
                </c:pt>
                <c:pt idx="4">
                  <c:v>0.15118241276042996</c:v>
                </c:pt>
                <c:pt idx="5">
                  <c:v>0.14345436082641097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D9-42B8-9017-3BFD96220442}"/>
            </c:ext>
          </c:extLst>
        </c:ser>
        <c:ser>
          <c:idx val="3"/>
          <c:order val="3"/>
          <c:tx>
            <c:strRef>
              <c:f>'Raw Data 2'!$G$95</c:f>
              <c:strCache>
                <c:ptCount val="1"/>
                <c:pt idx="0">
                  <c:v>Tier II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2"/>
              <c:layout>
                <c:manualLayout>
                  <c:x val="-5.2851457756969616E-2"/>
                  <c:y val="4.034740449110511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B11-4AA0-B501-8A17A4D6BE4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'Raw Data 2'!$C$96:$C$101</c:f>
              <c:strCache>
                <c:ptCount val="6"/>
                <c:pt idx="0">
                  <c:v>CY16</c:v>
                </c:pt>
                <c:pt idx="1">
                  <c:v>CY17</c:v>
                </c:pt>
                <c:pt idx="2">
                  <c:v>CY18</c:v>
                </c:pt>
                <c:pt idx="3">
                  <c:v>CY19</c:v>
                </c:pt>
                <c:pt idx="4">
                  <c:v>CY20E</c:v>
                </c:pt>
                <c:pt idx="5">
                  <c:v>CY21F</c:v>
                </c:pt>
              </c:strCache>
            </c:strRef>
          </c:cat>
          <c:val>
            <c:numRef>
              <c:f>'Raw Data 2'!$G$96:$G$101</c:f>
              <c:numCache>
                <c:formatCode>0.0%</c:formatCode>
                <c:ptCount val="6"/>
                <c:pt idx="0">
                  <c:v>3.431721520996691E-2</c:v>
                </c:pt>
                <c:pt idx="1">
                  <c:v>2.9131034674519676E-2</c:v>
                </c:pt>
                <c:pt idx="2">
                  <c:v>2.5172572639309533E-2</c:v>
                </c:pt>
                <c:pt idx="3">
                  <c:v>3.8474653557033438E-2</c:v>
                </c:pt>
                <c:pt idx="4">
                  <c:v>3.5831310763370199E-2</c:v>
                </c:pt>
                <c:pt idx="5">
                  <c:v>3.1084576447177627E-2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4D9-42B8-9017-3BFD9622044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07922112"/>
        <c:axId val="307927600"/>
      </c:lineChart>
      <c:catAx>
        <c:axId val="30792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927600"/>
        <c:crosses val="autoZero"/>
        <c:auto val="1"/>
        <c:lblAlgn val="ctr"/>
        <c:lblOffset val="100"/>
        <c:noMultiLvlLbl val="0"/>
      </c:catAx>
      <c:valAx>
        <c:axId val="307927600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307922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'[1]Industry Data'!$B$362</c:f>
              <c:strCache>
                <c:ptCount val="1"/>
                <c:pt idx="0">
                  <c:v>Total Investment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'[1]Industry Data'!$A$363:$A$364</c:f>
              <c:strCache>
                <c:ptCount val="2"/>
                <c:pt idx="0">
                  <c:v>Islamic Investment </c:v>
                </c:pt>
                <c:pt idx="1">
                  <c:v>Convention Investment </c:v>
                </c:pt>
              </c:strCache>
            </c:strRef>
          </c:cat>
          <c:val>
            <c:numRef>
              <c:f>'[1]Industry Data'!$B$363:$B$364</c:f>
              <c:numCache>
                <c:formatCode>General</c:formatCode>
                <c:ptCount val="2"/>
                <c:pt idx="0">
                  <c:v>1070.0999999999999</c:v>
                </c:pt>
                <c:pt idx="1">
                  <c:v>10020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F7-4E40-B56A-B61692468A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7922504"/>
        <c:axId val="307927208"/>
      </c:barChart>
      <c:catAx>
        <c:axId val="307922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927208"/>
        <c:crosses val="autoZero"/>
        <c:auto val="1"/>
        <c:lblAlgn val="ctr"/>
        <c:lblOffset val="100"/>
        <c:noMultiLvlLbl val="0"/>
      </c:catAx>
      <c:valAx>
        <c:axId val="307927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922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Islamic</a:t>
            </a:r>
            <a:r>
              <a:rPr lang="en-US" baseline="0"/>
              <a:t> Banking Competition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'[1]Industry Data'!$B$374</c:f>
              <c:strCache>
                <c:ptCount val="1"/>
                <c:pt idx="0">
                  <c:v>Competition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'[1]Industry Data'!$A$375:$A$382</c:f>
              <c:strCache>
                <c:ptCount val="8"/>
                <c:pt idx="0">
                  <c:v>MEBL</c:v>
                </c:pt>
                <c:pt idx="1">
                  <c:v>Bank Islami </c:v>
                </c:pt>
                <c:pt idx="2">
                  <c:v>DIB</c:v>
                </c:pt>
                <c:pt idx="3">
                  <c:v>Al- Baraka </c:v>
                </c:pt>
                <c:pt idx="4">
                  <c:v>MCB Islamic</c:v>
                </c:pt>
                <c:pt idx="5">
                  <c:v>HBL Islamic </c:v>
                </c:pt>
                <c:pt idx="6">
                  <c:v>Al-Falah Islamic</c:v>
                </c:pt>
                <c:pt idx="7">
                  <c:v>Others </c:v>
                </c:pt>
              </c:strCache>
            </c:strRef>
          </c:cat>
          <c:val>
            <c:numRef>
              <c:f>'[1]Industry Data'!$B$375:$B$382</c:f>
              <c:numCache>
                <c:formatCode>General</c:formatCode>
                <c:ptCount val="8"/>
                <c:pt idx="0">
                  <c:v>1090544.7180000001</c:v>
                </c:pt>
                <c:pt idx="1">
                  <c:v>254017.04</c:v>
                </c:pt>
                <c:pt idx="2">
                  <c:v>234808.09400000001</c:v>
                </c:pt>
                <c:pt idx="3">
                  <c:v>146228.421</c:v>
                </c:pt>
                <c:pt idx="4">
                  <c:v>89558.067999999999</c:v>
                </c:pt>
                <c:pt idx="5">
                  <c:v>239400.05300000001</c:v>
                </c:pt>
                <c:pt idx="6">
                  <c:v>131517.91</c:v>
                </c:pt>
                <c:pt idx="7">
                  <c:v>847925.69599999953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5B-4C44-AD9F-A89BC5B407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7921720"/>
        <c:axId val="307922896"/>
      </c:barChart>
      <c:catAx>
        <c:axId val="307921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922896"/>
        <c:crosses val="autoZero"/>
        <c:auto val="1"/>
        <c:lblAlgn val="ctr"/>
        <c:lblOffset val="100"/>
        <c:noMultiLvlLbl val="0"/>
      </c:catAx>
      <c:valAx>
        <c:axId val="30792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921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Banking Industry Market Share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8914608253799839"/>
          <c:y val="0.24050925925925926"/>
          <c:w val="0.40790140273938053"/>
          <c:h val="0.54710593467483226"/>
        </c:manualLayout>
      </c:layout>
      <c:pieChart>
        <c:varyColors val="1"/>
        <c:ser>
          <c:idx val="0"/>
          <c:order val="0"/>
          <c:tx>
            <c:strRef>
              <c:f>'[1]Industry Data'!$B$387</c:f>
              <c:strCache>
                <c:ptCount val="1"/>
                <c:pt idx="0">
                  <c:v>SEP'19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808-4E4E-9D16-992CE8FABC9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808-4E4E-9D16-992CE8FABC9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808-4E4E-9D16-992CE8FABC9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F808-4E4E-9D16-992CE8FABC9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F808-4E4E-9D16-992CE8FABC9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F808-4E4E-9D16-992CE8FABC9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F808-4E4E-9D16-992CE8FABC9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'[1]Industry Data'!$A$388:$A$394</c:f>
              <c:strCache>
                <c:ptCount val="7"/>
                <c:pt idx="0">
                  <c:v>HBL</c:v>
                </c:pt>
                <c:pt idx="1">
                  <c:v>NBP</c:v>
                </c:pt>
                <c:pt idx="2">
                  <c:v>UBL</c:v>
                </c:pt>
                <c:pt idx="3">
                  <c:v>MCB</c:v>
                </c:pt>
                <c:pt idx="4">
                  <c:v>ABL</c:v>
                </c:pt>
                <c:pt idx="5">
                  <c:v>MEBL</c:v>
                </c:pt>
                <c:pt idx="6">
                  <c:v>Others</c:v>
                </c:pt>
              </c:strCache>
            </c:strRef>
          </c:cat>
          <c:val>
            <c:numRef>
              <c:f>'[1]Industry Data'!$B$388:$B$394</c:f>
              <c:numCache>
                <c:formatCode>General</c:formatCode>
                <c:ptCount val="7"/>
                <c:pt idx="0">
                  <c:v>2736.0677540000001</c:v>
                </c:pt>
                <c:pt idx="1">
                  <c:v>2339.2600000000002</c:v>
                </c:pt>
                <c:pt idx="2">
                  <c:v>1580.95091</c:v>
                </c:pt>
                <c:pt idx="3">
                  <c:v>1274.8697259999999</c:v>
                </c:pt>
                <c:pt idx="4">
                  <c:v>1122.372447</c:v>
                </c:pt>
                <c:pt idx="5">
                  <c:v>1090.5447180000001</c:v>
                </c:pt>
                <c:pt idx="6">
                  <c:v>6339.3934449999979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F808-4E4E-9D16-992CE8FABC96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9198993741323252E-2"/>
          <c:y val="0.79687445319335082"/>
          <c:w val="0.78779530854721946"/>
          <c:h val="7.8125546806649182E-2"/>
        </c:manualLayout>
      </c:layout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'[1]Industry Data'!$B$398</c:f>
              <c:strCache>
                <c:ptCount val="1"/>
                <c:pt idx="0">
                  <c:v>Account Ownership at Financial Institution or Mobile money service provider  (% of Popluation)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'[1]Industry Data'!$A$399:$A$405</c:f>
              <c:strCache>
                <c:ptCount val="7"/>
                <c:pt idx="0">
                  <c:v>Pakistan </c:v>
                </c:pt>
                <c:pt idx="1">
                  <c:v>Bangladesh </c:v>
                </c:pt>
                <c:pt idx="2">
                  <c:v>Srilanka </c:v>
                </c:pt>
                <c:pt idx="3">
                  <c:v>India</c:v>
                </c:pt>
                <c:pt idx="4">
                  <c:v>China </c:v>
                </c:pt>
                <c:pt idx="5">
                  <c:v>Malaysia </c:v>
                </c:pt>
                <c:pt idx="6">
                  <c:v>Japan </c:v>
                </c:pt>
              </c:strCache>
            </c:strRef>
          </c:cat>
          <c:val>
            <c:numRef>
              <c:f>'[1]Industry Data'!$B$399:$B$405</c:f>
              <c:numCache>
                <c:formatCode>General</c:formatCode>
                <c:ptCount val="7"/>
                <c:pt idx="0">
                  <c:v>0.21290000000000001</c:v>
                </c:pt>
                <c:pt idx="1">
                  <c:v>0.50049999999999994</c:v>
                </c:pt>
                <c:pt idx="2">
                  <c:v>0.73650000000000004</c:v>
                </c:pt>
                <c:pt idx="3">
                  <c:v>0.79879999999999995</c:v>
                </c:pt>
                <c:pt idx="4">
                  <c:v>0.80230000000000001</c:v>
                </c:pt>
                <c:pt idx="5">
                  <c:v>0.85340000000000005</c:v>
                </c:pt>
                <c:pt idx="6">
                  <c:v>0.98240000000000005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FA-4E47-BA15-101F76F234D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07923288"/>
        <c:axId val="307923680"/>
      </c:barChart>
      <c:catAx>
        <c:axId val="307923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923680"/>
        <c:crosses val="autoZero"/>
        <c:auto val="1"/>
        <c:lblAlgn val="ctr"/>
        <c:lblOffset val="100"/>
        <c:noMultiLvlLbl val="0"/>
      </c:catAx>
      <c:valAx>
        <c:axId val="30792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923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4023071377072804E-2"/>
          <c:y val="3.6346725623237021E-2"/>
          <c:w val="0.85522141057668999"/>
          <c:h val="0.849849849849849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MEBL!$M$56:$Q$56</c:f>
              <c:numCache>
                <c:formatCode>_(* #,##0_);_(* \(#,##0\);_(* "-"??_);_(@_)</c:formatCode>
                <c:ptCount val="5"/>
                <c:pt idx="0">
                  <c:v>52841.188999999998</c:v>
                </c:pt>
                <c:pt idx="1">
                  <c:v>72515.342761762498</c:v>
                </c:pt>
                <c:pt idx="2">
                  <c:v>68191.734273117327</c:v>
                </c:pt>
                <c:pt idx="3">
                  <c:v>79409.193744074801</c:v>
                </c:pt>
                <c:pt idx="4">
                  <c:v>87195.838797623772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12-494C-AF25-773D3116BB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4565344"/>
        <c:axId val="344559464"/>
      </c:barChart>
      <c:catAx>
        <c:axId val="344565344"/>
        <c:scaling>
          <c:orientation val="minMax"/>
        </c:scaling>
        <c:delete val="1"/>
        <c:axPos val="b"/>
        <c:majorTickMark val="none"/>
        <c:minorTickMark val="none"/>
        <c:tickLblPos val="nextTo"/>
        <c:crossAx val="344559464"/>
        <c:crosses val="autoZero"/>
        <c:auto val="1"/>
        <c:lblAlgn val="ctr"/>
        <c:lblOffset val="100"/>
        <c:noMultiLvlLbl val="0"/>
      </c:catAx>
      <c:valAx>
        <c:axId val="344559464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44565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Technological</a:t>
            </a:r>
            <a:r>
              <a:rPr lang="en-US" baseline="0"/>
              <a:t> Spendings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'[1]Industry Data'!$B$118</c:f>
              <c:strCache>
                <c:ptCount val="1"/>
                <c:pt idx="0">
                  <c:v>IT Expenses/ Total Admin Expenses 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'[1]Industry Data'!$A$119:$A$124</c:f>
              <c:strCache>
                <c:ptCount val="6"/>
                <c:pt idx="0">
                  <c:v>BAFL </c:v>
                </c:pt>
                <c:pt idx="1">
                  <c:v>MCB </c:v>
                </c:pt>
                <c:pt idx="2">
                  <c:v>UBL </c:v>
                </c:pt>
                <c:pt idx="3">
                  <c:v>ABL </c:v>
                </c:pt>
                <c:pt idx="4">
                  <c:v>HBL </c:v>
                </c:pt>
                <c:pt idx="5">
                  <c:v>MEBL </c:v>
                </c:pt>
              </c:strCache>
            </c:strRef>
          </c:cat>
          <c:val>
            <c:numRef>
              <c:f>'[1]Industry Data'!$B$119:$B$124</c:f>
              <c:numCache>
                <c:formatCode>General</c:formatCode>
                <c:ptCount val="6"/>
                <c:pt idx="0">
                  <c:v>9.7000000000000003E-2</c:v>
                </c:pt>
                <c:pt idx="1">
                  <c:v>9.1999999999999998E-2</c:v>
                </c:pt>
                <c:pt idx="2">
                  <c:v>9.0499999999999997E-2</c:v>
                </c:pt>
                <c:pt idx="3">
                  <c:v>8.7499999999999994E-2</c:v>
                </c:pt>
                <c:pt idx="4">
                  <c:v>8.0500000000000002E-2</c:v>
                </c:pt>
                <c:pt idx="5">
                  <c:v>6.0499999999999998E-2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0C-458F-B8B5-A8E0C27901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6199400"/>
        <c:axId val="306199792"/>
      </c:barChart>
      <c:scatterChart>
        <c:scatterStyle val="lineMarker"/>
        <c:varyColors val="0"/>
        <c:ser>
          <c:idx val="1"/>
          <c:order val="1"/>
          <c:tx>
            <c:strRef>
              <c:f>'[1]Industry Data'!$C$118</c:f>
              <c:strCache>
                <c:ptCount val="1"/>
                <c:pt idx="0">
                  <c:v>IT Expense Growth 2019, RHS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'[1]Industry Data'!$A$119:$A$124</c:f>
              <c:strCache>
                <c:ptCount val="6"/>
                <c:pt idx="0">
                  <c:v>BAFL </c:v>
                </c:pt>
                <c:pt idx="1">
                  <c:v>MCB </c:v>
                </c:pt>
                <c:pt idx="2">
                  <c:v>UBL </c:v>
                </c:pt>
                <c:pt idx="3">
                  <c:v>ABL </c:v>
                </c:pt>
                <c:pt idx="4">
                  <c:v>HBL </c:v>
                </c:pt>
                <c:pt idx="5">
                  <c:v>MEBL </c:v>
                </c:pt>
              </c:strCache>
            </c:strRef>
          </c:xVal>
          <c:yVal>
            <c:numRef>
              <c:f>'[1]Industry Data'!$C$119:$C$124</c:f>
              <c:numCache>
                <c:formatCode>General</c:formatCode>
                <c:ptCount val="6"/>
                <c:pt idx="0">
                  <c:v>0.23</c:v>
                </c:pt>
                <c:pt idx="1">
                  <c:v>-3.5000000000000003E-2</c:v>
                </c:pt>
                <c:pt idx="2">
                  <c:v>0.26500000000000001</c:v>
                </c:pt>
                <c:pt idx="3">
                  <c:v>0.12</c:v>
                </c:pt>
                <c:pt idx="4">
                  <c:v>0.375</c:v>
                </c:pt>
                <c:pt idx="5">
                  <c:v>0.375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0C-458F-B8B5-A8E0C27901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6201360"/>
        <c:axId val="306202144"/>
      </c:scatterChart>
      <c:catAx>
        <c:axId val="306199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199792"/>
        <c:crosses val="autoZero"/>
        <c:auto val="1"/>
        <c:lblAlgn val="ctr"/>
        <c:lblOffset val="100"/>
        <c:noMultiLvlLbl val="0"/>
      </c:catAx>
      <c:valAx>
        <c:axId val="30619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199400"/>
        <c:crosses val="autoZero"/>
        <c:crossBetween val="between"/>
      </c:valAx>
      <c:valAx>
        <c:axId val="30620214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201360"/>
        <c:crosses val="max"/>
        <c:crossBetween val="midCat"/>
      </c:valAx>
      <c:valAx>
        <c:axId val="306201360"/>
        <c:scaling>
          <c:orientation val="minMax"/>
        </c:scaling>
        <c:delete val="1"/>
        <c:axPos val="b"/>
        <c:majorTickMark val="out"/>
        <c:minorTickMark val="none"/>
        <c:tickLblPos val="nextTo"/>
        <c:crossAx val="306202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980358705161855"/>
          <c:y val="0.19486111111111112"/>
          <c:w val="0.81575196850393705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'[1]Industry Data'!$H$94</c:f>
              <c:strCache>
                <c:ptCount val="1"/>
                <c:pt idx="0">
                  <c:v>Islamic Banking Deposit Growth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name>CAGR 18%</c:nam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'[1]Industry Data'!$I$93:$M$93</c:f>
              <c:numCache>
                <c:formatCode>General</c:formatCod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numCache>
            </c:numRef>
          </c:cat>
          <c:val>
            <c:numRef>
              <c:f>'[1]Industry Data'!$I$94:$M$94</c:f>
              <c:numCache>
                <c:formatCode>General</c:formatCode>
                <c:ptCount val="5"/>
                <c:pt idx="0">
                  <c:v>1573000</c:v>
                </c:pt>
                <c:pt idx="1">
                  <c:v>1885000</c:v>
                </c:pt>
                <c:pt idx="2">
                  <c:v>2203000</c:v>
                </c:pt>
                <c:pt idx="3">
                  <c:v>2652000</c:v>
                </c:pt>
                <c:pt idx="4">
                  <c:v>3100603.9453702858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7F-4AFA-90A9-4FA302C52E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6200184"/>
        <c:axId val="306197440"/>
      </c:barChart>
      <c:catAx>
        <c:axId val="306200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197440"/>
        <c:crosses val="autoZero"/>
        <c:auto val="1"/>
        <c:lblAlgn val="ctr"/>
        <c:lblOffset val="100"/>
        <c:noMultiLvlLbl val="0"/>
      </c:catAx>
      <c:valAx>
        <c:axId val="30619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200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'Raw Data'!$A$3:$A$18</c:f>
              <c:strCache>
                <c:ptCount val="1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2020E</c:v>
                </c:pt>
                <c:pt idx="11">
                  <c:v>2021F</c:v>
                </c:pt>
                <c:pt idx="12">
                  <c:v>2022F</c:v>
                </c:pt>
                <c:pt idx="13">
                  <c:v>2023F</c:v>
                </c:pt>
                <c:pt idx="14">
                  <c:v>2024F</c:v>
                </c:pt>
                <c:pt idx="15">
                  <c:v>2025F</c:v>
                </c:pt>
              </c:strCache>
            </c:strRef>
          </c:cat>
          <c:val>
            <c:numRef>
              <c:f>'Raw Data'!$B$3:$B$18</c:f>
              <c:numCache>
                <c:formatCode>_(* #,##0_);_(* \(#,##0\);_(* "-"??_);_(@_)</c:formatCode>
                <c:ptCount val="16"/>
                <c:pt idx="0">
                  <c:v>9957.7569999999996</c:v>
                </c:pt>
                <c:pt idx="1">
                  <c:v>2354.9079999999999</c:v>
                </c:pt>
                <c:pt idx="2">
                  <c:v>3851.15</c:v>
                </c:pt>
                <c:pt idx="3">
                  <c:v>3554.2339999999999</c:v>
                </c:pt>
                <c:pt idx="4">
                  <c:v>5501.0770000000002</c:v>
                </c:pt>
                <c:pt idx="5">
                  <c:v>11175.06</c:v>
                </c:pt>
                <c:pt idx="6">
                  <c:v>12067.855</c:v>
                </c:pt>
                <c:pt idx="7">
                  <c:v>4940.09</c:v>
                </c:pt>
                <c:pt idx="8">
                  <c:v>8277.1460000000006</c:v>
                </c:pt>
                <c:pt idx="9">
                  <c:v>15414.833000000001</c:v>
                </c:pt>
                <c:pt idx="10">
                  <c:v>16093.769504580312</c:v>
                </c:pt>
                <c:pt idx="11">
                  <c:v>14442.733157189343</c:v>
                </c:pt>
                <c:pt idx="12">
                  <c:v>18285.285897117396</c:v>
                </c:pt>
                <c:pt idx="13">
                  <c:v>21720.020262217869</c:v>
                </c:pt>
                <c:pt idx="14">
                  <c:v>23489.473499574426</c:v>
                </c:pt>
                <c:pt idx="15">
                  <c:v>26059.809591803274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72-457F-97C8-0F1914586128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'Raw Data'!$A$3:$A$18</c:f>
              <c:strCache>
                <c:ptCount val="1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2020E</c:v>
                </c:pt>
                <c:pt idx="11">
                  <c:v>2021F</c:v>
                </c:pt>
                <c:pt idx="12">
                  <c:v>2022F</c:v>
                </c:pt>
                <c:pt idx="13">
                  <c:v>2023F</c:v>
                </c:pt>
                <c:pt idx="14">
                  <c:v>2024F</c:v>
                </c:pt>
                <c:pt idx="15">
                  <c:v>2025F</c:v>
                </c:pt>
              </c:strCache>
            </c:strRef>
          </c:cat>
          <c:val>
            <c:numRef>
              <c:f>'Raw Data'!$C$3:$C$18</c:f>
              <c:numCache>
                <c:formatCode>_(* #,##0_);_(* \(#,##0\);_(* "-"??_);_(@_)</c:formatCode>
                <c:ptCount val="16"/>
                <c:pt idx="0">
                  <c:v>10511.855</c:v>
                </c:pt>
                <c:pt idx="1">
                  <c:v>4065.4059999999999</c:v>
                </c:pt>
                <c:pt idx="2">
                  <c:v>500</c:v>
                </c:pt>
                <c:pt idx="3">
                  <c:v>7442.732</c:v>
                </c:pt>
                <c:pt idx="4">
                  <c:v>90766.297000000006</c:v>
                </c:pt>
                <c:pt idx="5">
                  <c:v>170474.42199999999</c:v>
                </c:pt>
                <c:pt idx="6">
                  <c:v>129115.16499999999</c:v>
                </c:pt>
                <c:pt idx="7">
                  <c:v>147229.22099999999</c:v>
                </c:pt>
                <c:pt idx="8">
                  <c:v>184814.6</c:v>
                </c:pt>
                <c:pt idx="9">
                  <c:v>223689.32500000001</c:v>
                </c:pt>
                <c:pt idx="10">
                  <c:v>267520.46852020646</c:v>
                </c:pt>
                <c:pt idx="11">
                  <c:v>235436.2063769105</c:v>
                </c:pt>
                <c:pt idx="12">
                  <c:v>223593.95095288794</c:v>
                </c:pt>
                <c:pt idx="13">
                  <c:v>220154.03168405217</c:v>
                </c:pt>
                <c:pt idx="14">
                  <c:v>231234.52143440818</c:v>
                </c:pt>
                <c:pt idx="15">
                  <c:v>242144.8586668038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72-457F-97C8-0F1914586128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'Raw Data'!$A$3:$A$18</c:f>
              <c:strCache>
                <c:ptCount val="1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2020E</c:v>
                </c:pt>
                <c:pt idx="11">
                  <c:v>2021F</c:v>
                </c:pt>
                <c:pt idx="12">
                  <c:v>2022F</c:v>
                </c:pt>
                <c:pt idx="13">
                  <c:v>2023F</c:v>
                </c:pt>
                <c:pt idx="14">
                  <c:v>2024F</c:v>
                </c:pt>
                <c:pt idx="15">
                  <c:v>2025F</c:v>
                </c:pt>
              </c:strCache>
            </c:strRef>
          </c:cat>
          <c:val>
            <c:numRef>
              <c:f>'Raw Data'!$D$3:$D$18</c:f>
              <c:numCache>
                <c:formatCode>_(* #,##0_);_(* \(#,##0\);_(* "-"??_);_(@_)</c:formatCode>
                <c:ptCount val="16"/>
                <c:pt idx="0">
                  <c:v>50519.385999999999</c:v>
                </c:pt>
                <c:pt idx="1">
                  <c:v>99949.542000000001</c:v>
                </c:pt>
                <c:pt idx="2">
                  <c:v>152459.85500000001</c:v>
                </c:pt>
                <c:pt idx="3">
                  <c:v>151613.93299999999</c:v>
                </c:pt>
                <c:pt idx="4">
                  <c:v>114089.25199999999</c:v>
                </c:pt>
                <c:pt idx="5">
                  <c:v>76909.951000000001</c:v>
                </c:pt>
                <c:pt idx="6">
                  <c:v>134796.57399999999</c:v>
                </c:pt>
                <c:pt idx="7">
                  <c:v>123160.901</c:v>
                </c:pt>
                <c:pt idx="8">
                  <c:v>127115.376</c:v>
                </c:pt>
                <c:pt idx="9">
                  <c:v>229667.07199999999</c:v>
                </c:pt>
                <c:pt idx="10">
                  <c:v>382748.72247422516</c:v>
                </c:pt>
                <c:pt idx="11">
                  <c:v>470865.8123224224</c:v>
                </c:pt>
                <c:pt idx="12">
                  <c:v>558975.57269861014</c:v>
                </c:pt>
                <c:pt idx="13">
                  <c:v>628999.55304036802</c:v>
                </c:pt>
                <c:pt idx="14">
                  <c:v>711476.25893227523</c:v>
                </c:pt>
                <c:pt idx="15">
                  <c:v>807131.61491796689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72-457F-97C8-0F1914586128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'Raw Data'!$A$3:$A$18</c:f>
              <c:strCache>
                <c:ptCount val="1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2020E</c:v>
                </c:pt>
                <c:pt idx="11">
                  <c:v>2021F</c:v>
                </c:pt>
                <c:pt idx="12">
                  <c:v>2022F</c:v>
                </c:pt>
                <c:pt idx="13">
                  <c:v>2023F</c:v>
                </c:pt>
                <c:pt idx="14">
                  <c:v>2024F</c:v>
                </c:pt>
                <c:pt idx="15">
                  <c:v>2025F</c:v>
                </c:pt>
              </c:strCache>
            </c:strRef>
          </c:cat>
          <c:val>
            <c:numRef>
              <c:f>'Raw Data'!$E$3:$E$18</c:f>
              <c:numCache>
                <c:formatCode>_(* #,##0_);_(* \(#,##0\);_(* "-"??_);_(@_)</c:formatCode>
                <c:ptCount val="16"/>
                <c:pt idx="0">
                  <c:v>53995.163</c:v>
                </c:pt>
                <c:pt idx="1">
                  <c:v>58955.584999999999</c:v>
                </c:pt>
                <c:pt idx="2">
                  <c:v>88678.076000000001</c:v>
                </c:pt>
                <c:pt idx="3">
                  <c:v>127622.868</c:v>
                </c:pt>
                <c:pt idx="4">
                  <c:v>175711.94200000001</c:v>
                </c:pt>
                <c:pt idx="5">
                  <c:v>207568.823</c:v>
                </c:pt>
                <c:pt idx="6">
                  <c:v>311530.27</c:v>
                </c:pt>
                <c:pt idx="7">
                  <c:v>419929.14899999998</c:v>
                </c:pt>
                <c:pt idx="8">
                  <c:v>512564.522</c:v>
                </c:pt>
                <c:pt idx="9">
                  <c:v>493775.34600000002</c:v>
                </c:pt>
                <c:pt idx="10">
                  <c:v>525777.78094048181</c:v>
                </c:pt>
                <c:pt idx="11">
                  <c:v>594246.96567297215</c:v>
                </c:pt>
                <c:pt idx="12">
                  <c:v>686372.43312637124</c:v>
                </c:pt>
                <c:pt idx="13">
                  <c:v>789143.07354830357</c:v>
                </c:pt>
                <c:pt idx="14">
                  <c:v>911449.86025834479</c:v>
                </c:pt>
                <c:pt idx="15">
                  <c:v>1055088.3193154507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572-457F-97C8-0F19145861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6201752"/>
        <c:axId val="306204104"/>
      </c:barChart>
      <c:lineChart>
        <c:grouping val="standard"/>
        <c:varyColors val="0"/>
        <c:ser>
          <c:idx val="4"/>
          <c:order val="4"/>
          <c:spPr>
            <a:ln w="28575" cap="rnd">
              <a:solidFill>
                <a:srgbClr val="FFCC00"/>
              </a:solidFill>
              <a:round/>
            </a:ln>
            <a:effectLst/>
          </c:spPr>
          <c:marker>
            <c:symbol val="none"/>
          </c:marker>
          <c:cat>
            <c:strRef>
              <c:f>'Raw Data'!$A$3:$A$18</c:f>
              <c:strCache>
                <c:ptCount val="1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2020E</c:v>
                </c:pt>
                <c:pt idx="11">
                  <c:v>2021F</c:v>
                </c:pt>
                <c:pt idx="12">
                  <c:v>2022F</c:v>
                </c:pt>
                <c:pt idx="13">
                  <c:v>2023F</c:v>
                </c:pt>
                <c:pt idx="14">
                  <c:v>2024F</c:v>
                </c:pt>
                <c:pt idx="15">
                  <c:v>2025F</c:v>
                </c:pt>
              </c:strCache>
            </c:strRef>
          </c:cat>
          <c:val>
            <c:numRef>
              <c:f>'Raw Data'!$F$3:$F$18</c:f>
              <c:numCache>
                <c:formatCode>0.00%</c:formatCode>
                <c:ptCount val="16"/>
                <c:pt idx="0">
                  <c:v>4.5431348697056104E-2</c:v>
                </c:pt>
                <c:pt idx="1">
                  <c:v>5.6503675075634627E-2</c:v>
                </c:pt>
                <c:pt idx="2">
                  <c:v>4.2578015924056523E-2</c:v>
                </c:pt>
                <c:pt idx="3">
                  <c:v>3.6676810937715597E-2</c:v>
                </c:pt>
                <c:pt idx="4">
                  <c:v>3.4612527689640876E-2</c:v>
                </c:pt>
                <c:pt idx="5">
                  <c:v>3.9080643075196896E-2</c:v>
                </c:pt>
                <c:pt idx="6">
                  <c:v>3.1587304549494336E-2</c:v>
                </c:pt>
                <c:pt idx="7">
                  <c:v>2.9951701721855708E-2</c:v>
                </c:pt>
                <c:pt idx="8">
                  <c:v>3.3833740861618479E-2</c:v>
                </c:pt>
                <c:pt idx="9">
                  <c:v>4.8343375957320946E-2</c:v>
                </c:pt>
                <c:pt idx="10">
                  <c:v>5.6806722590910491E-2</c:v>
                </c:pt>
                <c:pt idx="11">
                  <c:v>4.7239168965521459E-2</c:v>
                </c:pt>
                <c:pt idx="12">
                  <c:v>4.5791103388969918E-2</c:v>
                </c:pt>
                <c:pt idx="13">
                  <c:v>4.5849561158982845E-2</c:v>
                </c:pt>
                <c:pt idx="14">
                  <c:v>4.6175430142741947E-2</c:v>
                </c:pt>
                <c:pt idx="15">
                  <c:v>4.6436499446310613E-2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572-457F-97C8-0F19145861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99008"/>
        <c:axId val="306204496"/>
      </c:lineChart>
      <c:catAx>
        <c:axId val="306201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204104"/>
        <c:crosses val="autoZero"/>
        <c:auto val="1"/>
        <c:lblAlgn val="ctr"/>
        <c:lblOffset val="100"/>
        <c:noMultiLvlLbl val="0"/>
      </c:catAx>
      <c:valAx>
        <c:axId val="3062041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Earnings</a:t>
                </a:r>
                <a:r>
                  <a:rPr lang="en-US" b="1" baseline="0"/>
                  <a:t> Assets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201752"/>
        <c:crosses val="autoZero"/>
        <c:crossBetween val="between"/>
      </c:valAx>
      <c:valAx>
        <c:axId val="30620449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NIMS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199008"/>
        <c:crosses val="max"/>
        <c:crossBetween val="between"/>
      </c:valAx>
      <c:catAx>
        <c:axId val="3061990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062044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Deposits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rgbClr val="FFCC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cat>
            <c:strRef>
              <c:f>'Raw Data'!$A$31:$A$35</c:f>
              <c:strCache>
                <c:ptCount val="5"/>
                <c:pt idx="0">
                  <c:v>2019</c:v>
                </c:pt>
                <c:pt idx="1">
                  <c:v>2020E</c:v>
                </c:pt>
                <c:pt idx="2">
                  <c:v>2021F</c:v>
                </c:pt>
                <c:pt idx="3">
                  <c:v>2022F</c:v>
                </c:pt>
                <c:pt idx="4">
                  <c:v>2023F</c:v>
                </c:pt>
              </c:strCache>
            </c:strRef>
          </c:cat>
          <c:val>
            <c:numRef>
              <c:f>'Raw Data'!$B$31:$B$35</c:f>
              <c:numCache>
                <c:formatCode>_(* #,##0_);_(* \(#,##0\);_(* "-"??_);_(@_)</c:formatCode>
                <c:ptCount val="5"/>
                <c:pt idx="0">
                  <c:v>932568.76500000001</c:v>
                </c:pt>
                <c:pt idx="1">
                  <c:v>1114656.249153849</c:v>
                </c:pt>
                <c:pt idx="2">
                  <c:v>1239120.5587432168</c:v>
                </c:pt>
                <c:pt idx="3">
                  <c:v>1397438.9317465252</c:v>
                </c:pt>
                <c:pt idx="4">
                  <c:v>1572498.88260092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3E-4AA9-B9A1-482CCA4DB0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6198616"/>
        <c:axId val="308305272"/>
      </c:barChart>
      <c:catAx>
        <c:axId val="306198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305272"/>
        <c:crosses val="autoZero"/>
        <c:auto val="1"/>
        <c:lblAlgn val="ctr"/>
        <c:lblOffset val="100"/>
        <c:noMultiLvlLbl val="0"/>
      </c:catAx>
      <c:valAx>
        <c:axId val="308305272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198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Deposit</a:t>
            </a:r>
            <a:r>
              <a:rPr lang="en-US" baseline="0"/>
              <a:t> Composition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876159230096237"/>
          <c:y val="0.17171296296296296"/>
          <c:w val="0.84068285214348204"/>
          <c:h val="0.6037006104574006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'Raw Data'!$L$21</c:f>
              <c:strCache>
                <c:ptCount val="1"/>
                <c:pt idx="0">
                  <c:v>Fixed deposits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'Raw Data'!$K$27:$K$32</c:f>
              <c:strCach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2020E</c:v>
                </c:pt>
              </c:strCache>
            </c:strRef>
          </c:cat>
          <c:val>
            <c:numRef>
              <c:f>'Raw Data'!$L$27:$L$32</c:f>
              <c:numCache>
                <c:formatCode>0.00%</c:formatCode>
                <c:ptCount val="6"/>
                <c:pt idx="0">
                  <c:v>0.28360810577856088</c:v>
                </c:pt>
                <c:pt idx="1">
                  <c:v>0.25428695163109855</c:v>
                </c:pt>
                <c:pt idx="2">
                  <c:v>0.25358144997636539</c:v>
                </c:pt>
                <c:pt idx="3">
                  <c:v>0.26906656770334686</c:v>
                </c:pt>
                <c:pt idx="4">
                  <c:v>0.26284907495577231</c:v>
                </c:pt>
                <c:pt idx="5">
                  <c:v>0.26284907495577231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56-4DDA-9E8F-D26A69249FBF}"/>
            </c:ext>
          </c:extLst>
        </c:ser>
        <c:ser>
          <c:idx val="1"/>
          <c:order val="1"/>
          <c:tx>
            <c:strRef>
              <c:f>'Raw Data'!$M$21</c:f>
              <c:strCache>
                <c:ptCount val="1"/>
                <c:pt idx="0">
                  <c:v>Savings deposits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'Raw Data'!$K$27:$K$32</c:f>
              <c:strCach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2020E</c:v>
                </c:pt>
              </c:strCache>
            </c:strRef>
          </c:cat>
          <c:val>
            <c:numRef>
              <c:f>'Raw Data'!$M$27:$M$32</c:f>
              <c:numCache>
                <c:formatCode>0.00%</c:formatCode>
                <c:ptCount val="6"/>
                <c:pt idx="0">
                  <c:v>0.39736430833156927</c:v>
                </c:pt>
                <c:pt idx="1">
                  <c:v>0.39494180236753074</c:v>
                </c:pt>
                <c:pt idx="2">
                  <c:v>0.39010819699635746</c:v>
                </c:pt>
                <c:pt idx="3">
                  <c:v>0.36270932683833479</c:v>
                </c:pt>
                <c:pt idx="4">
                  <c:v>0.37536804047485944</c:v>
                </c:pt>
                <c:pt idx="5">
                  <c:v>0.37536804047485944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56-4DDA-9E8F-D26A69249FBF}"/>
            </c:ext>
          </c:extLst>
        </c:ser>
        <c:ser>
          <c:idx val="2"/>
          <c:order val="2"/>
          <c:tx>
            <c:strRef>
              <c:f>'Raw Data'!$N$21</c:f>
              <c:strCache>
                <c:ptCount val="1"/>
                <c:pt idx="0">
                  <c:v>Current accounts- non remuunerative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'Raw Data'!$K$27:$K$32</c:f>
              <c:strCach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2020E</c:v>
                </c:pt>
              </c:strCache>
            </c:strRef>
          </c:cat>
          <c:val>
            <c:numRef>
              <c:f>'Raw Data'!$N$27:$N$32</c:f>
              <c:numCache>
                <c:formatCode>0.00%</c:formatCode>
                <c:ptCount val="6"/>
                <c:pt idx="0">
                  <c:v>0.31902758588986985</c:v>
                </c:pt>
                <c:pt idx="1">
                  <c:v>0.35077124600137077</c:v>
                </c:pt>
                <c:pt idx="2">
                  <c:v>0.35631035302727704</c:v>
                </c:pt>
                <c:pt idx="3">
                  <c:v>0.3682241054583183</c:v>
                </c:pt>
                <c:pt idx="4">
                  <c:v>0.36178288456936825</c:v>
                </c:pt>
                <c:pt idx="5">
                  <c:v>0.36178288456936825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B56-4DDA-9E8F-D26A69249FB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08302528"/>
        <c:axId val="308302920"/>
      </c:barChart>
      <c:catAx>
        <c:axId val="308302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302920"/>
        <c:crosses val="autoZero"/>
        <c:auto val="1"/>
        <c:lblAlgn val="ctr"/>
        <c:lblOffset val="100"/>
        <c:noMultiLvlLbl val="0"/>
      </c:catAx>
      <c:valAx>
        <c:axId val="308302920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302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392541048647989"/>
          <c:y val="7.5747776306975323E-2"/>
          <c:w val="0.88607458951352014"/>
          <c:h val="0.77755651540844717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'Raw Data'!$B$42:$B$48</c:f>
              <c:strCache>
                <c:ptCount val="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2020E</c:v>
                </c:pt>
              </c:strCache>
            </c:strRef>
          </c:cat>
          <c:val>
            <c:numRef>
              <c:f>'Raw Data'!$C$42:$C$48</c:f>
              <c:numCache>
                <c:formatCode>General</c:formatCode>
                <c:ptCount val="7"/>
                <c:pt idx="0">
                  <c:v>428</c:v>
                </c:pt>
                <c:pt idx="1">
                  <c:v>551</c:v>
                </c:pt>
                <c:pt idx="2">
                  <c:v>571</c:v>
                </c:pt>
                <c:pt idx="3">
                  <c:v>601</c:v>
                </c:pt>
                <c:pt idx="4">
                  <c:v>660</c:v>
                </c:pt>
                <c:pt idx="5">
                  <c:v>760</c:v>
                </c:pt>
                <c:pt idx="6">
                  <c:v>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79-4D19-A713-C9F49BED72C2}"/>
            </c:ext>
          </c:extLst>
        </c:ser>
        <c:ser>
          <c:idx val="1"/>
          <c:order val="1"/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'Raw Data'!$B$42:$B$48</c:f>
              <c:strCache>
                <c:ptCount val="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2020E</c:v>
                </c:pt>
              </c:strCache>
            </c:strRef>
          </c:cat>
          <c:val>
            <c:numRef>
              <c:f>'Raw Data'!$D$42:$D$48</c:f>
              <c:numCache>
                <c:formatCode>General</c:formatCode>
                <c:ptCount val="7"/>
                <c:pt idx="0">
                  <c:v>77</c:v>
                </c:pt>
                <c:pt idx="1">
                  <c:v>123</c:v>
                </c:pt>
                <c:pt idx="2">
                  <c:v>20</c:v>
                </c:pt>
                <c:pt idx="3">
                  <c:v>30</c:v>
                </c:pt>
                <c:pt idx="4">
                  <c:v>59</c:v>
                </c:pt>
                <c:pt idx="5">
                  <c:v>100</c:v>
                </c:pt>
                <c:pt idx="6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79-4D19-A713-C9F49BED72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08303704"/>
        <c:axId val="308304880"/>
      </c:barChart>
      <c:catAx>
        <c:axId val="308303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304880"/>
        <c:crosses val="autoZero"/>
        <c:auto val="1"/>
        <c:lblAlgn val="ctr"/>
        <c:lblOffset val="100"/>
        <c:noMultiLvlLbl val="0"/>
      </c:catAx>
      <c:valAx>
        <c:axId val="3083048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303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Bank's</a:t>
            </a:r>
            <a:r>
              <a:rPr lang="en-US" sz="1200" baseline="0"/>
              <a:t> Growth in Comparison with Islamic Banking Industry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'Raw Data'!$C$55</c:f>
              <c:strCache>
                <c:ptCount val="1"/>
                <c:pt idx="0">
                  <c:v>IBIs Deposits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'Raw Data'!$B$56:$B$71</c:f>
              <c:strCache>
                <c:ptCount val="1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2020E</c:v>
                </c:pt>
                <c:pt idx="11">
                  <c:v>2021F</c:v>
                </c:pt>
                <c:pt idx="12">
                  <c:v>2022F</c:v>
                </c:pt>
                <c:pt idx="13">
                  <c:v>2023F</c:v>
                </c:pt>
                <c:pt idx="14">
                  <c:v>2024F</c:v>
                </c:pt>
                <c:pt idx="15">
                  <c:v>2025F</c:v>
                </c:pt>
              </c:strCache>
            </c:strRef>
          </c:cat>
          <c:val>
            <c:numRef>
              <c:f>'Raw Data'!$C$56:$C$71</c:f>
              <c:numCache>
                <c:formatCode>_(* #,##0_);_(* \(#,##0\);_(* "-"??_);_(@_)</c:formatCode>
                <c:ptCount val="16"/>
                <c:pt idx="0">
                  <c:v>390060</c:v>
                </c:pt>
                <c:pt idx="1">
                  <c:v>521000.3</c:v>
                </c:pt>
                <c:pt idx="2">
                  <c:v>706469.9</c:v>
                </c:pt>
                <c:pt idx="3">
                  <c:v>867698.8</c:v>
                </c:pt>
                <c:pt idx="4">
                  <c:v>1069713.5</c:v>
                </c:pt>
                <c:pt idx="5">
                  <c:v>1375000</c:v>
                </c:pt>
                <c:pt idx="6">
                  <c:v>1573000</c:v>
                </c:pt>
                <c:pt idx="7">
                  <c:v>1885000</c:v>
                </c:pt>
                <c:pt idx="8">
                  <c:v>2203000</c:v>
                </c:pt>
                <c:pt idx="9">
                  <c:v>2652000</c:v>
                </c:pt>
                <c:pt idx="10">
                  <c:v>3100603.9453702858</c:v>
                </c:pt>
                <c:pt idx="11">
                  <c:v>3445245.6920849476</c:v>
                </c:pt>
                <c:pt idx="12">
                  <c:v>3883050.9995768275</c:v>
                </c:pt>
                <c:pt idx="13">
                  <c:v>4362829.3576837713</c:v>
                </c:pt>
                <c:pt idx="14">
                  <c:v>4924270.9468373181</c:v>
                </c:pt>
                <c:pt idx="15">
                  <c:v>5556674.560847369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05-4ED3-8B2F-45AF7CB3F061}"/>
            </c:ext>
          </c:extLst>
        </c:ser>
        <c:ser>
          <c:idx val="1"/>
          <c:order val="1"/>
          <c:tx>
            <c:strRef>
              <c:f>'Raw Data'!$D$55</c:f>
              <c:strCache>
                <c:ptCount val="1"/>
                <c:pt idx="0">
                  <c:v>MEBL Deposit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'Raw Data'!$B$56:$B$71</c:f>
              <c:strCache>
                <c:ptCount val="1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2020E</c:v>
                </c:pt>
                <c:pt idx="11">
                  <c:v>2021F</c:v>
                </c:pt>
                <c:pt idx="12">
                  <c:v>2022F</c:v>
                </c:pt>
                <c:pt idx="13">
                  <c:v>2023F</c:v>
                </c:pt>
                <c:pt idx="14">
                  <c:v>2024F</c:v>
                </c:pt>
                <c:pt idx="15">
                  <c:v>2025F</c:v>
                </c:pt>
              </c:strCache>
            </c:strRef>
          </c:cat>
          <c:val>
            <c:numRef>
              <c:f>'Raw Data'!$D$56:$D$71</c:f>
              <c:numCache>
                <c:formatCode>_(* #,##0_);_(* \(#,##0\);_(* "-"??_);_(@_)</c:formatCode>
                <c:ptCount val="16"/>
                <c:pt idx="0">
                  <c:v>131067.996</c:v>
                </c:pt>
                <c:pt idx="1">
                  <c:v>170022.486</c:v>
                </c:pt>
                <c:pt idx="2">
                  <c:v>230425.986</c:v>
                </c:pt>
                <c:pt idx="3">
                  <c:v>289810.51899999997</c:v>
                </c:pt>
                <c:pt idx="4">
                  <c:v>380421.56900000002</c:v>
                </c:pt>
                <c:pt idx="5">
                  <c:v>471820.95899999997</c:v>
                </c:pt>
                <c:pt idx="6">
                  <c:v>563999.85199999996</c:v>
                </c:pt>
                <c:pt idx="7">
                  <c:v>673180.31</c:v>
                </c:pt>
                <c:pt idx="8">
                  <c:v>785444.59199999995</c:v>
                </c:pt>
                <c:pt idx="9">
                  <c:v>932568.76500000001</c:v>
                </c:pt>
                <c:pt idx="10">
                  <c:v>1114656.249153849</c:v>
                </c:pt>
                <c:pt idx="11">
                  <c:v>1239120.5587432168</c:v>
                </c:pt>
                <c:pt idx="12">
                  <c:v>1397438.9317465252</c:v>
                </c:pt>
                <c:pt idx="13">
                  <c:v>1572498.88260092</c:v>
                </c:pt>
                <c:pt idx="14">
                  <c:v>1778690.6473306878</c:v>
                </c:pt>
                <c:pt idx="15">
                  <c:v>2017829.037294917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05-4ED3-8B2F-45AF7CB3F0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8304488"/>
        <c:axId val="308291160"/>
      </c:barChart>
      <c:lineChart>
        <c:grouping val="standard"/>
        <c:varyColors val="0"/>
        <c:ser>
          <c:idx val="2"/>
          <c:order val="2"/>
          <c:tx>
            <c:strRef>
              <c:f>'Raw Data'!$E$55</c:f>
              <c:strCache>
                <c:ptCount val="1"/>
                <c:pt idx="0">
                  <c:v>MEBL as % of IBI deposit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Pt>
            <c:idx val="10"/>
            <c:marker>
              <c:symbol val="none"/>
            </c:marker>
            <c:bubble3D val="0"/>
            <c:spPr>
              <a:ln w="28575" cap="rnd">
                <a:solidFill>
                  <a:schemeClr val="accent6">
                    <a:lumMod val="7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EB05-4ED3-8B2F-45AF7CB3F061}"/>
              </c:ext>
            </c:extLst>
          </c:dPt>
          <c:dPt>
            <c:idx val="11"/>
            <c:marker>
              <c:symbol val="none"/>
            </c:marker>
            <c:bubble3D val="0"/>
            <c:spPr>
              <a:ln w="28575" cap="rnd">
                <a:solidFill>
                  <a:schemeClr val="accent6">
                    <a:lumMod val="7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EB05-4ED3-8B2F-45AF7CB3F061}"/>
              </c:ext>
            </c:extLst>
          </c:dPt>
          <c:dPt>
            <c:idx val="12"/>
            <c:marker>
              <c:symbol val="none"/>
            </c:marker>
            <c:bubble3D val="0"/>
            <c:spPr>
              <a:ln w="28575" cap="rnd">
                <a:solidFill>
                  <a:schemeClr val="accent6">
                    <a:lumMod val="7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EB05-4ED3-8B2F-45AF7CB3F061}"/>
              </c:ext>
            </c:extLst>
          </c:dPt>
          <c:dPt>
            <c:idx val="13"/>
            <c:marker>
              <c:symbol val="none"/>
            </c:marker>
            <c:bubble3D val="0"/>
            <c:spPr>
              <a:ln w="28575" cap="rnd">
                <a:solidFill>
                  <a:schemeClr val="accent6">
                    <a:lumMod val="7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EB05-4ED3-8B2F-45AF7CB3F061}"/>
              </c:ext>
            </c:extLst>
          </c:dPt>
          <c:dPt>
            <c:idx val="14"/>
            <c:marker>
              <c:symbol val="none"/>
            </c:marker>
            <c:bubble3D val="0"/>
            <c:spPr>
              <a:ln w="28575" cap="rnd">
                <a:solidFill>
                  <a:schemeClr val="accent6">
                    <a:lumMod val="7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EB05-4ED3-8B2F-45AF7CB3F061}"/>
              </c:ext>
            </c:extLst>
          </c:dPt>
          <c:dPt>
            <c:idx val="15"/>
            <c:marker>
              <c:symbol val="none"/>
            </c:marker>
            <c:bubble3D val="0"/>
            <c:spPr>
              <a:ln w="28575" cap="rnd">
                <a:solidFill>
                  <a:schemeClr val="accent6">
                    <a:lumMod val="7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EB05-4ED3-8B2F-45AF7CB3F061}"/>
              </c:ext>
            </c:extLst>
          </c:dPt>
          <c:cat>
            <c:strRef>
              <c:f>'Raw Data'!$B$56:$B$71</c:f>
              <c:strCache>
                <c:ptCount val="1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2020E</c:v>
                </c:pt>
                <c:pt idx="11">
                  <c:v>2021F</c:v>
                </c:pt>
                <c:pt idx="12">
                  <c:v>2022F</c:v>
                </c:pt>
                <c:pt idx="13">
                  <c:v>2023F</c:v>
                </c:pt>
                <c:pt idx="14">
                  <c:v>2024F</c:v>
                </c:pt>
                <c:pt idx="15">
                  <c:v>2025F</c:v>
                </c:pt>
              </c:strCache>
            </c:strRef>
          </c:cat>
          <c:val>
            <c:numRef>
              <c:f>'Raw Data'!$E$56:$E$71</c:f>
              <c:numCache>
                <c:formatCode>0.00%</c:formatCode>
                <c:ptCount val="16"/>
                <c:pt idx="0">
                  <c:v>0.33602008921704352</c:v>
                </c:pt>
                <c:pt idx="1">
                  <c:v>0.32633855681081181</c:v>
                </c:pt>
                <c:pt idx="2">
                  <c:v>0.32616532707196727</c:v>
                </c:pt>
                <c:pt idx="3">
                  <c:v>0.33399898559269642</c:v>
                </c:pt>
                <c:pt idx="4">
                  <c:v>0.35562939889979889</c:v>
                </c:pt>
                <c:pt idx="5">
                  <c:v>0.34314251563636361</c:v>
                </c:pt>
                <c:pt idx="6">
                  <c:v>0.3585504462809917</c:v>
                </c:pt>
                <c:pt idx="7">
                  <c:v>0.35712483289124669</c:v>
                </c:pt>
                <c:pt idx="8">
                  <c:v>0.35653408624602811</c:v>
                </c:pt>
                <c:pt idx="9">
                  <c:v>0.35164734728506786</c:v>
                </c:pt>
                <c:pt idx="10">
                  <c:v>0.35949649448721593</c:v>
                </c:pt>
                <c:pt idx="11">
                  <c:v>0.35966101389806615</c:v>
                </c:pt>
                <c:pt idx="12">
                  <c:v>0.3598816837324097</c:v>
                </c:pt>
                <c:pt idx="13">
                  <c:v>0.36043098495966863</c:v>
                </c:pt>
                <c:pt idx="14">
                  <c:v>0.3612089315420543</c:v>
                </c:pt>
                <c:pt idx="15">
                  <c:v>0.36313608349725035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EB05-4ED3-8B2F-45AF7CB3F0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8292728"/>
        <c:axId val="308290376"/>
      </c:lineChart>
      <c:catAx>
        <c:axId val="308304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291160"/>
        <c:crosses val="autoZero"/>
        <c:auto val="1"/>
        <c:lblAlgn val="ctr"/>
        <c:lblOffset val="100"/>
        <c:noMultiLvlLbl val="0"/>
      </c:catAx>
      <c:valAx>
        <c:axId val="30829116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304488"/>
        <c:crosses val="autoZero"/>
        <c:crossBetween val="between"/>
      </c:valAx>
      <c:valAx>
        <c:axId val="308290376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292728"/>
        <c:crosses val="max"/>
        <c:crossBetween val="between"/>
      </c:valAx>
      <c:catAx>
        <c:axId val="30829272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082903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Financing</a:t>
            </a:r>
            <a:r>
              <a:rPr lang="en-US" baseline="0"/>
              <a:t> Mix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explosion val="27"/>
          <c:dPt>
            <c:idx val="0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C0C-41C8-BBEC-9B0191AF0E0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C0C-41C8-BBEC-9B0191AF0E0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C0C-41C8-BBEC-9B0191AF0E0F}"/>
              </c:ext>
            </c:extLst>
          </c:dPt>
          <c:dPt>
            <c:idx val="3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C0C-41C8-BBEC-9B0191AF0E0F}"/>
              </c:ext>
            </c:extLst>
          </c:dPt>
          <c:dLbls>
            <c:dLbl>
              <c:idx val="0"/>
              <c:layout>
                <c:manualLayout>
                  <c:x val="5.8333333333333334E-2"/>
                  <c:y val="-2.3148148148148147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60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C0C-41C8-BBEC-9B0191AF0E0F}"/>
                </c:ext>
              </c:extLst>
            </c:dLbl>
            <c:dLbl>
              <c:idx val="1"/>
              <c:layout>
                <c:manualLayout>
                  <c:x val="-3.3333333333333333E-2"/>
                  <c:y val="-3.2407407407407447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60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C0C-41C8-BBEC-9B0191AF0E0F}"/>
                </c:ext>
              </c:extLst>
            </c:dLbl>
            <c:dLbl>
              <c:idx val="2"/>
              <c:layout>
                <c:manualLayout>
                  <c:x val="-2.7777777777777776E-2"/>
                  <c:y val="-5.0925925925925923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60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C0C-41C8-BBEC-9B0191AF0E0F}"/>
                </c:ext>
              </c:extLst>
            </c:dLbl>
            <c:dLbl>
              <c:idx val="3"/>
              <c:layout>
                <c:manualLayout>
                  <c:x val="1.6666666666666666E-2"/>
                  <c:y val="-5.5555555555555552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60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C0C-41C8-BBEC-9B0191AF0E0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'Raw Data'!$B$74:$B$77</c:f>
              <c:strCache>
                <c:ptCount val="4"/>
                <c:pt idx="0">
                  <c:v>Corporate</c:v>
                </c:pt>
                <c:pt idx="1">
                  <c:v>SME/Commercial</c:v>
                </c:pt>
                <c:pt idx="2">
                  <c:v>Consumer</c:v>
                </c:pt>
                <c:pt idx="3">
                  <c:v>Staff</c:v>
                </c:pt>
              </c:strCache>
            </c:strRef>
          </c:cat>
          <c:val>
            <c:numRef>
              <c:f>'Raw Data'!$C$74:$C$77</c:f>
              <c:numCache>
                <c:formatCode>0%</c:formatCode>
                <c:ptCount val="4"/>
                <c:pt idx="0">
                  <c:v>0.73</c:v>
                </c:pt>
                <c:pt idx="1">
                  <c:v>0.16</c:v>
                </c:pt>
                <c:pt idx="2">
                  <c:v>0.1</c:v>
                </c:pt>
                <c:pt idx="3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C0C-41C8-BBEC-9B0191AF0E0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</a:t>
            </a:r>
            <a:r>
              <a:rPr lang="en-US" baseline="0"/>
              <a:t> After Tax - In Bn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'Raw Data'!$B$99:$B$103</c:f>
              <c:strCache>
                <c:ptCount val="5"/>
                <c:pt idx="0">
                  <c:v>2019</c:v>
                </c:pt>
                <c:pt idx="1">
                  <c:v>2020E</c:v>
                </c:pt>
                <c:pt idx="2">
                  <c:v>2021F</c:v>
                </c:pt>
                <c:pt idx="3">
                  <c:v>2022F</c:v>
                </c:pt>
                <c:pt idx="4">
                  <c:v>2023F</c:v>
                </c:pt>
              </c:strCache>
            </c:strRef>
          </c:cat>
          <c:val>
            <c:numRef>
              <c:f>'Raw Data'!$C$99:$C$103</c:f>
              <c:numCache>
                <c:formatCode>0.00</c:formatCode>
                <c:ptCount val="5"/>
                <c:pt idx="0">
                  <c:v>15.779638999999996</c:v>
                </c:pt>
                <c:pt idx="1">
                  <c:v>24.219277255887995</c:v>
                </c:pt>
                <c:pt idx="2">
                  <c:v>20.791255699743942</c:v>
                </c:pt>
                <c:pt idx="3">
                  <c:v>25.690106110395366</c:v>
                </c:pt>
                <c:pt idx="4">
                  <c:v>28.44926658663584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D9-485A-9330-3AC420303D3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08301744"/>
        <c:axId val="308298608"/>
      </c:barChart>
      <c:catAx>
        <c:axId val="308301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298608"/>
        <c:crosses val="autoZero"/>
        <c:auto val="1"/>
        <c:lblAlgn val="ctr"/>
        <c:lblOffset val="100"/>
        <c:noMultiLvlLbl val="0"/>
      </c:catAx>
      <c:valAx>
        <c:axId val="308298608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301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Dividend</a:t>
            </a:r>
            <a:r>
              <a:rPr lang="en-US" baseline="0"/>
              <a:t> Payout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'Raw Data'!$C$109</c:f>
              <c:strCache>
                <c:ptCount val="1"/>
                <c:pt idx="0">
                  <c:v>EPS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'Raw Data'!$B$110:$B$125</c:f>
              <c:strCache>
                <c:ptCount val="1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2020E</c:v>
                </c:pt>
                <c:pt idx="11">
                  <c:v>2021F</c:v>
                </c:pt>
                <c:pt idx="12">
                  <c:v>2022F</c:v>
                </c:pt>
                <c:pt idx="13">
                  <c:v>2023F</c:v>
                </c:pt>
                <c:pt idx="14">
                  <c:v>2024F</c:v>
                </c:pt>
                <c:pt idx="15">
                  <c:v>2025F</c:v>
                </c:pt>
              </c:strCache>
            </c:strRef>
          </c:cat>
          <c:val>
            <c:numRef>
              <c:f>'Raw Data'!$C$110:$C$125</c:f>
              <c:numCache>
                <c:formatCode>_(* #,##0.00_);_(* \(#,##0.00\);_(* "-"??_);_(@_)</c:formatCode>
                <c:ptCount val="16"/>
                <c:pt idx="0">
                  <c:v>2.6147394023942714</c:v>
                </c:pt>
                <c:pt idx="1">
                  <c:v>3.6686208506519242</c:v>
                </c:pt>
                <c:pt idx="2">
                  <c:v>3.8833764828280493</c:v>
                </c:pt>
                <c:pt idx="3">
                  <c:v>3.9459723420545512</c:v>
                </c:pt>
                <c:pt idx="4">
                  <c:v>4.5576077485333304</c:v>
                </c:pt>
                <c:pt idx="5">
                  <c:v>5.0087954439978608</c:v>
                </c:pt>
                <c:pt idx="6">
                  <c:v>6.1650218175907243</c:v>
                </c:pt>
                <c:pt idx="7">
                  <c:v>5.2860104806936468</c:v>
                </c:pt>
                <c:pt idx="8">
                  <c:v>7.661263449882159</c:v>
                </c:pt>
                <c:pt idx="9">
                  <c:v>12.117487108751122</c:v>
                </c:pt>
                <c:pt idx="10">
                  <c:v>16.967749914813961</c:v>
                </c:pt>
                <c:pt idx="11">
                  <c:v>14.529025781087135</c:v>
                </c:pt>
                <c:pt idx="12">
                  <c:v>17.97485345534313</c:v>
                </c:pt>
                <c:pt idx="13">
                  <c:v>19.906361672219983</c:v>
                </c:pt>
                <c:pt idx="14">
                  <c:v>23.188890593079797</c:v>
                </c:pt>
                <c:pt idx="15">
                  <c:v>27.008361235317654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D8-44C2-9106-0CCC8AF6C9F9}"/>
            </c:ext>
          </c:extLst>
        </c:ser>
        <c:ser>
          <c:idx val="1"/>
          <c:order val="1"/>
          <c:tx>
            <c:strRef>
              <c:f>'Raw Data'!$D$109</c:f>
              <c:strCache>
                <c:ptCount val="1"/>
                <c:pt idx="0">
                  <c:v>DPS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'Raw Data'!$B$110:$B$125</c:f>
              <c:strCache>
                <c:ptCount val="1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2020E</c:v>
                </c:pt>
                <c:pt idx="11">
                  <c:v>2021F</c:v>
                </c:pt>
                <c:pt idx="12">
                  <c:v>2022F</c:v>
                </c:pt>
                <c:pt idx="13">
                  <c:v>2023F</c:v>
                </c:pt>
                <c:pt idx="14">
                  <c:v>2024F</c:v>
                </c:pt>
                <c:pt idx="15">
                  <c:v>2025F</c:v>
                </c:pt>
              </c:strCache>
            </c:strRef>
          </c:cat>
          <c:val>
            <c:numRef>
              <c:f>'Raw Data'!$D$110:$D$125</c:f>
              <c:numCache>
                <c:formatCode>_(* #,##0.00_);_(* \(#,##0.00\);_(* "-"??_);_(@_)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1.5</c:v>
                </c:pt>
                <c:pt idx="3">
                  <c:v>1.5</c:v>
                </c:pt>
                <c:pt idx="4">
                  <c:v>2.75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3.5</c:v>
                </c:pt>
                <c:pt idx="9">
                  <c:v>5</c:v>
                </c:pt>
                <c:pt idx="10">
                  <c:v>8</c:v>
                </c:pt>
                <c:pt idx="11">
                  <c:v>7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D8-44C2-9106-0CCC8AF6C9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8298216"/>
        <c:axId val="308299000"/>
      </c:barChart>
      <c:lineChart>
        <c:grouping val="standard"/>
        <c:varyColors val="0"/>
        <c:ser>
          <c:idx val="2"/>
          <c:order val="2"/>
          <c:tx>
            <c:strRef>
              <c:f>'Raw Data'!$E$109</c:f>
              <c:strCache>
                <c:ptCount val="1"/>
                <c:pt idx="0">
                  <c:v>Payout Ratio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f>'Raw Data'!$B$110:$B$125</c:f>
              <c:strCache>
                <c:ptCount val="1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2020E</c:v>
                </c:pt>
                <c:pt idx="11">
                  <c:v>2021F</c:v>
                </c:pt>
                <c:pt idx="12">
                  <c:v>2022F</c:v>
                </c:pt>
                <c:pt idx="13">
                  <c:v>2023F</c:v>
                </c:pt>
                <c:pt idx="14">
                  <c:v>2024F</c:v>
                </c:pt>
                <c:pt idx="15">
                  <c:v>2025F</c:v>
                </c:pt>
              </c:strCache>
            </c:strRef>
          </c:cat>
          <c:val>
            <c:numRef>
              <c:f>'Raw Data'!$E$110:$E$125</c:f>
              <c:numCache>
                <c:formatCode>0.00%</c:formatCode>
                <c:ptCount val="16"/>
                <c:pt idx="0">
                  <c:v>0</c:v>
                </c:pt>
                <c:pt idx="1">
                  <c:v>0.27258199762515584</c:v>
                </c:pt>
                <c:pt idx="2">
                  <c:v>0.38626180248885694</c:v>
                </c:pt>
                <c:pt idx="3">
                  <c:v>0.38013444342060299</c:v>
                </c:pt>
                <c:pt idx="4">
                  <c:v>0.60338672209888378</c:v>
                </c:pt>
                <c:pt idx="5">
                  <c:v>0.59894640009604694</c:v>
                </c:pt>
                <c:pt idx="6">
                  <c:v>0.48661628275832974</c:v>
                </c:pt>
                <c:pt idx="7">
                  <c:v>0.56753576462949629</c:v>
                </c:pt>
                <c:pt idx="8">
                  <c:v>0.4568437076855561</c:v>
                </c:pt>
                <c:pt idx="9">
                  <c:v>0.41262680579945099</c:v>
                </c:pt>
                <c:pt idx="10">
                  <c:v>0.47148266801218436</c:v>
                </c:pt>
                <c:pt idx="11">
                  <c:v>0.45</c:v>
                </c:pt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D8-44C2-9106-0CCC8AF6C9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8294688"/>
        <c:axId val="308291944"/>
      </c:lineChart>
      <c:catAx>
        <c:axId val="308298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299000"/>
        <c:crosses val="autoZero"/>
        <c:auto val="1"/>
        <c:lblAlgn val="ctr"/>
        <c:lblOffset val="100"/>
        <c:noMultiLvlLbl val="0"/>
      </c:catAx>
      <c:valAx>
        <c:axId val="308299000"/>
        <c:scaling>
          <c:orientation val="minMax"/>
        </c:scaling>
        <c:delete val="0"/>
        <c:axPos val="l"/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298216"/>
        <c:crosses val="autoZero"/>
        <c:crossBetween val="between"/>
      </c:valAx>
      <c:valAx>
        <c:axId val="308291944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294688"/>
        <c:crosses val="max"/>
        <c:crossBetween val="between"/>
      </c:valAx>
      <c:catAx>
        <c:axId val="30829468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082919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2910640864858E-2"/>
          <c:y val="3.8453914767096081E-3"/>
          <c:w val="0.85230950046906784"/>
          <c:h val="0.8536585365853658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MEBL!$M$59:$Q$59</c:f>
              <c:numCache>
                <c:formatCode>_(* #,##0_);_(* \(#,##0\);_(* "-"??_);_(@_)</c:formatCode>
                <c:ptCount val="5"/>
                <c:pt idx="0">
                  <c:v>25454.005000000001</c:v>
                </c:pt>
                <c:pt idx="1">
                  <c:v>30439.148802125903</c:v>
                </c:pt>
                <c:pt idx="2">
                  <c:v>32823.839079146011</c:v>
                </c:pt>
                <c:pt idx="3">
                  <c:v>35709.920300696307</c:v>
                </c:pt>
                <c:pt idx="4">
                  <c:v>38804.115564720661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A6-4369-856E-FF664B6886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4559856"/>
        <c:axId val="344560248"/>
      </c:barChart>
      <c:catAx>
        <c:axId val="344559856"/>
        <c:scaling>
          <c:orientation val="minMax"/>
        </c:scaling>
        <c:delete val="1"/>
        <c:axPos val="b"/>
        <c:majorTickMark val="none"/>
        <c:minorTickMark val="none"/>
        <c:tickLblPos val="nextTo"/>
        <c:crossAx val="344560248"/>
        <c:crosses val="autoZero"/>
        <c:auto val="1"/>
        <c:lblAlgn val="ctr"/>
        <c:lblOffset val="100"/>
        <c:noMultiLvlLbl val="0"/>
      </c:catAx>
      <c:valAx>
        <c:axId val="344560248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44559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'Raw Data'!$C$128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'Raw Data'!$B$134:$B$144</c:f>
              <c:strCache>
                <c:ptCount val="11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2020E</c:v>
                </c:pt>
                <c:pt idx="6">
                  <c:v>2021F</c:v>
                </c:pt>
                <c:pt idx="7">
                  <c:v>2022F</c:v>
                </c:pt>
                <c:pt idx="8">
                  <c:v>2023F</c:v>
                </c:pt>
                <c:pt idx="9">
                  <c:v>2024F</c:v>
                </c:pt>
                <c:pt idx="10">
                  <c:v>2025F</c:v>
                </c:pt>
              </c:strCache>
            </c:strRef>
          </c:cat>
          <c:val>
            <c:numRef>
              <c:f>'Raw Data'!$C$134:$C$144</c:f>
              <c:numCache>
                <c:formatCode>_(* #,##0_);_(* \(#,##0\);_(* "-"??_);_(@_)</c:formatCode>
                <c:ptCount val="11"/>
                <c:pt idx="0">
                  <c:v>33113.740999999995</c:v>
                </c:pt>
                <c:pt idx="1">
                  <c:v>31429.642</c:v>
                </c:pt>
                <c:pt idx="2">
                  <c:v>36094.934000000001</c:v>
                </c:pt>
                <c:pt idx="3">
                  <c:v>48629.139000000003</c:v>
                </c:pt>
                <c:pt idx="4">
                  <c:v>94278.81</c:v>
                </c:pt>
                <c:pt idx="5">
                  <c:v>109530.93259468074</c:v>
                </c:pt>
                <c:pt idx="6">
                  <c:v>103225.69139098827</c:v>
                </c:pt>
                <c:pt idx="7">
                  <c:v>118691.97347294335</c:v>
                </c:pt>
                <c:pt idx="8">
                  <c:v>132597.00795419951</c:v>
                </c:pt>
                <c:pt idx="9">
                  <c:v>150075.13314594846</c:v>
                </c:pt>
                <c:pt idx="10">
                  <c:v>170383.34828970919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F0-426D-8411-246FFF6283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8295472"/>
        <c:axId val="308297824"/>
      </c:barChart>
      <c:lineChart>
        <c:grouping val="standard"/>
        <c:varyColors val="0"/>
        <c:ser>
          <c:idx val="1"/>
          <c:order val="1"/>
          <c:tx>
            <c:strRef>
              <c:f>'Raw Data'!$D$128</c:f>
              <c:strCache>
                <c:ptCount val="1"/>
                <c:pt idx="0">
                  <c:v>Revenue from Investments (%)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2"/>
              <c:layout>
                <c:manualLayout>
                  <c:x val="-4.7145888013998251E-2"/>
                  <c:y val="-0.1133912948381452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2F0-426D-8411-246FFF62835A}"/>
                </c:ext>
              </c:extLst>
            </c:dLbl>
            <c:dLbl>
              <c:idx val="3"/>
              <c:layout>
                <c:manualLayout>
                  <c:x val="-6.3812554680664921E-2"/>
                  <c:y val="-5.3206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2F0-426D-8411-246FFF62835A}"/>
                </c:ext>
              </c:extLst>
            </c:dLbl>
            <c:dLbl>
              <c:idx val="7"/>
              <c:layout>
                <c:manualLayout>
                  <c:x val="-7.2145888013998252E-2"/>
                  <c:y val="-5.3206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2F0-426D-8411-246FFF62835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'Raw Data'!$B$134:$B$144</c:f>
              <c:strCache>
                <c:ptCount val="11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2020E</c:v>
                </c:pt>
                <c:pt idx="6">
                  <c:v>2021F</c:v>
                </c:pt>
                <c:pt idx="7">
                  <c:v>2022F</c:v>
                </c:pt>
                <c:pt idx="8">
                  <c:v>2023F</c:v>
                </c:pt>
                <c:pt idx="9">
                  <c:v>2024F</c:v>
                </c:pt>
                <c:pt idx="10">
                  <c:v>2025F</c:v>
                </c:pt>
              </c:strCache>
            </c:strRef>
          </c:cat>
          <c:val>
            <c:numRef>
              <c:f>'Raw Data'!$D$134:$D$144</c:f>
              <c:numCache>
                <c:formatCode>0.00%</c:formatCode>
                <c:ptCount val="11"/>
                <c:pt idx="0">
                  <c:v>0.19931236401226915</c:v>
                </c:pt>
                <c:pt idx="1">
                  <c:v>0.30094268970674248</c:v>
                </c:pt>
                <c:pt idx="2">
                  <c:v>0.16586635121704335</c:v>
                </c:pt>
                <c:pt idx="3">
                  <c:v>0.14197522600595497</c:v>
                </c:pt>
                <c:pt idx="4">
                  <c:v>0.23554104045225008</c:v>
                </c:pt>
                <c:pt idx="5">
                  <c:v>0.26668597126672389</c:v>
                </c:pt>
                <c:pt idx="6">
                  <c:v>0.31930623489577392</c:v>
                </c:pt>
                <c:pt idx="7">
                  <c:v>0.36498345774002589</c:v>
                </c:pt>
                <c:pt idx="8">
                  <c:v>0.36763623940493778</c:v>
                </c:pt>
                <c:pt idx="9">
                  <c:v>0.36741203496803243</c:v>
                </c:pt>
                <c:pt idx="10">
                  <c:v>0.36712918711857773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2F0-426D-8411-246FFF6283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8290768"/>
        <c:axId val="308295864"/>
      </c:lineChart>
      <c:catAx>
        <c:axId val="308295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297824"/>
        <c:crosses val="autoZero"/>
        <c:auto val="1"/>
        <c:lblAlgn val="ctr"/>
        <c:lblOffset val="100"/>
        <c:noMultiLvlLbl val="0"/>
      </c:catAx>
      <c:valAx>
        <c:axId val="308297824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295472"/>
        <c:crosses val="autoZero"/>
        <c:crossBetween val="between"/>
      </c:valAx>
      <c:valAx>
        <c:axId val="308295864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290768"/>
        <c:crosses val="max"/>
        <c:crossBetween val="between"/>
      </c:valAx>
      <c:catAx>
        <c:axId val="30829076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082958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'Raw Data'!$B$152:$B$166</c:f>
              <c:strCache>
                <c:ptCount val="1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2020E</c:v>
                </c:pt>
                <c:pt idx="10">
                  <c:v>2021F</c:v>
                </c:pt>
                <c:pt idx="11">
                  <c:v>2022F</c:v>
                </c:pt>
                <c:pt idx="12">
                  <c:v>2023F</c:v>
                </c:pt>
                <c:pt idx="13">
                  <c:v>2024F</c:v>
                </c:pt>
                <c:pt idx="14">
                  <c:v>2025F</c:v>
                </c:pt>
              </c:strCache>
            </c:strRef>
          </c:cat>
          <c:val>
            <c:numRef>
              <c:f>'Raw Data'!$C$152:$C$166</c:f>
              <c:numCache>
                <c:formatCode>0.00%</c:formatCode>
                <c:ptCount val="15"/>
                <c:pt idx="0">
                  <c:v>0.21611726395070535</c:v>
                </c:pt>
                <c:pt idx="1">
                  <c:v>0.22354303096102437</c:v>
                </c:pt>
                <c:pt idx="2">
                  <c:v>0.22314323756081555</c:v>
                </c:pt>
                <c:pt idx="3">
                  <c:v>0.213600286602256</c:v>
                </c:pt>
                <c:pt idx="4">
                  <c:v>0.20000084818525313</c:v>
                </c:pt>
                <c:pt idx="5">
                  <c:v>0.20228841534724146</c:v>
                </c:pt>
                <c:pt idx="6">
                  <c:v>0.15354872733492328</c:v>
                </c:pt>
                <c:pt idx="7">
                  <c:v>0.21851133269335818</c:v>
                </c:pt>
                <c:pt idx="8">
                  <c:v>0.29305661728794241</c:v>
                </c:pt>
                <c:pt idx="9">
                  <c:v>0.33793328862924527</c:v>
                </c:pt>
                <c:pt idx="10">
                  <c:v>0.24648677844678638</c:v>
                </c:pt>
                <c:pt idx="11">
                  <c:v>0.26431964424853638</c:v>
                </c:pt>
                <c:pt idx="12">
                  <c:v>0.24618474349555139</c:v>
                </c:pt>
                <c:pt idx="13">
                  <c:v>0.24275239375070873</c:v>
                </c:pt>
                <c:pt idx="14">
                  <c:v>0.24004606153500446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CC-446D-BC7B-FB986C7C9E57}"/>
            </c:ext>
          </c:extLst>
        </c:ser>
        <c:ser>
          <c:idx val="1"/>
          <c:order val="1"/>
          <c:spPr>
            <a:noFill/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rgbClr val="FFC000"/>
                </a:solidFill>
                <a:prstDash val="solid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strRef>
              <c:f>'Raw Data'!$B$152:$B$166</c:f>
              <c:strCache>
                <c:ptCount val="1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2020E</c:v>
                </c:pt>
                <c:pt idx="10">
                  <c:v>2021F</c:v>
                </c:pt>
                <c:pt idx="11">
                  <c:v>2022F</c:v>
                </c:pt>
                <c:pt idx="12">
                  <c:v>2023F</c:v>
                </c:pt>
                <c:pt idx="13">
                  <c:v>2024F</c:v>
                </c:pt>
                <c:pt idx="14">
                  <c:v>2025F</c:v>
                </c:pt>
              </c:strCache>
            </c:strRef>
          </c:cat>
          <c:val>
            <c:numRef>
              <c:f>'Raw Data'!$D$152:$D$166</c:f>
              <c:numCache>
                <c:formatCode>0.00%</c:formatCode>
                <c:ptCount val="15"/>
                <c:pt idx="0">
                  <c:v>8.2490075803233295E-2</c:v>
                </c:pt>
                <c:pt idx="1">
                  <c:v>6.9689710745847927E-2</c:v>
                </c:pt>
                <c:pt idx="2">
                  <c:v>8.6686353741040362E-2</c:v>
                </c:pt>
                <c:pt idx="3">
                  <c:v>6.7966070091802444E-2</c:v>
                </c:pt>
                <c:pt idx="4">
                  <c:v>8.2139026833084078E-2</c:v>
                </c:pt>
                <c:pt idx="5">
                  <c:v>8.4486316930792671E-2</c:v>
                </c:pt>
                <c:pt idx="6">
                  <c:v>8.213624996618657E-2</c:v>
                </c:pt>
                <c:pt idx="7">
                  <c:v>6.9044135763101644E-2</c:v>
                </c:pt>
                <c:pt idx="8">
                  <c:v>8.1868974331353414E-2</c:v>
                </c:pt>
                <c:pt idx="9">
                  <c:v>7.022001101489618E-2</c:v>
                </c:pt>
                <c:pt idx="10">
                  <c:v>7.4063510601977411E-2</c:v>
                </c:pt>
                <c:pt idx="11">
                  <c:v>7.1518722642934213E-2</c:v>
                </c:pt>
                <c:pt idx="12">
                  <c:v>7.7148955145249096E-2</c:v>
                </c:pt>
                <c:pt idx="13">
                  <c:v>7.9914414194234104E-2</c:v>
                </c:pt>
                <c:pt idx="14">
                  <c:v>8.1318381416449911E-2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CC-446D-BC7B-FB986C7C9E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8289592"/>
        <c:axId val="308296648"/>
      </c:barChart>
      <c:catAx>
        <c:axId val="308289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296648"/>
        <c:crosses val="autoZero"/>
        <c:auto val="1"/>
        <c:lblAlgn val="ctr"/>
        <c:lblOffset val="100"/>
        <c:noMultiLvlLbl val="0"/>
      </c:catAx>
      <c:valAx>
        <c:axId val="308296648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289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 ROE</a:t>
            </a:r>
            <a:r>
              <a:rPr lang="en-US" b="1" baseline="0">
                <a:solidFill>
                  <a:sysClr val="windowText" lastClr="000000"/>
                </a:solidFill>
              </a:rPr>
              <a:t> - Annualized %</a:t>
            </a:r>
            <a:r>
              <a:rPr lang="en-US" b="1">
                <a:solidFill>
                  <a:sysClr val="windowText" lastClr="000000"/>
                </a:solidFill>
              </a:rPr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011592300962381E-2"/>
          <c:y val="0.18097222222222226"/>
          <c:w val="0.88498840769903764"/>
          <c:h val="0.72088764946048411"/>
        </c:manualLayout>
      </c:layout>
      <c:lineChart>
        <c:grouping val="standard"/>
        <c:varyColors val="0"/>
        <c:ser>
          <c:idx val="0"/>
          <c:order val="0"/>
          <c:tx>
            <c:strRef>
              <c:f>'Raw Data 2'!$O$5</c:f>
              <c:strCache>
                <c:ptCount val="1"/>
                <c:pt idx="0">
                  <c:v> ROE </c:v>
                </c:pt>
              </c:strCache>
            </c:strRef>
          </c:tx>
          <c:spPr>
            <a:ln w="28575" cap="rnd">
              <a:solidFill>
                <a:srgbClr val="660033"/>
              </a:solidFill>
              <a:round/>
            </a:ln>
            <a:effectLst/>
          </c:spPr>
          <c:marker>
            <c:symbol val="none"/>
          </c:marker>
          <c:dPt>
            <c:idx val="5"/>
            <c:marker>
              <c:symbol val="none"/>
            </c:marker>
            <c:bubble3D val="0"/>
            <c:spPr>
              <a:ln w="28575" cap="rnd">
                <a:solidFill>
                  <a:srgbClr val="C0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CA06-484E-8BE6-80F6A4C7FE2C}"/>
              </c:ext>
            </c:extLst>
          </c:dPt>
          <c:dPt>
            <c:idx val="6"/>
            <c:marker>
              <c:symbol val="none"/>
            </c:marker>
            <c:bubble3D val="0"/>
            <c:spPr>
              <a:ln w="28575" cap="rnd">
                <a:solidFill>
                  <a:srgbClr val="C0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CA06-484E-8BE6-80F6A4C7FE2C}"/>
              </c:ext>
            </c:extLst>
          </c:dPt>
          <c:dPt>
            <c:idx val="7"/>
            <c:marker>
              <c:symbol val="none"/>
            </c:marker>
            <c:bubble3D val="0"/>
            <c:spPr>
              <a:ln w="28575" cap="rnd">
                <a:solidFill>
                  <a:srgbClr val="C0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CA06-484E-8BE6-80F6A4C7FE2C}"/>
              </c:ext>
            </c:extLst>
          </c:dPt>
          <c:dPt>
            <c:idx val="8"/>
            <c:marker>
              <c:symbol val="none"/>
            </c:marker>
            <c:bubble3D val="0"/>
            <c:spPr>
              <a:ln w="28575" cap="rnd">
                <a:solidFill>
                  <a:srgbClr val="C0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CA06-484E-8BE6-80F6A4C7FE2C}"/>
              </c:ext>
            </c:extLst>
          </c:dPt>
          <c:dPt>
            <c:idx val="9"/>
            <c:marker>
              <c:symbol val="none"/>
            </c:marker>
            <c:bubble3D val="0"/>
            <c:spPr>
              <a:ln w="28575" cap="rnd">
                <a:solidFill>
                  <a:srgbClr val="C0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CA06-484E-8BE6-80F6A4C7FE2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'Raw Data 2'!$N$6:$N$15</c:f>
              <c:strCache>
                <c:ptCount val="10"/>
                <c:pt idx="0">
                  <c:v>CY16</c:v>
                </c:pt>
                <c:pt idx="1">
                  <c:v>CY17</c:v>
                </c:pt>
                <c:pt idx="2">
                  <c:v>CY18</c:v>
                </c:pt>
                <c:pt idx="3">
                  <c:v>CY19</c:v>
                </c:pt>
                <c:pt idx="4">
                  <c:v>CY20E</c:v>
                </c:pt>
                <c:pt idx="5">
                  <c:v>CY21F</c:v>
                </c:pt>
                <c:pt idx="6">
                  <c:v>CY22F</c:v>
                </c:pt>
                <c:pt idx="7">
                  <c:v>CY23F</c:v>
                </c:pt>
                <c:pt idx="8">
                  <c:v>CY24F</c:v>
                </c:pt>
                <c:pt idx="9">
                  <c:v>CY25F</c:v>
                </c:pt>
              </c:strCache>
            </c:strRef>
          </c:cat>
          <c:val>
            <c:numRef>
              <c:f>'Raw Data 2'!$O$6:$O$15</c:f>
              <c:numCache>
                <c:formatCode>0%</c:formatCode>
                <c:ptCount val="10"/>
                <c:pt idx="0">
                  <c:v>0.20228841534724146</c:v>
                </c:pt>
                <c:pt idx="1">
                  <c:v>0.15354872733492328</c:v>
                </c:pt>
                <c:pt idx="2">
                  <c:v>0.21851133269335818</c:v>
                </c:pt>
                <c:pt idx="3">
                  <c:v>0.29305661728794241</c:v>
                </c:pt>
                <c:pt idx="4">
                  <c:v>0.33793328862924527</c:v>
                </c:pt>
                <c:pt idx="5">
                  <c:v>0.24648677844678638</c:v>
                </c:pt>
                <c:pt idx="6">
                  <c:v>0.26431964424853638</c:v>
                </c:pt>
                <c:pt idx="7">
                  <c:v>0.24618474349555139</c:v>
                </c:pt>
                <c:pt idx="8">
                  <c:v>0.24275239375070873</c:v>
                </c:pt>
                <c:pt idx="9">
                  <c:v>0.24004606153500446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06-484E-8BE6-80F6A4C7FE2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08297040"/>
        <c:axId val="308292336"/>
      </c:lineChart>
      <c:catAx>
        <c:axId val="308297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292336"/>
        <c:crosses val="autoZero"/>
        <c:auto val="1"/>
        <c:lblAlgn val="ctr"/>
        <c:lblOffset val="100"/>
        <c:noMultiLvlLbl val="0"/>
      </c:catAx>
      <c:valAx>
        <c:axId val="308292336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308297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ROA</a:t>
            </a:r>
            <a:r>
              <a:rPr lang="en-US" b="1" baseline="0">
                <a:solidFill>
                  <a:sysClr val="windowText" lastClr="000000"/>
                </a:solidFill>
              </a:rPr>
              <a:t> - Annualized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5373724668880658E-2"/>
          <c:y val="1.5585111583460451E-3"/>
          <c:w val="0.93888888888888888"/>
          <c:h val="0.7123071595217264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5"/>
            <c:marker>
              <c:symbol val="none"/>
            </c:marker>
            <c:bubble3D val="0"/>
            <c:spPr>
              <a:ln w="28575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F-448F-4729-931F-4BCEFE6374B8}"/>
              </c:ext>
            </c:extLst>
          </c:dPt>
          <c:dPt>
            <c:idx val="6"/>
            <c:marker>
              <c:symbol val="none"/>
            </c:marker>
            <c:bubble3D val="0"/>
            <c:spPr>
              <a:ln w="28575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0-448F-4729-931F-4BCEFE6374B8}"/>
              </c:ext>
            </c:extLst>
          </c:dPt>
          <c:dPt>
            <c:idx val="7"/>
            <c:marker>
              <c:symbol val="none"/>
            </c:marker>
            <c:bubble3D val="0"/>
            <c:spPr>
              <a:ln w="28575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1-448F-4729-931F-4BCEFE6374B8}"/>
              </c:ext>
            </c:extLst>
          </c:dPt>
          <c:dPt>
            <c:idx val="8"/>
            <c:marker>
              <c:symbol val="none"/>
            </c:marker>
            <c:bubble3D val="0"/>
            <c:spPr>
              <a:ln w="28575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2-448F-4729-931F-4BCEFE6374B8}"/>
              </c:ext>
            </c:extLst>
          </c:dPt>
          <c:dPt>
            <c:idx val="9"/>
            <c:marker>
              <c:symbol val="none"/>
            </c:marker>
            <c:bubble3D val="0"/>
            <c:spPr>
              <a:ln w="28575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3-448F-4729-931F-4BCEFE6374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'Raw Data 2'!$N$19:$N$28</c:f>
              <c:strCache>
                <c:ptCount val="10"/>
                <c:pt idx="0">
                  <c:v>CY16</c:v>
                </c:pt>
                <c:pt idx="1">
                  <c:v>CY17</c:v>
                </c:pt>
                <c:pt idx="2">
                  <c:v>CY18</c:v>
                </c:pt>
                <c:pt idx="3">
                  <c:v>CY19</c:v>
                </c:pt>
                <c:pt idx="4">
                  <c:v>CY20E</c:v>
                </c:pt>
                <c:pt idx="5">
                  <c:v>CY21F</c:v>
                </c:pt>
                <c:pt idx="6">
                  <c:v>CY22F</c:v>
                </c:pt>
                <c:pt idx="7">
                  <c:v>CY23F</c:v>
                </c:pt>
                <c:pt idx="8">
                  <c:v>CY24F</c:v>
                </c:pt>
                <c:pt idx="9">
                  <c:v>CY25F</c:v>
                </c:pt>
              </c:strCache>
            </c:strRef>
          </c:cat>
          <c:val>
            <c:numRef>
              <c:f>'Raw Data 2'!$O$19:$O$28</c:f>
              <c:numCache>
                <c:formatCode>0.0%</c:formatCode>
                <c:ptCount val="10"/>
                <c:pt idx="0">
                  <c:v>1.0345259668916812E-2</c:v>
                </c:pt>
                <c:pt idx="1">
                  <c:v>7.753762480884707E-3</c:v>
                </c:pt>
                <c:pt idx="2">
                  <c:v>1.0369154207053758E-2</c:v>
                </c:pt>
                <c:pt idx="3">
                  <c:v>1.5072967214994647E-2</c:v>
                </c:pt>
                <c:pt idx="4">
                  <c:v>1.935194147568494E-2</c:v>
                </c:pt>
                <c:pt idx="5">
                  <c:v>1.4423739823304091E-2</c:v>
                </c:pt>
                <c:pt idx="6">
                  <c:v>1.5943658387874964E-2</c:v>
                </c:pt>
                <c:pt idx="7">
                  <c:v>1.5639246052083125E-2</c:v>
                </c:pt>
                <c:pt idx="8">
                  <c:v>1.6142359080145521E-2</c:v>
                </c:pt>
                <c:pt idx="9">
                  <c:v>1.6579223328469984E-2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8F-4729-931F-4BCEFE6374B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08293512"/>
        <c:axId val="308299392"/>
      </c:lineChart>
      <c:catAx>
        <c:axId val="308293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299392"/>
        <c:crosses val="autoZero"/>
        <c:auto val="1"/>
        <c:lblAlgn val="ctr"/>
        <c:lblOffset val="100"/>
        <c:noMultiLvlLbl val="0"/>
      </c:catAx>
      <c:valAx>
        <c:axId val="308299392"/>
        <c:scaling>
          <c:orientation val="minMax"/>
        </c:scaling>
        <c:delete val="1"/>
        <c:axPos val="l"/>
        <c:numFmt formatCode="0.0%" sourceLinked="1"/>
        <c:majorTickMark val="none"/>
        <c:minorTickMark val="none"/>
        <c:tickLblPos val="nextTo"/>
        <c:crossAx val="308293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987092339960177"/>
          <c:y val="0.16062802696127787"/>
          <c:w val="0.75810664269307104"/>
          <c:h val="0.6319361535212518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'Raw Data 2'!$E$30</c:f>
              <c:strCache>
                <c:ptCount val="1"/>
                <c:pt idx="0">
                  <c:v>NPL</c:v>
                </c:pt>
              </c:strCache>
            </c:strRef>
          </c:tx>
          <c:spPr>
            <a:solidFill>
              <a:srgbClr val="FF006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'Raw Data 2'!$D$31:$D$40</c:f>
              <c:strCache>
                <c:ptCount val="10"/>
                <c:pt idx="0">
                  <c:v>CY16</c:v>
                </c:pt>
                <c:pt idx="1">
                  <c:v>CY17</c:v>
                </c:pt>
                <c:pt idx="2">
                  <c:v>CY18</c:v>
                </c:pt>
                <c:pt idx="3">
                  <c:v>CY19</c:v>
                </c:pt>
                <c:pt idx="4">
                  <c:v>CY20E</c:v>
                </c:pt>
                <c:pt idx="5">
                  <c:v>CY21F</c:v>
                </c:pt>
                <c:pt idx="6">
                  <c:v>CY22F</c:v>
                </c:pt>
                <c:pt idx="7">
                  <c:v>CY23F</c:v>
                </c:pt>
                <c:pt idx="8">
                  <c:v>CY24F</c:v>
                </c:pt>
                <c:pt idx="9">
                  <c:v>CY25F</c:v>
                </c:pt>
              </c:strCache>
            </c:strRef>
          </c:cat>
          <c:val>
            <c:numRef>
              <c:f>'Raw Data 2'!$E$31:$E$40</c:f>
              <c:numCache>
                <c:formatCode>0.00</c:formatCode>
                <c:ptCount val="10"/>
                <c:pt idx="0">
                  <c:v>6847.2920000000004</c:v>
                </c:pt>
                <c:pt idx="1">
                  <c:v>6606.1289999999999</c:v>
                </c:pt>
                <c:pt idx="2">
                  <c:v>6985.2420000000002</c:v>
                </c:pt>
                <c:pt idx="3">
                  <c:v>8995.719000000001</c:v>
                </c:pt>
                <c:pt idx="4">
                  <c:v>10627.763241419703</c:v>
                </c:pt>
                <c:pt idx="5">
                  <c:v>12889.612002452652</c:v>
                </c:pt>
                <c:pt idx="6">
                  <c:v>12370.165677630406</c:v>
                </c:pt>
                <c:pt idx="7">
                  <c:v>14129.566404050827</c:v>
                </c:pt>
                <c:pt idx="8">
                  <c:v>16696.795505403137</c:v>
                </c:pt>
                <c:pt idx="9">
                  <c:v>20199.057948155973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43-4E8C-8828-6C1F58B7D199}"/>
            </c:ext>
          </c:extLst>
        </c:ser>
        <c:ser>
          <c:idx val="1"/>
          <c:order val="1"/>
          <c:tx>
            <c:strRef>
              <c:f>'Raw Data 2'!$F$30</c:f>
              <c:strCache>
                <c:ptCount val="1"/>
                <c:pt idx="0">
                  <c:v>Advances</c:v>
                </c:pt>
              </c:strCache>
            </c:strRef>
          </c:tx>
          <c:spPr>
            <a:solidFill>
              <a:srgbClr val="002060"/>
            </a:solidFill>
            <a:ln>
              <a:solidFill>
                <a:srgbClr val="FFC000"/>
              </a:solidFill>
            </a:ln>
            <a:effectLst/>
          </c:spPr>
          <c:invertIfNegative val="0"/>
          <c:dLbls>
            <c:delete val="1"/>
          </c:dLbls>
          <c:cat>
            <c:strRef>
              <c:f>'Raw Data 2'!$D$31:$D$40</c:f>
              <c:strCache>
                <c:ptCount val="10"/>
                <c:pt idx="0">
                  <c:v>CY16</c:v>
                </c:pt>
                <c:pt idx="1">
                  <c:v>CY17</c:v>
                </c:pt>
                <c:pt idx="2">
                  <c:v>CY18</c:v>
                </c:pt>
                <c:pt idx="3">
                  <c:v>CY19</c:v>
                </c:pt>
                <c:pt idx="4">
                  <c:v>CY20E</c:v>
                </c:pt>
                <c:pt idx="5">
                  <c:v>CY21F</c:v>
                </c:pt>
                <c:pt idx="6">
                  <c:v>CY22F</c:v>
                </c:pt>
                <c:pt idx="7">
                  <c:v>CY23F</c:v>
                </c:pt>
                <c:pt idx="8">
                  <c:v>CY24F</c:v>
                </c:pt>
                <c:pt idx="9">
                  <c:v>CY25F</c:v>
                </c:pt>
              </c:strCache>
            </c:strRef>
          </c:cat>
          <c:val>
            <c:numRef>
              <c:f>'Raw Data 2'!$F$31:$F$40</c:f>
              <c:numCache>
                <c:formatCode>General</c:formatCode>
                <c:ptCount val="10"/>
                <c:pt idx="0">
                  <c:v>311530.16200000001</c:v>
                </c:pt>
                <c:pt idx="1">
                  <c:v>419929.14899999998</c:v>
                </c:pt>
                <c:pt idx="2">
                  <c:v>512564.522</c:v>
                </c:pt>
                <c:pt idx="3">
                  <c:v>493775.34600000014</c:v>
                </c:pt>
                <c:pt idx="4">
                  <c:v>525777.78094048181</c:v>
                </c:pt>
                <c:pt idx="5">
                  <c:v>594246.96567297215</c:v>
                </c:pt>
                <c:pt idx="6">
                  <c:v>686372.43312637124</c:v>
                </c:pt>
                <c:pt idx="7">
                  <c:v>789143.07354830357</c:v>
                </c:pt>
                <c:pt idx="8">
                  <c:v>911449.86025834479</c:v>
                </c:pt>
                <c:pt idx="9">
                  <c:v>1055088.3189999999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43-4E8C-8828-6C1F58B7D19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08299784"/>
        <c:axId val="308300568"/>
        <c:extLst>
          <c:ext xmlns:c15="http://schemas.microsoft.com/office/drawing/2012/chart" uri="{02D57815-91ED-43cb-92C2-25804820EDAC}">
            <c15:filteredBa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'Raw Data 2'!$H$30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'Raw Data 2'!$D$31:$D$40</c15:sqref>
                        </c15:formulaRef>
                      </c:ext>
                    </c:extLst>
                    <c:strCache>
                      <c:ptCount val="10"/>
                      <c:pt idx="0">
                        <c:v>CY16</c:v>
                      </c:pt>
                      <c:pt idx="1">
                        <c:v>CY17</c:v>
                      </c:pt>
                      <c:pt idx="2">
                        <c:v>CY18</c:v>
                      </c:pt>
                      <c:pt idx="3">
                        <c:v>CY19</c:v>
                      </c:pt>
                      <c:pt idx="4">
                        <c:v>CY20E</c:v>
                      </c:pt>
                      <c:pt idx="5">
                        <c:v>CY21F</c:v>
                      </c:pt>
                      <c:pt idx="6">
                        <c:v>CY22F</c:v>
                      </c:pt>
                      <c:pt idx="7">
                        <c:v>CY23F</c:v>
                      </c:pt>
                      <c:pt idx="8">
                        <c:v>CY24F</c:v>
                      </c:pt>
                      <c:pt idx="9">
                        <c:v>CY25F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'Raw Data 2'!$H$31:$H$40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A743-4E8C-8828-6C1F58B7D199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2"/>
          <c:order val="2"/>
          <c:tx>
            <c:strRef>
              <c:f>'Raw Data 2'!$G$30</c:f>
              <c:strCache>
                <c:ptCount val="1"/>
                <c:pt idx="0">
                  <c:v>NPL Infection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'Raw Data 2'!$D$31:$D$40</c:f>
              <c:strCache>
                <c:ptCount val="10"/>
                <c:pt idx="0">
                  <c:v>CY16</c:v>
                </c:pt>
                <c:pt idx="1">
                  <c:v>CY17</c:v>
                </c:pt>
                <c:pt idx="2">
                  <c:v>CY18</c:v>
                </c:pt>
                <c:pt idx="3">
                  <c:v>CY19</c:v>
                </c:pt>
                <c:pt idx="4">
                  <c:v>CY20E</c:v>
                </c:pt>
                <c:pt idx="5">
                  <c:v>CY21F</c:v>
                </c:pt>
                <c:pt idx="6">
                  <c:v>CY22F</c:v>
                </c:pt>
                <c:pt idx="7">
                  <c:v>CY23F</c:v>
                </c:pt>
                <c:pt idx="8">
                  <c:v>CY24F</c:v>
                </c:pt>
                <c:pt idx="9">
                  <c:v>CY25F</c:v>
                </c:pt>
              </c:strCache>
            </c:strRef>
          </c:cat>
          <c:val>
            <c:numRef>
              <c:f>'Raw Data 2'!$G$31:$G$40</c:f>
              <c:numCache>
                <c:formatCode>0.0%</c:formatCode>
                <c:ptCount val="10"/>
                <c:pt idx="0">
                  <c:v>2.1423437782056458E-2</c:v>
                </c:pt>
                <c:pt idx="1">
                  <c:v>1.5408470758242969E-2</c:v>
                </c:pt>
                <c:pt idx="2">
                  <c:v>1.3374931394579639E-2</c:v>
                </c:pt>
                <c:pt idx="3">
                  <c:v>1.7760109869414179E-2</c:v>
                </c:pt>
                <c:pt idx="4">
                  <c:v>1.9633336052449116E-2</c:v>
                </c:pt>
                <c:pt idx="5">
                  <c:v>2.1000000000000001E-2</c:v>
                </c:pt>
                <c:pt idx="6">
                  <c:v>1.7520057171348472E-2</c:v>
                </c:pt>
                <c:pt idx="7">
                  <c:v>1.7435369614937184E-2</c:v>
                </c:pt>
                <c:pt idx="8">
                  <c:v>1.7857686897558282E-2</c:v>
                </c:pt>
                <c:pt idx="9">
                  <c:v>1.866977454162979E-2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43-4E8C-8828-6C1F58B7D19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08294296"/>
        <c:axId val="308301352"/>
      </c:lineChart>
      <c:catAx>
        <c:axId val="308299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300568"/>
        <c:crosses val="autoZero"/>
        <c:auto val="1"/>
        <c:lblAlgn val="ctr"/>
        <c:lblOffset val="100"/>
        <c:noMultiLvlLbl val="0"/>
      </c:catAx>
      <c:valAx>
        <c:axId val="308300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299784"/>
        <c:crosses val="autoZero"/>
        <c:crossBetween val="between"/>
      </c:valAx>
      <c:valAx>
        <c:axId val="308301352"/>
        <c:scaling>
          <c:orientation val="minMax"/>
        </c:scaling>
        <c:delete val="0"/>
        <c:axPos val="r"/>
        <c:numFmt formatCode="0.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294296"/>
        <c:crosses val="max"/>
        <c:crossBetween val="between"/>
      </c:valAx>
      <c:catAx>
        <c:axId val="3082942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83013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Asset</a:t>
            </a:r>
            <a:r>
              <a:rPr lang="en-US" b="1" baseline="0">
                <a:solidFill>
                  <a:sysClr val="windowText" lastClr="000000"/>
                </a:solidFill>
              </a:rPr>
              <a:t> Quality</a:t>
            </a:r>
            <a:endParaRPr lang="en-US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'Raw Data 2'!$D$45:$D$46</c:f>
              <c:strCache>
                <c:ptCount val="2"/>
                <c:pt idx="1">
                  <c:v>Provision held</c:v>
                </c:pt>
              </c:strCache>
            </c:strRef>
          </c:tx>
          <c:spPr>
            <a:solidFill>
              <a:srgbClr val="66003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'Raw Data 2'!$C$47:$C$56</c:f>
              <c:strCache>
                <c:ptCount val="10"/>
                <c:pt idx="0">
                  <c:v>CY16</c:v>
                </c:pt>
                <c:pt idx="1">
                  <c:v>CY17</c:v>
                </c:pt>
                <c:pt idx="2">
                  <c:v>CY18</c:v>
                </c:pt>
                <c:pt idx="3">
                  <c:v>CY19</c:v>
                </c:pt>
                <c:pt idx="4">
                  <c:v>CY20E</c:v>
                </c:pt>
                <c:pt idx="5">
                  <c:v>CY21F</c:v>
                </c:pt>
                <c:pt idx="6">
                  <c:v>CY22F</c:v>
                </c:pt>
                <c:pt idx="7">
                  <c:v>CY23F</c:v>
                </c:pt>
                <c:pt idx="8">
                  <c:v>CY24F</c:v>
                </c:pt>
                <c:pt idx="9">
                  <c:v>CY25F</c:v>
                </c:pt>
              </c:strCache>
            </c:strRef>
          </c:cat>
          <c:val>
            <c:numRef>
              <c:f>'Raw Data 2'!$D$47:$D$56</c:f>
              <c:numCache>
                <c:formatCode>0.00</c:formatCode>
                <c:ptCount val="10"/>
                <c:pt idx="0">
                  <c:v>8086.7019999999993</c:v>
                </c:pt>
                <c:pt idx="1">
                  <c:v>8804.4419999999991</c:v>
                </c:pt>
                <c:pt idx="2">
                  <c:v>9699.241</c:v>
                </c:pt>
                <c:pt idx="3">
                  <c:v>12737.23</c:v>
                </c:pt>
                <c:pt idx="4">
                  <c:v>15534.36351771724</c:v>
                </c:pt>
                <c:pt idx="5">
                  <c:v>19544.082062868409</c:v>
                </c:pt>
                <c:pt idx="6">
                  <c:v>19684.947660035614</c:v>
                </c:pt>
                <c:pt idx="7">
                  <c:v>21253.649670330175</c:v>
                </c:pt>
                <c:pt idx="8">
                  <c:v>23542.202329902611</c:v>
                </c:pt>
                <c:pt idx="9">
                  <c:v>26823.939620306337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E7-4652-884E-9E65995CE8A7}"/>
            </c:ext>
          </c:extLst>
        </c:ser>
        <c:ser>
          <c:idx val="1"/>
          <c:order val="1"/>
          <c:tx>
            <c:strRef>
              <c:f>'Raw Data 2'!$E$45:$E$46</c:f>
              <c:strCache>
                <c:ptCount val="2"/>
                <c:pt idx="1">
                  <c:v>Non Performing Loans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'Raw Data 2'!$C$47:$C$56</c:f>
              <c:strCache>
                <c:ptCount val="10"/>
                <c:pt idx="0">
                  <c:v>CY16</c:v>
                </c:pt>
                <c:pt idx="1">
                  <c:v>CY17</c:v>
                </c:pt>
                <c:pt idx="2">
                  <c:v>CY18</c:v>
                </c:pt>
                <c:pt idx="3">
                  <c:v>CY19</c:v>
                </c:pt>
                <c:pt idx="4">
                  <c:v>CY20E</c:v>
                </c:pt>
                <c:pt idx="5">
                  <c:v>CY21F</c:v>
                </c:pt>
                <c:pt idx="6">
                  <c:v>CY22F</c:v>
                </c:pt>
                <c:pt idx="7">
                  <c:v>CY23F</c:v>
                </c:pt>
                <c:pt idx="8">
                  <c:v>CY24F</c:v>
                </c:pt>
                <c:pt idx="9">
                  <c:v>CY25F</c:v>
                </c:pt>
              </c:strCache>
            </c:strRef>
          </c:cat>
          <c:val>
            <c:numRef>
              <c:f>'Raw Data 2'!$E$47:$E$56</c:f>
              <c:numCache>
                <c:formatCode>0.00</c:formatCode>
                <c:ptCount val="10"/>
                <c:pt idx="0">
                  <c:v>6847.2920000000004</c:v>
                </c:pt>
                <c:pt idx="1">
                  <c:v>6606.1289999999999</c:v>
                </c:pt>
                <c:pt idx="2">
                  <c:v>6985.2420000000002</c:v>
                </c:pt>
                <c:pt idx="3">
                  <c:v>8995.719000000001</c:v>
                </c:pt>
                <c:pt idx="4">
                  <c:v>10627.763241419703</c:v>
                </c:pt>
                <c:pt idx="5">
                  <c:v>12889.612002452652</c:v>
                </c:pt>
                <c:pt idx="6">
                  <c:v>12370.165677630406</c:v>
                </c:pt>
                <c:pt idx="7">
                  <c:v>14129.566404050827</c:v>
                </c:pt>
                <c:pt idx="8">
                  <c:v>16696.795505403137</c:v>
                </c:pt>
                <c:pt idx="9">
                  <c:v>20199.057948155973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E7-4652-884E-9E65995CE8A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11603272"/>
        <c:axId val="311607976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'Raw Data 2'!$F$45:$F$46</c15:sqref>
                        </c15:formulaRef>
                      </c:ext>
                    </c:extLst>
                    <c:strCache>
                      <c:ptCount val="2"/>
                      <c:pt idx="1">
                        <c:v>Non Performing Loans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'Raw Data 2'!$C$47:$C$56</c15:sqref>
                        </c15:formulaRef>
                      </c:ext>
                    </c:extLst>
                    <c:strCache>
                      <c:ptCount val="10"/>
                      <c:pt idx="0">
                        <c:v>CY16</c:v>
                      </c:pt>
                      <c:pt idx="1">
                        <c:v>CY17</c:v>
                      </c:pt>
                      <c:pt idx="2">
                        <c:v>CY18</c:v>
                      </c:pt>
                      <c:pt idx="3">
                        <c:v>CY19</c:v>
                      </c:pt>
                      <c:pt idx="4">
                        <c:v>CY20E</c:v>
                      </c:pt>
                      <c:pt idx="5">
                        <c:v>CY21F</c:v>
                      </c:pt>
                      <c:pt idx="6">
                        <c:v>CY22F</c:v>
                      </c:pt>
                      <c:pt idx="7">
                        <c:v>CY23F</c:v>
                      </c:pt>
                      <c:pt idx="8">
                        <c:v>CY24F</c:v>
                      </c:pt>
                      <c:pt idx="9">
                        <c:v>CY25F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'Raw Data 2'!$F$47:$F$56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21E7-4652-884E-9E65995CE8A7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'Raw Data 2'!$H$45:$H$46</c15:sqref>
                        </c15:formulaRef>
                      </c:ext>
                    </c:extLst>
                    <c:strCache>
                      <c:ptCount val="2"/>
                      <c:pt idx="1">
                        <c:v>NPL Coverage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'Raw Data 2'!$C$47:$C$56</c15:sqref>
                        </c15:formulaRef>
                      </c:ext>
                    </c:extLst>
                    <c:strCache>
                      <c:ptCount val="10"/>
                      <c:pt idx="0">
                        <c:v>CY16</c:v>
                      </c:pt>
                      <c:pt idx="1">
                        <c:v>CY17</c:v>
                      </c:pt>
                      <c:pt idx="2">
                        <c:v>CY18</c:v>
                      </c:pt>
                      <c:pt idx="3">
                        <c:v>CY19</c:v>
                      </c:pt>
                      <c:pt idx="4">
                        <c:v>CY20E</c:v>
                      </c:pt>
                      <c:pt idx="5">
                        <c:v>CY21F</c:v>
                      </c:pt>
                      <c:pt idx="6">
                        <c:v>CY22F</c:v>
                      </c:pt>
                      <c:pt idx="7">
                        <c:v>CY23F</c:v>
                      </c:pt>
                      <c:pt idx="8">
                        <c:v>CY24F</c:v>
                      </c:pt>
                      <c:pt idx="9">
                        <c:v>CY25F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'Raw Data 2'!$H$47:$H$56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21E7-4652-884E-9E65995CE8A7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3"/>
          <c:order val="3"/>
          <c:tx>
            <c:strRef>
              <c:f>'Raw Data 2'!$G$45:$G$46</c:f>
              <c:strCache>
                <c:ptCount val="2"/>
                <c:pt idx="1">
                  <c:v>NPL Coverage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dLbls>
            <c:dLbl>
              <c:idx val="9"/>
              <c:layout>
                <c:manualLayout>
                  <c:x val="-6.0416666666666771E-2"/>
                  <c:y val="-0.11772447679036518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1E7-4652-884E-9E65995CE8A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'Raw Data 2'!$C$47:$C$56</c:f>
              <c:strCache>
                <c:ptCount val="10"/>
                <c:pt idx="0">
                  <c:v>CY16</c:v>
                </c:pt>
                <c:pt idx="1">
                  <c:v>CY17</c:v>
                </c:pt>
                <c:pt idx="2">
                  <c:v>CY18</c:v>
                </c:pt>
                <c:pt idx="3">
                  <c:v>CY19</c:v>
                </c:pt>
                <c:pt idx="4">
                  <c:v>CY20E</c:v>
                </c:pt>
                <c:pt idx="5">
                  <c:v>CY21F</c:v>
                </c:pt>
                <c:pt idx="6">
                  <c:v>CY22F</c:v>
                </c:pt>
                <c:pt idx="7">
                  <c:v>CY23F</c:v>
                </c:pt>
                <c:pt idx="8">
                  <c:v>CY24F</c:v>
                </c:pt>
                <c:pt idx="9">
                  <c:v>CY25F</c:v>
                </c:pt>
              </c:strCache>
            </c:strRef>
          </c:cat>
          <c:val>
            <c:numRef>
              <c:f>'Raw Data 2'!$G$47:$G$56</c:f>
              <c:numCache>
                <c:formatCode>0%</c:formatCode>
                <c:ptCount val="10"/>
                <c:pt idx="0">
                  <c:v>1.1810073237712075</c:v>
                </c:pt>
                <c:pt idx="1">
                  <c:v>1.3327687061515145</c:v>
                </c:pt>
                <c:pt idx="2">
                  <c:v>1.388533282025161</c:v>
                </c:pt>
                <c:pt idx="3">
                  <c:v>1.4159212843353597</c:v>
                </c:pt>
                <c:pt idx="4">
                  <c:v>1.4616776046699071</c:v>
                </c:pt>
                <c:pt idx="5">
                  <c:v>1.5162661264861608</c:v>
                </c:pt>
                <c:pt idx="6">
                  <c:v>1.5913244958095345</c:v>
                </c:pt>
                <c:pt idx="7">
                  <c:v>1.5041968778487733</c:v>
                </c:pt>
                <c:pt idx="8">
                  <c:v>1.4099832702798736</c:v>
                </c:pt>
                <c:pt idx="9">
                  <c:v>1.3279797349536873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1E7-4652-884E-9E65995CE8A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11604840"/>
        <c:axId val="311604448"/>
      </c:lineChart>
      <c:catAx>
        <c:axId val="311603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607976"/>
        <c:crosses val="autoZero"/>
        <c:auto val="1"/>
        <c:lblAlgn val="ctr"/>
        <c:lblOffset val="100"/>
        <c:noMultiLvlLbl val="0"/>
      </c:catAx>
      <c:valAx>
        <c:axId val="311607976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603272"/>
        <c:crosses val="autoZero"/>
        <c:crossBetween val="between"/>
      </c:valAx>
      <c:valAx>
        <c:axId val="311604448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604840"/>
        <c:crosses val="max"/>
        <c:crossBetween val="between"/>
      </c:valAx>
      <c:catAx>
        <c:axId val="3116048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1604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Cost / Income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'Raw Data 2'!$D$64</c:f>
              <c:strCache>
                <c:ptCount val="1"/>
                <c:pt idx="0">
                  <c:v>Cost/Income Ratio</c:v>
                </c:pt>
              </c:strCache>
            </c:strRef>
          </c:tx>
          <c:spPr>
            <a:solidFill>
              <a:srgbClr val="990033"/>
            </a:solidFill>
            <a:ln>
              <a:noFill/>
            </a:ln>
            <a:effectLst/>
          </c:spPr>
          <c:invertIfNegative val="0"/>
          <c:dLbls>
            <c:dLbl>
              <c:idx val="3"/>
              <c:layout>
                <c:manualLayout>
                  <c:x val="-5.0925337632079971E-17"/>
                  <c:y val="-3.240740740740744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38F-41ED-801D-5C8282E6660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28575" cap="rnd">
                <a:solidFill>
                  <a:schemeClr val="accent6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'Raw Data 2'!$C$65:$C$74</c:f>
              <c:strCache>
                <c:ptCount val="10"/>
                <c:pt idx="0">
                  <c:v>CY16</c:v>
                </c:pt>
                <c:pt idx="1">
                  <c:v>CY17</c:v>
                </c:pt>
                <c:pt idx="2">
                  <c:v>CY18</c:v>
                </c:pt>
                <c:pt idx="3">
                  <c:v>CY19</c:v>
                </c:pt>
                <c:pt idx="4">
                  <c:v>CY20E</c:v>
                </c:pt>
                <c:pt idx="5">
                  <c:v>CY21F</c:v>
                </c:pt>
                <c:pt idx="6">
                  <c:v>CY22F</c:v>
                </c:pt>
                <c:pt idx="7">
                  <c:v>CY23F</c:v>
                </c:pt>
                <c:pt idx="8">
                  <c:v>CY24F</c:v>
                </c:pt>
                <c:pt idx="9">
                  <c:v>CY25F</c:v>
                </c:pt>
              </c:strCache>
            </c:strRef>
          </c:cat>
          <c:val>
            <c:numRef>
              <c:f>'Raw Data 2'!$D$65:$D$74</c:f>
              <c:numCache>
                <c:formatCode>0%</c:formatCode>
                <c:ptCount val="10"/>
                <c:pt idx="0">
                  <c:v>0.62750585725900032</c:v>
                </c:pt>
                <c:pt idx="1">
                  <c:v>0.60465052973983535</c:v>
                </c:pt>
                <c:pt idx="2">
                  <c:v>0.55480064845926713</c:v>
                </c:pt>
                <c:pt idx="3">
                  <c:v>0.48170765044669989</c:v>
                </c:pt>
                <c:pt idx="4">
                  <c:v>0.41976149657223344</c:v>
                </c:pt>
                <c:pt idx="5">
                  <c:v>0.48134630141069584</c:v>
                </c:pt>
                <c:pt idx="6">
                  <c:v>0.44969503677098899</c:v>
                </c:pt>
                <c:pt idx="7">
                  <c:v>0.44502256185392802</c:v>
                </c:pt>
                <c:pt idx="8">
                  <c:v>0.42865750865105151</c:v>
                </c:pt>
                <c:pt idx="9">
                  <c:v>0.41248936040902723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8F-41ED-801D-5C8282E6660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11606408"/>
        <c:axId val="311610328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'Raw Data 2'!$E$64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'Raw Data 2'!$C$65:$C$74</c15:sqref>
                        </c15:formulaRef>
                      </c:ext>
                    </c:extLst>
                    <c:strCache>
                      <c:ptCount val="10"/>
                      <c:pt idx="0">
                        <c:v>CY16</c:v>
                      </c:pt>
                      <c:pt idx="1">
                        <c:v>CY17</c:v>
                      </c:pt>
                      <c:pt idx="2">
                        <c:v>CY18</c:v>
                      </c:pt>
                      <c:pt idx="3">
                        <c:v>CY19</c:v>
                      </c:pt>
                      <c:pt idx="4">
                        <c:v>CY20E</c:v>
                      </c:pt>
                      <c:pt idx="5">
                        <c:v>CY21F</c:v>
                      </c:pt>
                      <c:pt idx="6">
                        <c:v>CY22F</c:v>
                      </c:pt>
                      <c:pt idx="7">
                        <c:v>CY23F</c:v>
                      </c:pt>
                      <c:pt idx="8">
                        <c:v>CY24F</c:v>
                      </c:pt>
                      <c:pt idx="9">
                        <c:v>CY25F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'Raw Data 2'!$E$65:$E$74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B38F-41ED-801D-5C8282E66601}"/>
                  </c:ext>
                </c:extLst>
              </c15:ser>
            </c15:filteredBarSeries>
          </c:ext>
        </c:extLst>
      </c:barChart>
      <c:catAx>
        <c:axId val="311606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610328"/>
        <c:crosses val="autoZero"/>
        <c:auto val="1"/>
        <c:lblAlgn val="ctr"/>
        <c:lblOffset val="100"/>
        <c:noMultiLvlLbl val="0"/>
      </c:catAx>
      <c:valAx>
        <c:axId val="311610328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311606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ADR</a:t>
            </a:r>
            <a:r>
              <a:rPr lang="en-US" b="1" baseline="0">
                <a:solidFill>
                  <a:sysClr val="windowText" lastClr="000000"/>
                </a:solidFill>
              </a:rPr>
              <a:t> &amp; IDR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'Raw Data 2'!$D$78</c:f>
              <c:strCache>
                <c:ptCount val="1"/>
                <c:pt idx="0">
                  <c:v>ADR</c:v>
                </c:pt>
              </c:strCache>
            </c:strRef>
          </c:tx>
          <c:spPr>
            <a:solidFill>
              <a:srgbClr val="002060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'Raw Data 2'!$C$79:$C$88</c:f>
              <c:strCache>
                <c:ptCount val="10"/>
                <c:pt idx="0">
                  <c:v>CY16</c:v>
                </c:pt>
                <c:pt idx="1">
                  <c:v>CY17</c:v>
                </c:pt>
                <c:pt idx="2">
                  <c:v>CY18</c:v>
                </c:pt>
                <c:pt idx="3">
                  <c:v>CY19</c:v>
                </c:pt>
                <c:pt idx="4">
                  <c:v>CY20E</c:v>
                </c:pt>
                <c:pt idx="5">
                  <c:v>CY21F</c:v>
                </c:pt>
                <c:pt idx="6">
                  <c:v>CY22F</c:v>
                </c:pt>
                <c:pt idx="7">
                  <c:v>CY23F</c:v>
                </c:pt>
                <c:pt idx="8">
                  <c:v>CY24F</c:v>
                </c:pt>
                <c:pt idx="9">
                  <c:v>CY25F</c:v>
                </c:pt>
              </c:strCache>
            </c:strRef>
          </c:cat>
          <c:val>
            <c:numRef>
              <c:f>'Raw Data 2'!$D$79:$D$88</c:f>
              <c:numCache>
                <c:formatCode>0%</c:formatCode>
                <c:ptCount val="10"/>
                <c:pt idx="0">
                  <c:v>0.55235877969698477</c:v>
                </c:pt>
                <c:pt idx="1">
                  <c:v>0.62379891800459808</c:v>
                </c:pt>
                <c:pt idx="2">
                  <c:v>0.65257884161483926</c:v>
                </c:pt>
                <c:pt idx="3">
                  <c:v>0.5294787521647264</c:v>
                </c:pt>
                <c:pt idx="4">
                  <c:v>0.47169500134198955</c:v>
                </c:pt>
                <c:pt idx="5">
                  <c:v>0.479571548934423</c:v>
                </c:pt>
                <c:pt idx="6">
                  <c:v>0.49116452786136422</c:v>
                </c:pt>
                <c:pt idx="7">
                  <c:v>0.5018401490009694</c:v>
                </c:pt>
                <c:pt idx="8">
                  <c:v>0.51242742048830892</c:v>
                </c:pt>
                <c:pt idx="9">
                  <c:v>0.52288291020427202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86-4A4D-8A81-FC69DD0A7943}"/>
            </c:ext>
          </c:extLst>
        </c:ser>
        <c:ser>
          <c:idx val="1"/>
          <c:order val="1"/>
          <c:tx>
            <c:strRef>
              <c:f>'Raw Data 2'!$E$78</c:f>
              <c:strCache>
                <c:ptCount val="1"/>
                <c:pt idx="0">
                  <c:v>IDR</c:v>
                </c:pt>
              </c:strCache>
            </c:strRef>
          </c:tx>
          <c:spPr>
            <a:solidFill>
              <a:srgbClr val="FFC000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1.3888888888888888E-2"/>
                  <c:y val="-9.2592592592592587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7B86-4A4D-8A81-FC69DD0A7943}"/>
                </c:ext>
              </c:extLst>
            </c:dLbl>
            <c:dLbl>
              <c:idx val="1"/>
              <c:layout>
                <c:manualLayout>
                  <c:x val="1.1111111111111086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7B86-4A4D-8A81-FC69DD0A7943}"/>
                </c:ext>
              </c:extLst>
            </c:dLbl>
            <c:dLbl>
              <c:idx val="2"/>
              <c:layout>
                <c:manualLayout>
                  <c:x val="1.1111111111111112E-2"/>
                  <c:y val="-4.629629629629714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B86-4A4D-8A81-FC69DD0A7943}"/>
                </c:ext>
              </c:extLst>
            </c:dLbl>
            <c:dLbl>
              <c:idx val="3"/>
              <c:layout>
                <c:manualLayout>
                  <c:x val="1.6666666666666614E-2"/>
                  <c:y val="-8.4875562720133283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B86-4A4D-8A81-FC69DD0A7943}"/>
                </c:ext>
              </c:extLst>
            </c:dLbl>
            <c:dLbl>
              <c:idx val="4"/>
              <c:layout>
                <c:manualLayout>
                  <c:x val="1.3888888888888888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B86-4A4D-8A81-FC69DD0A7943}"/>
                </c:ext>
              </c:extLst>
            </c:dLbl>
            <c:dLbl>
              <c:idx val="5"/>
              <c:layout>
                <c:manualLayout>
                  <c:x val="1.3888888888888888E-2"/>
                  <c:y val="-4.2437781360066642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B86-4A4D-8A81-FC69DD0A7943}"/>
                </c:ext>
              </c:extLst>
            </c:dLbl>
            <c:dLbl>
              <c:idx val="6"/>
              <c:layout>
                <c:manualLayout>
                  <c:x val="1.6666666666666666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7B86-4A4D-8A81-FC69DD0A7943}"/>
                </c:ext>
              </c:extLst>
            </c:dLbl>
            <c:dLbl>
              <c:idx val="7"/>
              <c:layout>
                <c:manualLayout>
                  <c:x val="1.1111111111111112E-2"/>
                  <c:y val="-4.629629629629629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B86-4A4D-8A81-FC69DD0A7943}"/>
                </c:ext>
              </c:extLst>
            </c:dLbl>
            <c:dLbl>
              <c:idx val="8"/>
              <c:layout>
                <c:manualLayout>
                  <c:x val="1.3888888888888788E-2"/>
                  <c:y val="-4.2437781360066642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B86-4A4D-8A81-FC69DD0A7943}"/>
                </c:ext>
              </c:extLst>
            </c:dLbl>
            <c:dLbl>
              <c:idx val="9"/>
              <c:layout>
                <c:manualLayout>
                  <c:x val="1.9444444444444445E-2"/>
                  <c:y val="-4.2437781360066642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B86-4A4D-8A81-FC69DD0A794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'Raw Data 2'!$C$79:$C$88</c:f>
              <c:strCache>
                <c:ptCount val="10"/>
                <c:pt idx="0">
                  <c:v>CY16</c:v>
                </c:pt>
                <c:pt idx="1">
                  <c:v>CY17</c:v>
                </c:pt>
                <c:pt idx="2">
                  <c:v>CY18</c:v>
                </c:pt>
                <c:pt idx="3">
                  <c:v>CY19</c:v>
                </c:pt>
                <c:pt idx="4">
                  <c:v>CY20E</c:v>
                </c:pt>
                <c:pt idx="5">
                  <c:v>CY21F</c:v>
                </c:pt>
                <c:pt idx="6">
                  <c:v>CY22F</c:v>
                </c:pt>
                <c:pt idx="7">
                  <c:v>CY23F</c:v>
                </c:pt>
                <c:pt idx="8">
                  <c:v>CY24F</c:v>
                </c:pt>
                <c:pt idx="9">
                  <c:v>CY25F</c:v>
                </c:pt>
              </c:strCache>
            </c:strRef>
          </c:cat>
          <c:val>
            <c:numRef>
              <c:f>'Raw Data 2'!$E$79:$E$88</c:f>
              <c:numCache>
                <c:formatCode>0%</c:formatCode>
                <c:ptCount val="10"/>
                <c:pt idx="0">
                  <c:v>0.23900108044709203</c:v>
                </c:pt>
                <c:pt idx="1">
                  <c:v>0.18295380772500608</c:v>
                </c:pt>
                <c:pt idx="2">
                  <c:v>0.16183875641224099</c:v>
                </c:pt>
                <c:pt idx="3">
                  <c:v>0.24627360535713416</c:v>
                </c:pt>
                <c:pt idx="4">
                  <c:v>0.34337825922994197</c:v>
                </c:pt>
                <c:pt idx="5">
                  <c:v>0.38</c:v>
                </c:pt>
                <c:pt idx="6">
                  <c:v>0.4</c:v>
                </c:pt>
                <c:pt idx="7">
                  <c:v>0.4</c:v>
                </c:pt>
                <c:pt idx="8">
                  <c:v>0.40000000000000008</c:v>
                </c:pt>
                <c:pt idx="9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86-4A4D-8A81-FC69DD0A794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11610720"/>
        <c:axId val="311613072"/>
      </c:barChart>
      <c:catAx>
        <c:axId val="311610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613072"/>
        <c:crosses val="autoZero"/>
        <c:auto val="1"/>
        <c:lblAlgn val="ctr"/>
        <c:lblOffset val="100"/>
        <c:noMultiLvlLbl val="0"/>
      </c:catAx>
      <c:valAx>
        <c:axId val="311613072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311610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CAR</a:t>
            </a:r>
            <a:r>
              <a:rPr lang="en-US" b="1" baseline="0">
                <a:solidFill>
                  <a:sysClr val="windowText" lastClr="000000"/>
                </a:solidFill>
              </a:rPr>
              <a:t> above the Minimum Requirement</a:t>
            </a:r>
            <a:endParaRPr lang="en-US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'Raw Data 2'!$D$95</c:f>
              <c:strCache>
                <c:ptCount val="1"/>
                <c:pt idx="0">
                  <c:v>CAR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-5.0925337632079971E-17"/>
                  <c:y val="-3.703703703703703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4D9-42B8-9017-3BFD9622044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'Raw Data 2'!$C$96:$C$101</c:f>
              <c:strCache>
                <c:ptCount val="6"/>
                <c:pt idx="0">
                  <c:v>CY16</c:v>
                </c:pt>
                <c:pt idx="1">
                  <c:v>CY17</c:v>
                </c:pt>
                <c:pt idx="2">
                  <c:v>CY18</c:v>
                </c:pt>
                <c:pt idx="3">
                  <c:v>CY19</c:v>
                </c:pt>
                <c:pt idx="4">
                  <c:v>CY20E</c:v>
                </c:pt>
                <c:pt idx="5">
                  <c:v>CY21F</c:v>
                </c:pt>
              </c:strCache>
            </c:strRef>
          </c:cat>
          <c:val>
            <c:numRef>
              <c:f>'Raw Data 2'!$D$96:$D$101</c:f>
              <c:numCache>
                <c:formatCode>0%</c:formatCode>
                <c:ptCount val="6"/>
                <c:pt idx="0">
                  <c:v>0.13689770343386726</c:v>
                </c:pt>
                <c:pt idx="1">
                  <c:v>0.13364584369746974</c:v>
                </c:pt>
                <c:pt idx="2">
                  <c:v>0.1488034751167088</c:v>
                </c:pt>
                <c:pt idx="3">
                  <c:v>0.17172851718397766</c:v>
                </c:pt>
                <c:pt idx="4">
                  <c:v>0.18701372352380013</c:v>
                </c:pt>
                <c:pt idx="5">
                  <c:v>0.17453893727358857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D9-42B8-9017-3BFD9622044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11605624"/>
        <c:axId val="311611896"/>
      </c:barChart>
      <c:lineChart>
        <c:grouping val="standard"/>
        <c:varyColors val="0"/>
        <c:ser>
          <c:idx val="1"/>
          <c:order val="1"/>
          <c:tx>
            <c:strRef>
              <c:f>'Raw Data 2'!$E$95</c:f>
              <c:strCache>
                <c:ptCount val="1"/>
                <c:pt idx="0">
                  <c:v>MIN Capital Required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4"/>
              <c:layout>
                <c:manualLayout>
                  <c:x val="-6.9805555555555662E-2"/>
                  <c:y val="-0.1144211140274132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4D9-42B8-9017-3BFD96220442}"/>
                </c:ext>
              </c:extLst>
            </c:dLbl>
            <c:dLbl>
              <c:idx val="5"/>
              <c:layout>
                <c:manualLayout>
                  <c:x val="-5.4268591426071947E-2"/>
                  <c:y val="-0.10516185476815398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4D9-42B8-9017-3BFD9622044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'Raw Data 2'!$C$96:$C$101</c:f>
              <c:strCache>
                <c:ptCount val="6"/>
                <c:pt idx="0">
                  <c:v>CY16</c:v>
                </c:pt>
                <c:pt idx="1">
                  <c:v>CY17</c:v>
                </c:pt>
                <c:pt idx="2">
                  <c:v>CY18</c:v>
                </c:pt>
                <c:pt idx="3">
                  <c:v>CY19</c:v>
                </c:pt>
                <c:pt idx="4">
                  <c:v>CY20E</c:v>
                </c:pt>
                <c:pt idx="5">
                  <c:v>CY21F</c:v>
                </c:pt>
              </c:strCache>
            </c:strRef>
          </c:cat>
          <c:val>
            <c:numRef>
              <c:f>'Raw Data 2'!$E$96:$E$101</c:f>
              <c:numCache>
                <c:formatCode>0.00%</c:formatCode>
                <c:ptCount val="6"/>
                <c:pt idx="0">
                  <c:v>0.1125</c:v>
                </c:pt>
                <c:pt idx="1">
                  <c:v>0.11874999999999999</c:v>
                </c:pt>
                <c:pt idx="2">
                  <c:v>0.125</c:v>
                </c:pt>
                <c:pt idx="3">
                  <c:v>0.125</c:v>
                </c:pt>
                <c:pt idx="4">
                  <c:v>0.125</c:v>
                </c:pt>
                <c:pt idx="5">
                  <c:v>0.125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D9-42B8-9017-3BFD96220442}"/>
            </c:ext>
          </c:extLst>
        </c:ser>
        <c:ser>
          <c:idx val="2"/>
          <c:order val="2"/>
          <c:tx>
            <c:strRef>
              <c:f>'Raw Data 2'!$F$95</c:f>
              <c:strCache>
                <c:ptCount val="1"/>
                <c:pt idx="0">
                  <c:v>Tier 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rgbClr val="00206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'Raw Data 2'!$C$96:$C$101</c:f>
              <c:strCache>
                <c:ptCount val="6"/>
                <c:pt idx="0">
                  <c:v>CY16</c:v>
                </c:pt>
                <c:pt idx="1">
                  <c:v>CY17</c:v>
                </c:pt>
                <c:pt idx="2">
                  <c:v>CY18</c:v>
                </c:pt>
                <c:pt idx="3">
                  <c:v>CY19</c:v>
                </c:pt>
                <c:pt idx="4">
                  <c:v>CY20E</c:v>
                </c:pt>
                <c:pt idx="5">
                  <c:v>CY21F</c:v>
                </c:pt>
              </c:strCache>
            </c:strRef>
          </c:cat>
          <c:val>
            <c:numRef>
              <c:f>'Raw Data 2'!$F$96:$F$101</c:f>
              <c:numCache>
                <c:formatCode>0.0%</c:formatCode>
                <c:ptCount val="6"/>
                <c:pt idx="0">
                  <c:v>0.10258048822390037</c:v>
                </c:pt>
                <c:pt idx="1">
                  <c:v>0.10451480902295006</c:v>
                </c:pt>
                <c:pt idx="2">
                  <c:v>0.12363090247739926</c:v>
                </c:pt>
                <c:pt idx="3">
                  <c:v>0.13325386362694422</c:v>
                </c:pt>
                <c:pt idx="4">
                  <c:v>0.15118241276042996</c:v>
                </c:pt>
                <c:pt idx="5">
                  <c:v>0.14345436082641097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D9-42B8-9017-3BFD96220442}"/>
            </c:ext>
          </c:extLst>
        </c:ser>
        <c:ser>
          <c:idx val="3"/>
          <c:order val="3"/>
          <c:tx>
            <c:strRef>
              <c:f>'Raw Data 2'!$G$95</c:f>
              <c:strCache>
                <c:ptCount val="1"/>
                <c:pt idx="0">
                  <c:v>Tier II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'Raw Data 2'!$C$96:$C$101</c:f>
              <c:strCache>
                <c:ptCount val="6"/>
                <c:pt idx="0">
                  <c:v>CY16</c:v>
                </c:pt>
                <c:pt idx="1">
                  <c:v>CY17</c:v>
                </c:pt>
                <c:pt idx="2">
                  <c:v>CY18</c:v>
                </c:pt>
                <c:pt idx="3">
                  <c:v>CY19</c:v>
                </c:pt>
                <c:pt idx="4">
                  <c:v>CY20E</c:v>
                </c:pt>
                <c:pt idx="5">
                  <c:v>CY21F</c:v>
                </c:pt>
              </c:strCache>
            </c:strRef>
          </c:cat>
          <c:val>
            <c:numRef>
              <c:f>'Raw Data 2'!$G$96:$G$101</c:f>
              <c:numCache>
                <c:formatCode>0.0%</c:formatCode>
                <c:ptCount val="6"/>
                <c:pt idx="0">
                  <c:v>3.431721520996691E-2</c:v>
                </c:pt>
                <c:pt idx="1">
                  <c:v>2.9131034674519676E-2</c:v>
                </c:pt>
                <c:pt idx="2">
                  <c:v>2.5172572639309533E-2</c:v>
                </c:pt>
                <c:pt idx="3">
                  <c:v>3.8474653557033438E-2</c:v>
                </c:pt>
                <c:pt idx="4">
                  <c:v>3.5831310763370199E-2</c:v>
                </c:pt>
                <c:pt idx="5">
                  <c:v>3.1084576447177627E-2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4D9-42B8-9017-3BFD9622044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11605624"/>
        <c:axId val="311611896"/>
      </c:lineChart>
      <c:catAx>
        <c:axId val="311605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611896"/>
        <c:crosses val="autoZero"/>
        <c:auto val="1"/>
        <c:lblAlgn val="ctr"/>
        <c:lblOffset val="100"/>
        <c:noMultiLvlLbl val="0"/>
      </c:catAx>
      <c:valAx>
        <c:axId val="311611896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311605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0133877309119002E-2"/>
          <c:y val="3.3965083479454143E-2"/>
          <c:w val="0.89959839357429705"/>
          <c:h val="0.7747747747747747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MEBL!$M$71:$Q$71</c:f>
              <c:numCache>
                <c:formatCode>_(* #,##0_);_(* \(#,##0\);_(* "-"??_);_(@_)</c:formatCode>
                <c:ptCount val="5"/>
                <c:pt idx="0">
                  <c:v>15584.440999999995</c:v>
                </c:pt>
                <c:pt idx="1">
                  <c:v>24004.661769894621</c:v>
                </c:pt>
                <c:pt idx="2">
                  <c:v>20554.543264253414</c:v>
                </c:pt>
                <c:pt idx="3">
                  <c:v>25429.434057265473</c:v>
                </c:pt>
                <c:pt idx="4">
                  <c:v>28161.982667698569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93-4983-B97E-EF72BDF11B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6431744"/>
        <c:axId val="306431352"/>
      </c:barChart>
      <c:catAx>
        <c:axId val="30643174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06431352"/>
        <c:crosses val="autoZero"/>
        <c:auto val="1"/>
        <c:lblAlgn val="ctr"/>
        <c:lblOffset val="100"/>
        <c:noMultiLvlLbl val="0"/>
      </c:catAx>
      <c:valAx>
        <c:axId val="306431352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06431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040160642570281"/>
          <c:y val="0.15015015015015015"/>
          <c:w val="0.8493975903614458"/>
          <c:h val="0.7372372372372372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MEBL!$M$16:$Q$16</c:f>
              <c:numCache>
                <c:formatCode>_(* #,##0_);_(* \(#,##0\);_(* "-"??_);_(@_)</c:formatCode>
                <c:ptCount val="5"/>
                <c:pt idx="0">
                  <c:v>1126114.963</c:v>
                </c:pt>
                <c:pt idx="1">
                  <c:v>1354738.1131686799</c:v>
                </c:pt>
                <c:pt idx="2">
                  <c:v>1495360.8925058306</c:v>
                </c:pt>
                <c:pt idx="3">
                  <c:v>1694551.1638895033</c:v>
                </c:pt>
                <c:pt idx="4">
                  <c:v>1906899.0049883542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AF-4A7A-A3B4-8553BF126F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6427824"/>
        <c:axId val="306429000"/>
      </c:barChart>
      <c:catAx>
        <c:axId val="306427824"/>
        <c:scaling>
          <c:orientation val="minMax"/>
        </c:scaling>
        <c:delete val="1"/>
        <c:axPos val="b"/>
        <c:majorTickMark val="none"/>
        <c:minorTickMark val="none"/>
        <c:tickLblPos val="nextTo"/>
        <c:crossAx val="306429000"/>
        <c:crosses val="autoZero"/>
        <c:auto val="1"/>
        <c:lblAlgn val="ctr"/>
        <c:lblOffset val="100"/>
        <c:noMultiLvlLbl val="0"/>
      </c:catAx>
      <c:valAx>
        <c:axId val="306429000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06427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040160642570281"/>
          <c:y val="0.18768768768768768"/>
          <c:w val="0.83266398929049534"/>
          <c:h val="0.6621621621621621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MEBL!$M$21:$Q$21</c:f>
              <c:numCache>
                <c:formatCode>_(* #,##0_);_(* \(#,##0\);_(* "-"??_);_(@_)</c:formatCode>
                <c:ptCount val="5"/>
                <c:pt idx="0">
                  <c:v>932568.76500000001</c:v>
                </c:pt>
                <c:pt idx="1">
                  <c:v>1114656.249153849</c:v>
                </c:pt>
                <c:pt idx="2">
                  <c:v>1239120.5587432168</c:v>
                </c:pt>
                <c:pt idx="3">
                  <c:v>1397438.9317465252</c:v>
                </c:pt>
                <c:pt idx="4">
                  <c:v>1572498.88260092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D2-452A-99E9-02931DBA19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6425864"/>
        <c:axId val="306430960"/>
      </c:barChart>
      <c:catAx>
        <c:axId val="306425864"/>
        <c:scaling>
          <c:orientation val="minMax"/>
        </c:scaling>
        <c:delete val="1"/>
        <c:axPos val="b"/>
        <c:majorTickMark val="none"/>
        <c:minorTickMark val="none"/>
        <c:tickLblPos val="nextTo"/>
        <c:crossAx val="306430960"/>
        <c:crosses val="autoZero"/>
        <c:auto val="1"/>
        <c:lblAlgn val="ctr"/>
        <c:lblOffset val="100"/>
        <c:noMultiLvlLbl val="0"/>
      </c:catAx>
      <c:valAx>
        <c:axId val="306430960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06425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3668005354752342E-2"/>
          <c:y val="0.11261261261261261"/>
          <c:w val="0.86613119143239625"/>
          <c:h val="0.7747747747747747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MEBL!$M$25:$Q$25</c:f>
              <c:numCache>
                <c:formatCode>_(* #,##0_);_(* \(#,##0\);_(* "-"??_);_(@_)</c:formatCode>
                <c:ptCount val="5"/>
                <c:pt idx="0">
                  <c:v>1063334.017</c:v>
                </c:pt>
                <c:pt idx="1">
                  <c:v>1275451.6004269593</c:v>
                </c:pt>
                <c:pt idx="2">
                  <c:v>1407867.3175383771</c:v>
                </c:pt>
                <c:pt idx="3">
                  <c:v>1589630.4812669726</c:v>
                </c:pt>
                <c:pt idx="4">
                  <c:v>1783032.295932347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68-4EB2-A338-7D7348465E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6428216"/>
        <c:axId val="306430568"/>
      </c:barChart>
      <c:catAx>
        <c:axId val="306428216"/>
        <c:scaling>
          <c:orientation val="minMax"/>
        </c:scaling>
        <c:delete val="1"/>
        <c:axPos val="b"/>
        <c:majorTickMark val="none"/>
        <c:minorTickMark val="none"/>
        <c:tickLblPos val="nextTo"/>
        <c:crossAx val="306430568"/>
        <c:crosses val="autoZero"/>
        <c:auto val="1"/>
        <c:lblAlgn val="ctr"/>
        <c:lblOffset val="100"/>
        <c:noMultiLvlLbl val="0"/>
      </c:catAx>
      <c:valAx>
        <c:axId val="306430568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06428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0200803212851405E-2"/>
          <c:y val="0.15015015015015015"/>
          <c:w val="0.88286479250334671"/>
          <c:h val="0.7372372372372372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MEBL!$M$30:$Q$30</c:f>
              <c:numCache>
                <c:formatCode>_(* #,##0_);_(* \(#,##0\);_(* "-"??_);_(@_)</c:formatCode>
                <c:ptCount val="5"/>
                <c:pt idx="0">
                  <c:v>12861.116</c:v>
                </c:pt>
                <c:pt idx="1">
                  <c:v>14147.227999999999</c:v>
                </c:pt>
                <c:pt idx="2">
                  <c:v>14147.227999999999</c:v>
                </c:pt>
                <c:pt idx="3">
                  <c:v>14147.227999999999</c:v>
                </c:pt>
                <c:pt idx="4">
                  <c:v>14147.227999999999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EA-4793-8BD1-8B0536580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6432528"/>
        <c:axId val="306426256"/>
      </c:barChart>
      <c:catAx>
        <c:axId val="306432528"/>
        <c:scaling>
          <c:orientation val="minMax"/>
        </c:scaling>
        <c:delete val="1"/>
        <c:axPos val="b"/>
        <c:majorTickMark val="none"/>
        <c:minorTickMark val="none"/>
        <c:tickLblPos val="nextTo"/>
        <c:crossAx val="306426256"/>
        <c:crosses val="autoZero"/>
        <c:auto val="1"/>
        <c:lblAlgn val="ctr"/>
        <c:lblOffset val="100"/>
        <c:noMultiLvlLbl val="0"/>
      </c:catAx>
      <c:valAx>
        <c:axId val="30642625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06432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C0212C3C-4D65-4F0F-86B2-C181B33071C9}" type="doc">
      <dgm:prSet loTypeId="urn:microsoft.com/office/officeart/2005/8/layout/arrow2" loCatId="process" qsTypeId="urn:microsoft.com/office/officeart/2005/8/quickstyle/simple1" qsCatId="simple" csTypeId="urn:microsoft.com/office/officeart/2005/8/colors/accent1_2" csCatId="accent1" phldr="1"/>
      <dgm:spPr/>
    </dgm:pt>
    <dgm:pt modelId="{B97F4967-FE87-40EC-A0BA-31E4BE1374FF}">
      <dgm:prSet phldrT="[Text]" custT="1"/>
      <dgm:spPr>
        <a:xfrm>
          <a:off x="646440" y="962564"/>
          <a:ext cx="587876" cy="645664"/>
        </a:xfrm>
        <a:noFill/>
        <a:ln>
          <a:noFill/>
        </a:ln>
        <a:effectLst/>
      </dgm:spPr>
      <dgm:t>
        <a:bodyPr/>
        <a:lstStyle/>
        <a:p>
          <a:pPr algn="l"/>
          <a:r>
            <a:rPr lang="en-US" sz="700" b="1">
              <a:solidFill>
                <a:sysClr val="windowText" lastClr="000000">
                  <a:hueOff val="0"/>
                  <a:satOff val="0"/>
                  <a:lumOff val="0"/>
                  <a:alphaOff val="0"/>
                </a:sysClr>
              </a:solidFill>
              <a:latin typeface="Calibri" panose="020F0502020204030204"/>
              <a:ea typeface="+mn-ea"/>
              <a:cs typeface="+mn-cs"/>
            </a:rPr>
            <a:t>2017</a:t>
          </a:r>
        </a:p>
      </dgm:t>
    </dgm:pt>
    <dgm:pt modelId="{A1583145-943C-4AC7-95B6-C7F840E5C639}" type="parTrans" cxnId="{94E7EE60-C3EC-4E68-984C-0A2230E802B2}">
      <dgm:prSet/>
      <dgm:spPr/>
      <dgm:t>
        <a:bodyPr/>
        <a:lstStyle/>
        <a:p>
          <a:endParaRPr lang="en-US"/>
        </a:p>
      </dgm:t>
    </dgm:pt>
    <dgm:pt modelId="{8FA4BB2B-7DD0-43FF-84DB-4043781C1343}" type="sibTrans" cxnId="{94E7EE60-C3EC-4E68-984C-0A2230E802B2}">
      <dgm:prSet/>
      <dgm:spPr/>
      <dgm:t>
        <a:bodyPr/>
        <a:lstStyle/>
        <a:p>
          <a:endParaRPr lang="en-US"/>
        </a:p>
      </dgm:t>
    </dgm:pt>
    <dgm:pt modelId="{D2292195-D1F2-4FB4-BAD8-C8002CCF0D47}">
      <dgm:prSet phldrT="[Text]" custT="1"/>
      <dgm:spPr>
        <a:xfrm>
          <a:off x="1250714" y="704462"/>
          <a:ext cx="1098233" cy="1001006"/>
        </a:xfrm>
        <a:noFill/>
        <a:ln>
          <a:noFill/>
        </a:ln>
        <a:effectLst/>
      </dgm:spPr>
      <dgm:t>
        <a:bodyPr/>
        <a:lstStyle/>
        <a:p>
          <a:r>
            <a:rPr lang="en-US" sz="700" b="1">
              <a:solidFill>
                <a:sysClr val="windowText" lastClr="000000">
                  <a:hueOff val="0"/>
                  <a:satOff val="0"/>
                  <a:lumOff val="0"/>
                  <a:alphaOff val="0"/>
                </a:sysClr>
              </a:solidFill>
              <a:latin typeface="Calibri" panose="020F0502020204030204"/>
              <a:ea typeface="+mn-ea"/>
              <a:cs typeface="+mn-cs"/>
            </a:rPr>
            <a:t>2019</a:t>
          </a:r>
        </a:p>
        <a:p>
          <a:endParaRPr lang="en-US" sz="1200" b="0">
            <a:solidFill>
              <a:sysClr val="windowText" lastClr="000000">
                <a:hueOff val="0"/>
                <a:satOff val="0"/>
                <a:lumOff val="0"/>
                <a:alphaOff val="0"/>
              </a:sysClr>
            </a:solidFill>
            <a:latin typeface="Calibri" panose="020F0502020204030204"/>
            <a:ea typeface="+mn-ea"/>
            <a:cs typeface="+mn-cs"/>
          </a:endParaRPr>
        </a:p>
      </dgm:t>
    </dgm:pt>
    <dgm:pt modelId="{DC8A35C5-15E6-4563-B09E-95FE31C7845B}" type="parTrans" cxnId="{DB93F6F7-825F-46C5-91BA-5A765CC45D71}">
      <dgm:prSet/>
      <dgm:spPr/>
      <dgm:t>
        <a:bodyPr/>
        <a:lstStyle/>
        <a:p>
          <a:endParaRPr lang="en-US"/>
        </a:p>
      </dgm:t>
    </dgm:pt>
    <dgm:pt modelId="{0A9AC88F-CDE5-482F-A45C-BE012D336E25}" type="sibTrans" cxnId="{DB93F6F7-825F-46C5-91BA-5A765CC45D71}">
      <dgm:prSet/>
      <dgm:spPr/>
      <dgm:t>
        <a:bodyPr/>
        <a:lstStyle/>
        <a:p>
          <a:endParaRPr lang="en-US"/>
        </a:p>
      </dgm:t>
    </dgm:pt>
    <dgm:pt modelId="{A820E663-58B6-490D-8F4D-1C0860BEC08B}" type="pres">
      <dgm:prSet presAssocID="{C0212C3C-4D65-4F0F-86B2-C181B33071C9}" presName="arrowDiagram" presStyleCnt="0">
        <dgm:presLayoutVars>
          <dgm:chMax val="5"/>
          <dgm:dir/>
          <dgm:resizeHandles val="exact"/>
        </dgm:presLayoutVars>
      </dgm:prSet>
      <dgm:spPr/>
    </dgm:pt>
    <dgm:pt modelId="{5DEA125E-8593-40B9-A288-27E0361CBD33}" type="pres">
      <dgm:prSet presAssocID="{C0212C3C-4D65-4F0F-86B2-C181B33071C9}" presName="arrow" presStyleLbl="bgShp" presStyleIdx="0" presStyleCnt="1" custLinFactNeighborY="-31530"/>
      <dgm:spPr>
        <a:xfrm>
          <a:off x="0" y="57114"/>
          <a:ext cx="2419350" cy="1512093"/>
        </a:xfrm>
        <a:prstGeom prst="swooshArrow">
          <a:avLst>
            <a:gd name="adj1" fmla="val 25000"/>
            <a:gd name="adj2" fmla="val 25000"/>
          </a:avLst>
        </a:prstGeom>
        <a:solidFill>
          <a:srgbClr val="FFC000"/>
        </a:solidFill>
        <a:ln>
          <a:noFill/>
        </a:ln>
        <a:effectLst/>
      </dgm:spPr>
    </dgm:pt>
    <dgm:pt modelId="{092FB12E-A83B-4A6B-B7D5-D280AEF16AE0}" type="pres">
      <dgm:prSet presAssocID="{C0212C3C-4D65-4F0F-86B2-C181B33071C9}" presName="arrowDiagram2" presStyleCnt="0"/>
      <dgm:spPr/>
    </dgm:pt>
    <dgm:pt modelId="{8C1669F6-6BCA-4A01-B659-DFE412DFD0FD}" type="pres">
      <dgm:prSet presAssocID="{B97F4967-FE87-40EC-A0BA-31E4BE1374FF}" presName="bullet2a" presStyleLbl="node1" presStyleIdx="0" presStyleCnt="2" custLinFactY="-225956" custLinFactNeighborX="-13967" custLinFactNeighborY="-300000"/>
      <dgm:spPr>
        <a:xfrm>
          <a:off x="539942" y="904068"/>
          <a:ext cx="84677" cy="84677"/>
        </a:xfrm>
        <a:prstGeom prst="ellipse">
          <a:avLst/>
        </a:prstGeom>
        <a:solidFill>
          <a:srgbClr val="4472C4">
            <a:lumMod val="50000"/>
          </a:srgbClr>
        </a:solidFill>
        <a:ln w="12700" cap="flat" cmpd="sng" algn="ctr">
          <a:solidFill>
            <a:sysClr val="window" lastClr="FFFFFF">
              <a:hueOff val="0"/>
              <a:satOff val="0"/>
              <a:lumOff val="0"/>
              <a:alphaOff val="0"/>
            </a:sysClr>
          </a:solidFill>
          <a:prstDash val="solid"/>
          <a:miter lim="800000"/>
        </a:ln>
        <a:effectLst/>
      </dgm:spPr>
    </dgm:pt>
    <dgm:pt modelId="{FAFD7276-17BA-492A-BDED-4E687054B754}" type="pres">
      <dgm:prSet presAssocID="{B97F4967-FE87-40EC-A0BA-31E4BE1374FF}" presName="textBox2a" presStyleLbl="revTx" presStyleIdx="0" presStyleCnt="2" custScaleX="74766" custScaleY="26233" custLinFactY="-28432" custLinFactNeighborX="-13052" custLinFactNeighborY="-100000">
        <dgm:presLayoutVars>
          <dgm:bulletEnabled val="1"/>
        </dgm:presLayoutVars>
      </dgm:prSet>
      <dgm:spPr>
        <a:prstGeom prst="rect">
          <a:avLst/>
        </a:prstGeom>
      </dgm:spPr>
    </dgm:pt>
    <dgm:pt modelId="{AB547CB8-E5A0-4715-8F21-FAEB58E5156E}" type="pres">
      <dgm:prSet presAssocID="{D2292195-D1F2-4FB4-BAD8-C8002CCF0D47}" presName="bullet2b" presStyleLbl="node1" presStyleIdx="1" presStyleCnt="2" custLinFactY="-161776" custLinFactNeighborX="12282" custLinFactNeighborY="-200000"/>
      <dgm:spPr>
        <a:xfrm>
          <a:off x="1189129" y="573045"/>
          <a:ext cx="145161" cy="145161"/>
        </a:xfrm>
        <a:prstGeom prst="ellipse">
          <a:avLst/>
        </a:prstGeom>
        <a:solidFill>
          <a:srgbClr val="4472C4">
            <a:lumMod val="50000"/>
          </a:srgbClr>
        </a:solidFill>
        <a:ln w="12700" cap="flat" cmpd="sng" algn="ctr">
          <a:solidFill>
            <a:sysClr val="window" lastClr="FFFFFF">
              <a:hueOff val="0"/>
              <a:satOff val="0"/>
              <a:lumOff val="0"/>
              <a:alphaOff val="0"/>
            </a:sysClr>
          </a:solidFill>
          <a:prstDash val="solid"/>
          <a:miter lim="800000"/>
        </a:ln>
        <a:effectLst/>
      </dgm:spPr>
    </dgm:pt>
    <dgm:pt modelId="{2FA01004-573E-41FD-BE23-B6BA2C11B2DE}" type="pres">
      <dgm:prSet presAssocID="{D2292195-D1F2-4FB4-BAD8-C8002CCF0D47}" presName="textBox2b" presStyleLbl="revTx" presStyleIdx="1" presStyleCnt="2" custFlipVert="0" custScaleX="88275" custScaleY="23436" custLinFactNeighborX="3085" custLinFactNeighborY="-99177">
        <dgm:presLayoutVars>
          <dgm:bulletEnabled val="1"/>
        </dgm:presLayoutVars>
      </dgm:prSet>
      <dgm:spPr>
        <a:prstGeom prst="rect">
          <a:avLst/>
        </a:prstGeom>
      </dgm:spPr>
    </dgm:pt>
  </dgm:ptLst>
  <dgm:cxnLst>
    <dgm:cxn modelId="{9005063C-D64E-421A-8769-A8722949CA22}" type="presOf" srcId="{B97F4967-FE87-40EC-A0BA-31E4BE1374FF}" destId="{FAFD7276-17BA-492A-BDED-4E687054B754}" srcOrd="0" destOrd="0" presId="urn:microsoft.com/office/officeart/2005/8/layout/arrow2"/>
    <dgm:cxn modelId="{94E7EE60-C3EC-4E68-984C-0A2230E802B2}" srcId="{C0212C3C-4D65-4F0F-86B2-C181B33071C9}" destId="{B97F4967-FE87-40EC-A0BA-31E4BE1374FF}" srcOrd="0" destOrd="0" parTransId="{A1583145-943C-4AC7-95B6-C7F840E5C639}" sibTransId="{8FA4BB2B-7DD0-43FF-84DB-4043781C1343}"/>
    <dgm:cxn modelId="{F89456C2-7E4B-4E43-9470-3D84FAC5ED5F}" type="presOf" srcId="{C0212C3C-4D65-4F0F-86B2-C181B33071C9}" destId="{A820E663-58B6-490D-8F4D-1C0860BEC08B}" srcOrd="0" destOrd="0" presId="urn:microsoft.com/office/officeart/2005/8/layout/arrow2"/>
    <dgm:cxn modelId="{A8890EEF-F212-4832-9A9F-1E01753DC1AE}" type="presOf" srcId="{D2292195-D1F2-4FB4-BAD8-C8002CCF0D47}" destId="{2FA01004-573E-41FD-BE23-B6BA2C11B2DE}" srcOrd="0" destOrd="0" presId="urn:microsoft.com/office/officeart/2005/8/layout/arrow2"/>
    <dgm:cxn modelId="{DB93F6F7-825F-46C5-91BA-5A765CC45D71}" srcId="{C0212C3C-4D65-4F0F-86B2-C181B33071C9}" destId="{D2292195-D1F2-4FB4-BAD8-C8002CCF0D47}" srcOrd="1" destOrd="0" parTransId="{DC8A35C5-15E6-4563-B09E-95FE31C7845B}" sibTransId="{0A9AC88F-CDE5-482F-A45C-BE012D336E25}"/>
    <dgm:cxn modelId="{B1294B8C-BC65-4749-BB19-B37A53B20EA6}" type="presParOf" srcId="{A820E663-58B6-490D-8F4D-1C0860BEC08B}" destId="{5DEA125E-8593-40B9-A288-27E0361CBD33}" srcOrd="0" destOrd="0" presId="urn:microsoft.com/office/officeart/2005/8/layout/arrow2"/>
    <dgm:cxn modelId="{91D9C63F-2FAE-4BC5-BA8E-2E454DF47028}" type="presParOf" srcId="{A820E663-58B6-490D-8F4D-1C0860BEC08B}" destId="{092FB12E-A83B-4A6B-B7D5-D280AEF16AE0}" srcOrd="1" destOrd="0" presId="urn:microsoft.com/office/officeart/2005/8/layout/arrow2"/>
    <dgm:cxn modelId="{1B666E9A-0043-4341-A822-9084957328DC}" type="presParOf" srcId="{092FB12E-A83B-4A6B-B7D5-D280AEF16AE0}" destId="{8C1669F6-6BCA-4A01-B659-DFE412DFD0FD}" srcOrd="0" destOrd="0" presId="urn:microsoft.com/office/officeart/2005/8/layout/arrow2"/>
    <dgm:cxn modelId="{213FC55B-2E14-446F-8174-B3AE92A9F1C6}" type="presParOf" srcId="{092FB12E-A83B-4A6B-B7D5-D280AEF16AE0}" destId="{FAFD7276-17BA-492A-BDED-4E687054B754}" srcOrd="1" destOrd="0" presId="urn:microsoft.com/office/officeart/2005/8/layout/arrow2"/>
    <dgm:cxn modelId="{11727CDB-A416-4117-884F-FBB9F77BCEF3}" type="presParOf" srcId="{092FB12E-A83B-4A6B-B7D5-D280AEF16AE0}" destId="{AB547CB8-E5A0-4715-8F21-FAEB58E5156E}" srcOrd="2" destOrd="0" presId="urn:microsoft.com/office/officeart/2005/8/layout/arrow2"/>
    <dgm:cxn modelId="{A821AB1C-6117-48A1-BE13-5164F845F572}" type="presParOf" srcId="{092FB12E-A83B-4A6B-B7D5-D280AEF16AE0}" destId="{2FA01004-573E-41FD-BE23-B6BA2C11B2DE}" srcOrd="3" destOrd="0" presId="urn:microsoft.com/office/officeart/2005/8/layout/arrow2"/>
  </dgm:cxnLst>
  <dgm:bg/>
  <dgm:whole>
    <a:ln>
      <a:noFill/>
    </a:ln>
  </dgm:whole>
  <dgm:extLst>
    <a:ext uri="http://schemas.microsoft.com/office/drawing/2008/diagram">
      <dsp:dataModelExt xmlns:dsp="http://schemas.microsoft.com/office/drawing/2008/diagram" relId="rId12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5DEA125E-8593-40B9-A288-27E0361CBD33}">
      <dsp:nvSpPr>
        <dsp:cNvPr id="0" name=""/>
        <dsp:cNvSpPr/>
      </dsp:nvSpPr>
      <dsp:spPr>
        <a:xfrm>
          <a:off x="0" y="250553"/>
          <a:ext cx="1925683" cy="1203551"/>
        </a:xfrm>
        <a:prstGeom prst="swooshArrow">
          <a:avLst>
            <a:gd name="adj1" fmla="val 25000"/>
            <a:gd name="adj2" fmla="val 25000"/>
          </a:avLst>
        </a:prstGeom>
        <a:solidFill>
          <a:srgbClr val="FFC000"/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8C1669F6-6BCA-4A01-B659-DFE412DFD0FD}">
      <dsp:nvSpPr>
        <dsp:cNvPr id="0" name=""/>
        <dsp:cNvSpPr/>
      </dsp:nvSpPr>
      <dsp:spPr>
        <a:xfrm>
          <a:off x="438307" y="931480"/>
          <a:ext cx="67398" cy="67398"/>
        </a:xfrm>
        <a:prstGeom prst="ellipse">
          <a:avLst/>
        </a:prstGeom>
        <a:solidFill>
          <a:srgbClr val="4472C4">
            <a:lumMod val="50000"/>
          </a:srgbClr>
        </a:solidFill>
        <a:ln w="12700" cap="flat" cmpd="sng" algn="ctr">
          <a:solidFill>
            <a:sysClr val="window" lastClr="FFFFFF">
              <a:hueOff val="0"/>
              <a:satOff val="0"/>
              <a:lumOff val="0"/>
              <a:alphaOff val="0"/>
            </a:sys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FAFD7276-17BA-492A-BDED-4E687054B754}">
      <dsp:nvSpPr>
        <dsp:cNvPr id="0" name=""/>
        <dsp:cNvSpPr/>
      </dsp:nvSpPr>
      <dsp:spPr>
        <a:xfrm>
          <a:off x="478698" y="849185"/>
          <a:ext cx="467920" cy="134815"/>
        </a:xfrm>
        <a:prstGeom prst="rect">
          <a:avLst/>
        </a:prstGeom>
        <a:noFill/>
        <a:ln>
          <a:noFill/>
        </a:ln>
        <a:effectLst/>
      </dsp:spPr>
      <dsp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35713" tIns="0" rIns="0" bIns="0" numCol="1" spcCol="1270" anchor="t" anchorCtr="0">
          <a:noAutofit/>
        </a:bodyPr>
        <a:lstStyle/>
        <a:p>
          <a:pPr marL="0" lvl="0" indent="0" algn="l" defTabSz="3111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700" b="1" kern="1200">
              <a:solidFill>
                <a:sysClr val="windowText" lastClr="000000">
                  <a:hueOff val="0"/>
                  <a:satOff val="0"/>
                  <a:lumOff val="0"/>
                  <a:alphaOff val="0"/>
                </a:sysClr>
              </a:solidFill>
              <a:latin typeface="Calibri" panose="020F0502020204030204"/>
              <a:ea typeface="+mn-ea"/>
              <a:cs typeface="+mn-cs"/>
            </a:rPr>
            <a:t>2017</a:t>
          </a:r>
        </a:p>
      </dsp:txBody>
      <dsp:txXfrm>
        <a:off x="478698" y="849185"/>
        <a:ext cx="467920" cy="134815"/>
      </dsp:txXfrm>
    </dsp:sp>
    <dsp:sp modelId="{AB547CB8-E5A0-4715-8F21-FAEB58E5156E}">
      <dsp:nvSpPr>
        <dsp:cNvPr id="0" name=""/>
        <dsp:cNvSpPr/>
      </dsp:nvSpPr>
      <dsp:spPr>
        <a:xfrm>
          <a:off x="1082944" y="561064"/>
          <a:ext cx="115540" cy="115540"/>
        </a:xfrm>
        <a:prstGeom prst="ellipse">
          <a:avLst/>
        </a:prstGeom>
        <a:solidFill>
          <a:srgbClr val="4472C4">
            <a:lumMod val="50000"/>
          </a:srgbClr>
        </a:solidFill>
        <a:ln w="12700" cap="flat" cmpd="sng" algn="ctr">
          <a:solidFill>
            <a:sysClr val="window" lastClr="FFFFFF">
              <a:hueOff val="0"/>
              <a:satOff val="0"/>
              <a:lumOff val="0"/>
              <a:alphaOff val="0"/>
            </a:sys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2FA01004-573E-41FD-BE23-B6BA2C11B2DE}">
      <dsp:nvSpPr>
        <dsp:cNvPr id="0" name=""/>
        <dsp:cNvSpPr/>
      </dsp:nvSpPr>
      <dsp:spPr>
        <a:xfrm>
          <a:off x="1182522" y="551652"/>
          <a:ext cx="552466" cy="186726"/>
        </a:xfrm>
        <a:prstGeom prst="rect">
          <a:avLst/>
        </a:prstGeom>
        <a:noFill/>
        <a:ln>
          <a:noFill/>
        </a:ln>
        <a:effectLst/>
      </dsp:spPr>
      <dsp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61223" tIns="0" rIns="0" bIns="0" numCol="1" spcCol="1270" anchor="t" anchorCtr="0">
          <a:noAutofit/>
        </a:bodyPr>
        <a:lstStyle/>
        <a:p>
          <a:pPr marL="0" lvl="0" indent="0" algn="l" defTabSz="3111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700" b="1" kern="1200">
              <a:solidFill>
                <a:sysClr val="windowText" lastClr="000000">
                  <a:hueOff val="0"/>
                  <a:satOff val="0"/>
                  <a:lumOff val="0"/>
                  <a:alphaOff val="0"/>
                </a:sysClr>
              </a:solidFill>
              <a:latin typeface="Calibri" panose="020F0502020204030204"/>
              <a:ea typeface="+mn-ea"/>
              <a:cs typeface="+mn-cs"/>
            </a:rPr>
            <a:t>2019</a:t>
          </a:r>
        </a:p>
        <a:p>
          <a:pPr marL="0" lvl="0" indent="0" algn="l" defTabSz="3111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1200" b="0" kern="1200">
            <a:solidFill>
              <a:sysClr val="windowText" lastClr="000000">
                <a:hueOff val="0"/>
                <a:satOff val="0"/>
                <a:lumOff val="0"/>
                <a:alphaOff val="0"/>
              </a:sysClr>
            </a:solidFill>
            <a:latin typeface="Calibri" panose="020F0502020204030204"/>
            <a:ea typeface="+mn-ea"/>
            <a:cs typeface="+mn-cs"/>
          </a:endParaRPr>
        </a:p>
      </dsp:txBody>
      <dsp:txXfrm>
        <a:off x="1182522" y="551652"/>
        <a:ext cx="552466" cy="186726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arrow2">
  <dgm:title val=""/>
  <dgm:desc val=""/>
  <dgm:catLst>
    <dgm:cat type="process" pri="23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arrowDiagram">
    <dgm:varLst>
      <dgm:chMax val="5"/>
      <dgm:dir/>
      <dgm:resizeHandles val="exact"/>
    </dgm:varLst>
    <dgm:alg type="composite">
      <dgm:param type="ar" val="1.6"/>
    </dgm:alg>
    <dgm:shape xmlns:r="http://schemas.openxmlformats.org/officeDocument/2006/relationships" r:blip="">
      <dgm:adjLst/>
    </dgm:shape>
    <dgm:presOf/>
    <dgm:constrLst>
      <dgm:constr type="l" for="ch" forName="arrow"/>
      <dgm:constr type="t" for="ch" forName="arrow"/>
      <dgm:constr type="w" for="ch" forName="arrow" refType="w"/>
      <dgm:constr type="h" for="ch" forName="arrow" refType="h"/>
      <dgm:constr type="ctrX" for="ch" forName="arrowDiagram1" refType="w" fact="0.5"/>
      <dgm:constr type="ctrY" for="ch" forName="arrowDiagram1" refType="h" fact="0.5"/>
      <dgm:constr type="w" for="ch" forName="arrowDiagram1" refType="w"/>
      <dgm:constr type="h" for="ch" forName="arrowDiagram1" refType="h"/>
      <dgm:constr type="ctrX" for="ch" forName="arrowDiagram2" refType="w" fact="0.5"/>
      <dgm:constr type="ctrY" for="ch" forName="arrowDiagram2" refType="h" fact="0.5"/>
      <dgm:constr type="w" for="ch" forName="arrowDiagram2" refType="w"/>
      <dgm:constr type="h" for="ch" forName="arrowDiagram2" refType="h"/>
      <dgm:constr type="ctrX" for="ch" forName="arrowDiagram3" refType="w" fact="0.5"/>
      <dgm:constr type="ctrY" for="ch" forName="arrowDiagram3" refType="h" fact="0.5"/>
      <dgm:constr type="w" for="ch" forName="arrowDiagram3" refType="w"/>
      <dgm:constr type="h" for="ch" forName="arrowDiagram3" refType="h"/>
      <dgm:constr type="ctrX" for="ch" forName="arrowDiagram4" refType="w" fact="0.5"/>
      <dgm:constr type="ctrY" for="ch" forName="arrowDiagram4" refType="h" fact="0.5"/>
      <dgm:constr type="w" for="ch" forName="arrowDiagram4" refType="w"/>
      <dgm:constr type="h" for="ch" forName="arrowDiagram4" refType="h"/>
      <dgm:constr type="ctrX" for="ch" forName="arrowDiagram5" refType="w" fact="0.5"/>
      <dgm:constr type="ctrY" for="ch" forName="arrowDiagram5" refType="h" fact="0.5"/>
      <dgm:constr type="w" for="ch" forName="arrowDiagram5" refType="w"/>
      <dgm:constr type="h" for="ch" forName="arrowDiagram5" refType="h"/>
    </dgm:constrLst>
    <dgm:ruleLst/>
    <dgm:choose name="Name0">
      <dgm:if name="Name1" axis="ch" ptType="node" func="cnt" op="gte" val="1">
        <dgm:layoutNode name="arrow" styleLbl="bgShp">
          <dgm:alg type="sp"/>
          <dgm:shape xmlns:r="http://schemas.openxmlformats.org/officeDocument/2006/relationships" type="swooshArrow" r:blip="">
            <dgm:adjLst>
              <dgm:adj idx="2" val="0.25"/>
            </dgm:adjLst>
          </dgm:shape>
          <dgm:presOf/>
          <dgm:constrLst/>
          <dgm:ruleLst/>
        </dgm:layoutNode>
        <dgm:choose name="Name2">
          <dgm:if name="Name3" axis="ch" ptType="node" func="cnt" op="lt" val="1"/>
          <dgm:if name="Name4" axis="ch" ptType="node" func="cnt" op="equ" val="1">
            <dgm:layoutNode name="arrowDiagram1">
              <dgm:varLst>
                <dgm:bulletEnabled val="1"/>
              </dgm:varLst>
              <dgm:alg type="composite">
                <dgm:param type="vertAlign" val="none"/>
                <dgm:param type="horzAlign" val="none"/>
              </dgm:alg>
              <dgm:shape xmlns:r="http://schemas.openxmlformats.org/officeDocument/2006/relationships" r:blip="">
                <dgm:adjLst/>
              </dgm:shape>
              <dgm:presOf/>
              <dgm:constrLst>
                <dgm:constr type="ctrX" for="ch" forName="bullet1" refType="w" fact="0.8"/>
                <dgm:constr type="ctrY" for="ch" forName="bullet1" refType="h" fact="0.262"/>
                <dgm:constr type="w" for="ch" forName="bullet1" refType="w" fact="0.074"/>
                <dgm:constr type="h" for="ch" forName="bullet1" refType="w" refFor="ch" refForName="bullet1"/>
                <dgm:constr type="r" for="ch" forName="textBox1" refType="ctrX" refFor="ch" refForName="bullet1"/>
                <dgm:constr type="t" for="ch" forName="textBox1" refType="ctrY" refFor="ch" refForName="bullet1"/>
                <dgm:constr type="w" for="ch" forName="textBox1" refType="w" fact="0.4"/>
                <dgm:constr type="h" for="ch" forName="textBox1" refType="h" fact="0.738"/>
                <dgm:constr type="userA" refType="h" refFor="ch" refForName="bullet1" fact="0.53"/>
                <dgm:constr type="rMarg" for="ch" forName="textBox1" refType="userA" fact="2.834"/>
                <dgm:constr type="primFontSz" for="ch" ptType="node" op="equ" val="65"/>
              </dgm:constrLst>
              <dgm:ruleLst/>
              <dgm:forEach name="Name5" axis="ch" ptType="node" cnt="1">
                <dgm:layoutNode name="bullet1" styleLbl="node1">
                  <dgm:alg type="sp"/>
                  <dgm:shape xmlns:r="http://schemas.openxmlformats.org/officeDocument/2006/relationships" type="ellipse" r:blip="">
                    <dgm:adjLst/>
                  </dgm:shape>
                  <dgm:presOf/>
                  <dgm:constrLst/>
                  <dgm:ruleLst/>
                </dgm:layoutNode>
                <dgm:layoutNode name="textBox1" styleLbl="revTx">
                  <dgm:varLst>
                    <dgm:bulletEnabled val="1"/>
                  </dgm:varLst>
                  <dgm:alg type="tx">
                    <dgm:param type="txAnchorVert" val="t"/>
                    <dgm:param type="parTxLTRAlign" val="r"/>
                    <dgm:param type="parTxRTLAlign" val="r"/>
                  </dgm:alg>
                  <dgm:shape xmlns:r="http://schemas.openxmlformats.org/officeDocument/2006/relationships" type="round2DiagRect" r:blip="">
                    <dgm:adjLst/>
                  </dgm:shape>
                  <dgm:presOf axis="desOrSelf" ptType="node"/>
                  <dgm:constrLst>
                    <dgm:constr type="lMarg"/>
                    <dgm:constr type="tMarg"/>
                    <dgm:constr type="bMarg"/>
                  </dgm:constrLst>
                  <dgm:ruleLst>
                    <dgm:rule type="primFontSz" val="5" fact="NaN" max="NaN"/>
                  </dgm:ruleLst>
                </dgm:layoutNode>
              </dgm:forEach>
            </dgm:layoutNode>
          </dgm:if>
          <dgm:if name="Name6" axis="ch" ptType="node" func="cnt" op="equ" val="2">
            <dgm:layoutNode name="arrowDiagram2">
              <dgm:alg type="composite">
                <dgm:param type="vertAlign" val="none"/>
                <dgm:param type="horzAlign" val="none"/>
              </dgm:alg>
              <dgm:shape xmlns:r="http://schemas.openxmlformats.org/officeDocument/2006/relationships" r:blip="">
                <dgm:adjLst/>
              </dgm:shape>
              <dgm:presOf/>
              <dgm:choose name="Name7">
                <dgm:if name="Name8" func="var" arg="dir" op="equ" val="norm">
                  <dgm:constrLst>
                    <dgm:constr type="ctrX" for="ch" forName="bullet2a" refType="w" fact="0.25"/>
                    <dgm:constr type="ctrY" for="ch" forName="bullet2a" refType="h" fact="0.573"/>
                    <dgm:constr type="w" for="ch" forName="bullet2a" refType="w" fact="0.035"/>
                    <dgm:constr type="h" for="ch" forName="bullet2a" refType="w" refFor="ch" refForName="bullet2a"/>
                    <dgm:constr type="l" for="ch" forName="textBox2a" refType="ctrX" refFor="ch" refForName="bullet2a"/>
                    <dgm:constr type="t" for="ch" forName="textBox2a" refType="ctrY" refFor="ch" refForName="bullet2a"/>
                    <dgm:constr type="w" for="ch" forName="textBox2a" refType="w" fact="0.325"/>
                    <dgm:constr type="h" for="ch" forName="textBox2a" refType="h" fact="0.427"/>
                    <dgm:constr type="userA" refType="h" refFor="ch" refForName="bullet2a" fact="0.53"/>
                    <dgm:constr type="lMarg" for="ch" forName="textBox2a" refType="userA" fact="2.834"/>
                    <dgm:constr type="ctrX" for="ch" forName="bullet2b" refType="w" fact="0.585"/>
                    <dgm:constr type="ctrY" for="ch" forName="bullet2b" refType="h" fact="0.338"/>
                    <dgm:constr type="w" for="ch" forName="bullet2b" refType="w" fact="0.06"/>
                    <dgm:constr type="h" for="ch" forName="bullet2b" refType="w" refFor="ch" refForName="bullet2b"/>
                    <dgm:constr type="l" for="ch" forName="textBox2b" refType="ctrX" refFor="ch" refForName="bullet2b"/>
                    <dgm:constr type="t" for="ch" forName="textBox2b" refType="ctrY" refFor="ch" refForName="bullet2b"/>
                    <dgm:constr type="w" for="ch" forName="textBox2b" refType="w" fact="0.325"/>
                    <dgm:constr type="h" for="ch" forName="textBox2b" refType="h" fact="0.662"/>
                    <dgm:constr type="userB" refType="h" refFor="ch" refForName="bullet2b" fact="0.53"/>
                    <dgm:constr type="lMarg" for="ch" forName="textBox2b" refType="userB" fact="2.834"/>
                    <dgm:constr type="primFontSz" for="ch" ptType="node" op="equ" val="65"/>
                  </dgm:constrLst>
                </dgm:if>
                <dgm:else name="Name9">
                  <dgm:constrLst>
                    <dgm:constr type="ctrX" for="ch" forName="bullet2a" refType="w" fact="0.25"/>
                    <dgm:constr type="ctrY" for="ch" forName="bullet2a" refType="h" fact="0.573"/>
                    <dgm:constr type="w" for="ch" forName="bullet2a" refType="w" fact="0.035"/>
                    <dgm:constr type="h" for="ch" forName="bullet2a" refType="w" refFor="ch" refForName="bullet2a"/>
                    <dgm:constr type="r" for="ch" forName="textBox2a" refType="ctrX" refFor="ch" refForName="bullet2a"/>
                    <dgm:constr type="b" for="ch" forName="textBox2a" refType="ctrY" refFor="ch" refForName="bullet2a"/>
                    <dgm:constr type="w" for="ch" forName="textBox2a" refType="w" fact="0.25"/>
                    <dgm:constr type="h" for="ch" forName="textBox2a" refType="h" fact="0.573"/>
                    <dgm:constr type="userA" refType="h" refFor="ch" refForName="bullet2a" fact="0.53"/>
                    <dgm:constr type="rMarg" for="ch" forName="textBox2a" refType="userA" fact="2.834"/>
                    <dgm:constr type="ctrX" for="ch" forName="bullet2b" refType="w" fact="0.585"/>
                    <dgm:constr type="ctrY" for="ch" forName="bullet2b" refType="h" fact="0.338"/>
                    <dgm:constr type="w" for="ch" forName="bullet2b" refType="w" fact="0.06"/>
                    <dgm:constr type="h" for="ch" forName="bullet2b" refType="w" refFor="ch" refForName="bullet2b"/>
                    <dgm:constr type="r" for="ch" forName="textBox2b" refType="ctrX" refFor="ch" refForName="bullet2b"/>
                    <dgm:constr type="b" for="ch" forName="textBox2b" refType="ctrY" refFor="ch" refForName="bullet2b"/>
                    <dgm:constr type="w" for="ch" forName="textBox2b" refType="w" fact="0.28"/>
                    <dgm:constr type="h" for="ch" forName="textBox2b" refType="h" fact="0.338"/>
                    <dgm:constr type="userB" refType="h" refFor="ch" refForName="bullet2b" fact="0.53"/>
                    <dgm:constr type="rMarg" for="ch" forName="textBox2b" refType="userB" fact="2.834"/>
                    <dgm:constr type="primFontSz" for="ch" ptType="node" op="equ" val="65"/>
                  </dgm:constrLst>
                </dgm:else>
              </dgm:choose>
              <dgm:ruleLst/>
              <dgm:forEach name="Name10" axis="ch" ptType="node" cnt="1">
                <dgm:layoutNode name="bullet2a" styleLbl="node1">
                  <dgm:alg type="sp"/>
                  <dgm:shape xmlns:r="http://schemas.openxmlformats.org/officeDocument/2006/relationships" type="ellipse" r:blip="">
                    <dgm:adjLst/>
                  </dgm:shape>
                  <dgm:presOf/>
                  <dgm:constrLst/>
                  <dgm:ruleLst/>
                </dgm:layoutNode>
                <dgm:layoutNode name="textBox2a" styleLbl="revTx">
                  <dgm:varLst>
                    <dgm:bulletEnabled val="1"/>
                  </dgm:varLst>
                  <dgm:choose name="Name11">
                    <dgm:if name="Name12" func="var" arg="dir" op="equ" val="norm">
                      <dgm:choose name="Name13">
                        <dgm:if name="Name14" axis="root des" ptType="all node" func="maxDepth" op="gt" val="1">
                          <dgm:alg type="tx">
                            <dgm:param type="txAnchorVert" val="t"/>
                            <dgm:param type="parTxLTRAlign" val="l"/>
                            <dgm:param type="parTxRTLAlign" val="r"/>
                          </dgm:alg>
                        </dgm:if>
                        <dgm:else name="Name15">
                          <dgm:alg type="tx">
                            <dgm:param type="txAnchorVert" val="t"/>
                            <dgm:param type="parTxLTRAlign" val="l"/>
                            <dgm:param type="parTxRTLAlign" val="l"/>
                          </dgm:alg>
                        </dgm:else>
                      </dgm:choose>
                    </dgm:if>
                    <dgm:else name="Name16">
                      <dgm:choose name="Name17">
                        <dgm:if name="Name18" axis="root des" ptType="all node" func="maxDepth" op="gt" val="1">
                          <dgm:alg type="tx">
                            <dgm:param type="txAnchorVert" val="b"/>
                            <dgm:param type="txAnchorVertCh" val="b"/>
                            <dgm:param type="parTxLTRAlign" val="l"/>
                            <dgm:param type="parTxRTLAlign" val="r"/>
                          </dgm:alg>
                        </dgm:if>
                        <dgm:else name="Name19">
                          <dgm:alg type="tx">
                            <dgm:param type="txAnchorVert" val="b"/>
                            <dgm:param type="parTxLTRAlign" val="r"/>
                            <dgm:param type="parTxRTLAlign" val="r"/>
                          </dgm:alg>
                        </dgm:else>
                      </dgm:choose>
                    </dgm:else>
                  </dgm:choose>
                  <dgm:shape xmlns:r="http://schemas.openxmlformats.org/officeDocument/2006/relationships" type="rect" r:blip="">
                    <dgm:adjLst/>
                  </dgm:shape>
                  <dgm:presOf axis="desOrSelf" ptType="node"/>
                  <dgm:choose name="Name20">
                    <dgm:if name="Name21" func="var" arg="dir" op="equ" val="norm">
                      <dgm:constrLst>
                        <dgm:constr type="rMarg"/>
                        <dgm:constr type="tMarg"/>
                        <dgm:constr type="bMarg"/>
                      </dgm:constrLst>
                    </dgm:if>
                    <dgm:else name="Name22">
                      <dgm:constrLst>
                        <dgm:constr type="lMarg"/>
                        <dgm:constr type="tMarg"/>
                        <dgm:constr type="bMarg"/>
                      </dgm:constrLst>
                    </dgm:else>
                  </dgm:choose>
                  <dgm:ruleLst>
                    <dgm:rule type="primFontSz" val="5" fact="NaN" max="NaN"/>
                  </dgm:ruleLst>
                </dgm:layoutNode>
              </dgm:forEach>
              <dgm:forEach name="Name23" axis="ch" ptType="node" st="2" cnt="1">
                <dgm:layoutNode name="bullet2b" styleLbl="node1">
                  <dgm:alg type="sp"/>
                  <dgm:shape xmlns:r="http://schemas.openxmlformats.org/officeDocument/2006/relationships" type="ellipse" r:blip="">
                    <dgm:adjLst/>
                  </dgm:shape>
                  <dgm:presOf/>
                  <dgm:constrLst/>
                  <dgm:ruleLst/>
                </dgm:layoutNode>
                <dgm:layoutNode name="textBox2b" styleLbl="revTx">
                  <dgm:varLst>
                    <dgm:bulletEnabled val="1"/>
                  </dgm:varLst>
                  <dgm:choose name="Name24">
                    <dgm:if name="Name25" func="var" arg="dir" op="equ" val="norm">
                      <dgm:choose name="Name26">
                        <dgm:if name="Name27" axis="root des" ptType="all node" func="maxDepth" op="gt" val="1">
                          <dgm:alg type="tx">
                            <dgm:param type="txAnchorVert" val="t"/>
                            <dgm:param type="parTxLTRAlign" val="l"/>
                            <dgm:param type="parTxRTLAlign" val="r"/>
                          </dgm:alg>
                        </dgm:if>
                        <dgm:else name="Name28">
                          <dgm:alg type="tx">
                            <dgm:param type="txAnchorVert" val="t"/>
                            <dgm:param type="parTxLTRAlign" val="l"/>
                            <dgm:param type="parTxRTLAlign" val="l"/>
                          </dgm:alg>
                        </dgm:else>
                      </dgm:choose>
                    </dgm:if>
                    <dgm:else name="Name29">
                      <dgm:choose name="Name30">
                        <dgm:if name="Name31" axis="root des" ptType="all node" func="maxDepth" op="gt" val="1">
                          <dgm:alg type="tx">
                            <dgm:param type="txAnchorVert" val="b"/>
                            <dgm:param type="txAnchorVertCh" val="b"/>
                            <dgm:param type="parTxLTRAlign" val="l"/>
                            <dgm:param type="parTxRTLAlign" val="r"/>
                          </dgm:alg>
                        </dgm:if>
                        <dgm:else name="Name32">
                          <dgm:alg type="tx">
                            <dgm:param type="txAnchorVert" val="b"/>
                            <dgm:param type="parTxLTRAlign" val="r"/>
                            <dgm:param type="parTxRTLAlign" val="r"/>
                          </dgm:alg>
                        </dgm:else>
                      </dgm:choose>
                    </dgm:else>
                  </dgm:choose>
                  <dgm:shape xmlns:r="http://schemas.openxmlformats.org/officeDocument/2006/relationships" type="rect" r:blip="">
                    <dgm:adjLst/>
                  </dgm:shape>
                  <dgm:presOf axis="desOrSelf" ptType="node"/>
                  <dgm:choose name="Name33">
                    <dgm:if name="Name34" func="var" arg="dir" op="equ" val="norm">
                      <dgm:constrLst>
                        <dgm:constr type="rMarg"/>
                        <dgm:constr type="tMarg"/>
                        <dgm:constr type="bMarg"/>
                      </dgm:constrLst>
                    </dgm:if>
                    <dgm:else name="Name35">
                      <dgm:constrLst>
                        <dgm:constr type="lMarg"/>
                        <dgm:constr type="tMarg"/>
                        <dgm:constr type="bMarg"/>
                      </dgm:constrLst>
                    </dgm:else>
                  </dgm:choose>
                  <dgm:ruleLst>
                    <dgm:rule type="primFontSz" val="5" fact="NaN" max="NaN"/>
                  </dgm:ruleLst>
                </dgm:layoutNode>
              </dgm:forEach>
            </dgm:layoutNode>
          </dgm:if>
          <dgm:if name="Name36" axis="ch" ptType="node" func="cnt" op="equ" val="3">
            <dgm:layoutNode name="arrowDiagram3">
              <dgm:alg type="composite">
                <dgm:param type="vertAlign" val="none"/>
                <dgm:param type="horzAlign" val="none"/>
              </dgm:alg>
              <dgm:shape xmlns:r="http://schemas.openxmlformats.org/officeDocument/2006/relationships" r:blip="">
                <dgm:adjLst/>
              </dgm:shape>
              <dgm:presOf/>
              <dgm:choose name="Name37">
                <dgm:if name="Name38" func="var" arg="dir" op="equ" val="norm">
                  <dgm:constrLst>
                    <dgm:constr type="ctrX" for="ch" forName="bullet3a" refType="w" fact="0.14"/>
                    <dgm:constr type="ctrY" for="ch" forName="bullet3a" refType="h" fact="0.711"/>
                    <dgm:constr type="w" for="ch" forName="bullet3a" refType="w" fact="0.026"/>
                    <dgm:constr type="h" for="ch" forName="bullet3a" refType="w" refFor="ch" refForName="bullet3a"/>
                    <dgm:constr type="l" for="ch" forName="textBox3a" refType="ctrX" refFor="ch" refForName="bullet3a"/>
                    <dgm:constr type="t" for="ch" forName="textBox3a" refType="ctrY" refFor="ch" refForName="bullet3a"/>
                    <dgm:constr type="w" for="ch" forName="textBox3a" refType="w" fact="0.233"/>
                    <dgm:constr type="h" for="ch" forName="textBox3a" refType="h" fact="0.289"/>
                    <dgm:constr type="userA" refType="h" refFor="ch" refForName="bullet3a" fact="0.53"/>
                    <dgm:constr type="lMarg" for="ch" forName="textBox3a" refType="userA" fact="2.834"/>
                    <dgm:constr type="ctrX" for="ch" forName="bullet3b" refType="w" fact="0.38"/>
                    <dgm:constr type="ctrY" for="ch" forName="bullet3b" refType="h" fact="0.456"/>
                    <dgm:constr type="w" for="ch" forName="bullet3b" refType="w" fact="0.047"/>
                    <dgm:constr type="h" for="ch" forName="bullet3b" refType="w" refFor="ch" refForName="bullet3b"/>
                    <dgm:constr type="l" for="ch" forName="textBox3b" refType="ctrX" refFor="ch" refForName="bullet3b"/>
                    <dgm:constr type="t" for="ch" forName="textBox3b" refType="ctrY" refFor="ch" refForName="bullet3b"/>
                    <dgm:constr type="w" for="ch" forName="textBox3b" refType="w" fact="0.24"/>
                    <dgm:constr type="h" for="ch" forName="textBox3b" refType="h" fact="0.544"/>
                    <dgm:constr type="userB" refType="h" refFor="ch" refForName="bullet3b" fact="0.53"/>
                    <dgm:constr type="lMarg" for="ch" forName="textBox3b" refType="userB" fact="2.834"/>
                    <dgm:constr type="ctrX" for="ch" forName="bullet3c" refType="w" fact="0.665"/>
                    <dgm:constr type="ctrY" for="ch" forName="bullet3c" refType="h" fact="0.305"/>
                    <dgm:constr type="w" for="ch" forName="bullet3c" refType="w" fact="0.065"/>
                    <dgm:constr type="h" for="ch" forName="bullet3c" refType="w" refFor="ch" refForName="bullet3c"/>
                    <dgm:constr type="l" for="ch" forName="textBox3c" refType="ctrX" refFor="ch" refForName="bullet3c"/>
                    <dgm:constr type="t" for="ch" forName="textBox3c" refType="ctrY" refFor="ch" refForName="bullet3c"/>
                    <dgm:constr type="w" for="ch" forName="textBox3c" refType="w" fact="0.24"/>
                    <dgm:constr type="h" for="ch" forName="textBox3c" refType="h" fact="0.695"/>
                    <dgm:constr type="userC" refType="h" refFor="ch" refForName="bullet3c" fact="0.53"/>
                    <dgm:constr type="lMarg" for="ch" forName="textBox3c" refType="userC" fact="2.834"/>
                    <dgm:constr type="primFontSz" for="ch" ptType="node" op="equ" val="65"/>
                  </dgm:constrLst>
                </dgm:if>
                <dgm:else name="Name39">
                  <dgm:constrLst>
                    <dgm:constr type="ctrX" for="ch" forName="bullet3a" refType="w" fact="0.14"/>
                    <dgm:constr type="ctrY" for="ch" forName="bullet3a" refType="h" fact="0.711"/>
                    <dgm:constr type="w" for="ch" forName="bullet3a" refType="w" fact="0.026"/>
                    <dgm:constr type="h" for="ch" forName="bullet3a" refType="w" refFor="ch" refForName="bullet3a"/>
                    <dgm:constr type="r" for="ch" forName="textBox3a" refType="ctrX" refFor="ch" refForName="bullet3a"/>
                    <dgm:constr type="b" for="ch" forName="textBox3a" refType="ctrY" refFor="ch" refForName="bullet3a"/>
                    <dgm:constr type="w" for="ch" forName="textBox3a" refType="w" fact="0.14"/>
                    <dgm:constr type="h" for="ch" forName="textBox3a" refType="h" fact="0.711"/>
                    <dgm:constr type="userA" refType="h" refFor="ch" refForName="bullet3a" fact="0.53"/>
                    <dgm:constr type="rMarg" for="ch" forName="textBox3a" refType="userA" fact="2.834"/>
                    <dgm:constr type="ctrX" for="ch" forName="bullet3b" refType="w" fact="0.38"/>
                    <dgm:constr type="ctrY" for="ch" forName="bullet3b" refType="h" fact="0.456"/>
                    <dgm:constr type="w" for="ch" forName="bullet3b" refType="w" fact="0.047"/>
                    <dgm:constr type="h" for="ch" forName="bullet3b" refType="w" refFor="ch" refForName="bullet3b"/>
                    <dgm:constr type="r" for="ch" forName="textBox3b" refType="ctrX" refFor="ch" refForName="bullet3b"/>
                    <dgm:constr type="b" for="ch" forName="textBox3b" refType="ctrY" refFor="ch" refForName="bullet3b"/>
                    <dgm:constr type="w" for="ch" forName="textBox3b" refType="w" fact="0.24"/>
                    <dgm:constr type="h" for="ch" forName="textBox3b" refType="h" fact="0.456"/>
                    <dgm:constr type="userB" refType="h" refFor="ch" refForName="bullet3b" fact="0.53"/>
                    <dgm:constr type="rMarg" for="ch" forName="textBox3b" refType="userB" fact="2.834"/>
                    <dgm:constr type="ctrX" for="ch" forName="bullet3c" refType="w" fact="0.665"/>
                    <dgm:constr type="ctrY" for="ch" forName="bullet3c" refType="h" fact="0.305"/>
                    <dgm:constr type="w" for="ch" forName="bullet3c" refType="w" fact="0.065"/>
                    <dgm:constr type="h" for="ch" forName="bullet3c" refType="w" refFor="ch" refForName="bullet3c"/>
                    <dgm:constr type="r" for="ch" forName="textBox3c" refType="ctrX" refFor="ch" refForName="bullet3c"/>
                    <dgm:constr type="b" for="ch" forName="textBox3c" refType="ctrY" refFor="ch" refForName="bullet3c"/>
                    <dgm:constr type="w" for="ch" forName="textBox3c" refType="w" fact="0.24"/>
                    <dgm:constr type="h" for="ch" forName="textBox3c" refType="h" fact="0.305"/>
                    <dgm:constr type="userC" refType="h" refFor="ch" refForName="bullet3c" fact="0.53"/>
                    <dgm:constr type="rMarg" for="ch" forName="textBox3c" refType="userC" fact="2.834"/>
                    <dgm:constr type="primFontSz" for="ch" ptType="node" op="equ" val="65"/>
                  </dgm:constrLst>
                </dgm:else>
              </dgm:choose>
              <dgm:ruleLst/>
              <dgm:forEach name="Name40" axis="ch" ptType="node" cnt="1">
                <dgm:layoutNode name="bullet3a" styleLbl="node1">
                  <dgm:alg type="sp"/>
                  <dgm:shape xmlns:r="http://schemas.openxmlformats.org/officeDocument/2006/relationships" type="ellipse" r:blip="">
                    <dgm:adjLst/>
                  </dgm:shape>
                  <dgm:presOf/>
                  <dgm:constrLst/>
                  <dgm:ruleLst/>
                </dgm:layoutNode>
                <dgm:layoutNode name="textBox3a" styleLbl="revTx">
                  <dgm:varLst>
                    <dgm:bulletEnabled val="1"/>
                  </dgm:varLst>
                  <dgm:choose name="Name41">
                    <dgm:if name="Name42" func="var" arg="dir" op="equ" val="norm">
                      <dgm:choose name="Name43">
                        <dgm:if name="Name44" axis="root des" ptType="all node" func="maxDepth" op="gt" val="1">
                          <dgm:alg type="tx">
                            <dgm:param type="txAnchorVert" val="t"/>
                            <dgm:param type="parTxLTRAlign" val="l"/>
                            <dgm:param type="parTxRTLAlign" val="r"/>
                          </dgm:alg>
                        </dgm:if>
                        <dgm:else name="Name45">
                          <dgm:alg type="tx">
                            <dgm:param type="txAnchorVert" val="t"/>
                            <dgm:param type="parTxLTRAlign" val="l"/>
                            <dgm:param type="parTxRTLAlign" val="l"/>
                          </dgm:alg>
                        </dgm:else>
                      </dgm:choose>
                    </dgm:if>
                    <dgm:else name="Name46">
                      <dgm:choose name="Name47">
                        <dgm:if name="Name48" axis="root des" ptType="all node" func="maxDepth" op="gt" val="1">
                          <dgm:alg type="tx">
                            <dgm:param type="txAnchorVert" val="b"/>
                            <dgm:param type="txAnchorVertCh" val="b"/>
                            <dgm:param type="parTxLTRAlign" val="l"/>
                            <dgm:param type="parTxRTLAlign" val="r"/>
                          </dgm:alg>
                        </dgm:if>
                        <dgm:else name="Name49">
                          <dgm:alg type="tx">
                            <dgm:param type="txAnchorVert" val="b"/>
                            <dgm:param type="parTxLTRAlign" val="r"/>
                            <dgm:param type="parTxRTLAlign" val="r"/>
                          </dgm:alg>
                        </dgm:else>
                      </dgm:choose>
                    </dgm:else>
                  </dgm:choose>
                  <dgm:shape xmlns:r="http://schemas.openxmlformats.org/officeDocument/2006/relationships" type="rect" r:blip="">
                    <dgm:adjLst/>
                  </dgm:shape>
                  <dgm:presOf axis="desOrSelf" ptType="node"/>
                  <dgm:choose name="Name50">
                    <dgm:if name="Name51" func="var" arg="dir" op="equ" val="norm">
                      <dgm:constrLst>
                        <dgm:constr type="rMarg"/>
                        <dgm:constr type="tMarg"/>
                        <dgm:constr type="bMarg"/>
                      </dgm:constrLst>
                    </dgm:if>
                    <dgm:else name="Name52">
                      <dgm:constrLst>
                        <dgm:constr type="lMarg"/>
                        <dgm:constr type="tMarg"/>
                        <dgm:constr type="bMarg"/>
                      </dgm:constrLst>
                    </dgm:else>
                  </dgm:choose>
                  <dgm:ruleLst>
                    <dgm:rule type="primFontSz" val="5" fact="NaN" max="NaN"/>
                  </dgm:ruleLst>
                </dgm:layoutNode>
              </dgm:forEach>
              <dgm:forEach name="Name53" axis="ch" ptType="node" st="2" cnt="1">
                <dgm:layoutNode name="bullet3b" styleLbl="node1">
                  <dgm:alg type="sp"/>
                  <dgm:shape xmlns:r="http://schemas.openxmlformats.org/officeDocument/2006/relationships" type="ellipse" r:blip="">
                    <dgm:adjLst/>
                  </dgm:shape>
                  <dgm:presOf/>
                  <dgm:constrLst/>
                  <dgm:ruleLst/>
                </dgm:layoutNode>
                <dgm:layoutNode name="textBox3b" styleLbl="revTx">
                  <dgm:varLst>
                    <dgm:bulletEnabled val="1"/>
                  </dgm:varLst>
                  <dgm:choose name="Name54">
                    <dgm:if name="Name55" func="var" arg="dir" op="equ" val="norm">
                      <dgm:choose name="Name56">
                        <dgm:if name="Name57" axis="root des" ptType="all node" func="maxDepth" op="gt" val="1">
                          <dgm:alg type="tx">
                            <dgm:param type="txAnchorVert" val="t"/>
                            <dgm:param type="parTxLTRAlign" val="l"/>
                            <dgm:param type="parTxRTLAlign" val="r"/>
                          </dgm:alg>
                        </dgm:if>
                        <dgm:else name="Name58">
                          <dgm:alg type="tx">
                            <dgm:param type="txAnchorVert" val="t"/>
                            <dgm:param type="parTxLTRAlign" val="l"/>
                            <dgm:param type="parTxRTLAlign" val="l"/>
                          </dgm:alg>
                        </dgm:else>
                      </dgm:choose>
                    </dgm:if>
                    <dgm:else name="Name59">
                      <dgm:choose name="Name60">
                        <dgm:if name="Name61" axis="root des" ptType="all node" func="maxDepth" op="gt" val="1">
                          <dgm:alg type="tx">
                            <dgm:param type="txAnchorVert" val="b"/>
                            <dgm:param type="txAnchorVertCh" val="b"/>
                            <dgm:param type="parTxLTRAlign" val="l"/>
                            <dgm:param type="parTxRTLAlign" val="r"/>
                          </dgm:alg>
                        </dgm:if>
                        <dgm:else name="Name62">
                          <dgm:alg type="tx">
                            <dgm:param type="txAnchorVert" val="b"/>
                            <dgm:param type="parTxLTRAlign" val="r"/>
                            <dgm:param type="parTxRTLAlign" val="r"/>
                          </dgm:alg>
                        </dgm:else>
                      </dgm:choose>
                    </dgm:else>
                  </dgm:choose>
                  <dgm:shape xmlns:r="http://schemas.openxmlformats.org/officeDocument/2006/relationships" type="rect" r:blip="">
                    <dgm:adjLst/>
                  </dgm:shape>
                  <dgm:presOf axis="desOrSelf" ptType="node"/>
                  <dgm:choose name="Name63">
                    <dgm:if name="Name64" func="var" arg="dir" op="equ" val="norm">
                      <dgm:constrLst>
                        <dgm:constr type="rMarg"/>
                        <dgm:constr type="tMarg"/>
                        <dgm:constr type="bMarg"/>
                      </dgm:constrLst>
                    </dgm:if>
                    <dgm:else name="Name65">
                      <dgm:constrLst>
                        <dgm:constr type="lMarg"/>
                        <dgm:constr type="tMarg"/>
                        <dgm:constr type="bMarg"/>
                      </dgm:constrLst>
                    </dgm:else>
                  </dgm:choose>
                  <dgm:ruleLst>
                    <dgm:rule type="primFontSz" val="5" fact="NaN" max="NaN"/>
                  </dgm:ruleLst>
                </dgm:layoutNode>
              </dgm:forEach>
              <dgm:forEach name="Name66" axis="ch" ptType="node" st="3" cnt="1">
                <dgm:layoutNode name="bullet3c" styleLbl="node1">
                  <dgm:alg type="sp"/>
                  <dgm:shape xmlns:r="http://schemas.openxmlformats.org/officeDocument/2006/relationships" type="ellipse" r:blip="">
                    <dgm:adjLst/>
                  </dgm:shape>
                  <dgm:presOf/>
                  <dgm:constrLst/>
                  <dgm:ruleLst/>
                </dgm:layoutNode>
                <dgm:layoutNode name="textBox3c" styleLbl="revTx">
                  <dgm:varLst>
                    <dgm:bulletEnabled val="1"/>
                  </dgm:varLst>
                  <dgm:choose name="Name67">
                    <dgm:if name="Name68" func="var" arg="dir" op="equ" val="norm">
                      <dgm:choose name="Name69">
                        <dgm:if name="Name70" axis="root des" ptType="all node" func="maxDepth" op="gt" val="1">
                          <dgm:alg type="tx">
                            <dgm:param type="txAnchorVert" val="t"/>
                            <dgm:param type="parTxLTRAlign" val="l"/>
                            <dgm:param type="parTxRTLAlign" val="r"/>
                          </dgm:alg>
                        </dgm:if>
                        <dgm:else name="Name71">
                          <dgm:alg type="tx">
                            <dgm:param type="txAnchorVert" val="t"/>
                            <dgm:param type="parTxLTRAlign" val="l"/>
                            <dgm:param type="parTxRTLAlign" val="l"/>
                          </dgm:alg>
                        </dgm:else>
                      </dgm:choose>
                    </dgm:if>
                    <dgm:else name="Name72">
                      <dgm:choose name="Name73">
                        <dgm:if name="Name74" axis="root des" ptType="all node" func="maxDepth" op="gt" val="1">
                          <dgm:alg type="tx">
                            <dgm:param type="txAnchorVert" val="b"/>
                            <dgm:param type="txAnchorVertCh" val="b"/>
                            <dgm:param type="parTxLTRAlign" val="l"/>
                            <dgm:param type="parTxRTLAlign" val="r"/>
                          </dgm:alg>
                        </dgm:if>
                        <dgm:else name="Name75">
                          <dgm:alg type="tx">
                            <dgm:param type="txAnchorVert" val="b"/>
                            <dgm:param type="parTxLTRAlign" val="r"/>
                            <dgm:param type="parTxRTLAlign" val="r"/>
                          </dgm:alg>
                        </dgm:else>
                      </dgm:choose>
                    </dgm:else>
                  </dgm:choose>
                  <dgm:shape xmlns:r="http://schemas.openxmlformats.org/officeDocument/2006/relationships" type="rect" r:blip="">
                    <dgm:adjLst/>
                  </dgm:shape>
                  <dgm:presOf axis="desOrSelf" ptType="node"/>
                  <dgm:choose name="Name76">
                    <dgm:if name="Name77" func="var" arg="dir" op="equ" val="norm">
                      <dgm:constrLst>
                        <dgm:constr type="rMarg"/>
                        <dgm:constr type="tMarg"/>
                        <dgm:constr type="bMarg"/>
                      </dgm:constrLst>
                    </dgm:if>
                    <dgm:else name="Name78">
                      <dgm:constrLst>
                        <dgm:constr type="lMarg"/>
                        <dgm:constr type="tMarg"/>
                        <dgm:constr type="bMarg"/>
                      </dgm:constrLst>
                    </dgm:else>
                  </dgm:choose>
                  <dgm:ruleLst>
                    <dgm:rule type="primFontSz" val="5" fact="NaN" max="NaN"/>
                  </dgm:ruleLst>
                </dgm:layoutNode>
              </dgm:forEach>
            </dgm:layoutNode>
          </dgm:if>
          <dgm:if name="Name79" axis="ch" ptType="node" func="cnt" op="equ" val="4">
            <dgm:layoutNode name="arrowDiagram4">
              <dgm:alg type="composite">
                <dgm:param type="vertAlign" val="none"/>
                <dgm:param type="horzAlign" val="none"/>
              </dgm:alg>
              <dgm:shape xmlns:r="http://schemas.openxmlformats.org/officeDocument/2006/relationships" r:blip="">
                <dgm:adjLst/>
              </dgm:shape>
              <dgm:presOf/>
              <dgm:choose name="Name80">
                <dgm:if name="Name81" func="var" arg="dir" op="equ" val="norm">
                  <dgm:constrLst>
                    <dgm:constr type="ctrX" for="ch" forName="bullet4a" refType="w" fact="0.11"/>
                    <dgm:constr type="ctrY" for="ch" forName="bullet4a" refType="h" fact="0.762"/>
                    <dgm:constr type="w" for="ch" forName="bullet4a" refType="w" fact="0.023"/>
                    <dgm:constr type="h" for="ch" forName="bullet4a" refType="w" refFor="ch" refForName="bullet4a"/>
                    <dgm:constr type="l" for="ch" forName="textBox4a" refType="ctrX" refFor="ch" refForName="bullet4a"/>
                    <dgm:constr type="t" for="ch" forName="textBox4a" refType="ctrY" refFor="ch" refForName="bullet4a"/>
                    <dgm:constr type="w" for="ch" forName="textBox4a" refType="w" fact="0.171"/>
                    <dgm:constr type="h" for="ch" forName="textBox4a" refType="h" fact="0.238"/>
                    <dgm:constr type="userA" refType="h" refFor="ch" refForName="bullet4a" fact="0.53"/>
                    <dgm:constr type="lMarg" for="ch" forName="textBox4a" refType="userA" fact="2.834"/>
                    <dgm:constr type="ctrX" for="ch" forName="bullet4b" refType="w" fact="0.281"/>
                    <dgm:constr type="ctrY" for="ch" forName="bullet4b" refType="h" fact="0.543"/>
                    <dgm:constr type="w" for="ch" forName="bullet4b" refType="w" fact="0.04"/>
                    <dgm:constr type="h" for="ch" forName="bullet4b" refType="w" refFor="ch" refForName="bullet4b"/>
                    <dgm:constr type="l" for="ch" forName="textBox4b" refType="ctrX" refFor="ch" refForName="bullet4b"/>
                    <dgm:constr type="t" for="ch" forName="textBox4b" refType="ctrY" refFor="ch" refForName="bullet4b"/>
                    <dgm:constr type="w" for="ch" forName="textBox4b" refType="w" fact="0.21"/>
                    <dgm:constr type="h" for="ch" forName="textBox4b" refType="h" fact="0.457"/>
                    <dgm:constr type="userB" refType="h" refFor="ch" refForName="bullet4b" fact="0.53"/>
                    <dgm:constr type="lMarg" for="ch" forName="textBox4b" refType="userB" fact="2.834"/>
                    <dgm:constr type="ctrX" for="ch" forName="bullet4c" refType="w" fact="0.495"/>
                    <dgm:constr type="ctrY" for="ch" forName="bullet4c" refType="h" fact="0.382"/>
                    <dgm:constr type="w" for="ch" forName="bullet4c" refType="w" fact="0.053"/>
                    <dgm:constr type="h" for="ch" forName="bullet4c" refType="w" refFor="ch" refForName="bullet4c"/>
                    <dgm:constr type="l" for="ch" forName="textBox4c" refType="ctrX" refFor="ch" refForName="bullet4c"/>
                    <dgm:constr type="t" for="ch" forName="textBox4c" refType="ctrY" refFor="ch" refForName="bullet4c"/>
                    <dgm:constr type="w" for="ch" forName="textBox4c" refType="w" fact="0.21"/>
                    <dgm:constr type="h" for="ch" forName="textBox4c" refType="h" fact="0.618"/>
                    <dgm:constr type="userC" refType="h" refFor="ch" refForName="bullet4c" fact="0.53"/>
                    <dgm:constr type="lMarg" for="ch" forName="textBox4c" refType="userC" fact="2.834"/>
                    <dgm:constr type="ctrX" for="ch" forName="bullet4d" refType="w" fact="0.73"/>
                    <dgm:constr type="ctrY" for="ch" forName="bullet4d" refType="h" fact="0.283"/>
                    <dgm:constr type="w" for="ch" forName="bullet4d" refType="w" fact="0.071"/>
                    <dgm:constr type="h" for="ch" forName="bullet4d" refType="w" refFor="ch" refForName="bullet4d"/>
                    <dgm:constr type="l" for="ch" forName="textBox4d" refType="ctrX" refFor="ch" refForName="bullet4d"/>
                    <dgm:constr type="t" for="ch" forName="textBox4d" refType="ctrY" refFor="ch" refForName="bullet4d"/>
                    <dgm:constr type="w" for="ch" forName="textBox4d" refType="w" fact="0.21"/>
                    <dgm:constr type="h" for="ch" forName="textBox4d" refType="h" fact="0.717"/>
                    <dgm:constr type="userD" refType="h" refFor="ch" refForName="bullet4d" fact="0.53"/>
                    <dgm:constr type="lMarg" for="ch" forName="textBox4d" refType="userD" fact="2.834"/>
                    <dgm:constr type="primFontSz" for="ch" ptType="node" op="equ" val="65"/>
                  </dgm:constrLst>
                </dgm:if>
                <dgm:else name="Name82">
                  <dgm:constrLst>
                    <dgm:constr type="ctrX" for="ch" forName="bullet4a" refType="w" fact="0.11"/>
                    <dgm:constr type="ctrY" for="ch" forName="bullet4a" refType="h" fact="0.762"/>
                    <dgm:constr type="w" for="ch" forName="bullet4a" refType="w" fact="0.023"/>
                    <dgm:constr type="h" for="ch" forName="bullet4a" refType="w" refFor="ch" refForName="bullet4a"/>
                    <dgm:constr type="r" for="ch" forName="textBox4a" refType="ctrX" refFor="ch" refForName="bullet4a"/>
                    <dgm:constr type="b" for="ch" forName="textBox4a" refType="ctrY" refFor="ch" refForName="bullet4a"/>
                    <dgm:constr type="w" for="ch" forName="textBox4a" refType="w" fact="0.11"/>
                    <dgm:constr type="h" for="ch" forName="textBox4a" refType="h" fact="0.762"/>
                    <dgm:constr type="userA" refType="h" refFor="ch" refForName="bullet4a" fact="0.53"/>
                    <dgm:constr type="rMarg" for="ch" forName="textBox4a" refType="userA" fact="2.834"/>
                    <dgm:constr type="ctrX" for="ch" forName="bullet4b" refType="w" fact="0.281"/>
                    <dgm:constr type="ctrY" for="ch" forName="bullet4b" refType="h" fact="0.543"/>
                    <dgm:constr type="w" for="ch" forName="bullet4b" refType="w" fact="0.04"/>
                    <dgm:constr type="h" for="ch" forName="bullet4b" refType="w" refFor="ch" refForName="bullet4b"/>
                    <dgm:constr type="r" for="ch" forName="textBox4b" refType="ctrX" refFor="ch" refForName="bullet4b"/>
                    <dgm:constr type="b" for="ch" forName="textBox4b" refType="ctrY" refFor="ch" refForName="bullet4b"/>
                    <dgm:constr type="w" for="ch" forName="textBox4b" refType="w" fact="0.171"/>
                    <dgm:constr type="h" for="ch" forName="textBox4b" refType="h" fact="0.543"/>
                    <dgm:constr type="userB" refType="h" refFor="ch" refForName="bullet4b" fact="0.53"/>
                    <dgm:constr type="rMarg" for="ch" forName="textBox4b" refType="userB" fact="2.834"/>
                    <dgm:constr type="ctrX" for="ch" forName="bullet4c" refType="w" fact="0.495"/>
                    <dgm:constr type="ctrY" for="ch" forName="bullet4c" refType="h" fact="0.382"/>
                    <dgm:constr type="w" for="ch" forName="bullet4c" refType="w" fact="0.053"/>
                    <dgm:constr type="h" for="ch" forName="bullet4c" refType="w" refFor="ch" refForName="bullet4c"/>
                    <dgm:constr type="r" for="ch" forName="textBox4c" refType="ctrX" refFor="ch" refForName="bullet4c"/>
                    <dgm:constr type="b" for="ch" forName="textBox4c" refType="ctrY" refFor="ch" refForName="bullet4c"/>
                    <dgm:constr type="w" for="ch" forName="textBox4c" refType="w" fact="0.21"/>
                    <dgm:constr type="h" for="ch" forName="textBox4c" refType="h" fact="0.382"/>
                    <dgm:constr type="userC" refType="h" refFor="ch" refForName="bullet4c" fact="0.53"/>
                    <dgm:constr type="rMarg" for="ch" forName="textBox4c" refType="userC" fact="2.834"/>
                    <dgm:constr type="ctrX" for="ch" forName="bullet4d" refType="w" fact="0.73"/>
                    <dgm:constr type="ctrY" for="ch" forName="bullet4d" refType="h" fact="0.283"/>
                    <dgm:constr type="w" for="ch" forName="bullet4d" refType="w" fact="0.071"/>
                    <dgm:constr type="h" for="ch" forName="bullet4d" refType="w" refFor="ch" refForName="bullet4d"/>
                    <dgm:constr type="r" for="ch" forName="textBox4d" refType="ctrX" refFor="ch" refForName="bullet4d"/>
                    <dgm:constr type="b" for="ch" forName="textBox4d" refType="ctrY" refFor="ch" refForName="bullet4d"/>
                    <dgm:constr type="w" for="ch" forName="textBox4d" refType="w" fact="0.21"/>
                    <dgm:constr type="h" for="ch" forName="textBox4d" refType="h" fact="0.283"/>
                    <dgm:constr type="userD" refType="h" refFor="ch" refForName="bullet4d" fact="0.53"/>
                    <dgm:constr type="rMarg" for="ch" forName="textBox4d" refType="userD" fact="2.834"/>
                    <dgm:constr type="primFontSz" for="ch" ptType="node" op="equ" val="65"/>
                  </dgm:constrLst>
                </dgm:else>
              </dgm:choose>
              <dgm:ruleLst/>
              <dgm:forEach name="Name83" axis="ch" ptType="node" cnt="1">
                <dgm:layoutNode name="bullet4a" styleLbl="node1">
                  <dgm:alg type="sp"/>
                  <dgm:shape xmlns:r="http://schemas.openxmlformats.org/officeDocument/2006/relationships" type="ellipse" r:blip="">
                    <dgm:adjLst/>
                  </dgm:shape>
                  <dgm:presOf/>
                  <dgm:constrLst/>
                  <dgm:ruleLst/>
                </dgm:layoutNode>
                <dgm:layoutNode name="textBox4a" styleLbl="revTx">
                  <dgm:varLst>
                    <dgm:bulletEnabled val="1"/>
                  </dgm:varLst>
                  <dgm:choose name="Name84">
                    <dgm:if name="Name85" func="var" arg="dir" op="equ" val="norm">
                      <dgm:choose name="Name86">
                        <dgm:if name="Name87" axis="root des" ptType="all node" func="maxDepth" op="gt" val="1">
                          <dgm:alg type="tx">
                            <dgm:param type="txAnchorVert" val="t"/>
                            <dgm:param type="parTxLTRAlign" val="l"/>
                            <dgm:param type="parTxRTLAlign" val="r"/>
                          </dgm:alg>
                        </dgm:if>
                        <dgm:else name="Name88">
                          <dgm:alg type="tx">
                            <dgm:param type="txAnchorVert" val="t"/>
                            <dgm:param type="parTxLTRAlign" val="l"/>
                            <dgm:param type="parTxRTLAlign" val="l"/>
                          </dgm:alg>
                        </dgm:else>
                      </dgm:choose>
                    </dgm:if>
                    <dgm:else name="Name89">
                      <dgm:choose name="Name90">
                        <dgm:if name="Name91" axis="root des" ptType="all node" func="maxDepth" op="gt" val="1">
                          <dgm:alg type="tx">
                            <dgm:param type="txAnchorVert" val="b"/>
                            <dgm:param type="txAnchorVertCh" val="b"/>
                            <dgm:param type="parTxLTRAlign" val="l"/>
                            <dgm:param type="parTxRTLAlign" val="r"/>
                          </dgm:alg>
                        </dgm:if>
                        <dgm:else name="Name92">
                          <dgm:alg type="tx">
                            <dgm:param type="txAnchorVert" val="b"/>
                            <dgm:param type="parTxLTRAlign" val="r"/>
                            <dgm:param type="parTxRTLAlign" val="r"/>
                          </dgm:alg>
                        </dgm:else>
                      </dgm:choose>
                    </dgm:else>
                  </dgm:choose>
                  <dgm:shape xmlns:r="http://schemas.openxmlformats.org/officeDocument/2006/relationships" type="rect" r:blip="">
                    <dgm:adjLst/>
                  </dgm:shape>
                  <dgm:presOf axis="desOrSelf" ptType="node"/>
                  <dgm:choose name="Name93">
                    <dgm:if name="Name94" func="var" arg="dir" op="equ" val="norm">
                      <dgm:constrLst>
                        <dgm:constr type="rMarg"/>
                        <dgm:constr type="tMarg"/>
                        <dgm:constr type="bMarg"/>
                      </dgm:constrLst>
                    </dgm:if>
                    <dgm:else name="Name95">
                      <dgm:constrLst>
                        <dgm:constr type="lMarg"/>
                        <dgm:constr type="tMarg"/>
                        <dgm:constr type="bMarg"/>
                      </dgm:constrLst>
                    </dgm:else>
                  </dgm:choose>
                  <dgm:ruleLst>
                    <dgm:rule type="primFontSz" val="5" fact="NaN" max="NaN"/>
                  </dgm:ruleLst>
                </dgm:layoutNode>
              </dgm:forEach>
              <dgm:forEach name="Name96" axis="ch" ptType="node" st="2" cnt="1">
                <dgm:layoutNode name="bullet4b" styleLbl="node1">
                  <dgm:alg type="sp"/>
                  <dgm:shape xmlns:r="http://schemas.openxmlformats.org/officeDocument/2006/relationships" type="ellipse" r:blip="">
                    <dgm:adjLst/>
                  </dgm:shape>
                  <dgm:presOf/>
                  <dgm:constrLst/>
                  <dgm:ruleLst/>
                </dgm:layoutNode>
                <dgm:layoutNode name="textBox4b" styleLbl="revTx">
                  <dgm:varLst>
                    <dgm:bulletEnabled val="1"/>
                  </dgm:varLst>
                  <dgm:choose name="Name97">
                    <dgm:if name="Name98" func="var" arg="dir" op="equ" val="norm">
                      <dgm:choose name="Name99">
                        <dgm:if name="Name100" axis="root des" ptType="all node" func="maxDepth" op="gt" val="1">
                          <dgm:alg type="tx">
                            <dgm:param type="txAnchorVert" val="t"/>
                            <dgm:param type="parTxLTRAlign" val="l"/>
                            <dgm:param type="parTxRTLAlign" val="r"/>
                          </dgm:alg>
                        </dgm:if>
                        <dgm:else name="Name101">
                          <dgm:alg type="tx">
                            <dgm:param type="txAnchorVert" val="t"/>
                            <dgm:param type="parTxLTRAlign" val="l"/>
                            <dgm:param type="parTxRTLAlign" val="l"/>
                          </dgm:alg>
                        </dgm:else>
                      </dgm:choose>
                    </dgm:if>
                    <dgm:else name="Name102">
                      <dgm:choose name="Name103">
                        <dgm:if name="Name104" axis="root des" ptType="all node" func="maxDepth" op="gt" val="1">
                          <dgm:alg type="tx">
                            <dgm:param type="txAnchorVert" val="b"/>
                            <dgm:param type="txAnchorVertCh" val="b"/>
                            <dgm:param type="parTxLTRAlign" val="l"/>
                            <dgm:param type="parTxRTLAlign" val="r"/>
                          </dgm:alg>
                        </dgm:if>
                        <dgm:else name="Name105">
                          <dgm:alg type="tx">
                            <dgm:param type="txAnchorVert" val="b"/>
                            <dgm:param type="parTxLTRAlign" val="r"/>
                            <dgm:param type="parTxRTLAlign" val="r"/>
                          </dgm:alg>
                        </dgm:else>
                      </dgm:choose>
                    </dgm:else>
                  </dgm:choose>
                  <dgm:shape xmlns:r="http://schemas.openxmlformats.org/officeDocument/2006/relationships" type="rect" r:blip="">
                    <dgm:adjLst/>
                  </dgm:shape>
                  <dgm:presOf axis="desOrSelf" ptType="node"/>
                  <dgm:choose name="Name106">
                    <dgm:if name="Name107" func="var" arg="dir" op="equ" val="norm">
                      <dgm:constrLst>
                        <dgm:constr type="rMarg"/>
                        <dgm:constr type="tMarg"/>
                        <dgm:constr type="bMarg"/>
                      </dgm:constrLst>
                    </dgm:if>
                    <dgm:else name="Name108">
                      <dgm:constrLst>
                        <dgm:constr type="lMarg"/>
                        <dgm:constr type="tMarg"/>
                        <dgm:constr type="bMarg"/>
                      </dgm:constrLst>
                    </dgm:else>
                  </dgm:choose>
                  <dgm:ruleLst>
                    <dgm:rule type="primFontSz" val="5" fact="NaN" max="NaN"/>
                  </dgm:ruleLst>
                </dgm:layoutNode>
              </dgm:forEach>
              <dgm:forEach name="Name109" axis="ch" ptType="node" st="3" cnt="1">
                <dgm:layoutNode name="bullet4c" styleLbl="node1">
                  <dgm:alg type="sp"/>
                  <dgm:shape xmlns:r="http://schemas.openxmlformats.org/officeDocument/2006/relationships" type="ellipse" r:blip="">
                    <dgm:adjLst/>
                  </dgm:shape>
                  <dgm:presOf/>
                  <dgm:constrLst/>
                  <dgm:ruleLst/>
                </dgm:layoutNode>
                <dgm:layoutNode name="textBox4c" styleLbl="revTx">
                  <dgm:varLst>
                    <dgm:bulletEnabled val="1"/>
                  </dgm:varLst>
                  <dgm:choose name="Name110">
                    <dgm:if name="Name111" func="var" arg="dir" op="equ" val="norm">
                      <dgm:choose name="Name112">
                        <dgm:if name="Name113" axis="root des" ptType="all node" func="maxDepth" op="gt" val="1">
                          <dgm:alg type="tx">
                            <dgm:param type="txAnchorVert" val="t"/>
                            <dgm:param type="parTxLTRAlign" val="l"/>
                            <dgm:param type="parTxRTLAlign" val="r"/>
                          </dgm:alg>
                        </dgm:if>
                        <dgm:else name="Name114">
                          <dgm:alg type="tx">
                            <dgm:param type="txAnchorVert" val="t"/>
                            <dgm:param type="parTxLTRAlign" val="l"/>
                            <dgm:param type="parTxRTLAlign" val="l"/>
                          </dgm:alg>
                        </dgm:else>
                      </dgm:choose>
                    </dgm:if>
                    <dgm:else name="Name115">
                      <dgm:choose name="Name116">
                        <dgm:if name="Name117" axis="root des" ptType="all node" func="maxDepth" op="gt" val="1">
                          <dgm:alg type="tx">
                            <dgm:param type="txAnchorVert" val="b"/>
                            <dgm:param type="txAnchorVertCh" val="b"/>
                            <dgm:param type="parTxLTRAlign" val="l"/>
                            <dgm:param type="parTxRTLAlign" val="r"/>
                          </dgm:alg>
                        </dgm:if>
                        <dgm:else name="Name118">
                          <dgm:alg type="tx">
                            <dgm:param type="txAnchorVert" val="b"/>
                            <dgm:param type="parTxLTRAlign" val="r"/>
                            <dgm:param type="parTxRTLAlign" val="r"/>
                          </dgm:alg>
                        </dgm:else>
                      </dgm:choose>
                    </dgm:else>
                  </dgm:choose>
                  <dgm:shape xmlns:r="http://schemas.openxmlformats.org/officeDocument/2006/relationships" type="rect" r:blip="">
                    <dgm:adjLst/>
                  </dgm:shape>
                  <dgm:presOf axis="desOrSelf" ptType="node"/>
                  <dgm:choose name="Name119">
                    <dgm:if name="Name120" func="var" arg="dir" op="equ" val="norm">
                      <dgm:constrLst>
                        <dgm:constr type="rMarg"/>
                        <dgm:constr type="tMarg"/>
                        <dgm:constr type="bMarg"/>
                      </dgm:constrLst>
                    </dgm:if>
                    <dgm:else name="Name121">
                      <dgm:constrLst>
                        <dgm:constr type="lMarg"/>
                        <dgm:constr type="tMarg"/>
                        <dgm:constr type="bMarg"/>
                      </dgm:constrLst>
                    </dgm:else>
                  </dgm:choose>
                  <dgm:ruleLst>
                    <dgm:rule type="primFontSz" val="5" fact="NaN" max="NaN"/>
                  </dgm:ruleLst>
                </dgm:layoutNode>
              </dgm:forEach>
              <dgm:forEach name="Name122" axis="ch" ptType="node" st="4" cnt="1">
                <dgm:layoutNode name="bullet4d" styleLbl="node1">
                  <dgm:alg type="sp"/>
                  <dgm:shape xmlns:r="http://schemas.openxmlformats.org/officeDocument/2006/relationships" type="ellipse" r:blip="">
                    <dgm:adjLst/>
                  </dgm:shape>
                  <dgm:presOf/>
                  <dgm:constrLst/>
                  <dgm:ruleLst/>
                </dgm:layoutNode>
                <dgm:layoutNode name="textBox4d" styleLbl="revTx">
                  <dgm:varLst>
                    <dgm:bulletEnabled val="1"/>
                  </dgm:varLst>
                  <dgm:choose name="Name123">
                    <dgm:if name="Name124" func="var" arg="dir" op="equ" val="norm">
                      <dgm:choose name="Name125">
                        <dgm:if name="Name126" axis="root des" ptType="all node" func="maxDepth" op="gt" val="1">
                          <dgm:alg type="tx">
                            <dgm:param type="txAnchorVert" val="t"/>
                            <dgm:param type="parTxLTRAlign" val="l"/>
                            <dgm:param type="parTxRTLAlign" val="r"/>
                          </dgm:alg>
                        </dgm:if>
                        <dgm:else name="Name127">
                          <dgm:alg type="tx">
                            <dgm:param type="txAnchorVert" val="t"/>
                            <dgm:param type="parTxLTRAlign" val="l"/>
                            <dgm:param type="parTxRTLAlign" val="l"/>
                          </dgm:alg>
                        </dgm:else>
                      </dgm:choose>
                    </dgm:if>
                    <dgm:else name="Name128">
                      <dgm:choose name="Name129">
                        <dgm:if name="Name130" axis="root des" ptType="all node" func="maxDepth" op="gt" val="1">
                          <dgm:alg type="tx">
                            <dgm:param type="txAnchorVert" val="b"/>
                            <dgm:param type="txAnchorVertCh" val="b"/>
                            <dgm:param type="parTxLTRAlign" val="l"/>
                            <dgm:param type="parTxRTLAlign" val="r"/>
                          </dgm:alg>
                        </dgm:if>
                        <dgm:else name="Name131">
                          <dgm:alg type="tx">
                            <dgm:param type="txAnchorVert" val="b"/>
                            <dgm:param type="parTxLTRAlign" val="r"/>
                            <dgm:param type="parTxRTLAlign" val="r"/>
                          </dgm:alg>
                        </dgm:else>
                      </dgm:choose>
                    </dgm:else>
                  </dgm:choose>
                  <dgm:shape xmlns:r="http://schemas.openxmlformats.org/officeDocument/2006/relationships" type="rect" r:blip="">
                    <dgm:adjLst/>
                  </dgm:shape>
                  <dgm:presOf axis="desOrSelf" ptType="node"/>
                  <dgm:choose name="Name132">
                    <dgm:if name="Name133" func="var" arg="dir" op="equ" val="norm">
                      <dgm:constrLst>
                        <dgm:constr type="rMarg"/>
                        <dgm:constr type="tMarg"/>
                        <dgm:constr type="bMarg"/>
                      </dgm:constrLst>
                    </dgm:if>
                    <dgm:else name="Name134">
                      <dgm:constrLst>
                        <dgm:constr type="lMarg"/>
                        <dgm:constr type="tMarg"/>
                        <dgm:constr type="bMarg"/>
                      </dgm:constrLst>
                    </dgm:else>
                  </dgm:choose>
                  <dgm:ruleLst>
                    <dgm:rule type="primFontSz" val="5" fact="NaN" max="NaN"/>
                  </dgm:ruleLst>
                </dgm:layoutNode>
              </dgm:forEach>
            </dgm:layoutNode>
          </dgm:if>
          <dgm:else name="Name135">
            <dgm:layoutNode name="arrowDiagram5">
              <dgm:alg type="composite">
                <dgm:param type="vertAlign" val="none"/>
                <dgm:param type="horzAlign" val="none"/>
              </dgm:alg>
              <dgm:shape xmlns:r="http://schemas.openxmlformats.org/officeDocument/2006/relationships" r:blip="">
                <dgm:adjLst/>
              </dgm:shape>
              <dgm:presOf/>
              <dgm:choose name="Name136">
                <dgm:if name="Name137" func="var" arg="dir" op="equ" val="norm">
                  <dgm:constrLst>
                    <dgm:constr type="ctrX" for="ch" forName="bullet5a" refType="w" fact="0.11"/>
                    <dgm:constr type="ctrY" for="ch" forName="bullet5a" refType="h" fact="0.762"/>
                    <dgm:constr type="w" for="ch" forName="bullet5a" refType="w" fact="0.023"/>
                    <dgm:constr type="h" for="ch" forName="bullet5a" refType="w" refFor="ch" refForName="bullet5a"/>
                    <dgm:constr type="l" for="ch" forName="textBox5a" refType="ctrX" refFor="ch" refForName="bullet5a"/>
                    <dgm:constr type="t" for="ch" forName="textBox5a" refType="ctrY" refFor="ch" refForName="bullet5a"/>
                    <dgm:constr type="w" for="ch" forName="textBox5a" refType="w" fact="0.131"/>
                    <dgm:constr type="h" for="ch" forName="textBox5a" refType="h" fact="0.238"/>
                    <dgm:constr type="userA" refType="h" refFor="ch" refForName="bullet5a" fact="0.53"/>
                    <dgm:constr type="lMarg" for="ch" forName="textBox5a" refType="userA" fact="2.834"/>
                    <dgm:constr type="ctrX" for="ch" forName="bullet5b" refType="w" fact="0.241"/>
                    <dgm:constr type="ctrY" for="ch" forName="bullet5b" refType="h" fact="0.581"/>
                    <dgm:constr type="w" for="ch" forName="bullet5b" refType="w" fact="0.036"/>
                    <dgm:constr type="h" for="ch" forName="bullet5b" refType="w" refFor="ch" refForName="bullet5b"/>
                    <dgm:constr type="l" for="ch" forName="textBox5b" refType="ctrX" refFor="ch" refForName="bullet5b"/>
                    <dgm:constr type="t" for="ch" forName="textBox5b" refType="ctrY" refFor="ch" refForName="bullet5b"/>
                    <dgm:constr type="w" for="ch" forName="textBox5b" refType="w" fact="0.166"/>
                    <dgm:constr type="h" for="ch" forName="textBox5b" refType="h" fact="0.419"/>
                    <dgm:constr type="userB" refType="h" refFor="ch" refForName="bullet5b" fact="0.53"/>
                    <dgm:constr type="lMarg" for="ch" forName="textBox5b" refType="userB" fact="2.834"/>
                    <dgm:constr type="ctrX" for="ch" forName="bullet5c" refType="w" fact="0.407"/>
                    <dgm:constr type="ctrY" for="ch" forName="bullet5c" refType="h" fact="0.438"/>
                    <dgm:constr type="w" for="ch" forName="bullet5c" refType="w" fact="0.048"/>
                    <dgm:constr type="h" for="ch" forName="bullet5c" refType="w" refFor="ch" refForName="bullet5c"/>
                    <dgm:constr type="l" for="ch" forName="textBox5c" refType="ctrX" refFor="ch" refForName="bullet5c"/>
                    <dgm:constr type="t" for="ch" forName="textBox5c" refType="ctrY" refFor="ch" refForName="bullet5c"/>
                    <dgm:constr type="w" for="ch" forName="textBox5c" refType="w" fact="0.193"/>
                    <dgm:constr type="h" for="ch" forName="textBox5c" refType="h" fact="0.562"/>
                    <dgm:constr type="userC" refType="h" refFor="ch" refForName="bullet5c" fact="0.53"/>
                    <dgm:constr type="lMarg" for="ch" forName="textBox5c" refType="userC" fact="2.834"/>
                    <dgm:constr type="ctrX" for="ch" forName="bullet5d" refType="w" fact="0.6"/>
                    <dgm:constr type="ctrY" for="ch" forName="bullet5d" refType="h" fact="0.33"/>
                    <dgm:constr type="w" for="ch" forName="bullet5d" refType="w" fact="0.062"/>
                    <dgm:constr type="h" for="ch" forName="bullet5d" refType="w" refFor="ch" refForName="bullet5d"/>
                    <dgm:constr type="l" for="ch" forName="textBox5d" refType="ctrX" refFor="ch" refForName="bullet5d"/>
                    <dgm:constr type="t" for="ch" forName="textBox5d" refType="ctrY" refFor="ch" refForName="bullet5d"/>
                    <dgm:constr type="w" for="ch" forName="textBox5d" refType="w" fact="0.2"/>
                    <dgm:constr type="h" for="ch" forName="textBox5d" refType="h" fact="0.67"/>
                    <dgm:constr type="userD" refType="h" refFor="ch" refForName="bullet5d" fact="0.53"/>
                    <dgm:constr type="lMarg" for="ch" forName="textBox5d" refType="userD" fact="2.834"/>
                    <dgm:constr type="ctrX" for="ch" forName="bullet5e" refType="w" fact="0.8"/>
                    <dgm:constr type="ctrY" for="ch" forName="bullet5e" refType="h" fact="0.264"/>
                    <dgm:constr type="w" for="ch" forName="bullet5e" refType="w" fact="0.079"/>
                    <dgm:constr type="h" for="ch" forName="bullet5e" refType="w" refFor="ch" refForName="bullet5e"/>
                    <dgm:constr type="l" for="ch" forName="textBox5e" refType="ctrX" refFor="ch" refForName="bullet5e"/>
                    <dgm:constr type="t" for="ch" forName="textBox5e" refType="ctrY" refFor="ch" refForName="bullet5e"/>
                    <dgm:constr type="w" for="ch" forName="textBox5e" refType="w" fact="0.2"/>
                    <dgm:constr type="h" for="ch" forName="textBox5e" refType="h" fact="0.736"/>
                    <dgm:constr type="userE" refType="h" refFor="ch" refForName="bullet5e" fact="0.53"/>
                    <dgm:constr type="lMarg" for="ch" forName="textBox5e" refType="userE" fact="2.834"/>
                    <dgm:constr type="primFontSz" for="ch" ptType="node" op="equ" val="65"/>
                  </dgm:constrLst>
                </dgm:if>
                <dgm:else name="Name138">
                  <dgm:constrLst>
                    <dgm:constr type="ctrX" for="ch" forName="bullet5a" refType="w" fact="0.11"/>
                    <dgm:constr type="ctrY" for="ch" forName="bullet5a" refType="h" fact="0.762"/>
                    <dgm:constr type="w" for="ch" forName="bullet5a" refType="w" fact="0.023"/>
                    <dgm:constr type="h" for="ch" forName="bullet5a" refType="w" refFor="ch" refForName="bullet5a"/>
                    <dgm:constr type="r" for="ch" forName="textBox5a" refType="ctrX" refFor="ch" refForName="bullet5a"/>
                    <dgm:constr type="b" for="ch" forName="textBox5a" refType="ctrY" refFor="ch" refForName="bullet5a"/>
                    <dgm:constr type="w" for="ch" forName="textBox5a" refType="w" fact="0.11"/>
                    <dgm:constr type="h" for="ch" forName="textBox5a" refType="h" fact="0.762"/>
                    <dgm:constr type="userA" refType="h" refFor="ch" refForName="bullet5a" fact="0.53"/>
                    <dgm:constr type="rMarg" for="ch" forName="textBox5a" refType="userA" fact="2.834"/>
                    <dgm:constr type="ctrX" for="ch" forName="bullet5b" refType="w" fact="0.241"/>
                    <dgm:constr type="ctrY" for="ch" forName="bullet5b" refType="h" fact="0.581"/>
                    <dgm:constr type="w" for="ch" forName="bullet5b" refType="w" fact="0.036"/>
                    <dgm:constr type="h" for="ch" forName="bullet5b" refType="w" refFor="ch" refForName="bullet5b"/>
                    <dgm:constr type="r" for="ch" forName="textBox5b" refType="ctrX" refFor="ch" refForName="bullet5b"/>
                    <dgm:constr type="b" for="ch" forName="textBox5b" refType="ctrY" refFor="ch" refForName="bullet5b"/>
                    <dgm:constr type="w" for="ch" forName="textBox5b" refType="w" fact="0.131"/>
                    <dgm:constr type="h" for="ch" forName="textBox5b" refType="h" fact="0.581"/>
                    <dgm:constr type="userB" refType="h" refFor="ch" refForName="bullet5b" fact="0.53"/>
                    <dgm:constr type="rMarg" for="ch" forName="textBox5b" refType="userB" fact="2.834"/>
                    <dgm:constr type="ctrX" for="ch" forName="bullet5c" refType="w" fact="0.407"/>
                    <dgm:constr type="ctrY" for="ch" forName="bullet5c" refType="h" fact="0.438"/>
                    <dgm:constr type="w" for="ch" forName="bullet5c" refType="w" fact="0.048"/>
                    <dgm:constr type="h" for="ch" forName="bullet5c" refType="w" refFor="ch" refForName="bullet5c"/>
                    <dgm:constr type="r" for="ch" forName="textBox5c" refType="ctrX" refFor="ch" refForName="bullet5c"/>
                    <dgm:constr type="b" for="ch" forName="textBox5c" refType="ctrY" refFor="ch" refForName="bullet5c"/>
                    <dgm:constr type="w" for="ch" forName="textBox5c" refType="w" fact="0.166"/>
                    <dgm:constr type="h" for="ch" forName="textBox5c" refType="h" fact="0.438"/>
                    <dgm:constr type="userC" refType="h" refFor="ch" refForName="bullet5c" fact="0.53"/>
                    <dgm:constr type="rMarg" for="ch" forName="textBox5c" refType="userC" fact="2.834"/>
                    <dgm:constr type="ctrX" for="ch" forName="bullet5d" refType="w" fact="0.6"/>
                    <dgm:constr type="ctrY" for="ch" forName="bullet5d" refType="h" fact="0.33"/>
                    <dgm:constr type="w" for="ch" forName="bullet5d" refType="w" fact="0.062"/>
                    <dgm:constr type="h" for="ch" forName="bullet5d" refType="w" refFor="ch" refForName="bullet5d"/>
                    <dgm:constr type="r" for="ch" forName="textBox5d" refType="ctrX" refFor="ch" refForName="bullet5d"/>
                    <dgm:constr type="b" for="ch" forName="textBox5d" refType="ctrY" refFor="ch" refForName="bullet5d"/>
                    <dgm:constr type="w" for="ch" forName="textBox5d" refType="w" fact="0.193"/>
                    <dgm:constr type="h" for="ch" forName="textBox5d" refType="h" fact="0.33"/>
                    <dgm:constr type="userD" refType="h" refFor="ch" refForName="bullet5d" fact="0.53"/>
                    <dgm:constr type="rMarg" for="ch" forName="textBox5d" refType="userD" fact="2.834"/>
                    <dgm:constr type="ctrX" for="ch" forName="bullet5e" refType="w" fact="0.8"/>
                    <dgm:constr type="ctrY" for="ch" forName="bullet5e" refType="h" fact="0.264"/>
                    <dgm:constr type="w" for="ch" forName="bullet5e" refType="w" fact="0.079"/>
                    <dgm:constr type="h" for="ch" forName="bullet5e" refType="w" refFor="ch" refForName="bullet5e"/>
                    <dgm:constr type="r" for="ch" forName="textBox5e" refType="ctrX" refFor="ch" refForName="bullet5e"/>
                    <dgm:constr type="b" for="ch" forName="textBox5e" refType="ctrY" refFor="ch" refForName="bullet5e"/>
                    <dgm:constr type="w" for="ch" forName="textBox5e" refType="w" fact="0.2"/>
                    <dgm:constr type="h" for="ch" forName="textBox5e" refType="h" fact="0.264"/>
                    <dgm:constr type="userE" refType="h" refFor="ch" refForName="bullet5e" fact="0.53"/>
                    <dgm:constr type="rMarg" for="ch" forName="textBox5e" refType="userE" fact="2.834"/>
                    <dgm:constr type="primFontSz" for="ch" ptType="node" op="equ" val="65"/>
                  </dgm:constrLst>
                </dgm:else>
              </dgm:choose>
              <dgm:ruleLst/>
              <dgm:forEach name="Name139" axis="ch" ptType="node" cnt="1">
                <dgm:layoutNode name="bullet5a" styleLbl="node1">
                  <dgm:alg type="sp"/>
                  <dgm:shape xmlns:r="http://schemas.openxmlformats.org/officeDocument/2006/relationships" type="ellipse" r:blip="">
                    <dgm:adjLst/>
                  </dgm:shape>
                  <dgm:presOf/>
                  <dgm:constrLst/>
                  <dgm:ruleLst/>
                </dgm:layoutNode>
                <dgm:layoutNode name="textBox5a" styleLbl="revTx">
                  <dgm:varLst>
                    <dgm:bulletEnabled val="1"/>
                  </dgm:varLst>
                  <dgm:choose name="Name140">
                    <dgm:if name="Name141" func="var" arg="dir" op="equ" val="norm">
                      <dgm:choose name="Name142">
                        <dgm:if name="Name143" axis="root des" ptType="all node" func="maxDepth" op="gt" val="1">
                          <dgm:alg type="tx">
                            <dgm:param type="txAnchorVert" val="t"/>
                            <dgm:param type="parTxLTRAlign" val="l"/>
                            <dgm:param type="parTxRTLAlign" val="r"/>
                          </dgm:alg>
                        </dgm:if>
                        <dgm:else name="Name144">
                          <dgm:alg type="tx">
                            <dgm:param type="txAnchorVert" val="t"/>
                            <dgm:param type="parTxLTRAlign" val="l"/>
                            <dgm:param type="parTxRTLAlign" val="l"/>
                          </dgm:alg>
                        </dgm:else>
                      </dgm:choose>
                    </dgm:if>
                    <dgm:else name="Name145">
                      <dgm:choose name="Name146">
                        <dgm:if name="Name147" axis="root des" ptType="all node" func="maxDepth" op="gt" val="1">
                          <dgm:alg type="tx">
                            <dgm:param type="txAnchorVert" val="b"/>
                            <dgm:param type="txAnchorVertCh" val="b"/>
                            <dgm:param type="parTxLTRAlign" val="l"/>
                            <dgm:param type="parTxRTLAlign" val="r"/>
                          </dgm:alg>
                        </dgm:if>
                        <dgm:else name="Name148">
                          <dgm:alg type="tx">
                            <dgm:param type="txAnchorVert" val="b"/>
                            <dgm:param type="parTxLTRAlign" val="r"/>
                            <dgm:param type="parTxRTLAlign" val="r"/>
                          </dgm:alg>
                        </dgm:else>
                      </dgm:choose>
                    </dgm:else>
                  </dgm:choose>
                  <dgm:shape xmlns:r="http://schemas.openxmlformats.org/officeDocument/2006/relationships" type="rect" r:blip="">
                    <dgm:adjLst/>
                  </dgm:shape>
                  <dgm:presOf axis="desOrSelf" ptType="node"/>
                  <dgm:choose name="Name149">
                    <dgm:if name="Name150" func="var" arg="dir" op="equ" val="norm">
                      <dgm:constrLst>
                        <dgm:constr type="rMarg"/>
                        <dgm:constr type="tMarg"/>
                        <dgm:constr type="bMarg"/>
                      </dgm:constrLst>
                    </dgm:if>
                    <dgm:else name="Name151">
                      <dgm:constrLst>
                        <dgm:constr type="lMarg"/>
                        <dgm:constr type="tMarg"/>
                        <dgm:constr type="bMarg"/>
                      </dgm:constrLst>
                    </dgm:else>
                  </dgm:choose>
                  <dgm:ruleLst>
                    <dgm:rule type="primFontSz" val="5" fact="NaN" max="NaN"/>
                  </dgm:ruleLst>
                </dgm:layoutNode>
              </dgm:forEach>
              <dgm:forEach name="Name152" axis="ch" ptType="node" st="2" cnt="1">
                <dgm:layoutNode name="bullet5b" styleLbl="node1">
                  <dgm:alg type="sp"/>
                  <dgm:shape xmlns:r="http://schemas.openxmlformats.org/officeDocument/2006/relationships" type="ellipse" r:blip="">
                    <dgm:adjLst/>
                  </dgm:shape>
                  <dgm:presOf/>
                  <dgm:constrLst/>
                  <dgm:ruleLst/>
                </dgm:layoutNode>
                <dgm:layoutNode name="textBox5b" styleLbl="revTx">
                  <dgm:varLst>
                    <dgm:bulletEnabled val="1"/>
                  </dgm:varLst>
                  <dgm:choose name="Name153">
                    <dgm:if name="Name154" func="var" arg="dir" op="equ" val="norm">
                      <dgm:choose name="Name155">
                        <dgm:if name="Name156" axis="root des" ptType="all node" func="maxDepth" op="gt" val="1">
                          <dgm:alg type="tx">
                            <dgm:param type="txAnchorVert" val="t"/>
                            <dgm:param type="parTxLTRAlign" val="l"/>
                            <dgm:param type="parTxRTLAlign" val="r"/>
                          </dgm:alg>
                        </dgm:if>
                        <dgm:else name="Name157">
                          <dgm:alg type="tx">
                            <dgm:param type="txAnchorVert" val="t"/>
                            <dgm:param type="parTxLTRAlign" val="l"/>
                            <dgm:param type="parTxRTLAlign" val="l"/>
                          </dgm:alg>
                        </dgm:else>
                      </dgm:choose>
                    </dgm:if>
                    <dgm:else name="Name158">
                      <dgm:choose name="Name159">
                        <dgm:if name="Name160" axis="root des" ptType="all node" func="maxDepth" op="gt" val="1">
                          <dgm:alg type="tx">
                            <dgm:param type="txAnchorVert" val="b"/>
                            <dgm:param type="txAnchorVertCh" val="b"/>
                            <dgm:param type="parTxLTRAlign" val="l"/>
                            <dgm:param type="parTxRTLAlign" val="r"/>
                          </dgm:alg>
                        </dgm:if>
                        <dgm:else name="Name161">
                          <dgm:alg type="tx">
                            <dgm:param type="txAnchorVert" val="b"/>
                            <dgm:param type="parTxLTRAlign" val="r"/>
                            <dgm:param type="parTxRTLAlign" val="r"/>
                          </dgm:alg>
                        </dgm:else>
                      </dgm:choose>
                    </dgm:else>
                  </dgm:choose>
                  <dgm:shape xmlns:r="http://schemas.openxmlformats.org/officeDocument/2006/relationships" type="rect" r:blip="">
                    <dgm:adjLst/>
                  </dgm:shape>
                  <dgm:presOf axis="desOrSelf" ptType="node"/>
                  <dgm:choose name="Name162">
                    <dgm:if name="Name163" func="var" arg="dir" op="equ" val="norm">
                      <dgm:constrLst>
                        <dgm:constr type="rMarg"/>
                        <dgm:constr type="tMarg"/>
                        <dgm:constr type="bMarg"/>
                      </dgm:constrLst>
                    </dgm:if>
                    <dgm:else name="Name164">
                      <dgm:constrLst>
                        <dgm:constr type="lMarg"/>
                        <dgm:constr type="tMarg"/>
                        <dgm:constr type="bMarg"/>
                      </dgm:constrLst>
                    </dgm:else>
                  </dgm:choose>
                  <dgm:ruleLst>
                    <dgm:rule type="primFontSz" val="5" fact="NaN" max="NaN"/>
                  </dgm:ruleLst>
                </dgm:layoutNode>
              </dgm:forEach>
              <dgm:forEach name="Name165" axis="ch" ptType="node" st="3" cnt="1">
                <dgm:layoutNode name="bullet5c" styleLbl="node1">
                  <dgm:alg type="sp"/>
                  <dgm:shape xmlns:r="http://schemas.openxmlformats.org/officeDocument/2006/relationships" type="ellipse" r:blip="">
                    <dgm:adjLst/>
                  </dgm:shape>
                  <dgm:presOf/>
                  <dgm:constrLst/>
                  <dgm:ruleLst/>
                </dgm:layoutNode>
                <dgm:layoutNode name="textBox5c" styleLbl="revTx">
                  <dgm:varLst>
                    <dgm:bulletEnabled val="1"/>
                  </dgm:varLst>
                  <dgm:choose name="Name166">
                    <dgm:if name="Name167" func="var" arg="dir" op="equ" val="norm">
                      <dgm:choose name="Name168">
                        <dgm:if name="Name169" axis="root des" ptType="all node" func="maxDepth" op="gt" val="1">
                          <dgm:alg type="tx">
                            <dgm:param type="txAnchorVert" val="t"/>
                            <dgm:param type="parTxLTRAlign" val="l"/>
                            <dgm:param type="parTxRTLAlign" val="r"/>
                          </dgm:alg>
                        </dgm:if>
                        <dgm:else name="Name170">
                          <dgm:alg type="tx">
                            <dgm:param type="txAnchorVert" val="t"/>
                            <dgm:param type="parTxLTRAlign" val="l"/>
                            <dgm:param type="parTxRTLAlign" val="l"/>
                          </dgm:alg>
                        </dgm:else>
                      </dgm:choose>
                    </dgm:if>
                    <dgm:else name="Name171">
                      <dgm:choose name="Name172">
                        <dgm:if name="Name173" axis="root des" ptType="all node" func="maxDepth" op="gt" val="1">
                          <dgm:alg type="tx">
                            <dgm:param type="txAnchorVert" val="b"/>
                            <dgm:param type="txAnchorVertCh" val="b"/>
                            <dgm:param type="parTxLTRAlign" val="l"/>
                            <dgm:param type="parTxRTLAlign" val="r"/>
                          </dgm:alg>
                        </dgm:if>
                        <dgm:else name="Name174">
                          <dgm:alg type="tx">
                            <dgm:param type="txAnchorVert" val="b"/>
                            <dgm:param type="parTxLTRAlign" val="r"/>
                            <dgm:param type="parTxRTLAlign" val="r"/>
                          </dgm:alg>
                        </dgm:else>
                      </dgm:choose>
                    </dgm:else>
                  </dgm:choose>
                  <dgm:shape xmlns:r="http://schemas.openxmlformats.org/officeDocument/2006/relationships" type="rect" r:blip="">
                    <dgm:adjLst/>
                  </dgm:shape>
                  <dgm:presOf axis="desOrSelf" ptType="node"/>
                  <dgm:choose name="Name175">
                    <dgm:if name="Name176" func="var" arg="dir" op="equ" val="norm">
                      <dgm:constrLst>
                        <dgm:constr type="rMarg"/>
                        <dgm:constr type="tMarg"/>
                        <dgm:constr type="bMarg"/>
                      </dgm:constrLst>
                    </dgm:if>
                    <dgm:else name="Name177">
                      <dgm:constrLst>
                        <dgm:constr type="lMarg"/>
                        <dgm:constr type="tMarg"/>
                        <dgm:constr type="bMarg"/>
                      </dgm:constrLst>
                    </dgm:else>
                  </dgm:choose>
                  <dgm:ruleLst>
                    <dgm:rule type="primFontSz" val="5" fact="NaN" max="NaN"/>
                  </dgm:ruleLst>
                </dgm:layoutNode>
              </dgm:forEach>
              <dgm:forEach name="Name178" axis="ch" ptType="node" st="4" cnt="1">
                <dgm:layoutNode name="bullet5d" styleLbl="node1">
                  <dgm:alg type="sp"/>
                  <dgm:shape xmlns:r="http://schemas.openxmlformats.org/officeDocument/2006/relationships" type="ellipse" r:blip="">
                    <dgm:adjLst/>
                  </dgm:shape>
                  <dgm:presOf/>
                  <dgm:constrLst/>
                  <dgm:ruleLst/>
                </dgm:layoutNode>
                <dgm:layoutNode name="textBox5d" styleLbl="revTx">
                  <dgm:varLst>
                    <dgm:bulletEnabled val="1"/>
                  </dgm:varLst>
                  <dgm:choose name="Name179">
                    <dgm:if name="Name180" func="var" arg="dir" op="equ" val="norm">
                      <dgm:choose name="Name181">
                        <dgm:if name="Name182" axis="root des" ptType="all node" func="maxDepth" op="gt" val="1">
                          <dgm:alg type="tx">
                            <dgm:param type="txAnchorVert" val="t"/>
                            <dgm:param type="parTxLTRAlign" val="l"/>
                            <dgm:param type="parTxRTLAlign" val="r"/>
                          </dgm:alg>
                        </dgm:if>
                        <dgm:else name="Name183">
                          <dgm:alg type="tx">
                            <dgm:param type="txAnchorVert" val="t"/>
                            <dgm:param type="parTxLTRAlign" val="l"/>
                            <dgm:param type="parTxRTLAlign" val="l"/>
                          </dgm:alg>
                        </dgm:else>
                      </dgm:choose>
                    </dgm:if>
                    <dgm:else name="Name184">
                      <dgm:choose name="Name185">
                        <dgm:if name="Name186" axis="root des" ptType="all node" func="maxDepth" op="gt" val="1">
                          <dgm:alg type="tx">
                            <dgm:param type="txAnchorVert" val="b"/>
                            <dgm:param type="txAnchorVertCh" val="b"/>
                            <dgm:param type="parTxLTRAlign" val="l"/>
                            <dgm:param type="parTxRTLAlign" val="r"/>
                          </dgm:alg>
                        </dgm:if>
                        <dgm:else name="Name187">
                          <dgm:alg type="tx">
                            <dgm:param type="txAnchorVert" val="b"/>
                            <dgm:param type="parTxLTRAlign" val="r"/>
                            <dgm:param type="parTxRTLAlign" val="r"/>
                          </dgm:alg>
                        </dgm:else>
                      </dgm:choose>
                    </dgm:else>
                  </dgm:choose>
                  <dgm:shape xmlns:r="http://schemas.openxmlformats.org/officeDocument/2006/relationships" type="rect" r:blip="">
                    <dgm:adjLst/>
                  </dgm:shape>
                  <dgm:presOf axis="desOrSelf" ptType="node"/>
                  <dgm:choose name="Name188">
                    <dgm:if name="Name189" func="var" arg="dir" op="equ" val="norm">
                      <dgm:constrLst>
                        <dgm:constr type="rMarg"/>
                        <dgm:constr type="tMarg"/>
                        <dgm:constr type="bMarg"/>
                      </dgm:constrLst>
                    </dgm:if>
                    <dgm:else name="Name190">
                      <dgm:constrLst>
                        <dgm:constr type="lMarg"/>
                        <dgm:constr type="tMarg"/>
                        <dgm:constr type="bMarg"/>
                      </dgm:constrLst>
                    </dgm:else>
                  </dgm:choose>
                  <dgm:ruleLst>
                    <dgm:rule type="primFontSz" val="5" fact="NaN" max="NaN"/>
                  </dgm:ruleLst>
                </dgm:layoutNode>
              </dgm:forEach>
              <dgm:forEach name="Name191" axis="ch" ptType="node" st="5" cnt="1">
                <dgm:layoutNode name="bullet5e" styleLbl="node1">
                  <dgm:alg type="sp"/>
                  <dgm:shape xmlns:r="http://schemas.openxmlformats.org/officeDocument/2006/relationships" type="ellipse" r:blip="">
                    <dgm:adjLst/>
                  </dgm:shape>
                  <dgm:presOf/>
                  <dgm:constrLst/>
                  <dgm:ruleLst/>
                </dgm:layoutNode>
                <dgm:layoutNode name="textBox5e" styleLbl="revTx">
                  <dgm:varLst>
                    <dgm:bulletEnabled val="1"/>
                  </dgm:varLst>
                  <dgm:choose name="Name192">
                    <dgm:if name="Name193" func="var" arg="dir" op="equ" val="norm">
                      <dgm:choose name="Name194">
                        <dgm:if name="Name195" axis="root des" ptType="all node" func="maxDepth" op="gt" val="1">
                          <dgm:alg type="tx">
                            <dgm:param type="txAnchorVert" val="t"/>
                            <dgm:param type="parTxLTRAlign" val="l"/>
                            <dgm:param type="parTxRTLAlign" val="r"/>
                          </dgm:alg>
                        </dgm:if>
                        <dgm:else name="Name196">
                          <dgm:alg type="tx">
                            <dgm:param type="txAnchorVert" val="t"/>
                            <dgm:param type="parTxLTRAlign" val="l"/>
                            <dgm:param type="parTxRTLAlign" val="l"/>
                          </dgm:alg>
                        </dgm:else>
                      </dgm:choose>
                    </dgm:if>
                    <dgm:else name="Name197">
                      <dgm:choose name="Name198">
                        <dgm:if name="Name199" axis="root des" ptType="all node" func="maxDepth" op="gt" val="1">
                          <dgm:alg type="tx">
                            <dgm:param type="txAnchorVert" val="b"/>
                            <dgm:param type="txAnchorVertCh" val="b"/>
                            <dgm:param type="parTxLTRAlign" val="l"/>
                            <dgm:param type="parTxRTLAlign" val="r"/>
                          </dgm:alg>
                        </dgm:if>
                        <dgm:else name="Name200">
                          <dgm:alg type="tx">
                            <dgm:param type="txAnchorVert" val="b"/>
                            <dgm:param type="parTxLTRAlign" val="r"/>
                            <dgm:param type="parTxRTLAlign" val="r"/>
                          </dgm:alg>
                        </dgm:else>
                      </dgm:choose>
                    </dgm:else>
                  </dgm:choose>
                  <dgm:shape xmlns:r="http://schemas.openxmlformats.org/officeDocument/2006/relationships" type="rect" r:blip="">
                    <dgm:adjLst/>
                  </dgm:shape>
                  <dgm:presOf axis="desOrSelf" ptType="node"/>
                  <dgm:choose name="Name201">
                    <dgm:if name="Name202" func="var" arg="dir" op="equ" val="norm">
                      <dgm:constrLst>
                        <dgm:constr type="rMarg"/>
                        <dgm:constr type="tMarg"/>
                        <dgm:constr type="bMarg"/>
                      </dgm:constrLst>
                    </dgm:if>
                    <dgm:else name="Name203">
                      <dgm:constrLst>
                        <dgm:constr type="lMarg"/>
                        <dgm:constr type="tMarg"/>
                        <dgm:constr type="bMarg"/>
                      </dgm:constrLst>
                    </dgm:else>
                  </dgm:choose>
                  <dgm:ruleLst>
                    <dgm:rule type="primFontSz" val="5" fact="NaN" max="NaN"/>
                  </dgm:ruleLst>
                </dgm:layoutNode>
              </dgm:forEach>
            </dgm:layoutNode>
          </dgm:else>
        </dgm:choose>
      </dgm:if>
      <dgm:else name="Name204"/>
    </dgm:choose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Sensitivities!A1"/><Relationship Id="rId3" Type="http://schemas.openxmlformats.org/officeDocument/2006/relationships/hyperlink" Target="#Assumptions!A1"/><Relationship Id="rId7" Type="http://schemas.openxmlformats.org/officeDocument/2006/relationships/hyperlink" Target="#Valuation!A1"/><Relationship Id="rId2" Type="http://schemas.openxmlformats.org/officeDocument/2006/relationships/hyperlink" Target="#'Industry Data'!A1"/><Relationship Id="rId1" Type="http://schemas.openxmlformats.org/officeDocument/2006/relationships/image" Target="../media/image1.png"/><Relationship Id="rId6" Type="http://schemas.openxmlformats.org/officeDocument/2006/relationships/hyperlink" Target="#Ratios!A1"/><Relationship Id="rId5" Type="http://schemas.openxmlformats.org/officeDocument/2006/relationships/hyperlink" Target="#'Adj from Unconsol to Consol'!A1"/><Relationship Id="rId10" Type="http://schemas.openxmlformats.org/officeDocument/2006/relationships/hyperlink" Target="#'Vertical Analysis'!A1"/><Relationship Id="rId4" Type="http://schemas.openxmlformats.org/officeDocument/2006/relationships/hyperlink" Target="#MEBL!A1"/><Relationship Id="rId9" Type="http://schemas.openxmlformats.org/officeDocument/2006/relationships/hyperlink" Target="#'Horizontal Analysis'!A1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diagramData" Target="../diagrams/data1.xml"/><Relationship Id="rId3" Type="http://schemas.openxmlformats.org/officeDocument/2006/relationships/chart" Target="../charts/chart44.xml"/><Relationship Id="rId7" Type="http://schemas.openxmlformats.org/officeDocument/2006/relationships/chart" Target="../charts/chart48.xml"/><Relationship Id="rId12" Type="http://schemas.microsoft.com/office/2007/relationships/diagramDrawing" Target="../diagrams/drawing1.xml"/><Relationship Id="rId2" Type="http://schemas.openxmlformats.org/officeDocument/2006/relationships/chart" Target="../charts/chart43.xml"/><Relationship Id="rId1" Type="http://schemas.openxmlformats.org/officeDocument/2006/relationships/chart" Target="../charts/chart42.xml"/><Relationship Id="rId6" Type="http://schemas.openxmlformats.org/officeDocument/2006/relationships/chart" Target="../charts/chart47.xml"/><Relationship Id="rId11" Type="http://schemas.openxmlformats.org/officeDocument/2006/relationships/diagramColors" Target="../diagrams/colors1.xml"/><Relationship Id="rId5" Type="http://schemas.openxmlformats.org/officeDocument/2006/relationships/chart" Target="../charts/chart46.xml"/><Relationship Id="rId10" Type="http://schemas.openxmlformats.org/officeDocument/2006/relationships/diagramQuickStyle" Target="../diagrams/quickStyle1.xml"/><Relationship Id="rId4" Type="http://schemas.openxmlformats.org/officeDocument/2006/relationships/chart" Target="../charts/chart45.xml"/><Relationship Id="rId9" Type="http://schemas.openxmlformats.org/officeDocument/2006/relationships/diagramLayout" Target="../diagrams/layou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13" Type="http://schemas.openxmlformats.org/officeDocument/2006/relationships/chart" Target="../charts/chart12.xml"/><Relationship Id="rId18" Type="http://schemas.openxmlformats.org/officeDocument/2006/relationships/chart" Target="../charts/chart17.xml"/><Relationship Id="rId26" Type="http://schemas.openxmlformats.org/officeDocument/2006/relationships/chart" Target="../charts/chart25.xml"/><Relationship Id="rId3" Type="http://schemas.openxmlformats.org/officeDocument/2006/relationships/chart" Target="../charts/chart2.xml"/><Relationship Id="rId21" Type="http://schemas.openxmlformats.org/officeDocument/2006/relationships/chart" Target="../charts/chart20.xml"/><Relationship Id="rId7" Type="http://schemas.openxmlformats.org/officeDocument/2006/relationships/chart" Target="../charts/chart6.xml"/><Relationship Id="rId12" Type="http://schemas.openxmlformats.org/officeDocument/2006/relationships/chart" Target="../charts/chart11.xml"/><Relationship Id="rId17" Type="http://schemas.openxmlformats.org/officeDocument/2006/relationships/chart" Target="../charts/chart16.xml"/><Relationship Id="rId25" Type="http://schemas.openxmlformats.org/officeDocument/2006/relationships/chart" Target="../charts/chart24.xml"/><Relationship Id="rId2" Type="http://schemas.openxmlformats.org/officeDocument/2006/relationships/chart" Target="../charts/chart1.xml"/><Relationship Id="rId16" Type="http://schemas.openxmlformats.org/officeDocument/2006/relationships/chart" Target="../charts/chart15.xml"/><Relationship Id="rId20" Type="http://schemas.openxmlformats.org/officeDocument/2006/relationships/chart" Target="../charts/chart19.xml"/><Relationship Id="rId1" Type="http://schemas.openxmlformats.org/officeDocument/2006/relationships/image" Target="../media/image2.png"/><Relationship Id="rId6" Type="http://schemas.openxmlformats.org/officeDocument/2006/relationships/chart" Target="../charts/chart5.xml"/><Relationship Id="rId11" Type="http://schemas.openxmlformats.org/officeDocument/2006/relationships/chart" Target="../charts/chart10.xml"/><Relationship Id="rId24" Type="http://schemas.openxmlformats.org/officeDocument/2006/relationships/chart" Target="../charts/chart23.xml"/><Relationship Id="rId5" Type="http://schemas.openxmlformats.org/officeDocument/2006/relationships/chart" Target="../charts/chart4.xml"/><Relationship Id="rId15" Type="http://schemas.openxmlformats.org/officeDocument/2006/relationships/chart" Target="../charts/chart14.xml"/><Relationship Id="rId23" Type="http://schemas.openxmlformats.org/officeDocument/2006/relationships/chart" Target="../charts/chart22.xml"/><Relationship Id="rId10" Type="http://schemas.openxmlformats.org/officeDocument/2006/relationships/chart" Target="../charts/chart9.xml"/><Relationship Id="rId19" Type="http://schemas.openxmlformats.org/officeDocument/2006/relationships/chart" Target="../charts/chart18.xml"/><Relationship Id="rId4" Type="http://schemas.openxmlformats.org/officeDocument/2006/relationships/chart" Target="../charts/chart3.xml"/><Relationship Id="rId9" Type="http://schemas.openxmlformats.org/officeDocument/2006/relationships/chart" Target="../charts/chart8.xml"/><Relationship Id="rId14" Type="http://schemas.openxmlformats.org/officeDocument/2006/relationships/chart" Target="../charts/chart13.xml"/><Relationship Id="rId22" Type="http://schemas.openxmlformats.org/officeDocument/2006/relationships/chart" Target="../charts/chart21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8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Relationship Id="rId6" Type="http://schemas.openxmlformats.org/officeDocument/2006/relationships/chart" Target="../charts/chart31.xml"/><Relationship Id="rId5" Type="http://schemas.openxmlformats.org/officeDocument/2006/relationships/chart" Target="../charts/chart30.xml"/><Relationship Id="rId4" Type="http://schemas.openxmlformats.org/officeDocument/2006/relationships/chart" Target="../charts/chart29.xml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9.xml"/><Relationship Id="rId3" Type="http://schemas.openxmlformats.org/officeDocument/2006/relationships/chart" Target="../charts/chart34.xml"/><Relationship Id="rId7" Type="http://schemas.openxmlformats.org/officeDocument/2006/relationships/chart" Target="../charts/chart38.xml"/><Relationship Id="rId2" Type="http://schemas.openxmlformats.org/officeDocument/2006/relationships/chart" Target="../charts/chart33.xml"/><Relationship Id="rId1" Type="http://schemas.openxmlformats.org/officeDocument/2006/relationships/chart" Target="../charts/chart32.xml"/><Relationship Id="rId6" Type="http://schemas.openxmlformats.org/officeDocument/2006/relationships/chart" Target="../charts/chart37.xml"/><Relationship Id="rId5" Type="http://schemas.openxmlformats.org/officeDocument/2006/relationships/chart" Target="../charts/chart36.xml"/><Relationship Id="rId10" Type="http://schemas.openxmlformats.org/officeDocument/2006/relationships/chart" Target="../charts/chart41.xml"/><Relationship Id="rId4" Type="http://schemas.openxmlformats.org/officeDocument/2006/relationships/chart" Target="../charts/chart35.xml"/><Relationship Id="rId9" Type="http://schemas.openxmlformats.org/officeDocument/2006/relationships/chart" Target="../charts/chart4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651828</xdr:colOff>
      <xdr:row>4</xdr:row>
      <xdr:rowOff>178726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3006408" cy="910246"/>
        </a:xfrm>
        <a:prstGeom prst="rect">
          <a:avLst/>
        </a:prstGeom>
      </xdr:spPr>
    </xdr:pic>
    <xdr:clientData/>
  </xdr:twoCellAnchor>
  <xdr:twoCellAnchor>
    <xdr:from>
      <xdr:col>9</xdr:col>
      <xdr:colOff>195577</xdr:colOff>
      <xdr:row>7</xdr:row>
      <xdr:rowOff>0</xdr:rowOff>
    </xdr:from>
    <xdr:to>
      <xdr:col>19</xdr:col>
      <xdr:colOff>513714</xdr:colOff>
      <xdr:row>21</xdr:row>
      <xdr:rowOff>180340</xdr:rowOff>
    </xdr:to>
    <xdr:grpSp>
      <xdr:nvGrpSpPr>
        <xdr:cNvPr id="18" name="Group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GrpSpPr/>
      </xdr:nvGrpSpPr>
      <xdr:grpSpPr>
        <a:xfrm>
          <a:off x="7053577" y="1411941"/>
          <a:ext cx="6145196" cy="2645634"/>
          <a:chOff x="223835" y="1639887"/>
          <a:chExt cx="6430012" cy="2005964"/>
        </a:xfrm>
      </xdr:grpSpPr>
      <xdr:sp macro="" textlink="">
        <xdr:nvSpPr>
          <xdr:cNvPr id="5" name="Rounded Rectangle 4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SpPr/>
        </xdr:nvSpPr>
        <xdr:spPr>
          <a:xfrm>
            <a:off x="223835" y="1654809"/>
            <a:ext cx="1965960" cy="548640"/>
          </a:xfrm>
          <a:prstGeom prst="roundRect">
            <a:avLst/>
          </a:prstGeom>
          <a:solidFill>
            <a:schemeClr val="accent4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200" b="1"/>
              <a:t>Industry</a:t>
            </a:r>
            <a:r>
              <a:rPr lang="en-US" sz="1200" b="1" baseline="0"/>
              <a:t> Data</a:t>
            </a:r>
          </a:p>
        </xdr:txBody>
      </xdr:sp>
      <xdr:sp macro="" textlink="">
        <xdr:nvSpPr>
          <xdr:cNvPr id="6" name="Rounded Rectangle 5">
            <a:hlinkClick xmlns:r="http://schemas.openxmlformats.org/officeDocument/2006/relationships" r:id="rId3"/>
            <a:extLst>
              <a:ext uri="{FF2B5EF4-FFF2-40B4-BE49-F238E27FC236}">
                <a16:creationId xmlns:a16="http://schemas.microsoft.com/office/drawing/2014/main" id="{00000000-0008-0000-0000-000006000000}"/>
              </a:ext>
            </a:extLst>
          </xdr:cNvPr>
          <xdr:cNvSpPr/>
        </xdr:nvSpPr>
        <xdr:spPr>
          <a:xfrm>
            <a:off x="2455861" y="1639887"/>
            <a:ext cx="1965960" cy="548640"/>
          </a:xfrm>
          <a:prstGeom prst="roundRect">
            <a:avLst/>
          </a:prstGeom>
          <a:solidFill>
            <a:schemeClr val="accent4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200" b="1"/>
              <a:t>Assumptions</a:t>
            </a:r>
          </a:p>
        </xdr:txBody>
      </xdr:sp>
      <xdr:sp macro="" textlink="">
        <xdr:nvSpPr>
          <xdr:cNvPr id="7" name="Rounded Rectangle 6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00000000-0008-0000-0000-000007000000}"/>
              </a:ext>
            </a:extLst>
          </xdr:cNvPr>
          <xdr:cNvSpPr/>
        </xdr:nvSpPr>
        <xdr:spPr>
          <a:xfrm>
            <a:off x="4687887" y="1649411"/>
            <a:ext cx="1965960" cy="548640"/>
          </a:xfrm>
          <a:prstGeom prst="roundRect">
            <a:avLst/>
          </a:prstGeom>
          <a:solidFill>
            <a:schemeClr val="accent4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200" b="1"/>
              <a:t>Model-MEBL</a:t>
            </a:r>
          </a:p>
        </xdr:txBody>
      </xdr:sp>
      <xdr:sp macro="" textlink="">
        <xdr:nvSpPr>
          <xdr:cNvPr id="8" name="Rounded Rectangle 7">
            <a:hlinkClick xmlns:r="http://schemas.openxmlformats.org/officeDocument/2006/relationships" r:id="rId5"/>
            <a:extLst>
              <a:ext uri="{FF2B5EF4-FFF2-40B4-BE49-F238E27FC236}">
                <a16:creationId xmlns:a16="http://schemas.microsoft.com/office/drawing/2014/main" id="{00000000-0008-0000-0000-000008000000}"/>
              </a:ext>
            </a:extLst>
          </xdr:cNvPr>
          <xdr:cNvSpPr/>
        </xdr:nvSpPr>
        <xdr:spPr>
          <a:xfrm>
            <a:off x="223835" y="2383629"/>
            <a:ext cx="1965960" cy="548640"/>
          </a:xfrm>
          <a:prstGeom prst="roundRect">
            <a:avLst/>
          </a:prstGeom>
          <a:solidFill>
            <a:schemeClr val="accent4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200" b="1"/>
              <a:t>Adjustment</a:t>
            </a:r>
            <a:r>
              <a:rPr lang="en-US" sz="1200" b="1" baseline="0"/>
              <a:t> for Consolidation</a:t>
            </a:r>
            <a:endParaRPr lang="en-US" sz="1200" b="1"/>
          </a:p>
        </xdr:txBody>
      </xdr:sp>
      <xdr:sp macro="" textlink="">
        <xdr:nvSpPr>
          <xdr:cNvPr id="9" name="Rounded Rectangle 8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00000000-0008-0000-0000-000009000000}"/>
              </a:ext>
            </a:extLst>
          </xdr:cNvPr>
          <xdr:cNvSpPr/>
        </xdr:nvSpPr>
        <xdr:spPr>
          <a:xfrm>
            <a:off x="2468562" y="2368548"/>
            <a:ext cx="1965960" cy="548640"/>
          </a:xfrm>
          <a:prstGeom prst="roundRect">
            <a:avLst/>
          </a:prstGeom>
          <a:solidFill>
            <a:schemeClr val="accent4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200" b="1"/>
              <a:t>Ratios</a:t>
            </a:r>
          </a:p>
        </xdr:txBody>
      </xdr:sp>
      <xdr:sp macro="" textlink="">
        <xdr:nvSpPr>
          <xdr:cNvPr id="10" name="Rounded Rectangle 9">
            <a:hlinkClick xmlns:r="http://schemas.openxmlformats.org/officeDocument/2006/relationships" r:id="rId7"/>
            <a:extLst>
              <a:ext uri="{FF2B5EF4-FFF2-40B4-BE49-F238E27FC236}">
                <a16:creationId xmlns:a16="http://schemas.microsoft.com/office/drawing/2014/main" id="{00000000-0008-0000-0000-00000A000000}"/>
              </a:ext>
            </a:extLst>
          </xdr:cNvPr>
          <xdr:cNvSpPr/>
        </xdr:nvSpPr>
        <xdr:spPr>
          <a:xfrm>
            <a:off x="4687887" y="2373311"/>
            <a:ext cx="1965960" cy="548640"/>
          </a:xfrm>
          <a:prstGeom prst="roundRect">
            <a:avLst/>
          </a:prstGeom>
          <a:solidFill>
            <a:schemeClr val="accent4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200" b="1"/>
              <a:t>Valuation</a:t>
            </a:r>
          </a:p>
        </xdr:txBody>
      </xdr:sp>
      <xdr:sp macro="" textlink="">
        <xdr:nvSpPr>
          <xdr:cNvPr id="11" name="Rounded Rectangle 10">
            <a:hlinkClick xmlns:r="http://schemas.openxmlformats.org/officeDocument/2006/relationships" r:id="rId8"/>
            <a:extLst>
              <a:ext uri="{FF2B5EF4-FFF2-40B4-BE49-F238E27FC236}">
                <a16:creationId xmlns:a16="http://schemas.microsoft.com/office/drawing/2014/main" id="{00000000-0008-0000-0000-00000B000000}"/>
              </a:ext>
            </a:extLst>
          </xdr:cNvPr>
          <xdr:cNvSpPr/>
        </xdr:nvSpPr>
        <xdr:spPr>
          <a:xfrm>
            <a:off x="223835" y="3097211"/>
            <a:ext cx="1965960" cy="548640"/>
          </a:xfrm>
          <a:prstGeom prst="roundRect">
            <a:avLst/>
          </a:prstGeom>
          <a:solidFill>
            <a:schemeClr val="accent4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200" b="1"/>
              <a:t>Sensitivity</a:t>
            </a:r>
            <a:r>
              <a:rPr lang="en-US" sz="1200" b="1" baseline="0"/>
              <a:t> Analysis</a:t>
            </a:r>
            <a:endParaRPr lang="en-US" sz="1200" b="1"/>
          </a:p>
        </xdr:txBody>
      </xdr:sp>
      <xdr:sp macro="" textlink="">
        <xdr:nvSpPr>
          <xdr:cNvPr id="12" name="Rounded Rectangle 11">
            <a:hlinkClick xmlns:r="http://schemas.openxmlformats.org/officeDocument/2006/relationships" r:id="rId9"/>
            <a:extLst>
              <a:ext uri="{FF2B5EF4-FFF2-40B4-BE49-F238E27FC236}">
                <a16:creationId xmlns:a16="http://schemas.microsoft.com/office/drawing/2014/main" id="{00000000-0008-0000-0000-00000C000000}"/>
              </a:ext>
            </a:extLst>
          </xdr:cNvPr>
          <xdr:cNvSpPr/>
        </xdr:nvSpPr>
        <xdr:spPr>
          <a:xfrm>
            <a:off x="4687887" y="3097211"/>
            <a:ext cx="1965960" cy="548640"/>
          </a:xfrm>
          <a:prstGeom prst="roundRect">
            <a:avLst/>
          </a:prstGeom>
          <a:solidFill>
            <a:schemeClr val="accent4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200" b="1"/>
              <a:t>Horizontal</a:t>
            </a:r>
            <a:r>
              <a:rPr lang="en-US" sz="1200" b="1" baseline="0"/>
              <a:t> Analysis</a:t>
            </a:r>
            <a:endParaRPr lang="en-US" sz="1200" b="1"/>
          </a:p>
        </xdr:txBody>
      </xdr:sp>
      <xdr:sp macro="" textlink="">
        <xdr:nvSpPr>
          <xdr:cNvPr id="13" name="Rounded Rectangle 12">
            <a:hlinkClick xmlns:r="http://schemas.openxmlformats.org/officeDocument/2006/relationships" r:id="rId10"/>
            <a:extLst>
              <a:ext uri="{FF2B5EF4-FFF2-40B4-BE49-F238E27FC236}">
                <a16:creationId xmlns:a16="http://schemas.microsoft.com/office/drawing/2014/main" id="{00000000-0008-0000-0000-00000D000000}"/>
              </a:ext>
            </a:extLst>
          </xdr:cNvPr>
          <xdr:cNvSpPr/>
        </xdr:nvSpPr>
        <xdr:spPr>
          <a:xfrm>
            <a:off x="2443162" y="3097211"/>
            <a:ext cx="1965960" cy="548640"/>
          </a:xfrm>
          <a:prstGeom prst="roundRect">
            <a:avLst/>
          </a:prstGeom>
          <a:solidFill>
            <a:schemeClr val="accent4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200" b="1"/>
              <a:t>Vertical</a:t>
            </a:r>
            <a:r>
              <a:rPr lang="en-US" sz="1200" b="1" baseline="0"/>
              <a:t> Analysis</a:t>
            </a:r>
          </a:p>
        </xdr:txBody>
      </xdr:sp>
    </xdr:grpSp>
    <xdr:clientData/>
  </xdr:twoCellAnchor>
  <xdr:twoCellAnchor>
    <xdr:from>
      <xdr:col>9</xdr:col>
      <xdr:colOff>195577</xdr:colOff>
      <xdr:row>7</xdr:row>
      <xdr:rowOff>35698</xdr:rowOff>
    </xdr:from>
    <xdr:to>
      <xdr:col>19</xdr:col>
      <xdr:colOff>513714</xdr:colOff>
      <xdr:row>22</xdr:row>
      <xdr:rowOff>33475</xdr:rowOff>
    </xdr:to>
    <xdr:grpSp>
      <xdr:nvGrpSpPr>
        <xdr:cNvPr id="27" name="Group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GrpSpPr/>
      </xdr:nvGrpSpPr>
      <xdr:grpSpPr>
        <a:xfrm>
          <a:off x="7053577" y="1447639"/>
          <a:ext cx="6145196" cy="2653571"/>
          <a:chOff x="223835" y="1639887"/>
          <a:chExt cx="6430012" cy="2005964"/>
        </a:xfrm>
      </xdr:grpSpPr>
      <xdr:sp macro="" textlink="">
        <xdr:nvSpPr>
          <xdr:cNvPr id="28" name="Rounded Rectangle 27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00000000-0008-0000-0000-00001C000000}"/>
              </a:ext>
            </a:extLst>
          </xdr:cNvPr>
          <xdr:cNvSpPr/>
        </xdr:nvSpPr>
        <xdr:spPr>
          <a:xfrm>
            <a:off x="223835" y="1654809"/>
            <a:ext cx="1965960" cy="548640"/>
          </a:xfrm>
          <a:prstGeom prst="roundRect">
            <a:avLst/>
          </a:prstGeom>
          <a:solidFill>
            <a:schemeClr val="accent4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200" b="1"/>
              <a:t>Industry</a:t>
            </a:r>
            <a:r>
              <a:rPr lang="en-US" sz="1200" b="1" baseline="0"/>
              <a:t> Data</a:t>
            </a:r>
          </a:p>
        </xdr:txBody>
      </xdr:sp>
      <xdr:sp macro="" textlink="">
        <xdr:nvSpPr>
          <xdr:cNvPr id="29" name="Rounded Rectangle 28">
            <a:hlinkClick xmlns:r="http://schemas.openxmlformats.org/officeDocument/2006/relationships" r:id="rId3"/>
            <a:extLst>
              <a:ext uri="{FF2B5EF4-FFF2-40B4-BE49-F238E27FC236}">
                <a16:creationId xmlns:a16="http://schemas.microsoft.com/office/drawing/2014/main" id="{00000000-0008-0000-0000-00001D000000}"/>
              </a:ext>
            </a:extLst>
          </xdr:cNvPr>
          <xdr:cNvSpPr/>
        </xdr:nvSpPr>
        <xdr:spPr>
          <a:xfrm>
            <a:off x="2455861" y="1639887"/>
            <a:ext cx="1965960" cy="548640"/>
          </a:xfrm>
          <a:prstGeom prst="roundRect">
            <a:avLst/>
          </a:prstGeom>
          <a:solidFill>
            <a:schemeClr val="accent4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200" b="1"/>
              <a:t>Assumptions</a:t>
            </a:r>
          </a:p>
        </xdr:txBody>
      </xdr:sp>
      <xdr:sp macro="" textlink="">
        <xdr:nvSpPr>
          <xdr:cNvPr id="30" name="Rounded Rectangle 29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00000000-0008-0000-0000-00001E000000}"/>
              </a:ext>
            </a:extLst>
          </xdr:cNvPr>
          <xdr:cNvSpPr/>
        </xdr:nvSpPr>
        <xdr:spPr>
          <a:xfrm>
            <a:off x="4687887" y="1649411"/>
            <a:ext cx="1965960" cy="548640"/>
          </a:xfrm>
          <a:prstGeom prst="roundRect">
            <a:avLst/>
          </a:prstGeom>
          <a:solidFill>
            <a:schemeClr val="accent4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200" b="1"/>
              <a:t>Model-MEBL</a:t>
            </a:r>
          </a:p>
        </xdr:txBody>
      </xdr:sp>
      <xdr:sp macro="" textlink="">
        <xdr:nvSpPr>
          <xdr:cNvPr id="31" name="Rounded Rectangle 30">
            <a:hlinkClick xmlns:r="http://schemas.openxmlformats.org/officeDocument/2006/relationships" r:id="rId5"/>
            <a:extLst>
              <a:ext uri="{FF2B5EF4-FFF2-40B4-BE49-F238E27FC236}">
                <a16:creationId xmlns:a16="http://schemas.microsoft.com/office/drawing/2014/main" id="{00000000-0008-0000-0000-00001F000000}"/>
              </a:ext>
            </a:extLst>
          </xdr:cNvPr>
          <xdr:cNvSpPr/>
        </xdr:nvSpPr>
        <xdr:spPr>
          <a:xfrm>
            <a:off x="223835" y="2383629"/>
            <a:ext cx="1965960" cy="548640"/>
          </a:xfrm>
          <a:prstGeom prst="roundRect">
            <a:avLst/>
          </a:prstGeom>
          <a:solidFill>
            <a:schemeClr val="accent4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200" b="1"/>
              <a:t>Adjustment</a:t>
            </a:r>
            <a:r>
              <a:rPr lang="en-US" sz="1200" b="1" baseline="0"/>
              <a:t> for Consolidation</a:t>
            </a:r>
            <a:endParaRPr lang="en-US" sz="1200" b="1"/>
          </a:p>
        </xdr:txBody>
      </xdr:sp>
      <xdr:sp macro="" textlink="">
        <xdr:nvSpPr>
          <xdr:cNvPr id="32" name="Rounded Rectangle 31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00000000-0008-0000-0000-000020000000}"/>
              </a:ext>
            </a:extLst>
          </xdr:cNvPr>
          <xdr:cNvSpPr/>
        </xdr:nvSpPr>
        <xdr:spPr>
          <a:xfrm>
            <a:off x="2468562" y="2368548"/>
            <a:ext cx="1965960" cy="548640"/>
          </a:xfrm>
          <a:prstGeom prst="roundRect">
            <a:avLst/>
          </a:prstGeom>
          <a:solidFill>
            <a:schemeClr val="accent4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200" b="1"/>
              <a:t>Ratios</a:t>
            </a:r>
          </a:p>
        </xdr:txBody>
      </xdr:sp>
      <xdr:sp macro="" textlink="">
        <xdr:nvSpPr>
          <xdr:cNvPr id="33" name="Rounded Rectangle 32">
            <a:hlinkClick xmlns:r="http://schemas.openxmlformats.org/officeDocument/2006/relationships" r:id="rId7"/>
            <a:extLst>
              <a:ext uri="{FF2B5EF4-FFF2-40B4-BE49-F238E27FC236}">
                <a16:creationId xmlns:a16="http://schemas.microsoft.com/office/drawing/2014/main" id="{00000000-0008-0000-0000-000021000000}"/>
              </a:ext>
            </a:extLst>
          </xdr:cNvPr>
          <xdr:cNvSpPr/>
        </xdr:nvSpPr>
        <xdr:spPr>
          <a:xfrm>
            <a:off x="4687887" y="2373311"/>
            <a:ext cx="1965960" cy="548640"/>
          </a:xfrm>
          <a:prstGeom prst="roundRect">
            <a:avLst/>
          </a:prstGeom>
          <a:solidFill>
            <a:schemeClr val="accent4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200" b="1"/>
              <a:t>Valuation</a:t>
            </a:r>
          </a:p>
        </xdr:txBody>
      </xdr:sp>
      <xdr:sp macro="" textlink="">
        <xdr:nvSpPr>
          <xdr:cNvPr id="34" name="Rounded Rectangle 33">
            <a:hlinkClick xmlns:r="http://schemas.openxmlformats.org/officeDocument/2006/relationships" r:id="rId8"/>
            <a:extLst>
              <a:ext uri="{FF2B5EF4-FFF2-40B4-BE49-F238E27FC236}">
                <a16:creationId xmlns:a16="http://schemas.microsoft.com/office/drawing/2014/main" id="{00000000-0008-0000-0000-000022000000}"/>
              </a:ext>
            </a:extLst>
          </xdr:cNvPr>
          <xdr:cNvSpPr/>
        </xdr:nvSpPr>
        <xdr:spPr>
          <a:xfrm>
            <a:off x="223835" y="3097211"/>
            <a:ext cx="1965960" cy="548640"/>
          </a:xfrm>
          <a:prstGeom prst="roundRect">
            <a:avLst/>
          </a:prstGeom>
          <a:solidFill>
            <a:schemeClr val="accent4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200" b="1"/>
              <a:t>Sensitivity</a:t>
            </a:r>
            <a:r>
              <a:rPr lang="en-US" sz="1200" b="1" baseline="0"/>
              <a:t> Analysis</a:t>
            </a:r>
            <a:endParaRPr lang="en-US" sz="1200" b="1"/>
          </a:p>
        </xdr:txBody>
      </xdr:sp>
      <xdr:sp macro="" textlink="">
        <xdr:nvSpPr>
          <xdr:cNvPr id="35" name="Rounded Rectangle 34">
            <a:hlinkClick xmlns:r="http://schemas.openxmlformats.org/officeDocument/2006/relationships" r:id="rId9"/>
            <a:extLst>
              <a:ext uri="{FF2B5EF4-FFF2-40B4-BE49-F238E27FC236}">
                <a16:creationId xmlns:a16="http://schemas.microsoft.com/office/drawing/2014/main" id="{00000000-0008-0000-0000-000023000000}"/>
              </a:ext>
            </a:extLst>
          </xdr:cNvPr>
          <xdr:cNvSpPr/>
        </xdr:nvSpPr>
        <xdr:spPr>
          <a:xfrm>
            <a:off x="4687887" y="3097211"/>
            <a:ext cx="1965960" cy="548640"/>
          </a:xfrm>
          <a:prstGeom prst="roundRect">
            <a:avLst/>
          </a:prstGeom>
          <a:solidFill>
            <a:schemeClr val="accent4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200" b="1"/>
              <a:t>Horizontal</a:t>
            </a:r>
            <a:r>
              <a:rPr lang="en-US" sz="1200" b="1" baseline="0"/>
              <a:t> Analysis</a:t>
            </a:r>
            <a:endParaRPr lang="en-US" sz="1200" b="1"/>
          </a:p>
        </xdr:txBody>
      </xdr:sp>
      <xdr:sp macro="" textlink="">
        <xdr:nvSpPr>
          <xdr:cNvPr id="36" name="Rounded Rectangle 35">
            <a:hlinkClick xmlns:r="http://schemas.openxmlformats.org/officeDocument/2006/relationships" r:id="rId10"/>
            <a:extLst>
              <a:ext uri="{FF2B5EF4-FFF2-40B4-BE49-F238E27FC236}">
                <a16:creationId xmlns:a16="http://schemas.microsoft.com/office/drawing/2014/main" id="{00000000-0008-0000-0000-000024000000}"/>
              </a:ext>
            </a:extLst>
          </xdr:cNvPr>
          <xdr:cNvSpPr/>
        </xdr:nvSpPr>
        <xdr:spPr>
          <a:xfrm>
            <a:off x="2443162" y="3097211"/>
            <a:ext cx="1965960" cy="548640"/>
          </a:xfrm>
          <a:prstGeom prst="roundRect">
            <a:avLst/>
          </a:prstGeom>
          <a:solidFill>
            <a:schemeClr val="accent4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200" b="1"/>
              <a:t>Vertical</a:t>
            </a:r>
            <a:r>
              <a:rPr lang="en-US" sz="1200" b="1" baseline="0"/>
              <a:t> Analysis</a:t>
            </a:r>
          </a:p>
        </xdr:txBody>
      </xdr:sp>
    </xdr:grpSp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0.16458</cdr:x>
      <cdr:y>0.03704</cdr:y>
    </cdr:from>
    <cdr:to>
      <cdr:x>0.77569</cdr:x>
      <cdr:y>0.30324</cdr:y>
    </cdr:to>
    <cdr:cxnSp macro="">
      <cdr:nvCxnSpPr>
        <cdr:cNvPr id="3" name="Straight Arrow Connector 2">
          <a:extLst xmlns:a="http://schemas.openxmlformats.org/drawingml/2006/main">
            <a:ext uri="{FF2B5EF4-FFF2-40B4-BE49-F238E27FC236}">
              <a16:creationId xmlns:a16="http://schemas.microsoft.com/office/drawing/2014/main" id="{BCFA954F-24FC-44F2-9075-7A4E0E14C296}"/>
            </a:ext>
          </a:extLst>
        </cdr:cNvPr>
        <cdr:cNvCxnSpPr/>
      </cdr:nvCxnSpPr>
      <cdr:spPr>
        <a:xfrm xmlns:a="http://schemas.openxmlformats.org/drawingml/2006/main" flipV="1">
          <a:off x="752475" y="101600"/>
          <a:ext cx="2794000" cy="730250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accent2"/>
          </a:solidFill>
          <a:tailEnd type="triangle"/>
        </a:ln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0.22184</cdr:x>
      <cdr:y>0.06012</cdr:y>
    </cdr:from>
    <cdr:to>
      <cdr:x>0.57339</cdr:x>
      <cdr:y>0.1674</cdr:y>
    </cdr:to>
    <cdr:sp macro="" textlink="">
      <cdr:nvSpPr>
        <cdr:cNvPr id="5" name="TextBox 4"/>
        <cdr:cNvSpPr txBox="1"/>
      </cdr:nvSpPr>
      <cdr:spPr>
        <a:xfrm xmlns:a="http://schemas.openxmlformats.org/drawingml/2006/main" rot="20742249">
          <a:off x="1014233" y="164932"/>
          <a:ext cx="1607323" cy="29426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300" b="1">
              <a:solidFill>
                <a:schemeClr val="accent2"/>
              </a:solidFill>
            </a:rPr>
            <a:t>451 Branches Added</a:t>
          </a:r>
          <a:r>
            <a:rPr lang="en-US" sz="1100" b="1">
              <a:solidFill>
                <a:schemeClr val="accent2"/>
              </a:solidFill>
            </a:rPr>
            <a:t> </a:t>
          </a:r>
        </a:p>
        <a:p xmlns:a="http://schemas.openxmlformats.org/drawingml/2006/main">
          <a:endParaRPr lang="en-US" sz="1100"/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196102</xdr:colOff>
      <xdr:row>1</xdr:row>
      <xdr:rowOff>180413</xdr:rowOff>
    </xdr:from>
    <xdr:to>
      <xdr:col>23</xdr:col>
      <xdr:colOff>532279</xdr:colOff>
      <xdr:row>15</xdr:row>
      <xdr:rowOff>67234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179293</xdr:colOff>
      <xdr:row>16</xdr:row>
      <xdr:rowOff>101973</xdr:rowOff>
    </xdr:from>
    <xdr:to>
      <xdr:col>23</xdr:col>
      <xdr:colOff>515470</xdr:colOff>
      <xdr:row>30</xdr:row>
      <xdr:rowOff>155761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40822</xdr:colOff>
      <xdr:row>28</xdr:row>
      <xdr:rowOff>27214</xdr:rowOff>
    </xdr:from>
    <xdr:to>
      <xdr:col>15</xdr:col>
      <xdr:colOff>544286</xdr:colOff>
      <xdr:row>43</xdr:row>
      <xdr:rowOff>146957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421822</xdr:colOff>
      <xdr:row>44</xdr:row>
      <xdr:rowOff>152399</xdr:rowOff>
    </xdr:from>
    <xdr:to>
      <xdr:col>16</xdr:col>
      <xdr:colOff>95250</xdr:colOff>
      <xdr:row>60</xdr:row>
      <xdr:rowOff>108857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40821</xdr:colOff>
      <xdr:row>60</xdr:row>
      <xdr:rowOff>138792</xdr:rowOff>
    </xdr:from>
    <xdr:to>
      <xdr:col>13</xdr:col>
      <xdr:colOff>326571</xdr:colOff>
      <xdr:row>74</xdr:row>
      <xdr:rowOff>187778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299357</xdr:colOff>
      <xdr:row>76</xdr:row>
      <xdr:rowOff>179615</xdr:rowOff>
    </xdr:from>
    <xdr:to>
      <xdr:col>13</xdr:col>
      <xdr:colOff>585107</xdr:colOff>
      <xdr:row>91</xdr:row>
      <xdr:rowOff>38100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C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285750</xdr:colOff>
      <xdr:row>91</xdr:row>
      <xdr:rowOff>125185</xdr:rowOff>
    </xdr:from>
    <xdr:to>
      <xdr:col>14</xdr:col>
      <xdr:colOff>571500</xdr:colOff>
      <xdr:row>105</xdr:row>
      <xdr:rowOff>174171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C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0</xdr:colOff>
      <xdr:row>72</xdr:row>
      <xdr:rowOff>81643</xdr:rowOff>
    </xdr:from>
    <xdr:to>
      <xdr:col>20</xdr:col>
      <xdr:colOff>96883</xdr:colOff>
      <xdr:row>85</xdr:row>
      <xdr:rowOff>49712</xdr:rowOff>
    </xdr:to>
    <xdr:graphicFrame macro="">
      <xdr:nvGraphicFramePr>
        <xdr:cNvPr id="9" name="Diagram 8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8" r:lo="rId9" r:qs="rId10" r:cs="rId11"/>
        </a:graphicData>
      </a:graphic>
    </xdr:graphicFrame>
    <xdr:clientData/>
  </xdr:twoCellAnchor>
  <xdr:twoCellAnchor>
    <xdr:from>
      <xdr:col>18</xdr:col>
      <xdr:colOff>390071</xdr:colOff>
      <xdr:row>76</xdr:row>
      <xdr:rowOff>63499</xdr:rowOff>
    </xdr:from>
    <xdr:to>
      <xdr:col>20</xdr:col>
      <xdr:colOff>108857</xdr:colOff>
      <xdr:row>82</xdr:row>
      <xdr:rowOff>117927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0000000-0008-0000-0C00-00000A000000}"/>
            </a:ext>
          </a:extLst>
        </xdr:cNvPr>
        <xdr:cNvSpPr txBox="1"/>
      </xdr:nvSpPr>
      <xdr:spPr>
        <a:xfrm>
          <a:off x="13679714" y="13942785"/>
          <a:ext cx="934357" cy="11520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8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P1</a:t>
          </a:r>
          <a:r>
            <a:rPr lang="en-US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US" sz="800" b="0" i="1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improving cyber security and launching of new products and App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8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P2</a:t>
          </a:r>
          <a:r>
            <a:rPr lang="en-US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US" sz="800" b="0" i="1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focusing on  acquiring better customer insights.</a:t>
          </a:r>
          <a:endParaRPr lang="en-US" sz="8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600" b="0" i="1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6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US" sz="600"/>
        </a:p>
      </xdr:txBody>
    </xdr:sp>
    <xdr:clientData/>
  </xdr:twoCellAnchor>
  <xdr:twoCellAnchor>
    <xdr:from>
      <xdr:col>17</xdr:col>
      <xdr:colOff>399143</xdr:colOff>
      <xdr:row>77</xdr:row>
      <xdr:rowOff>108857</xdr:rowOff>
    </xdr:from>
    <xdr:to>
      <xdr:col>18</xdr:col>
      <xdr:colOff>444500</xdr:colOff>
      <xdr:row>80</xdr:row>
      <xdr:rowOff>145143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0000000-0008-0000-0C00-00000B000000}"/>
            </a:ext>
          </a:extLst>
        </xdr:cNvPr>
        <xdr:cNvSpPr txBox="1"/>
      </xdr:nvSpPr>
      <xdr:spPr>
        <a:xfrm>
          <a:off x="13081000" y="14178643"/>
          <a:ext cx="653143" cy="5805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Foree</a:t>
          </a:r>
          <a:r>
            <a:rPr lang="en-US" sz="800"/>
            <a:t> </a:t>
          </a:r>
          <a:endParaRPr lang="en-US" sz="8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FonePay</a:t>
          </a:r>
          <a:r>
            <a:rPr lang="en-US" sz="800"/>
            <a:t> </a:t>
          </a:r>
          <a:r>
            <a:rPr lang="en-US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NayaPay</a:t>
          </a:r>
          <a:r>
            <a:rPr lang="en-US" sz="800"/>
            <a:t> </a:t>
          </a:r>
        </a:p>
      </xdr:txBody>
    </xdr:sp>
    <xdr:clientData/>
  </xdr:two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0.33523</cdr:x>
      <cdr:y>0.03623</cdr:y>
    </cdr:from>
    <cdr:to>
      <cdr:x>0.84659</cdr:x>
      <cdr:y>0.16304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9213C26B-BCEB-4149-9F67-888593731E4F}"/>
            </a:ext>
          </a:extLst>
        </cdr:cNvPr>
        <cdr:cNvSpPr txBox="1"/>
      </cdr:nvSpPr>
      <cdr:spPr>
        <a:xfrm xmlns:a="http://schemas.openxmlformats.org/drawingml/2006/main">
          <a:off x="1605642" y="108857"/>
          <a:ext cx="2449286" cy="381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/>
            <a:t>Performing Loans &amp; Infection Ratio</a:t>
          </a:r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204317</xdr:colOff>
      <xdr:row>0</xdr:row>
      <xdr:rowOff>38100</xdr:rowOff>
    </xdr:from>
    <xdr:to>
      <xdr:col>2</xdr:col>
      <xdr:colOff>628650</xdr:colOff>
      <xdr:row>3</xdr:row>
      <xdr:rowOff>63500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3217" y="38100"/>
          <a:ext cx="1211733" cy="425450"/>
        </a:xfrm>
        <a:prstGeom prst="rect">
          <a:avLst/>
        </a:prstGeom>
      </xdr:spPr>
    </xdr:pic>
    <xdr:clientData/>
  </xdr:twoCellAnchor>
  <xdr:twoCellAnchor>
    <xdr:from>
      <xdr:col>7</xdr:col>
      <xdr:colOff>22225</xdr:colOff>
      <xdr:row>14</xdr:row>
      <xdr:rowOff>38100</xdr:rowOff>
    </xdr:from>
    <xdr:to>
      <xdr:col>8</xdr:col>
      <xdr:colOff>89027</xdr:colOff>
      <xdr:row>27</xdr:row>
      <xdr:rowOff>41910</xdr:rowOff>
    </xdr:to>
    <xdr:grpSp>
      <xdr:nvGrpSpPr>
        <xdr:cNvPr id="9" name="Group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pSpPr/>
      </xdr:nvGrpSpPr>
      <xdr:grpSpPr>
        <a:xfrm>
          <a:off x="4556125" y="2038350"/>
          <a:ext cx="724027" cy="1861185"/>
          <a:chOff x="2879725" y="6051550"/>
          <a:chExt cx="762000" cy="1792478"/>
        </a:xfrm>
        <a:noFill/>
      </xdr:grpSpPr>
      <xdr:graphicFrame macro="">
        <xdr:nvGraphicFramePr>
          <xdr:cNvPr id="4" name="Chart 3">
            <a:extLst>
              <a:ext uri="{FF2B5EF4-FFF2-40B4-BE49-F238E27FC236}">
                <a16:creationId xmlns:a16="http://schemas.microsoft.com/office/drawing/2014/main" id="{00000000-0008-0000-0100-000004000000}"/>
              </a:ext>
            </a:extLst>
          </xdr:cNvPr>
          <xdr:cNvGraphicFramePr>
            <a:graphicFrameLocks/>
          </xdr:cNvGraphicFramePr>
        </xdr:nvGraphicFramePr>
        <xdr:xfrm>
          <a:off x="2879725" y="6051550"/>
          <a:ext cx="762000" cy="33655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5" name="Chart 4">
            <a:extLst>
              <a:ext uri="{FF2B5EF4-FFF2-40B4-BE49-F238E27FC236}">
                <a16:creationId xmlns:a16="http://schemas.microsoft.com/office/drawing/2014/main" id="{00000000-0008-0000-0100-000005000000}"/>
              </a:ext>
            </a:extLst>
          </xdr:cNvPr>
          <xdr:cNvGraphicFramePr>
            <a:graphicFrameLocks/>
          </xdr:cNvGraphicFramePr>
        </xdr:nvGraphicFramePr>
        <xdr:xfrm>
          <a:off x="2881249" y="6413754"/>
          <a:ext cx="758952" cy="33832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graphicFrame macro="">
        <xdr:nvGraphicFramePr>
          <xdr:cNvPr id="6" name="Chart 5">
            <a:extLst>
              <a:ext uri="{FF2B5EF4-FFF2-40B4-BE49-F238E27FC236}">
                <a16:creationId xmlns:a16="http://schemas.microsoft.com/office/drawing/2014/main" id="{00000000-0008-0000-0100-000006000000}"/>
              </a:ext>
            </a:extLst>
          </xdr:cNvPr>
          <xdr:cNvGraphicFramePr>
            <a:graphicFrameLocks/>
          </xdr:cNvGraphicFramePr>
        </xdr:nvGraphicFramePr>
        <xdr:xfrm>
          <a:off x="2881247" y="6777736"/>
          <a:ext cx="758951" cy="33832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graphicFrame macro="">
        <xdr:nvGraphicFramePr>
          <xdr:cNvPr id="7" name="Chart 6">
            <a:extLst>
              <a:ext uri="{FF2B5EF4-FFF2-40B4-BE49-F238E27FC236}">
                <a16:creationId xmlns:a16="http://schemas.microsoft.com/office/drawing/2014/main" id="{00000000-0008-0000-0100-000007000000}"/>
              </a:ext>
            </a:extLst>
          </xdr:cNvPr>
          <xdr:cNvGraphicFramePr>
            <a:graphicFrameLocks/>
          </xdr:cNvGraphicFramePr>
        </xdr:nvGraphicFramePr>
        <xdr:xfrm>
          <a:off x="2881249" y="7141718"/>
          <a:ext cx="758952" cy="33832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  <xdr:graphicFrame macro="">
        <xdr:nvGraphicFramePr>
          <xdr:cNvPr id="8" name="Chart 7">
            <a:extLst>
              <a:ext uri="{FF2B5EF4-FFF2-40B4-BE49-F238E27FC236}">
                <a16:creationId xmlns:a16="http://schemas.microsoft.com/office/drawing/2014/main" id="{00000000-0008-0000-0100-000008000000}"/>
              </a:ext>
            </a:extLst>
          </xdr:cNvPr>
          <xdr:cNvGraphicFramePr>
            <a:graphicFrameLocks/>
          </xdr:cNvGraphicFramePr>
        </xdr:nvGraphicFramePr>
        <xdr:xfrm>
          <a:off x="2881249" y="7505700"/>
          <a:ext cx="758952" cy="33832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6"/>
          </a:graphicData>
        </a:graphic>
      </xdr:graphicFrame>
    </xdr:grpSp>
    <xdr:clientData/>
  </xdr:twoCellAnchor>
  <xdr:twoCellAnchor>
    <xdr:from>
      <xdr:col>3</xdr:col>
      <xdr:colOff>0</xdr:colOff>
      <xdr:row>14</xdr:row>
      <xdr:rowOff>6350</xdr:rowOff>
    </xdr:from>
    <xdr:to>
      <xdr:col>4</xdr:col>
      <xdr:colOff>85852</xdr:colOff>
      <xdr:row>27</xdr:row>
      <xdr:rowOff>10160</xdr:rowOff>
    </xdr:to>
    <xdr:grpSp>
      <xdr:nvGrpSpPr>
        <xdr:cNvPr id="31" name="Group 30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GrpSpPr/>
      </xdr:nvGrpSpPr>
      <xdr:grpSpPr>
        <a:xfrm>
          <a:off x="1485900" y="2006600"/>
          <a:ext cx="733552" cy="1861185"/>
          <a:chOff x="7435850" y="6076950"/>
          <a:chExt cx="758952" cy="1824228"/>
        </a:xfrm>
        <a:noFill/>
      </xdr:grpSpPr>
      <xdr:graphicFrame macro="">
        <xdr:nvGraphicFramePr>
          <xdr:cNvPr id="32" name="Chart 31">
            <a:extLst>
              <a:ext uri="{FF2B5EF4-FFF2-40B4-BE49-F238E27FC236}">
                <a16:creationId xmlns:a16="http://schemas.microsoft.com/office/drawing/2014/main" id="{00000000-0008-0000-0100-000020000000}"/>
              </a:ext>
            </a:extLst>
          </xdr:cNvPr>
          <xdr:cNvGraphicFramePr>
            <a:graphicFrameLocks/>
          </xdr:cNvGraphicFramePr>
        </xdr:nvGraphicFramePr>
        <xdr:xfrm>
          <a:off x="7435850" y="6076950"/>
          <a:ext cx="758952" cy="33832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7"/>
          </a:graphicData>
        </a:graphic>
      </xdr:graphicFrame>
      <xdr:graphicFrame macro="">
        <xdr:nvGraphicFramePr>
          <xdr:cNvPr id="33" name="Chart 32">
            <a:extLst>
              <a:ext uri="{FF2B5EF4-FFF2-40B4-BE49-F238E27FC236}">
                <a16:creationId xmlns:a16="http://schemas.microsoft.com/office/drawing/2014/main" id="{00000000-0008-0000-0100-000021000000}"/>
              </a:ext>
            </a:extLst>
          </xdr:cNvPr>
          <xdr:cNvGraphicFramePr>
            <a:graphicFrameLocks/>
          </xdr:cNvGraphicFramePr>
        </xdr:nvGraphicFramePr>
        <xdr:xfrm>
          <a:off x="7435850" y="6448425"/>
          <a:ext cx="758952" cy="33832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8"/>
          </a:graphicData>
        </a:graphic>
      </xdr:graphicFrame>
      <xdr:graphicFrame macro="">
        <xdr:nvGraphicFramePr>
          <xdr:cNvPr id="34" name="Chart 33">
            <a:extLst>
              <a:ext uri="{FF2B5EF4-FFF2-40B4-BE49-F238E27FC236}">
                <a16:creationId xmlns:a16="http://schemas.microsoft.com/office/drawing/2014/main" id="{00000000-0008-0000-0100-000022000000}"/>
              </a:ext>
            </a:extLst>
          </xdr:cNvPr>
          <xdr:cNvGraphicFramePr>
            <a:graphicFrameLocks/>
          </xdr:cNvGraphicFramePr>
        </xdr:nvGraphicFramePr>
        <xdr:xfrm>
          <a:off x="7435850" y="6819900"/>
          <a:ext cx="758952" cy="33832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9"/>
          </a:graphicData>
        </a:graphic>
      </xdr:graphicFrame>
      <xdr:graphicFrame macro="">
        <xdr:nvGraphicFramePr>
          <xdr:cNvPr id="35" name="Chart 34">
            <a:extLst>
              <a:ext uri="{FF2B5EF4-FFF2-40B4-BE49-F238E27FC236}">
                <a16:creationId xmlns:a16="http://schemas.microsoft.com/office/drawing/2014/main" id="{00000000-0008-0000-0100-000023000000}"/>
              </a:ext>
            </a:extLst>
          </xdr:cNvPr>
          <xdr:cNvGraphicFramePr>
            <a:graphicFrameLocks/>
          </xdr:cNvGraphicFramePr>
        </xdr:nvGraphicFramePr>
        <xdr:xfrm>
          <a:off x="7435850" y="7191375"/>
          <a:ext cx="758952" cy="33832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0"/>
          </a:graphicData>
        </a:graphic>
      </xdr:graphicFrame>
      <xdr:graphicFrame macro="">
        <xdr:nvGraphicFramePr>
          <xdr:cNvPr id="36" name="Chart 35">
            <a:extLst>
              <a:ext uri="{FF2B5EF4-FFF2-40B4-BE49-F238E27FC236}">
                <a16:creationId xmlns:a16="http://schemas.microsoft.com/office/drawing/2014/main" id="{00000000-0008-0000-0100-000024000000}"/>
              </a:ext>
            </a:extLst>
          </xdr:cNvPr>
          <xdr:cNvGraphicFramePr>
            <a:graphicFrameLocks/>
          </xdr:cNvGraphicFramePr>
        </xdr:nvGraphicFramePr>
        <xdr:xfrm>
          <a:off x="7435850" y="7562850"/>
          <a:ext cx="758952" cy="33832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1"/>
          </a:graphicData>
        </a:graphic>
      </xdr:graphicFrame>
    </xdr:grpSp>
    <xdr:clientData/>
  </xdr:twoCellAnchor>
  <xdr:twoCellAnchor>
    <xdr:from>
      <xdr:col>8</xdr:col>
      <xdr:colOff>407307</xdr:colOff>
      <xdr:row>30</xdr:row>
      <xdr:rowOff>0</xdr:rowOff>
    </xdr:from>
    <xdr:to>
      <xdr:col>14</xdr:col>
      <xdr:colOff>70757</xdr:colOff>
      <xdr:row>50</xdr:row>
      <xdr:rowOff>57150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</xdr:col>
      <xdr:colOff>115207</xdr:colOff>
      <xdr:row>30</xdr:row>
      <xdr:rowOff>0</xdr:rowOff>
    </xdr:from>
    <xdr:to>
      <xdr:col>8</xdr:col>
      <xdr:colOff>121557</xdr:colOff>
      <xdr:row>50</xdr:row>
      <xdr:rowOff>57150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108857</xdr:colOff>
      <xdr:row>53</xdr:row>
      <xdr:rowOff>116417</xdr:rowOff>
    </xdr:from>
    <xdr:to>
      <xdr:col>8</xdr:col>
      <xdr:colOff>83457</xdr:colOff>
      <xdr:row>74</xdr:row>
      <xdr:rowOff>59267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00000000-0008-0000-0100-00002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</xdr:col>
      <xdr:colOff>108857</xdr:colOff>
      <xdr:row>77</xdr:row>
      <xdr:rowOff>118533</xdr:rowOff>
    </xdr:from>
    <xdr:to>
      <xdr:col>7</xdr:col>
      <xdr:colOff>680357</xdr:colOff>
      <xdr:row>98</xdr:row>
      <xdr:rowOff>61383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00000000-0008-0000-0100-00002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</xdr:col>
      <xdr:colOff>667657</xdr:colOff>
      <xdr:row>53</xdr:row>
      <xdr:rowOff>116417</xdr:rowOff>
    </xdr:from>
    <xdr:to>
      <xdr:col>14</xdr:col>
      <xdr:colOff>331107</xdr:colOff>
      <xdr:row>74</xdr:row>
      <xdr:rowOff>59267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00000000-0008-0000-0100-00002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</xdr:col>
      <xdr:colOff>108857</xdr:colOff>
      <xdr:row>101</xdr:row>
      <xdr:rowOff>120650</xdr:rowOff>
    </xdr:from>
    <xdr:to>
      <xdr:col>8</xdr:col>
      <xdr:colOff>89807</xdr:colOff>
      <xdr:row>122</xdr:row>
      <xdr:rowOff>63500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00000000-0008-0000-0100-00002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</xdr:col>
      <xdr:colOff>648607</xdr:colOff>
      <xdr:row>77</xdr:row>
      <xdr:rowOff>118533</xdr:rowOff>
    </xdr:from>
    <xdr:to>
      <xdr:col>14</xdr:col>
      <xdr:colOff>312057</xdr:colOff>
      <xdr:row>98</xdr:row>
      <xdr:rowOff>61383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00000000-0008-0000-0100-00002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8</xdr:col>
      <xdr:colOff>604157</xdr:colOff>
      <xdr:row>101</xdr:row>
      <xdr:rowOff>120650</xdr:rowOff>
    </xdr:from>
    <xdr:to>
      <xdr:col>14</xdr:col>
      <xdr:colOff>267607</xdr:colOff>
      <xdr:row>122</xdr:row>
      <xdr:rowOff>63500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00000000-0008-0000-0100-00002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</xdr:col>
      <xdr:colOff>13053</xdr:colOff>
      <xdr:row>125</xdr:row>
      <xdr:rowOff>122767</xdr:rowOff>
    </xdr:from>
    <xdr:to>
      <xdr:col>7</xdr:col>
      <xdr:colOff>502003</xdr:colOff>
      <xdr:row>146</xdr:row>
      <xdr:rowOff>65617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00000000-0008-0000-0100-00002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8</xdr:col>
      <xdr:colOff>270781</xdr:colOff>
      <xdr:row>125</xdr:row>
      <xdr:rowOff>122767</xdr:rowOff>
    </xdr:from>
    <xdr:to>
      <xdr:col>14</xdr:col>
      <xdr:colOff>42181</xdr:colOff>
      <xdr:row>146</xdr:row>
      <xdr:rowOff>65617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00000000-0008-0000-0100-00002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</xdr:col>
      <xdr:colOff>13053</xdr:colOff>
      <xdr:row>149</xdr:row>
      <xdr:rowOff>124883</xdr:rowOff>
    </xdr:from>
    <xdr:to>
      <xdr:col>7</xdr:col>
      <xdr:colOff>502003</xdr:colOff>
      <xdr:row>170</xdr:row>
      <xdr:rowOff>67733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00000000-0008-0000-0100-00002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8</xdr:col>
      <xdr:colOff>373968</xdr:colOff>
      <xdr:row>149</xdr:row>
      <xdr:rowOff>124883</xdr:rowOff>
    </xdr:from>
    <xdr:to>
      <xdr:col>14</xdr:col>
      <xdr:colOff>37418</xdr:colOff>
      <xdr:row>170</xdr:row>
      <xdr:rowOff>67733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00000000-0008-0000-0100-00003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8</xdr:col>
      <xdr:colOff>373968</xdr:colOff>
      <xdr:row>173</xdr:row>
      <xdr:rowOff>126999</xdr:rowOff>
    </xdr:from>
    <xdr:to>
      <xdr:col>14</xdr:col>
      <xdr:colOff>37418</xdr:colOff>
      <xdr:row>194</xdr:row>
      <xdr:rowOff>69849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00000000-0008-0000-0100-00003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</xdr:col>
      <xdr:colOff>0</xdr:colOff>
      <xdr:row>196</xdr:row>
      <xdr:rowOff>37648</xdr:rowOff>
    </xdr:from>
    <xdr:to>
      <xdr:col>7</xdr:col>
      <xdr:colOff>457200</xdr:colOff>
      <xdr:row>215</xdr:row>
      <xdr:rowOff>102054</xdr:rowOff>
    </xdr:to>
    <xdr:graphicFrame macro="">
      <xdr:nvGraphicFramePr>
        <xdr:cNvPr id="50" name="Chart 49">
          <a:extLst>
            <a:ext uri="{FF2B5EF4-FFF2-40B4-BE49-F238E27FC236}">
              <a16:creationId xmlns:a16="http://schemas.microsoft.com/office/drawing/2014/main" id="{00000000-0008-0000-0100-00003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</xdr:col>
      <xdr:colOff>52841</xdr:colOff>
      <xdr:row>173</xdr:row>
      <xdr:rowOff>126999</xdr:rowOff>
    </xdr:from>
    <xdr:to>
      <xdr:col>7</xdr:col>
      <xdr:colOff>541791</xdr:colOff>
      <xdr:row>194</xdr:row>
      <xdr:rowOff>69849</xdr:rowOff>
    </xdr:to>
    <xdr:graphicFrame macro="">
      <xdr:nvGraphicFramePr>
        <xdr:cNvPr id="51" name="Chart 50">
          <a:extLst>
            <a:ext uri="{FF2B5EF4-FFF2-40B4-BE49-F238E27FC236}">
              <a16:creationId xmlns:a16="http://schemas.microsoft.com/office/drawing/2014/main" id="{00000000-0008-0000-0100-00003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0.37917</cdr:x>
      <cdr:y>0.2338</cdr:y>
    </cdr:from>
    <cdr:to>
      <cdr:x>0.69167</cdr:x>
      <cdr:y>0.34259</cdr:y>
    </cdr:to>
    <cdr:sp macro="" textlink="">
      <cdr:nvSpPr>
        <cdr:cNvPr id="2" name="TextBox 1"/>
        <cdr:cNvSpPr txBox="1"/>
      </cdr:nvSpPr>
      <cdr:spPr>
        <a:xfrm xmlns:a="http://schemas.openxmlformats.org/drawingml/2006/main" rot="20915692">
          <a:off x="1733550" y="641350"/>
          <a:ext cx="1428750" cy="298450"/>
        </a:xfrm>
        <a:prstGeom xmlns:a="http://schemas.openxmlformats.org/drawingml/2006/main" prst="rect">
          <a:avLst/>
        </a:prstGeom>
        <a:ln xmlns:a="http://schemas.openxmlformats.org/drawingml/2006/main">
          <a:noFill/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>
              <a:solidFill>
                <a:srgbClr val="FFC000"/>
              </a:solidFill>
            </a:rPr>
            <a:t>5 YEAR CAGR 11%</a:t>
          </a:r>
        </a:p>
        <a:p xmlns:a="http://schemas.openxmlformats.org/drawingml/2006/main">
          <a:endParaRPr lang="en-US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0.16458</cdr:x>
      <cdr:y>0.03704</cdr:y>
    </cdr:from>
    <cdr:to>
      <cdr:x>0.77569</cdr:x>
      <cdr:y>0.30324</cdr:y>
    </cdr:to>
    <cdr:cxnSp macro="">
      <cdr:nvCxnSpPr>
        <cdr:cNvPr id="3" name="Straight Arrow Connector 2">
          <a:extLst xmlns:a="http://schemas.openxmlformats.org/drawingml/2006/main">
            <a:ext uri="{FF2B5EF4-FFF2-40B4-BE49-F238E27FC236}">
              <a16:creationId xmlns:a16="http://schemas.microsoft.com/office/drawing/2014/main" id="{98E64887-307A-4B1E-969F-5726074FA295}"/>
            </a:ext>
          </a:extLst>
        </cdr:cNvPr>
        <cdr:cNvCxnSpPr/>
      </cdr:nvCxnSpPr>
      <cdr:spPr>
        <a:xfrm xmlns:a="http://schemas.openxmlformats.org/drawingml/2006/main" flipV="1">
          <a:off x="752475" y="101600"/>
          <a:ext cx="2794000" cy="730250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accent2"/>
          </a:solidFill>
          <a:tailEnd type="triangle"/>
        </a:ln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0.22184</cdr:x>
      <cdr:y>0.06012</cdr:y>
    </cdr:from>
    <cdr:to>
      <cdr:x>0.57339</cdr:x>
      <cdr:y>0.1674</cdr:y>
    </cdr:to>
    <cdr:sp macro="" textlink="">
      <cdr:nvSpPr>
        <cdr:cNvPr id="5" name="TextBox 4"/>
        <cdr:cNvSpPr txBox="1"/>
      </cdr:nvSpPr>
      <cdr:spPr>
        <a:xfrm xmlns:a="http://schemas.openxmlformats.org/drawingml/2006/main" rot="20742249">
          <a:off x="1014233" y="164932"/>
          <a:ext cx="1607323" cy="29426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300" b="1">
              <a:solidFill>
                <a:schemeClr val="accent2"/>
              </a:solidFill>
            </a:rPr>
            <a:t>451 Branches Added</a:t>
          </a:r>
          <a:r>
            <a:rPr lang="en-US" sz="1100" b="1">
              <a:solidFill>
                <a:schemeClr val="accent2"/>
              </a:solidFill>
            </a:rPr>
            <a:t> </a:t>
          </a:r>
        </a:p>
        <a:p xmlns:a="http://schemas.openxmlformats.org/drawingml/2006/main">
          <a:endParaRPr lang="en-US" sz="1100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0.33523</cdr:x>
      <cdr:y>0.03623</cdr:y>
    </cdr:from>
    <cdr:to>
      <cdr:x>0.84659</cdr:x>
      <cdr:y>0.16304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9213C26B-BCEB-4149-9F67-888593731E4F}"/>
            </a:ext>
          </a:extLst>
        </cdr:cNvPr>
        <cdr:cNvSpPr txBox="1"/>
      </cdr:nvSpPr>
      <cdr:spPr>
        <a:xfrm xmlns:a="http://schemas.openxmlformats.org/drawingml/2006/main">
          <a:off x="1605642" y="108857"/>
          <a:ext cx="2449286" cy="381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 b="0"/>
            <a:t>Performing Loans &amp; Infection Ratio</a:t>
          </a: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729343</xdr:colOff>
      <xdr:row>290</xdr:row>
      <xdr:rowOff>10886</xdr:rowOff>
    </xdr:from>
    <xdr:to>
      <xdr:col>4</xdr:col>
      <xdr:colOff>903514</xdr:colOff>
      <xdr:row>304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1110343</xdr:colOff>
      <xdr:row>307</xdr:row>
      <xdr:rowOff>87086</xdr:rowOff>
    </xdr:from>
    <xdr:to>
      <xdr:col>4</xdr:col>
      <xdr:colOff>1284514</xdr:colOff>
      <xdr:row>322</xdr:row>
      <xdr:rowOff>54429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1447799</xdr:colOff>
      <xdr:row>287</xdr:row>
      <xdr:rowOff>163284</xdr:rowOff>
    </xdr:from>
    <xdr:to>
      <xdr:col>6</xdr:col>
      <xdr:colOff>1143000</xdr:colOff>
      <xdr:row>302</xdr:row>
      <xdr:rowOff>119741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1377043</xdr:colOff>
      <xdr:row>324</xdr:row>
      <xdr:rowOff>43543</xdr:rowOff>
    </xdr:from>
    <xdr:to>
      <xdr:col>4</xdr:col>
      <xdr:colOff>1551214</xdr:colOff>
      <xdr:row>337</xdr:row>
      <xdr:rowOff>10886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1905009</xdr:colOff>
      <xdr:row>51</xdr:row>
      <xdr:rowOff>0</xdr:rowOff>
    </xdr:from>
    <xdr:to>
      <xdr:col>6</xdr:col>
      <xdr:colOff>293924</xdr:colOff>
      <xdr:row>61</xdr:row>
      <xdr:rowOff>163285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1442358</xdr:colOff>
      <xdr:row>51</xdr:row>
      <xdr:rowOff>0</xdr:rowOff>
    </xdr:from>
    <xdr:to>
      <xdr:col>9</xdr:col>
      <xdr:colOff>1246415</xdr:colOff>
      <xdr:row>57</xdr:row>
      <xdr:rowOff>87086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0.28107</cdr:x>
      <cdr:y>0.85714</cdr:y>
    </cdr:from>
    <cdr:to>
      <cdr:x>0.87574</cdr:x>
      <cdr:y>0.92857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34144" y="2351316"/>
          <a:ext cx="2188029" cy="1959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0.11538</cdr:x>
      <cdr:y>0.87698</cdr:y>
    </cdr:from>
    <cdr:to>
      <cdr:x>0.86391</cdr:x>
      <cdr:y>0.96429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24544" y="2405744"/>
          <a:ext cx="2754086" cy="23948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1100" i="1" u="none"/>
            <a:t>Source</a:t>
          </a:r>
          <a:r>
            <a:rPr lang="en-US" sz="1100" i="1" u="none" baseline="0"/>
            <a:t>: Company Accounts </a:t>
          </a:r>
          <a:endParaRPr lang="en-US" sz="1100" i="1" u="none"/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0.44881</cdr:x>
      <cdr:y>0.28175</cdr:y>
    </cdr:from>
    <cdr:to>
      <cdr:x>0.65833</cdr:x>
      <cdr:y>0.39682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51957" y="772885"/>
          <a:ext cx="957943" cy="31568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 b="1"/>
            <a:t>CAGR 18%</a:t>
          </a: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266700</xdr:colOff>
      <xdr:row>2</xdr:row>
      <xdr:rowOff>6350</xdr:rowOff>
    </xdr:from>
    <xdr:to>
      <xdr:col>13</xdr:col>
      <xdr:colOff>523875</xdr:colOff>
      <xdr:row>16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304800</xdr:colOff>
      <xdr:row>0</xdr:row>
      <xdr:rowOff>0</xdr:rowOff>
    </xdr:from>
    <xdr:to>
      <xdr:col>22</xdr:col>
      <xdr:colOff>85090</xdr:colOff>
      <xdr:row>14</xdr:row>
      <xdr:rowOff>163830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211570</xdr:colOff>
      <xdr:row>22</xdr:row>
      <xdr:rowOff>2309</xdr:rowOff>
    </xdr:from>
    <xdr:to>
      <xdr:col>27</xdr:col>
      <xdr:colOff>516370</xdr:colOff>
      <xdr:row>37</xdr:row>
      <xdr:rowOff>61768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B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923925</xdr:colOff>
      <xdr:row>37</xdr:row>
      <xdr:rowOff>63500</xdr:rowOff>
    </xdr:from>
    <xdr:to>
      <xdr:col>12</xdr:col>
      <xdr:colOff>47625</xdr:colOff>
      <xdr:row>52</xdr:row>
      <xdr:rowOff>44450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B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47625</xdr:colOff>
      <xdr:row>54</xdr:row>
      <xdr:rowOff>171450</xdr:rowOff>
    </xdr:from>
    <xdr:to>
      <xdr:col>5</xdr:col>
      <xdr:colOff>460375</xdr:colOff>
      <xdr:row>69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B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71</xdr:row>
      <xdr:rowOff>88900</xdr:rowOff>
    </xdr:from>
    <xdr:to>
      <xdr:col>5</xdr:col>
      <xdr:colOff>127000</xdr:colOff>
      <xdr:row>86</xdr:row>
      <xdr:rowOff>69850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B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600075</xdr:colOff>
      <xdr:row>88</xdr:row>
      <xdr:rowOff>133350</xdr:rowOff>
    </xdr:from>
    <xdr:to>
      <xdr:col>6</xdr:col>
      <xdr:colOff>117475</xdr:colOff>
      <xdr:row>103</xdr:row>
      <xdr:rowOff>114300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B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574675</xdr:colOff>
      <xdr:row>109</xdr:row>
      <xdr:rowOff>165100</xdr:rowOff>
    </xdr:from>
    <xdr:to>
      <xdr:col>6</xdr:col>
      <xdr:colOff>92075</xdr:colOff>
      <xdr:row>124</xdr:row>
      <xdr:rowOff>146050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B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619125</xdr:colOff>
      <xdr:row>129</xdr:row>
      <xdr:rowOff>12700</xdr:rowOff>
    </xdr:from>
    <xdr:to>
      <xdr:col>10</xdr:col>
      <xdr:colOff>600075</xdr:colOff>
      <xdr:row>143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174625</xdr:colOff>
      <xdr:row>149</xdr:row>
      <xdr:rowOff>101600</xdr:rowOff>
    </xdr:from>
    <xdr:to>
      <xdr:col>10</xdr:col>
      <xdr:colOff>155575</xdr:colOff>
      <xdr:row>164</xdr:row>
      <xdr:rowOff>82550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B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mbreen%20Rabbani/Desktop/Rabbani%20Competitive%20Positioning%20V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BL"/>
      <sheetName val="Ratios"/>
      <sheetName val="Valuation"/>
      <sheetName val="Assumptions Sheet"/>
      <sheetName val="Sensitivities"/>
      <sheetName val="Industry Data"/>
      <sheetName val="Adj from unconsol to consol"/>
    </sheetNames>
    <sheetDataSet>
      <sheetData sheetId="0">
        <row r="16">
          <cell r="J16">
            <v>531849.93400000001</v>
          </cell>
          <cell r="K16">
            <v>663267.67500000005</v>
          </cell>
          <cell r="L16">
            <v>785967.32900000003</v>
          </cell>
          <cell r="M16">
            <v>941751.40700000001</v>
          </cell>
          <cell r="N16">
            <v>1126114.963</v>
          </cell>
        </row>
        <row r="21">
          <cell r="J21">
            <v>471820.95899999997</v>
          </cell>
          <cell r="K21">
            <v>563999.85199999996</v>
          </cell>
          <cell r="L21">
            <v>673180.31</v>
          </cell>
          <cell r="M21">
            <v>785444.59199999995</v>
          </cell>
          <cell r="N21">
            <v>932568.76500000001</v>
          </cell>
        </row>
        <row r="69">
          <cell r="L69">
            <v>5779.9929999999995</v>
          </cell>
          <cell r="M69">
            <v>9133.91</v>
          </cell>
          <cell r="N69">
            <v>15779.638999999996</v>
          </cell>
        </row>
      </sheetData>
      <sheetData sheetId="1"/>
      <sheetData sheetId="2"/>
      <sheetData sheetId="3">
        <row r="7">
          <cell r="E7">
            <v>5124309</v>
          </cell>
          <cell r="F7">
            <v>5874689</v>
          </cell>
          <cell r="G7">
            <v>6682648</v>
          </cell>
          <cell r="H7">
            <v>7529370</v>
          </cell>
          <cell r="I7">
            <v>8342172</v>
          </cell>
          <cell r="J7">
            <v>9305012</v>
          </cell>
          <cell r="K7">
            <v>11202886</v>
          </cell>
          <cell r="L7">
            <v>12361806</v>
          </cell>
          <cell r="M7">
            <v>13353916</v>
          </cell>
          <cell r="N7">
            <v>14631875</v>
          </cell>
          <cell r="O7">
            <v>16757034.487494035</v>
          </cell>
        </row>
        <row r="9">
          <cell r="E9">
            <v>390060</v>
          </cell>
          <cell r="F9">
            <v>521000.3</v>
          </cell>
          <cell r="G9">
            <v>706469.9</v>
          </cell>
          <cell r="H9">
            <v>867698.8</v>
          </cell>
          <cell r="I9">
            <v>1069713.5</v>
          </cell>
          <cell r="J9">
            <v>1375000</v>
          </cell>
          <cell r="K9">
            <v>1573000</v>
          </cell>
          <cell r="L9">
            <v>1885000</v>
          </cell>
          <cell r="M9">
            <v>2203000</v>
          </cell>
          <cell r="N9">
            <v>2652000</v>
          </cell>
          <cell r="O9">
            <v>3100603.9453702858</v>
          </cell>
        </row>
        <row r="15">
          <cell r="N15">
            <v>11649</v>
          </cell>
        </row>
        <row r="26">
          <cell r="I26">
            <v>9.9351851851851858E-2</v>
          </cell>
          <cell r="J26">
            <v>7.252380952380949E-2</v>
          </cell>
          <cell r="K26">
            <v>5.8125000000000003E-2</v>
          </cell>
          <cell r="L26">
            <v>5.7500000000000002E-2</v>
          </cell>
          <cell r="M26">
            <v>7.0916666666666656E-2</v>
          </cell>
          <cell r="N26">
            <v>0.12020833333333333</v>
          </cell>
          <cell r="O26">
            <v>0.09</v>
          </cell>
          <cell r="P26">
            <v>0.08</v>
          </cell>
          <cell r="Q26">
            <v>0.08</v>
          </cell>
          <cell r="R26">
            <v>0.08</v>
          </cell>
          <cell r="S26">
            <v>0.08</v>
          </cell>
          <cell r="T26">
            <v>0.08</v>
          </cell>
        </row>
      </sheetData>
      <sheetData sheetId="4"/>
      <sheetData sheetId="5">
        <row r="93">
          <cell r="I93">
            <v>2016</v>
          </cell>
          <cell r="J93">
            <v>2017</v>
          </cell>
          <cell r="K93">
            <v>2018</v>
          </cell>
          <cell r="L93">
            <v>2019</v>
          </cell>
          <cell r="M93">
            <v>2020</v>
          </cell>
        </row>
        <row r="94">
          <cell r="H94" t="str">
            <v xml:space="preserve">Islamic Banking Deposit Growth </v>
          </cell>
          <cell r="I94">
            <v>1573000</v>
          </cell>
          <cell r="J94">
            <v>1885000</v>
          </cell>
          <cell r="K94">
            <v>2203000</v>
          </cell>
          <cell r="L94">
            <v>2652000</v>
          </cell>
          <cell r="M94">
            <v>3100603.9453702858</v>
          </cell>
        </row>
        <row r="118">
          <cell r="B118" t="str">
            <v xml:space="preserve">IT Expenses/ Total Admin Expenses  </v>
          </cell>
          <cell r="C118" t="str">
            <v>IT Expense Growth 2019, RHS</v>
          </cell>
        </row>
        <row r="119">
          <cell r="A119" t="str">
            <v xml:space="preserve">BAFL </v>
          </cell>
          <cell r="B119">
            <v>9.7000000000000003E-2</v>
          </cell>
          <cell r="C119">
            <v>0.23</v>
          </cell>
        </row>
        <row r="120">
          <cell r="A120" t="str">
            <v xml:space="preserve">MCB </v>
          </cell>
          <cell r="B120">
            <v>9.1999999999999998E-2</v>
          </cell>
          <cell r="C120">
            <v>-3.5000000000000003E-2</v>
          </cell>
        </row>
        <row r="121">
          <cell r="A121" t="str">
            <v xml:space="preserve">UBL </v>
          </cell>
          <cell r="B121">
            <v>9.0499999999999997E-2</v>
          </cell>
          <cell r="C121">
            <v>0.26500000000000001</v>
          </cell>
        </row>
        <row r="122">
          <cell r="A122" t="str">
            <v xml:space="preserve">ABL </v>
          </cell>
          <cell r="B122">
            <v>8.7499999999999994E-2</v>
          </cell>
          <cell r="C122">
            <v>0.12</v>
          </cell>
        </row>
        <row r="123">
          <cell r="A123" t="str">
            <v xml:space="preserve">HBL </v>
          </cell>
          <cell r="B123">
            <v>8.0500000000000002E-2</v>
          </cell>
          <cell r="C123">
            <v>0.375</v>
          </cell>
        </row>
        <row r="124">
          <cell r="A124" t="str">
            <v xml:space="preserve">MEBL </v>
          </cell>
          <cell r="B124">
            <v>6.0499999999999998E-2</v>
          </cell>
          <cell r="C124">
            <v>0.375</v>
          </cell>
        </row>
        <row r="270">
          <cell r="B270">
            <v>4.3135560226149845E-2</v>
          </cell>
        </row>
        <row r="362">
          <cell r="B362" t="str">
            <v xml:space="preserve">Total Investment </v>
          </cell>
        </row>
        <row r="363">
          <cell r="A363" t="str">
            <v xml:space="preserve">Islamic Investment </v>
          </cell>
          <cell r="B363">
            <v>1070.0999999999999</v>
          </cell>
        </row>
        <row r="364">
          <cell r="A364" t="str">
            <v xml:space="preserve">Convention Investment </v>
          </cell>
          <cell r="B364">
            <v>10020</v>
          </cell>
        </row>
        <row r="374">
          <cell r="B374" t="str">
            <v xml:space="preserve">Competition </v>
          </cell>
        </row>
        <row r="375">
          <cell r="A375" t="str">
            <v>MEBL</v>
          </cell>
          <cell r="B375">
            <v>1090544.7180000001</v>
          </cell>
        </row>
        <row r="376">
          <cell r="A376" t="str">
            <v xml:space="preserve">Bank Islami </v>
          </cell>
          <cell r="B376">
            <v>254017.04</v>
          </cell>
        </row>
        <row r="377">
          <cell r="A377" t="str">
            <v>DIB</v>
          </cell>
          <cell r="B377">
            <v>234808.09400000001</v>
          </cell>
        </row>
        <row r="378">
          <cell r="A378" t="str">
            <v xml:space="preserve">Al- Baraka </v>
          </cell>
          <cell r="B378">
            <v>146228.421</v>
          </cell>
        </row>
        <row r="379">
          <cell r="A379" t="str">
            <v>MCB Islamic</v>
          </cell>
          <cell r="B379">
            <v>89558.067999999999</v>
          </cell>
        </row>
        <row r="380">
          <cell r="A380" t="str">
            <v xml:space="preserve">HBL Islamic </v>
          </cell>
          <cell r="B380">
            <v>239400.05300000001</v>
          </cell>
        </row>
        <row r="381">
          <cell r="A381" t="str">
            <v>Al-Falah Islamic</v>
          </cell>
          <cell r="B381">
            <v>131517.91</v>
          </cell>
        </row>
        <row r="382">
          <cell r="A382" t="str">
            <v xml:space="preserve">Others </v>
          </cell>
          <cell r="B382">
            <v>847925.69599999953</v>
          </cell>
        </row>
        <row r="387">
          <cell r="B387" t="str">
            <v>SEP'19</v>
          </cell>
        </row>
        <row r="388">
          <cell r="A388" t="str">
            <v>HBL</v>
          </cell>
          <cell r="B388">
            <v>2736.0677540000001</v>
          </cell>
        </row>
        <row r="389">
          <cell r="A389" t="str">
            <v>NBP</v>
          </cell>
          <cell r="B389">
            <v>2339.2600000000002</v>
          </cell>
        </row>
        <row r="390">
          <cell r="A390" t="str">
            <v>UBL</v>
          </cell>
          <cell r="B390">
            <v>1580.95091</v>
          </cell>
        </row>
        <row r="391">
          <cell r="A391" t="str">
            <v>MCB</v>
          </cell>
          <cell r="B391">
            <v>1274.8697259999999</v>
          </cell>
        </row>
        <row r="392">
          <cell r="A392" t="str">
            <v>ABL</v>
          </cell>
          <cell r="B392">
            <v>1122.372447</v>
          </cell>
        </row>
        <row r="393">
          <cell r="A393" t="str">
            <v>MEBL</v>
          </cell>
          <cell r="B393">
            <v>1090.5447180000001</v>
          </cell>
        </row>
        <row r="394">
          <cell r="A394" t="str">
            <v>Others</v>
          </cell>
          <cell r="B394">
            <v>6339.3934449999979</v>
          </cell>
        </row>
        <row r="398">
          <cell r="B398" t="str">
            <v>Account Ownership at Financial Institution or Mobile money service provider  (% of Popluation)</v>
          </cell>
        </row>
        <row r="399">
          <cell r="A399" t="str">
            <v xml:space="preserve">Pakistan </v>
          </cell>
          <cell r="B399">
            <v>0.21290000000000001</v>
          </cell>
        </row>
        <row r="400">
          <cell r="A400" t="str">
            <v xml:space="preserve">Bangladesh </v>
          </cell>
          <cell r="B400">
            <v>0.50049999999999994</v>
          </cell>
        </row>
        <row r="401">
          <cell r="A401" t="str">
            <v xml:space="preserve">Srilanka </v>
          </cell>
          <cell r="B401">
            <v>0.73650000000000004</v>
          </cell>
        </row>
        <row r="402">
          <cell r="A402" t="str">
            <v>India</v>
          </cell>
          <cell r="B402">
            <v>0.79879999999999995</v>
          </cell>
        </row>
        <row r="403">
          <cell r="A403" t="str">
            <v xml:space="preserve">China </v>
          </cell>
          <cell r="B403">
            <v>0.80230000000000001</v>
          </cell>
        </row>
        <row r="404">
          <cell r="A404" t="str">
            <v xml:space="preserve">Malaysia </v>
          </cell>
          <cell r="B404">
            <v>0.85340000000000005</v>
          </cell>
        </row>
        <row r="405">
          <cell r="A405" t="str">
            <v xml:space="preserve">Japan </v>
          </cell>
          <cell r="B405">
            <v>0.98240000000000005</v>
          </cell>
        </row>
      </sheetData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Model 1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5F0060"/>
      </a:accent1>
      <a:accent2>
        <a:srgbClr val="E36C09"/>
      </a:accent2>
      <a:accent3>
        <a:srgbClr val="09DEE3"/>
      </a:accent3>
      <a:accent4>
        <a:srgbClr val="00007F"/>
      </a:accent4>
      <a:accent5>
        <a:srgbClr val="31859B"/>
      </a:accent5>
      <a:accent6>
        <a:srgbClr val="FF0000"/>
      </a:accent6>
      <a:hlink>
        <a:srgbClr val="0070C0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2:T30"/>
  <sheetViews>
    <sheetView showGridLines="0" tabSelected="1" zoomScale="85" zoomScaleNormal="85" workbookViewId="0">
      <selection activeCell="I18" sqref="I18"/>
    </sheetView>
  </sheetViews>
  <sheetFormatPr defaultColWidth="8.7109375" defaultRowHeight="15" x14ac:dyDescent="0.25"/>
  <cols>
    <col min="1" max="1" width="8.7109375" style="376"/>
    <col min="2" max="7" width="12.7109375" style="376" customWidth="1"/>
    <col min="8" max="16384" width="8.7109375" style="376"/>
  </cols>
  <sheetData>
    <row r="2" spans="2:19" x14ac:dyDescent="0.25">
      <c r="D2" s="398"/>
      <c r="E2" s="398"/>
      <c r="F2" s="398"/>
      <c r="G2" s="398"/>
      <c r="H2" s="398"/>
      <c r="I2" s="398"/>
      <c r="J2" s="398"/>
      <c r="K2" s="398"/>
      <c r="L2" s="398"/>
      <c r="M2" s="398"/>
      <c r="N2" s="398"/>
      <c r="O2" s="398"/>
      <c r="P2" s="398"/>
      <c r="Q2" s="398"/>
      <c r="R2" s="398"/>
    </row>
    <row r="3" spans="2:19" x14ac:dyDescent="0.25">
      <c r="D3" s="398"/>
      <c r="E3" s="398"/>
      <c r="F3" s="398"/>
      <c r="G3" s="398"/>
      <c r="H3" s="398"/>
      <c r="I3" s="398"/>
      <c r="J3" s="398"/>
      <c r="K3" s="398"/>
      <c r="L3" s="398"/>
      <c r="M3" s="398"/>
      <c r="N3" s="398"/>
      <c r="O3" s="398"/>
      <c r="P3" s="398"/>
      <c r="Q3" s="398"/>
      <c r="R3" s="398"/>
    </row>
    <row r="4" spans="2:19" x14ac:dyDescent="0.25">
      <c r="D4" s="398"/>
      <c r="E4" s="398"/>
      <c r="F4" s="398"/>
      <c r="G4" s="398"/>
      <c r="H4" s="398"/>
      <c r="I4" s="398"/>
      <c r="J4" s="398"/>
      <c r="K4" s="398"/>
      <c r="L4" s="398"/>
      <c r="M4" s="398"/>
      <c r="N4" s="398"/>
      <c r="O4" s="398"/>
      <c r="P4" s="398"/>
      <c r="Q4" s="398"/>
      <c r="R4" s="398"/>
    </row>
    <row r="5" spans="2:19" x14ac:dyDescent="0.25">
      <c r="D5" s="398"/>
      <c r="E5" s="398"/>
      <c r="F5" s="398"/>
      <c r="G5" s="398"/>
      <c r="H5" s="398"/>
      <c r="I5" s="398"/>
      <c r="J5" s="398"/>
      <c r="K5" s="398"/>
      <c r="L5" s="398"/>
      <c r="M5" s="398"/>
      <c r="N5" s="398"/>
      <c r="O5" s="398"/>
      <c r="P5" s="398"/>
      <c r="Q5" s="398"/>
      <c r="R5" s="398"/>
    </row>
    <row r="6" spans="2:19" ht="22.9" customHeight="1" x14ac:dyDescent="0.25">
      <c r="B6" s="1003" t="s">
        <v>851</v>
      </c>
      <c r="C6" s="1003"/>
      <c r="D6" s="1003"/>
      <c r="E6" s="1003"/>
      <c r="F6" s="1003"/>
      <c r="G6" s="1003"/>
      <c r="H6" s="943"/>
      <c r="I6" s="943"/>
      <c r="J6" s="943"/>
      <c r="K6" s="1004" t="s">
        <v>709</v>
      </c>
      <c r="L6" s="1004"/>
      <c r="M6" s="1004"/>
      <c r="N6" s="1004"/>
      <c r="O6" s="1004"/>
      <c r="P6" s="1004"/>
      <c r="Q6" s="1004"/>
      <c r="R6" s="1004"/>
      <c r="S6" s="1004"/>
    </row>
    <row r="7" spans="2:19" ht="13.9" customHeight="1" x14ac:dyDescent="0.25">
      <c r="B7" s="953" t="s">
        <v>712</v>
      </c>
      <c r="C7" s="944">
        <v>2019</v>
      </c>
      <c r="D7" s="945" t="s">
        <v>477</v>
      </c>
      <c r="E7" s="945" t="s">
        <v>478</v>
      </c>
      <c r="F7" s="945" t="s">
        <v>479</v>
      </c>
      <c r="G7" s="945" t="s">
        <v>480</v>
      </c>
      <c r="H7" s="28"/>
      <c r="I7" s="28"/>
      <c r="J7" s="28"/>
      <c r="K7" s="28"/>
      <c r="L7" s="28"/>
      <c r="M7" s="398"/>
      <c r="N7" s="398"/>
      <c r="O7" s="398"/>
      <c r="P7" s="398"/>
      <c r="Q7" s="398"/>
      <c r="R7" s="398"/>
    </row>
    <row r="8" spans="2:19" ht="13.9" customHeight="1" x14ac:dyDescent="0.25">
      <c r="B8" s="946" t="s">
        <v>852</v>
      </c>
      <c r="C8" s="948">
        <f>Assumptions!N6</f>
        <v>0.12919634973395544</v>
      </c>
      <c r="D8" s="949">
        <f>Assumptions!O6</f>
        <v>0.15945185870793233</v>
      </c>
      <c r="E8" s="949">
        <f>Assumptions!P6</f>
        <v>9.799999999999999E-2</v>
      </c>
      <c r="F8" s="949">
        <f>Assumptions!Q6</f>
        <v>0.11299999999999999</v>
      </c>
      <c r="G8" s="949">
        <f>Assumptions!R6</f>
        <v>0.11</v>
      </c>
      <c r="H8" s="398"/>
      <c r="I8" s="398"/>
      <c r="J8" s="398"/>
      <c r="K8" s="941"/>
      <c r="L8" s="941"/>
      <c r="M8" s="941"/>
      <c r="N8" s="941"/>
      <c r="O8" s="941"/>
      <c r="P8" s="941"/>
      <c r="Q8" s="398"/>
      <c r="R8" s="398"/>
    </row>
    <row r="9" spans="2:19" ht="13.9" customHeight="1" x14ac:dyDescent="0.25">
      <c r="B9" s="946" t="s">
        <v>359</v>
      </c>
      <c r="C9" s="948">
        <f>Assumptions!N26</f>
        <v>0.12020833333333333</v>
      </c>
      <c r="D9" s="948">
        <f>Assumptions!O26</f>
        <v>0.09</v>
      </c>
      <c r="E9" s="948">
        <f>Assumptions!P26</f>
        <v>0.08</v>
      </c>
      <c r="F9" s="948">
        <f>Assumptions!Q26</f>
        <v>8.5000000000000006E-2</v>
      </c>
      <c r="G9" s="948">
        <f>Assumptions!R26</f>
        <v>8.5000000000000006E-2</v>
      </c>
      <c r="H9" s="940"/>
      <c r="I9" s="398"/>
      <c r="J9" s="942"/>
      <c r="K9" s="941"/>
      <c r="L9" s="941"/>
      <c r="M9" s="941"/>
      <c r="N9" s="941"/>
      <c r="O9" s="941"/>
      <c r="P9" s="941"/>
      <c r="Q9" s="398"/>
      <c r="R9" s="398"/>
    </row>
    <row r="10" spans="2:19" ht="13.9" customHeight="1" x14ac:dyDescent="0.25">
      <c r="B10" s="946" t="s">
        <v>854</v>
      </c>
      <c r="C10" s="948">
        <f>SUM(Assumptions!N31:N32)</f>
        <v>0.11567191240302581</v>
      </c>
      <c r="D10" s="949">
        <f>SUM(Assumptions!O31:O32)</f>
        <v>0.10299999999999999</v>
      </c>
      <c r="E10" s="949">
        <f>SUM(Assumptions!P31:P32)</f>
        <v>9.799999999999999E-2</v>
      </c>
      <c r="F10" s="949">
        <f>SUM(Assumptions!Q31:Q32)</f>
        <v>0.11299999999999999</v>
      </c>
      <c r="G10" s="949">
        <f>SUM(Assumptions!R31:R32)</f>
        <v>0.11</v>
      </c>
      <c r="H10" s="398"/>
      <c r="I10" s="398"/>
      <c r="J10" s="942"/>
      <c r="K10" s="941"/>
      <c r="L10" s="941"/>
      <c r="M10" s="941"/>
      <c r="N10" s="941"/>
      <c r="O10" s="941"/>
      <c r="P10" s="941"/>
      <c r="Q10" s="398"/>
      <c r="R10" s="398"/>
    </row>
    <row r="11" spans="2:19" ht="13.9" customHeight="1" x14ac:dyDescent="0.25">
      <c r="B11" s="946" t="s">
        <v>853</v>
      </c>
      <c r="C11" s="948">
        <f>Assumptions!N31</f>
        <v>0.10578361800455501</v>
      </c>
      <c r="D11" s="949">
        <f>Assumptions!O31</f>
        <v>0.107</v>
      </c>
      <c r="E11" s="949">
        <f>Assumptions!P31</f>
        <v>8.7999999999999995E-2</v>
      </c>
      <c r="F11" s="949">
        <f>Assumptions!Q31</f>
        <v>7.2999999999999995E-2</v>
      </c>
      <c r="G11" s="949">
        <f>Assumptions!R31</f>
        <v>6.5000000000000002E-2</v>
      </c>
      <c r="H11" s="398"/>
      <c r="I11" s="398"/>
      <c r="J11" s="942"/>
      <c r="K11" s="941"/>
      <c r="L11" s="941"/>
      <c r="M11" s="941"/>
      <c r="N11" s="941"/>
      <c r="O11" s="941"/>
      <c r="P11" s="941"/>
      <c r="Q11" s="398"/>
      <c r="R11" s="398"/>
    </row>
    <row r="12" spans="2:19" ht="13.9" customHeight="1" x14ac:dyDescent="0.25">
      <c r="B12" s="953" t="s">
        <v>855</v>
      </c>
      <c r="C12" s="944">
        <v>2019</v>
      </c>
      <c r="D12" s="945" t="s">
        <v>477</v>
      </c>
      <c r="E12" s="945" t="s">
        <v>478</v>
      </c>
      <c r="F12" s="945" t="s">
        <v>479</v>
      </c>
      <c r="G12" s="945" t="s">
        <v>480</v>
      </c>
      <c r="H12" s="950"/>
      <c r="I12" s="950"/>
      <c r="J12" s="942"/>
      <c r="K12" s="941"/>
      <c r="L12" s="941"/>
      <c r="M12" s="941"/>
      <c r="N12" s="941"/>
      <c r="O12" s="941"/>
      <c r="P12" s="941"/>
      <c r="Q12" s="398"/>
      <c r="R12" s="398"/>
    </row>
    <row r="13" spans="2:19" ht="13.9" customHeight="1" x14ac:dyDescent="0.25">
      <c r="B13" s="946" t="s">
        <v>0</v>
      </c>
      <c r="C13" s="951">
        <f>MEBL!M3</f>
        <v>12.117487108751122</v>
      </c>
      <c r="D13" s="952">
        <f>MEBL!N3</f>
        <v>16.967749914813961</v>
      </c>
      <c r="E13" s="952">
        <f>MEBL!O3</f>
        <v>14.529025781087135</v>
      </c>
      <c r="F13" s="952">
        <f ca="1">MEBL!P3</f>
        <v>17.97485345534313</v>
      </c>
      <c r="G13" s="952">
        <f ca="1">MEBL!Q3</f>
        <v>19.906361672219983</v>
      </c>
      <c r="H13" s="28"/>
      <c r="I13" s="398"/>
      <c r="J13" s="942"/>
      <c r="K13" s="941"/>
      <c r="L13" s="941"/>
      <c r="M13" s="941"/>
      <c r="N13" s="941"/>
      <c r="O13" s="941"/>
      <c r="P13" s="941"/>
      <c r="Q13" s="398"/>
      <c r="R13" s="398"/>
    </row>
    <row r="14" spans="2:19" ht="13.9" customHeight="1" x14ac:dyDescent="0.25">
      <c r="B14" s="946" t="s">
        <v>658</v>
      </c>
      <c r="C14" s="948">
        <f>Ratios!N6</f>
        <v>4.8343375957320946E-2</v>
      </c>
      <c r="D14" s="949">
        <f>Ratios!O6</f>
        <v>5.6806722590910491E-2</v>
      </c>
      <c r="E14" s="949">
        <f>Ratios!P6</f>
        <v>4.7239168965521459E-2</v>
      </c>
      <c r="F14" s="949">
        <f ca="1">Ratios!Q6</f>
        <v>4.5791103388969918E-2</v>
      </c>
      <c r="G14" s="949">
        <f ca="1">Ratios!R6</f>
        <v>4.5849561158982845E-2</v>
      </c>
      <c r="H14" s="398"/>
      <c r="I14" s="398"/>
      <c r="J14" s="942"/>
      <c r="K14" s="941"/>
      <c r="L14" s="941"/>
      <c r="M14" s="941"/>
      <c r="N14" s="941"/>
      <c r="O14" s="941"/>
      <c r="P14" s="941"/>
      <c r="Q14" s="398"/>
      <c r="R14" s="398"/>
    </row>
    <row r="15" spans="2:19" ht="13.9" customHeight="1" x14ac:dyDescent="0.25">
      <c r="B15" s="953" t="s">
        <v>856</v>
      </c>
      <c r="C15" s="944">
        <v>2019</v>
      </c>
      <c r="D15" s="945" t="s">
        <v>477</v>
      </c>
      <c r="E15" s="945" t="s">
        <v>478</v>
      </c>
      <c r="F15" s="945" t="s">
        <v>479</v>
      </c>
      <c r="G15" s="945" t="s">
        <v>480</v>
      </c>
      <c r="H15" s="398"/>
      <c r="I15" s="398"/>
      <c r="J15" s="398"/>
      <c r="K15" s="398"/>
      <c r="L15" s="398"/>
      <c r="M15" s="398"/>
      <c r="N15" s="398"/>
      <c r="O15" s="398"/>
      <c r="P15" s="398"/>
      <c r="Q15" s="398"/>
      <c r="R15" s="398"/>
    </row>
    <row r="16" spans="2:19" ht="13.9" customHeight="1" x14ac:dyDescent="0.25">
      <c r="B16" s="946" t="s">
        <v>687</v>
      </c>
      <c r="C16" s="948">
        <f>Ratios!N32</f>
        <v>1.7760109869414179E-2</v>
      </c>
      <c r="D16" s="949">
        <f>Ratios!O32</f>
        <v>1.9633336052449116E-2</v>
      </c>
      <c r="E16" s="949">
        <f>Ratios!P32</f>
        <v>2.1000000000000001E-2</v>
      </c>
      <c r="F16" s="949">
        <f>Ratios!Q32</f>
        <v>1.7520057171348472E-2</v>
      </c>
      <c r="G16" s="949">
        <f>Ratios!R32</f>
        <v>1.7435369614937184E-2</v>
      </c>
      <c r="H16" s="398"/>
      <c r="I16" s="398"/>
      <c r="J16" s="398"/>
      <c r="K16" s="398"/>
      <c r="L16" s="398"/>
      <c r="M16" s="398"/>
      <c r="N16" s="398"/>
    </row>
    <row r="17" spans="2:20" x14ac:dyDescent="0.25">
      <c r="B17" s="946" t="s">
        <v>603</v>
      </c>
      <c r="C17" s="948">
        <f>Ratios!N33</f>
        <v>1.4159212843353597</v>
      </c>
      <c r="D17" s="949">
        <f>Ratios!O33</f>
        <v>1.4616776046699071</v>
      </c>
      <c r="E17" s="949">
        <f>Ratios!P33</f>
        <v>1.5162661264861608</v>
      </c>
      <c r="F17" s="949">
        <f ca="1">Ratios!Q33</f>
        <v>1.5913244958095345</v>
      </c>
      <c r="G17" s="949">
        <f ca="1">Ratios!R33</f>
        <v>1.5041968778487733</v>
      </c>
      <c r="H17" s="398"/>
      <c r="I17" s="398"/>
      <c r="J17" s="398"/>
      <c r="K17" s="398"/>
      <c r="L17" s="398"/>
      <c r="M17" s="398"/>
      <c r="N17" s="398"/>
      <c r="O17" s="398"/>
      <c r="P17" s="398"/>
      <c r="Q17" s="398"/>
      <c r="R17" s="398"/>
    </row>
    <row r="18" spans="2:20" x14ac:dyDescent="0.25">
      <c r="B18" s="953" t="s">
        <v>312</v>
      </c>
      <c r="C18" s="944">
        <v>2019</v>
      </c>
      <c r="D18" s="945" t="s">
        <v>477</v>
      </c>
      <c r="E18" s="945" t="s">
        <v>478</v>
      </c>
      <c r="F18" s="945" t="s">
        <v>479</v>
      </c>
      <c r="G18" s="945" t="s">
        <v>480</v>
      </c>
      <c r="H18" s="398"/>
      <c r="I18" s="398"/>
      <c r="J18" s="398"/>
      <c r="K18" s="398"/>
      <c r="L18" s="398"/>
      <c r="M18" s="398"/>
      <c r="N18" s="398"/>
      <c r="O18" s="398"/>
      <c r="P18" s="398"/>
      <c r="Q18" s="398"/>
      <c r="R18" s="398"/>
    </row>
    <row r="19" spans="2:20" x14ac:dyDescent="0.25">
      <c r="B19" s="946" t="s">
        <v>858</v>
      </c>
      <c r="C19" s="948">
        <f>Ratios!N52</f>
        <v>0.11733916813860697</v>
      </c>
      <c r="D19" s="949">
        <f ca="1">Ratios!O52</f>
        <v>0.13697015987582498</v>
      </c>
      <c r="E19" s="949">
        <f ca="1">Ratios!P52</f>
        <v>0.13112486877417626</v>
      </c>
      <c r="F19" s="949">
        <f ca="1">Ratios!Q52</f>
        <v>0.13390735611183519</v>
      </c>
      <c r="G19" s="949">
        <f ca="1">Ratios!R52</f>
        <v>0.13513870651418586</v>
      </c>
      <c r="H19" s="398"/>
      <c r="I19" s="398"/>
      <c r="J19" s="398"/>
      <c r="K19" s="398"/>
      <c r="L19" s="398"/>
      <c r="M19" s="398"/>
      <c r="N19" s="398"/>
      <c r="O19" s="398"/>
      <c r="P19" s="398"/>
      <c r="Q19" s="398"/>
    </row>
    <row r="20" spans="2:20" x14ac:dyDescent="0.25">
      <c r="B20" s="946" t="s">
        <v>312</v>
      </c>
      <c r="C20" s="948">
        <f>Ratios!N54</f>
        <v>0.17172851718397766</v>
      </c>
      <c r="D20" s="949">
        <f ca="1">Ratios!O54</f>
        <v>0.18701372352380013</v>
      </c>
      <c r="E20" s="949">
        <f ca="1">Ratios!P54</f>
        <v>0.17453893727358857</v>
      </c>
      <c r="F20" s="949">
        <f ca="1">Ratios!Q54</f>
        <v>0.17087867218670205</v>
      </c>
      <c r="G20" s="949">
        <f ca="1">Ratios!R54</f>
        <v>0.16674304766876133</v>
      </c>
      <c r="H20" s="398"/>
      <c r="I20" s="398"/>
      <c r="J20" s="398"/>
      <c r="K20" s="398"/>
      <c r="L20" s="398"/>
      <c r="M20" s="398"/>
      <c r="N20" s="398"/>
      <c r="O20" s="398"/>
      <c r="P20" s="398"/>
      <c r="Q20" s="398"/>
    </row>
    <row r="21" spans="2:20" x14ac:dyDescent="0.25">
      <c r="B21" s="946" t="s">
        <v>857</v>
      </c>
      <c r="C21" s="948">
        <f>Ratios!N55</f>
        <v>0.39018821118355035</v>
      </c>
      <c r="D21" s="949">
        <f>Ratios!O55</f>
        <v>0.36319254931824207</v>
      </c>
      <c r="E21" s="949">
        <f ca="1">Ratios!P55</f>
        <v>0.3792835460144181</v>
      </c>
      <c r="F21" s="949">
        <f ca="1">Ratios!Q55</f>
        <v>0.39302566549551848</v>
      </c>
      <c r="G21" s="949">
        <f ca="1">Ratios!R55</f>
        <v>0.40856962412954961</v>
      </c>
      <c r="H21" s="398"/>
      <c r="I21" s="398"/>
      <c r="J21" s="398"/>
      <c r="K21" s="398"/>
      <c r="L21" s="398"/>
      <c r="M21" s="398"/>
      <c r="N21" s="398"/>
      <c r="O21" s="398"/>
      <c r="P21" s="398"/>
      <c r="Q21" s="398"/>
    </row>
    <row r="22" spans="2:20" x14ac:dyDescent="0.25">
      <c r="B22" s="953" t="s">
        <v>859</v>
      </c>
      <c r="C22" s="944">
        <v>2019</v>
      </c>
      <c r="D22" s="945" t="s">
        <v>477</v>
      </c>
      <c r="E22" s="945" t="s">
        <v>478</v>
      </c>
      <c r="F22" s="945" t="s">
        <v>479</v>
      </c>
      <c r="G22" s="945" t="s">
        <v>480</v>
      </c>
      <c r="H22" s="398"/>
      <c r="I22" s="398"/>
      <c r="J22" s="398"/>
      <c r="Q22" s="398"/>
    </row>
    <row r="23" spans="2:20" x14ac:dyDescent="0.25">
      <c r="B23" s="946" t="s">
        <v>605</v>
      </c>
      <c r="C23" s="948">
        <f>C25*C24</f>
        <v>0.29917826786328694</v>
      </c>
      <c r="D23" s="949">
        <f t="shared" ref="D23:G23" ca="1" si="0">D25*D24</f>
        <v>0.34389302972881264</v>
      </c>
      <c r="E23" s="949">
        <f t="shared" ca="1" si="0"/>
        <v>0.2484115228789002</v>
      </c>
      <c r="F23" s="949">
        <f t="shared" ca="1" si="0"/>
        <v>0.26431964424853632</v>
      </c>
      <c r="G23" s="949">
        <f t="shared" ca="1" si="0"/>
        <v>0.24618474349555142</v>
      </c>
      <c r="H23" s="398"/>
      <c r="I23" s="398"/>
      <c r="J23" s="398"/>
      <c r="Q23" s="398"/>
    </row>
    <row r="24" spans="2:20" x14ac:dyDescent="0.25">
      <c r="B24" s="946" t="s">
        <v>606</v>
      </c>
      <c r="C24" s="948">
        <f>Ratios!N61</f>
        <v>1.5072967214994647E-2</v>
      </c>
      <c r="D24" s="949">
        <f>Ratios!O61</f>
        <v>1.935194147568494E-2</v>
      </c>
      <c r="E24" s="949">
        <f ca="1">Ratios!P61</f>
        <v>1.4423739823304091E-2</v>
      </c>
      <c r="F24" s="949">
        <f ca="1">Ratios!Q61</f>
        <v>1.5943658387874964E-2</v>
      </c>
      <c r="G24" s="949">
        <f ca="1">Ratios!R61</f>
        <v>1.5639246052083125E-2</v>
      </c>
      <c r="H24" s="398"/>
      <c r="I24" s="398"/>
      <c r="J24" s="398"/>
      <c r="K24" s="1005"/>
      <c r="L24" s="1005"/>
      <c r="M24" s="1005"/>
      <c r="N24" s="1005"/>
      <c r="O24" s="1005"/>
      <c r="P24" s="1005"/>
      <c r="Q24" s="1005"/>
      <c r="R24" s="1005"/>
      <c r="S24" s="1005"/>
    </row>
    <row r="25" spans="2:20" ht="13.9" customHeight="1" x14ac:dyDescent="0.25">
      <c r="B25" s="946" t="s">
        <v>860</v>
      </c>
      <c r="C25" s="955">
        <f>Ratios!N43</f>
        <v>19.848664406677887</v>
      </c>
      <c r="D25" s="956">
        <f ca="1">Ratios!O43</f>
        <v>17.770466604650629</v>
      </c>
      <c r="E25" s="956">
        <f ca="1">Ratios!P43</f>
        <v>17.222407359119696</v>
      </c>
      <c r="F25" s="956">
        <f ca="1">Ratios!Q43</f>
        <v>16.578355971898489</v>
      </c>
      <c r="G25" s="956">
        <f ca="1">Ratios!R43</f>
        <v>15.741471339199242</v>
      </c>
      <c r="H25" s="398"/>
      <c r="I25" s="398"/>
      <c r="J25" s="398"/>
      <c r="T25" s="939"/>
    </row>
    <row r="26" spans="2:20" x14ac:dyDescent="0.25">
      <c r="B26" s="946" t="s">
        <v>861</v>
      </c>
      <c r="C26" s="954">
        <f>Ratios!N15</f>
        <v>4.6923440977313428E-2</v>
      </c>
      <c r="D26" s="954">
        <f>Ratios!O15</f>
        <v>5.3527203565678035E-2</v>
      </c>
      <c r="E26" s="954">
        <f ca="1">Ratios!P15</f>
        <v>4.5602191828653452E-2</v>
      </c>
      <c r="F26" s="954">
        <f ca="1">Ratios!Q15</f>
        <v>4.6861490780725011E-2</v>
      </c>
      <c r="G26" s="954">
        <f ca="1">Ratios!R15</f>
        <v>4.5726511246544123E-2</v>
      </c>
      <c r="H26" s="398"/>
      <c r="I26" s="398"/>
      <c r="J26" s="398"/>
    </row>
    <row r="27" spans="2:20" x14ac:dyDescent="0.25">
      <c r="B27" s="946" t="s">
        <v>862</v>
      </c>
      <c r="C27" s="948">
        <f>MEBL!M71/MEBL!M56</f>
        <v>0.29492979425576504</v>
      </c>
      <c r="D27" s="948">
        <f>MEBL!N71/MEBL!N56</f>
        <v>0.33102872930985211</v>
      </c>
      <c r="E27" s="948">
        <f>MEBL!O71/MEBL!O56</f>
        <v>0.30142279681478146</v>
      </c>
      <c r="F27" s="948">
        <f ca="1">MEBL!P71/MEBL!P56</f>
        <v>0.32023287050641935</v>
      </c>
      <c r="G27" s="948">
        <f ca="1">MEBL!Q71/MEBL!Q56</f>
        <v>0.32297392921537016</v>
      </c>
    </row>
    <row r="28" spans="2:20" x14ac:dyDescent="0.25">
      <c r="C28" s="48"/>
      <c r="D28" s="48"/>
      <c r="E28" s="48"/>
      <c r="F28" s="48"/>
      <c r="G28" s="48"/>
    </row>
    <row r="30" spans="2:20" x14ac:dyDescent="0.25">
      <c r="D30" s="947"/>
    </row>
  </sheetData>
  <mergeCells count="3">
    <mergeCell ref="B6:G6"/>
    <mergeCell ref="K6:S6"/>
    <mergeCell ref="K24:S24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X64"/>
  <sheetViews>
    <sheetView showGridLines="0" zoomScale="115" zoomScaleNormal="115" workbookViewId="0">
      <pane xSplit="3" ySplit="3" topLeftCell="D4" activePane="bottomRight" state="frozen"/>
      <selection pane="topRight" activeCell="C1" sqref="C1"/>
      <selection pane="bottomLeft" activeCell="A4" sqref="A4"/>
      <selection pane="bottomRight" activeCell="B1" sqref="B1"/>
    </sheetView>
  </sheetViews>
  <sheetFormatPr defaultColWidth="9.28515625" defaultRowHeight="11.25" x14ac:dyDescent="0.2"/>
  <cols>
    <col min="1" max="1" width="1.85546875" style="840" customWidth="1"/>
    <col min="2" max="2" width="15.28515625" style="804" customWidth="1"/>
    <col min="3" max="3" width="29.7109375" style="804" customWidth="1"/>
    <col min="4" max="16384" width="9.28515625" style="804"/>
  </cols>
  <sheetData>
    <row r="1" spans="1:24" ht="13.5" thickBot="1" x14ac:dyDescent="0.25">
      <c r="B1" s="843" t="s">
        <v>713</v>
      </c>
    </row>
    <row r="2" spans="1:24" ht="12" thickTop="1" x14ac:dyDescent="0.2"/>
    <row r="3" spans="1:24" ht="11.25" customHeight="1" x14ac:dyDescent="0.2">
      <c r="B3" s="811" t="s">
        <v>1</v>
      </c>
      <c r="C3" s="805"/>
      <c r="D3" s="59">
        <v>2011</v>
      </c>
      <c r="E3" s="59">
        <f>D3+1</f>
        <v>2012</v>
      </c>
      <c r="F3" s="59">
        <f t="shared" ref="F3:J3" si="0">E3+1</f>
        <v>2013</v>
      </c>
      <c r="G3" s="59">
        <f t="shared" si="0"/>
        <v>2014</v>
      </c>
      <c r="H3" s="59">
        <f t="shared" si="0"/>
        <v>2015</v>
      </c>
      <c r="I3" s="59">
        <f t="shared" si="0"/>
        <v>2016</v>
      </c>
      <c r="J3" s="59">
        <f t="shared" si="0"/>
        <v>2017</v>
      </c>
      <c r="K3" s="59">
        <f>J3+1</f>
        <v>2018</v>
      </c>
      <c r="L3" s="425">
        <f>K3+1</f>
        <v>2019</v>
      </c>
      <c r="M3" s="348" t="s">
        <v>477</v>
      </c>
      <c r="N3" s="348" t="s">
        <v>478</v>
      </c>
      <c r="O3" s="348" t="s">
        <v>479</v>
      </c>
      <c r="P3" s="348" t="s">
        <v>480</v>
      </c>
      <c r="Q3" s="348" t="s">
        <v>481</v>
      </c>
      <c r="R3" s="348" t="s">
        <v>482</v>
      </c>
    </row>
    <row r="4" spans="1:24" s="958" customFormat="1" x14ac:dyDescent="0.2">
      <c r="A4" s="840"/>
      <c r="B4" s="806" t="s">
        <v>60</v>
      </c>
      <c r="C4" s="807"/>
      <c r="D4" s="807"/>
      <c r="E4" s="807"/>
      <c r="F4" s="807" t="s">
        <v>148</v>
      </c>
      <c r="G4" s="807"/>
      <c r="H4" s="807"/>
      <c r="I4" s="807"/>
      <c r="J4" s="807"/>
      <c r="K4" s="807"/>
      <c r="L4" s="807"/>
      <c r="M4" s="807"/>
      <c r="N4" s="807"/>
      <c r="O4" s="807"/>
      <c r="P4" s="807"/>
      <c r="Q4" s="807"/>
      <c r="R4" s="807"/>
      <c r="S4" s="804"/>
      <c r="T4" s="804"/>
      <c r="U4" s="804"/>
      <c r="V4" s="804"/>
      <c r="W4" s="804"/>
      <c r="X4" s="804"/>
    </row>
    <row r="5" spans="1:24" x14ac:dyDescent="0.2">
      <c r="B5" s="798" t="s">
        <v>2</v>
      </c>
    </row>
    <row r="6" spans="1:24" x14ac:dyDescent="0.2">
      <c r="B6" s="804" t="s">
        <v>3</v>
      </c>
      <c r="D6" s="808">
        <f>(MEBL!E7/MEBL!D7)-1</f>
        <v>0.3020310460465736</v>
      </c>
      <c r="E6" s="808">
        <f>(MEBL!F7/MEBL!E7)-1</f>
        <v>0.14928050539639748</v>
      </c>
      <c r="F6" s="808">
        <f>(MEBL!G7/MEBL!F7)-1</f>
        <v>0.49448505681005051</v>
      </c>
      <c r="G6" s="808">
        <f>(MEBL!H7/MEBL!G7)-1</f>
        <v>4.0099114755935972E-2</v>
      </c>
      <c r="H6" s="808">
        <f>(MEBL!I7/MEBL!H7)-1</f>
        <v>0.46947367203022639</v>
      </c>
      <c r="I6" s="808">
        <f>(MEBL!J7/MEBL!I7)-1</f>
        <v>0.28273382582778472</v>
      </c>
      <c r="J6" s="808">
        <f>(MEBL!K7/MEBL!J7)-1</f>
        <v>0.15203096994250753</v>
      </c>
      <c r="K6" s="808">
        <f>(MEBL!L7/MEBL!K7)-1</f>
        <v>7.2185396805450885E-3</v>
      </c>
      <c r="L6" s="808">
        <f>(MEBL!M7/MEBL!L7)-1</f>
        <v>0.4178784539706093</v>
      </c>
      <c r="M6" s="808">
        <f>(MEBL!N7/MEBL!M7)-1</f>
        <v>3.184428645954851E-2</v>
      </c>
      <c r="N6" s="808">
        <f ca="1">(MEBL!O7/MEBL!N7)-1</f>
        <v>0.16421735739567356</v>
      </c>
      <c r="O6" s="808">
        <f ca="1">(MEBL!P7/MEBL!O7)-1</f>
        <v>9.42690678066056E-2</v>
      </c>
      <c r="P6" s="808">
        <f ca="1">(MEBL!Q7/MEBL!P7)-1</f>
        <v>0.21390110152976582</v>
      </c>
      <c r="Q6" s="808">
        <f ca="1">(MEBL!R7/MEBL!Q7)-1</f>
        <v>0.17206588119498023</v>
      </c>
      <c r="R6" s="808">
        <f ca="1">(MEBL!S7/MEBL!R7)-1</f>
        <v>0.15620539091279739</v>
      </c>
    </row>
    <row r="7" spans="1:24" x14ac:dyDescent="0.2">
      <c r="B7" s="804" t="s">
        <v>4</v>
      </c>
      <c r="D7" s="808">
        <f>(MEBL!E8/MEBL!D8)-1</f>
        <v>-0.76351019612147597</v>
      </c>
      <c r="E7" s="808">
        <f>(MEBL!F8/MEBL!E8)-1</f>
        <v>0.63537174276022679</v>
      </c>
      <c r="F7" s="808">
        <f>(MEBL!G8/MEBL!F8)-1</f>
        <v>-7.7098009685418689E-2</v>
      </c>
      <c r="G7" s="808">
        <f>(MEBL!H8/MEBL!G8)-1</f>
        <v>0.54775318676260487</v>
      </c>
      <c r="H7" s="808">
        <f>(MEBL!I8/MEBL!H8)-1</f>
        <v>1.0314312997254897</v>
      </c>
      <c r="I7" s="808">
        <f>(MEBL!J8/MEBL!I8)-1</f>
        <v>7.9891741073426115E-2</v>
      </c>
      <c r="J7" s="808">
        <f>(MEBL!K8/MEBL!J8)-1</f>
        <v>-0.59064059022916671</v>
      </c>
      <c r="K7" s="808">
        <f>(MEBL!L8/MEBL!K8)-1</f>
        <v>0.6755051021337668</v>
      </c>
      <c r="L7" s="808">
        <f>(MEBL!M8/MEBL!L8)-1</f>
        <v>0.86233672814276807</v>
      </c>
      <c r="M7" s="808">
        <f>(MEBL!N8/MEBL!M8)-1</f>
        <v>4.4044363281802168E-2</v>
      </c>
      <c r="N7" s="808">
        <f>(MEBL!O8/MEBL!N8)-1</f>
        <v>-0.102588541914999</v>
      </c>
      <c r="O7" s="808">
        <f>(MEBL!P8/MEBL!O8)-1</f>
        <v>0.26605440245327094</v>
      </c>
      <c r="P7" s="808">
        <f>(MEBL!Q8/MEBL!P8)-1</f>
        <v>0.18784143624694138</v>
      </c>
      <c r="Q7" s="808">
        <f>(MEBL!R8/MEBL!Q8)-1</f>
        <v>8.1466463474462403E-2</v>
      </c>
      <c r="R7" s="808">
        <f>(MEBL!S8/MEBL!R8)-1</f>
        <v>0.10942501935070692</v>
      </c>
    </row>
    <row r="8" spans="1:24" x14ac:dyDescent="0.2">
      <c r="B8" s="804" t="s">
        <v>5</v>
      </c>
      <c r="D8" s="808">
        <f>(MEBL!E9/MEBL!D9)-1</f>
        <v>-0.61325512956561901</v>
      </c>
      <c r="E8" s="808">
        <f>(MEBL!F9/MEBL!E9)-1</f>
        <v>-0.87701105375453281</v>
      </c>
      <c r="F8" s="808">
        <f>(MEBL!G9/MEBL!F9)-1</f>
        <v>13.885464000000001</v>
      </c>
      <c r="G8" s="808">
        <f>(MEBL!H9/MEBL!G9)-1</f>
        <v>11.195292938130784</v>
      </c>
      <c r="H8" s="808">
        <f>(MEBL!I9/MEBL!H9)-1</f>
        <v>0.87816874362518038</v>
      </c>
      <c r="I8" s="808">
        <f>(MEBL!J9/MEBL!I9)-1</f>
        <v>-0.24261268356140842</v>
      </c>
      <c r="J8" s="808">
        <f>(MEBL!K9/MEBL!J9)-1</f>
        <v>0.14029379120570384</v>
      </c>
      <c r="K8" s="808">
        <f>(MEBL!L9/MEBL!K9)-1</f>
        <v>0.25528477801291927</v>
      </c>
      <c r="L8" s="808">
        <f>(MEBL!M9/MEBL!L9)-1</f>
        <v>0.21034444789535023</v>
      </c>
      <c r="M8" s="808">
        <f>(MEBL!N9/MEBL!M9)-1</f>
        <v>0.19594651430150467</v>
      </c>
      <c r="N8" s="808">
        <f>(MEBL!O9/MEBL!N9)-1</f>
        <v>-0.11993198995490151</v>
      </c>
      <c r="O8" s="808">
        <f>(MEBL!P9/MEBL!O9)-1</f>
        <v>-5.029921101032464E-2</v>
      </c>
      <c r="P8" s="808">
        <f>(MEBL!Q9/MEBL!P9)-1</f>
        <v>-1.5384670534135281E-2</v>
      </c>
      <c r="Q8" s="808">
        <f>(MEBL!R9/MEBL!Q9)-1</f>
        <v>5.0330623816409847E-2</v>
      </c>
      <c r="R8" s="808">
        <f>(MEBL!S9/MEBL!R9)-1</f>
        <v>4.7182994843139925E-2</v>
      </c>
    </row>
    <row r="9" spans="1:24" x14ac:dyDescent="0.2">
      <c r="B9" s="804" t="s">
        <v>6</v>
      </c>
      <c r="D9" s="808">
        <f>(MEBL!E10/MEBL!D10)-1</f>
        <v>0.9784393658307724</v>
      </c>
      <c r="E9" s="808">
        <f>(MEBL!F10/MEBL!E10)-1</f>
        <v>0.52536822029659724</v>
      </c>
      <c r="F9" s="808">
        <f>(MEBL!G10/MEBL!F10)-1</f>
        <v>-5.5484901254826413E-3</v>
      </c>
      <c r="G9" s="808">
        <f>(MEBL!H10/MEBL!G10)-1</f>
        <v>-0.24750153404436781</v>
      </c>
      <c r="H9" s="808">
        <f>(MEBL!I10/MEBL!H10)-1</f>
        <v>-0.32587908456091896</v>
      </c>
      <c r="I9" s="808">
        <f>(MEBL!J10/MEBL!I10)-1</f>
        <v>0.75265452971098612</v>
      </c>
      <c r="J9" s="808">
        <f>(MEBL!K10/MEBL!J10)-1</f>
        <v>-8.6320242827536475E-2</v>
      </c>
      <c r="K9" s="808">
        <f>(MEBL!L10/MEBL!K10)-1</f>
        <v>3.210820128703018E-2</v>
      </c>
      <c r="L9" s="808">
        <f>(MEBL!M10/MEBL!L10)-1</f>
        <v>0.80676074938408693</v>
      </c>
      <c r="M9" s="808">
        <f>(MEBL!N10/MEBL!M10)-1</f>
        <v>0.66653721467840721</v>
      </c>
      <c r="N9" s="808">
        <f>(MEBL!O10/MEBL!N10)-1</f>
        <v>0.23022177390580634</v>
      </c>
      <c r="O9" s="808">
        <f>(MEBL!P10/MEBL!O10)-1</f>
        <v>0.18712286615502927</v>
      </c>
      <c r="P9" s="808">
        <f>(MEBL!Q10/MEBL!P10)-1</f>
        <v>0.12527198640129766</v>
      </c>
      <c r="Q9" s="808">
        <f>(MEBL!R10/MEBL!Q10)-1</f>
        <v>0.13112363195370036</v>
      </c>
      <c r="R9" s="808">
        <f>(MEBL!S10/MEBL!R10)-1</f>
        <v>0.13444630763821031</v>
      </c>
    </row>
    <row r="10" spans="1:24" x14ac:dyDescent="0.2">
      <c r="B10" s="804" t="s">
        <v>7</v>
      </c>
      <c r="D10" s="808">
        <f>(MEBL!E11/MEBL!D11)-1</f>
        <v>9.1867895648356512E-2</v>
      </c>
      <c r="E10" s="808">
        <f>(MEBL!F11/MEBL!E11)-1</f>
        <v>0.50415055672842524</v>
      </c>
      <c r="F10" s="808">
        <f>(MEBL!G11/MEBL!F11)-1</f>
        <v>0.4391704664408822</v>
      </c>
      <c r="G10" s="808">
        <f>(MEBL!H11/MEBL!G11)-1</f>
        <v>0.37680609089587302</v>
      </c>
      <c r="H10" s="808">
        <f>(MEBL!I11/MEBL!H11)-1</f>
        <v>0.18130174100517316</v>
      </c>
      <c r="I10" s="808">
        <f>(MEBL!J11/MEBL!I11)-1</f>
        <v>0.50085290024504303</v>
      </c>
      <c r="J10" s="808">
        <f>(MEBL!K11/MEBL!J11)-1</f>
        <v>0.34795616811168917</v>
      </c>
      <c r="K10" s="808">
        <f>(MEBL!L11/MEBL!K11)-1</f>
        <v>0.22059762514842718</v>
      </c>
      <c r="L10" s="808">
        <f>(MEBL!M11/MEBL!L11)-1</f>
        <v>-3.6657191813989742E-2</v>
      </c>
      <c r="M10" s="808">
        <f>(MEBL!N11/MEBL!M11)-1</f>
        <v>6.4811731083231905E-2</v>
      </c>
      <c r="N10" s="808">
        <f>(MEBL!O11/MEBL!N11)-1</f>
        <v>0.13022456865715482</v>
      </c>
      <c r="O10" s="808">
        <f ca="1">(MEBL!P11/MEBL!O11)-1</f>
        <v>0.15502892362112264</v>
      </c>
      <c r="P10" s="808">
        <f ca="1">(MEBL!Q11/MEBL!P11)-1</f>
        <v>0.14973013988021089</v>
      </c>
      <c r="Q10" s="808">
        <f ca="1">(MEBL!R11/MEBL!Q11)-1</f>
        <v>0.15498683421258574</v>
      </c>
      <c r="R10" s="808">
        <f ca="1">(MEBL!S11/MEBL!R11)-1</f>
        <v>0.15759337438089305</v>
      </c>
    </row>
    <row r="11" spans="1:24" x14ac:dyDescent="0.2">
      <c r="B11" s="804" t="s">
        <v>8</v>
      </c>
      <c r="D11" s="808">
        <f>(MEBL!E12/MEBL!D12)-1</f>
        <v>0.29895148320502907</v>
      </c>
      <c r="E11" s="808">
        <f>(MEBL!F12/MEBL!E12)-1</f>
        <v>0.21803740967121055</v>
      </c>
      <c r="F11" s="808">
        <f>(MEBL!G12/MEBL!F12)-1</f>
        <v>0.14222945384464625</v>
      </c>
      <c r="G11" s="808">
        <f>(MEBL!H12/MEBL!G12)-1</f>
        <v>0.12123957580045008</v>
      </c>
      <c r="H11" s="808">
        <f>(MEBL!I12/MEBL!H12)-1</f>
        <v>0.28430353123800978</v>
      </c>
      <c r="I11" s="808">
        <f>(MEBL!J12/MEBL!I12)-1</f>
        <v>0.1210095692514952</v>
      </c>
      <c r="J11" s="808">
        <f>(MEBL!K12/MEBL!J12)-1</f>
        <v>0.3280561348124813</v>
      </c>
      <c r="K11" s="808">
        <f>(MEBL!L12/MEBL!K12)-1</f>
        <v>0.10286407550873378</v>
      </c>
      <c r="L11" s="808">
        <f>(MEBL!M12/MEBL!L12)-1</f>
        <v>0.78884253406950733</v>
      </c>
      <c r="M11" s="808">
        <f>(MEBL!N12/MEBL!M12)-1</f>
        <v>1.7795402053648601E-3</v>
      </c>
      <c r="N11" s="808">
        <f>(MEBL!O12/MEBL!N12)-1</f>
        <v>4.8577888983936557E-2</v>
      </c>
      <c r="O11" s="808">
        <f>(MEBL!P12/MEBL!O12)-1</f>
        <v>0.1616906001897207</v>
      </c>
      <c r="P11" s="808">
        <f>(MEBL!Q12/MEBL!P12)-1</f>
        <v>0.1843008649925828</v>
      </c>
      <c r="Q11" s="808">
        <f>(MEBL!R12/MEBL!Q12)-1</f>
        <v>8.8338642982098703E-2</v>
      </c>
      <c r="R11" s="808">
        <f>(MEBL!S12/MEBL!R12)-1</f>
        <v>0.12985678018568292</v>
      </c>
    </row>
    <row r="12" spans="1:24" x14ac:dyDescent="0.2">
      <c r="B12" s="804" t="s">
        <v>9</v>
      </c>
      <c r="D12" s="809" t="s">
        <v>148</v>
      </c>
      <c r="E12" s="809" t="s">
        <v>148</v>
      </c>
      <c r="F12" s="809" t="s">
        <v>148</v>
      </c>
      <c r="G12" s="809" t="s">
        <v>148</v>
      </c>
      <c r="H12" s="809" t="s">
        <v>148</v>
      </c>
      <c r="I12" s="809" t="s">
        <v>148</v>
      </c>
      <c r="J12" s="809" t="s">
        <v>148</v>
      </c>
      <c r="K12" s="809" t="s">
        <v>148</v>
      </c>
      <c r="L12" s="808">
        <f>(MEBL!M13/MEBL!L13)-1</f>
        <v>0.24121955606273926</v>
      </c>
      <c r="M12" s="808">
        <f>(MEBL!N13/MEBL!M13)-1</f>
        <v>0.32838959431354708</v>
      </c>
      <c r="N12" s="808">
        <f>(MEBL!O13/MEBL!N13)-1</f>
        <v>0.26271167545083762</v>
      </c>
      <c r="O12" s="808">
        <f>(MEBL!P13/MEBL!O13)-1</f>
        <v>0.21016934036067014</v>
      </c>
      <c r="P12" s="808">
        <f>(MEBL!Q13/MEBL!P13)-1</f>
        <v>0.1681354722885362</v>
      </c>
      <c r="Q12" s="808">
        <f>(MEBL!R13/MEBL!Q13)-1</f>
        <v>0.13450837783082892</v>
      </c>
      <c r="R12" s="808">
        <f>(MEBL!S13/MEBL!R13)-1</f>
        <v>0.10760670226466318</v>
      </c>
    </row>
    <row r="13" spans="1:24" x14ac:dyDescent="0.2">
      <c r="B13" s="804" t="s">
        <v>10</v>
      </c>
      <c r="D13" s="808">
        <f>(MEBL!E14/MEBL!D14)-1</f>
        <v>1.6427820936023756</v>
      </c>
      <c r="E13" s="808">
        <f>(MEBL!F14/MEBL!E14)-1</f>
        <v>-0.1454431334737869</v>
      </c>
      <c r="F13" s="808">
        <f>(MEBL!G14/MEBL!F14)-1</f>
        <v>-0.76016785081718297</v>
      </c>
      <c r="G13" s="808">
        <f>(MEBL!H14/MEBL!G14)-1</f>
        <v>3.0519936764447566</v>
      </c>
      <c r="H13" s="808">
        <f>(MEBL!I14/MEBL!H14)-1</f>
        <v>-1</v>
      </c>
      <c r="I13" s="809" t="s">
        <v>148</v>
      </c>
      <c r="J13" s="809" t="s">
        <v>148</v>
      </c>
      <c r="K13" s="809" t="s">
        <v>148</v>
      </c>
      <c r="L13" s="808">
        <f>(MEBL!M14/MEBL!L14)-1</f>
        <v>-1</v>
      </c>
      <c r="M13" s="809" t="s">
        <v>148</v>
      </c>
      <c r="N13" s="809" t="s">
        <v>148</v>
      </c>
      <c r="O13" s="809" t="s">
        <v>148</v>
      </c>
      <c r="P13" s="809" t="s">
        <v>148</v>
      </c>
      <c r="Q13" s="809" t="s">
        <v>148</v>
      </c>
      <c r="R13" s="809" t="s">
        <v>148</v>
      </c>
    </row>
    <row r="14" spans="1:24" x14ac:dyDescent="0.2">
      <c r="B14" s="804" t="s">
        <v>11</v>
      </c>
      <c r="D14" s="808">
        <f>(MEBL!E15/MEBL!D15)-1</f>
        <v>-0.14674617004464163</v>
      </c>
      <c r="E14" s="808">
        <f>(MEBL!F15/MEBL!E15)-1</f>
        <v>-0.71024623821480271</v>
      </c>
      <c r="F14" s="808">
        <f>(MEBL!G15/MEBL!F15)-1</f>
        <v>0.18378021790262622</v>
      </c>
      <c r="G14" s="808">
        <f>(MEBL!H15/MEBL!G15)-1</f>
        <v>1.856758615965429</v>
      </c>
      <c r="H14" s="808">
        <f>(MEBL!I15/MEBL!H15)-1</f>
        <v>-5.5760477514658513E-2</v>
      </c>
      <c r="I14" s="808">
        <f>(MEBL!J15/MEBL!I15)-1</f>
        <v>-0.23536351858558857</v>
      </c>
      <c r="J14" s="808">
        <f>(MEBL!K15/MEBL!J15)-1</f>
        <v>0.32443300556586618</v>
      </c>
      <c r="K14" s="808">
        <f>(MEBL!L15/MEBL!K15)-1</f>
        <v>1.0637160924160836</v>
      </c>
      <c r="L14" s="808">
        <f>(MEBL!M15/MEBL!L15)-1</f>
        <v>0.60564417964104766</v>
      </c>
      <c r="M14" s="808">
        <f>(MEBL!N15/MEBL!M15)-1</f>
        <v>-8.9785099845721805E-2</v>
      </c>
      <c r="N14" s="808">
        <f>(MEBL!O15/MEBL!N15)-1</f>
        <v>1.6836834645783672E-2</v>
      </c>
      <c r="O14" s="808">
        <f>(MEBL!P15/MEBL!O15)-1</f>
        <v>0.28128975576362358</v>
      </c>
      <c r="P14" s="808">
        <f>(MEBL!Q15/MEBL!P15)-1</f>
        <v>0.14452729580651535</v>
      </c>
      <c r="Q14" s="808">
        <f>(MEBL!R15/MEBL!Q15)-1</f>
        <v>7.1395667118183015E-2</v>
      </c>
      <c r="R14" s="808">
        <f>(MEBL!S15/MEBL!R15)-1</f>
        <v>0.13478280226412886</v>
      </c>
    </row>
    <row r="15" spans="1:24" s="798" customFormat="1" x14ac:dyDescent="0.2">
      <c r="A15" s="842"/>
      <c r="B15" s="798" t="s">
        <v>12</v>
      </c>
      <c r="D15" s="799">
        <f>(MEBL!E16/MEBL!D16)-1</f>
        <v>0.27029600167964229</v>
      </c>
      <c r="E15" s="799">
        <f>(MEBL!F16/MEBL!E16)-1</f>
        <v>0.36037637399686706</v>
      </c>
      <c r="F15" s="799">
        <f>(MEBL!G16/MEBL!F16)-1</f>
        <v>0.20146051631395534</v>
      </c>
      <c r="G15" s="799">
        <f>(MEBL!H16/MEBL!G16)-1</f>
        <v>0.32657956632909246</v>
      </c>
      <c r="H15" s="799">
        <f>(MEBL!I16/MEBL!H16)-1</f>
        <v>0.21591835747239618</v>
      </c>
      <c r="I15" s="799">
        <f>(MEBL!J16/MEBL!I16)-1</f>
        <v>0.24709552939419943</v>
      </c>
      <c r="J15" s="799">
        <f>(MEBL!K16/MEBL!J16)-1</f>
        <v>0.1849926637838939</v>
      </c>
      <c r="K15" s="799">
        <f>(MEBL!L16/MEBL!K16)-1</f>
        <v>0.19820681121466821</v>
      </c>
      <c r="L15" s="799">
        <f>(MEBL!M16/MEBL!L16)-1</f>
        <v>0.19576669026415372</v>
      </c>
      <c r="M15" s="799">
        <f>(MEBL!N16/MEBL!M16)-1</f>
        <v>0.20301936985156632</v>
      </c>
      <c r="N15" s="799">
        <f ca="1">(MEBL!O16/MEBL!N16)-1</f>
        <v>0.10380071097892096</v>
      </c>
      <c r="O15" s="799">
        <f ca="1">(MEBL!P16/MEBL!O16)-1</f>
        <v>0.13320548396172271</v>
      </c>
      <c r="P15" s="799">
        <f ca="1">(MEBL!Q16/MEBL!P16)-1</f>
        <v>0.1253121449643626</v>
      </c>
      <c r="Q15" s="799">
        <f ca="1">(MEBL!R16/MEBL!Q16)-1</f>
        <v>0.13150623710775489</v>
      </c>
      <c r="R15" s="799">
        <f ca="1">(MEBL!S16/MEBL!R16)-1</f>
        <v>0.13624342852845484</v>
      </c>
    </row>
    <row r="17" spans="1:18" x14ac:dyDescent="0.2">
      <c r="B17" s="798" t="s">
        <v>13</v>
      </c>
    </row>
    <row r="18" spans="1:18" x14ac:dyDescent="0.2">
      <c r="B18" s="804" t="s">
        <v>14</v>
      </c>
      <c r="D18" s="808">
        <f>(MEBL!E19/MEBL!D19)-1</f>
        <v>0.29120953733513644</v>
      </c>
      <c r="E18" s="808">
        <f>(MEBL!F19/MEBL!E19)-1</f>
        <v>0.3402465770832741</v>
      </c>
      <c r="F18" s="808">
        <f>(MEBL!G19/MEBL!F19)-1</f>
        <v>0.18185857591115639</v>
      </c>
      <c r="G18" s="808">
        <f>(MEBL!H19/MEBL!G19)-1</f>
        <v>0.55470661888423956</v>
      </c>
      <c r="H18" s="808">
        <f>(MEBL!I19/MEBL!H19)-1</f>
        <v>0.1673535799862842</v>
      </c>
      <c r="I18" s="808">
        <f>(MEBL!J19/MEBL!I19)-1</f>
        <v>0.39185168293517214</v>
      </c>
      <c r="J18" s="808">
        <f>(MEBL!K19/MEBL!J19)-1</f>
        <v>0.22309664288613362</v>
      </c>
      <c r="K18" s="808">
        <f>(MEBL!L19/MEBL!K19)-1</f>
        <v>1.1266426595838697</v>
      </c>
      <c r="L18" s="808">
        <f>(MEBL!M19/MEBL!L19)-1</f>
        <v>-0.27636151308203771</v>
      </c>
      <c r="M18" s="808">
        <f>(MEBL!N19/MEBL!M19)-1</f>
        <v>0.4559754185694358</v>
      </c>
      <c r="N18" s="808">
        <f>(MEBL!O19/MEBL!N19)-1</f>
        <v>5.6930369499346378E-2</v>
      </c>
      <c r="O18" s="808">
        <f>(MEBL!P19/MEBL!O19)-1</f>
        <v>0.20109645646943797</v>
      </c>
      <c r="P18" s="808">
        <f>(MEBL!Q19/MEBL!P19)-1</f>
        <v>4.7799475537513292E-2</v>
      </c>
      <c r="Q18" s="808">
        <f>(MEBL!R19/MEBL!Q19)-1</f>
        <v>0.17097285202771229</v>
      </c>
      <c r="R18" s="808">
        <f>(MEBL!S19/MEBL!R19)-1</f>
        <v>0.12760344960585579</v>
      </c>
    </row>
    <row r="19" spans="1:18" x14ac:dyDescent="0.2">
      <c r="B19" s="804" t="s">
        <v>15</v>
      </c>
      <c r="D19" s="808">
        <f>(MEBL!E20/MEBL!D20)-1</f>
        <v>0.58440401722609359</v>
      </c>
      <c r="E19" s="808">
        <f>(MEBL!F20/MEBL!E20)-1</f>
        <v>0.998855235405957</v>
      </c>
      <c r="F19" s="808">
        <f>(MEBL!G20/MEBL!F20)-1</f>
        <v>-0.38382080137489438</v>
      </c>
      <c r="G19" s="808">
        <f>(MEBL!H20/MEBL!G20)-1</f>
        <v>0.35953766595537173</v>
      </c>
      <c r="H19" s="808">
        <f>(MEBL!I20/MEBL!H20)-1</f>
        <v>-0.1200010888810118</v>
      </c>
      <c r="I19" s="808">
        <f>(MEBL!J20/MEBL!I20)-1</f>
        <v>1.3516941154046891</v>
      </c>
      <c r="J19" s="808">
        <f>(MEBL!K20/MEBL!J20)-1</f>
        <v>0.15021773913178227</v>
      </c>
      <c r="K19" s="808">
        <f>(MEBL!L20/MEBL!K20)-1</f>
        <v>-1.1014607630205231E-2</v>
      </c>
      <c r="L19" s="808">
        <f>(MEBL!M20/MEBL!L20)-1</f>
        <v>0.15490024928991186</v>
      </c>
      <c r="M19" s="808">
        <f>(MEBL!N20/MEBL!M20)-1</f>
        <v>0.46492919061087967</v>
      </c>
      <c r="N19" s="808">
        <f>(MEBL!O20/MEBL!N20)-1</f>
        <v>0.11166160839617634</v>
      </c>
      <c r="O19" s="808">
        <f>(MEBL!P20/MEBL!O20)-1</f>
        <v>4.8766297214508425E-2</v>
      </c>
      <c r="P19" s="808">
        <f>(MEBL!Q20/MEBL!P20)-1</f>
        <v>0.10317195562774528</v>
      </c>
      <c r="Q19" s="808">
        <f>(MEBL!R20/MEBL!Q20)-1</f>
        <v>0.11272384131199376</v>
      </c>
      <c r="R19" s="808">
        <f>(MEBL!S20/MEBL!R20)-1</f>
        <v>0.14972925254272873</v>
      </c>
    </row>
    <row r="20" spans="1:18" x14ac:dyDescent="0.2">
      <c r="B20" s="804" t="s">
        <v>16</v>
      </c>
      <c r="D20" s="808">
        <f>(MEBL!E21/MEBL!D21)-1</f>
        <v>0.29720825211976232</v>
      </c>
      <c r="E20" s="808">
        <f>(MEBL!F21/MEBL!E21)-1</f>
        <v>0.35526771441278648</v>
      </c>
      <c r="F20" s="808">
        <f>(MEBL!G21/MEBL!F21)-1</f>
        <v>0.25771630201465201</v>
      </c>
      <c r="G20" s="808">
        <f>(MEBL!H21/MEBL!G21)-1</f>
        <v>0.31265618070957624</v>
      </c>
      <c r="H20" s="808">
        <f>(MEBL!I21/MEBL!H21)-1</f>
        <v>0.24025817000928229</v>
      </c>
      <c r="I20" s="808">
        <f>(MEBL!J21/MEBL!I21)-1</f>
        <v>0.19536837277294405</v>
      </c>
      <c r="J20" s="808">
        <f>(MEBL!K21/MEBL!J21)-1</f>
        <v>0.19358242313865026</v>
      </c>
      <c r="K20" s="808">
        <f>(MEBL!L21/MEBL!K21)-1</f>
        <v>0.16676703155503736</v>
      </c>
      <c r="L20" s="808">
        <f>(MEBL!M21/MEBL!L21)-1</f>
        <v>0.18731324207780675</v>
      </c>
      <c r="M20" s="808">
        <f>(MEBL!N21/MEBL!M21)-1</f>
        <v>0.19525368100211771</v>
      </c>
      <c r="N20" s="808">
        <f>(MEBL!O21/MEBL!N21)-1</f>
        <v>0.11166160839617634</v>
      </c>
      <c r="O20" s="808">
        <f>(MEBL!P21/MEBL!O21)-1</f>
        <v>0.12776672284727764</v>
      </c>
      <c r="P20" s="808">
        <f>(MEBL!Q21/MEBL!P21)-1</f>
        <v>0.12527198640129789</v>
      </c>
      <c r="Q20" s="808">
        <f>(MEBL!R21/MEBL!Q21)-1</f>
        <v>0.13112363195370014</v>
      </c>
      <c r="R20" s="808">
        <f>(MEBL!S21/MEBL!R21)-1</f>
        <v>0.13444630763821031</v>
      </c>
    </row>
    <row r="21" spans="1:18" x14ac:dyDescent="0.2">
      <c r="B21" s="804" t="s">
        <v>64</v>
      </c>
      <c r="D21" s="809" t="s">
        <v>148</v>
      </c>
      <c r="E21" s="809" t="s">
        <v>148</v>
      </c>
      <c r="F21" s="809" t="s">
        <v>148</v>
      </c>
      <c r="G21" s="809" t="s">
        <v>148</v>
      </c>
      <c r="H21" s="809" t="s">
        <v>148</v>
      </c>
      <c r="I21" s="809" t="s">
        <v>148</v>
      </c>
      <c r="J21" s="808">
        <f>(MEBL!K22/MEBL!J22)-1</f>
        <v>0</v>
      </c>
      <c r="K21" s="808">
        <f>(MEBL!L22/MEBL!K22)-1</f>
        <v>1</v>
      </c>
      <c r="L21" s="808">
        <f>(MEBL!M22/MEBL!L22)-1</f>
        <v>0</v>
      </c>
      <c r="M21" s="808">
        <f>(MEBL!N22/MEBL!M22)-1</f>
        <v>0.28571428571428581</v>
      </c>
      <c r="N21" s="808">
        <f>(MEBL!O22/MEBL!N22)-1</f>
        <v>0</v>
      </c>
      <c r="O21" s="808">
        <f>(MEBL!P22/MEBL!O22)-1</f>
        <v>0</v>
      </c>
      <c r="P21" s="808">
        <f>(MEBL!Q22/MEBL!P22)-1</f>
        <v>0</v>
      </c>
      <c r="Q21" s="808">
        <f>(MEBL!R22/MEBL!Q22)-1</f>
        <v>0</v>
      </c>
      <c r="R21" s="808">
        <f>(MEBL!S22/MEBL!R22)-1</f>
        <v>0</v>
      </c>
    </row>
    <row r="22" spans="1:18" x14ac:dyDescent="0.2">
      <c r="B22" s="804" t="s">
        <v>17</v>
      </c>
      <c r="D22" s="809" t="s">
        <v>148</v>
      </c>
      <c r="E22" s="809" t="s">
        <v>148</v>
      </c>
      <c r="F22" s="809" t="s">
        <v>148</v>
      </c>
      <c r="G22" s="809" t="s">
        <v>148</v>
      </c>
      <c r="H22" s="809" t="s">
        <v>148</v>
      </c>
      <c r="I22" s="808">
        <f>(MEBL!J23/MEBL!I23)-1</f>
        <v>3.9735399533476974</v>
      </c>
      <c r="J22" s="808">
        <f>(MEBL!K23/MEBL!J23)-1</f>
        <v>-0.88196264019644</v>
      </c>
      <c r="K22" s="808">
        <f>(MEBL!L23/MEBL!K23)-1</f>
        <v>-1</v>
      </c>
      <c r="L22" s="809" t="s">
        <v>148</v>
      </c>
      <c r="M22" s="808">
        <f>(MEBL!N23/MEBL!M23)-1</f>
        <v>-1</v>
      </c>
      <c r="N22" s="809" t="s">
        <v>148</v>
      </c>
      <c r="O22" s="809" t="s">
        <v>148</v>
      </c>
      <c r="P22" s="809" t="s">
        <v>148</v>
      </c>
      <c r="Q22" s="809" t="s">
        <v>148</v>
      </c>
      <c r="R22" s="809" t="s">
        <v>148</v>
      </c>
    </row>
    <row r="23" spans="1:18" x14ac:dyDescent="0.2">
      <c r="B23" s="804" t="s">
        <v>18</v>
      </c>
      <c r="D23" s="808">
        <f>(MEBL!E24/MEBL!D24)-1</f>
        <v>-0.30569627542203981</v>
      </c>
      <c r="E23" s="808">
        <f>(MEBL!F24/MEBL!E24)-1</f>
        <v>0.10829770342168432</v>
      </c>
      <c r="F23" s="808">
        <f>(MEBL!G24/MEBL!F24)-1</f>
        <v>1.1908754265211874E-2</v>
      </c>
      <c r="G23" s="808">
        <f>(MEBL!H24/MEBL!G24)-1</f>
        <v>1.0000119787317616</v>
      </c>
      <c r="H23" s="808">
        <f>(MEBL!I24/MEBL!H24)-1</f>
        <v>9.129494139523775E-2</v>
      </c>
      <c r="I23" s="808">
        <f>(MEBL!J24/MEBL!I24)-1</f>
        <v>9.7926734385410885E-2</v>
      </c>
      <c r="J23" s="808">
        <f>(MEBL!K24/MEBL!J24)-1</f>
        <v>0.33059292228995929</v>
      </c>
      <c r="K23" s="808">
        <f>(MEBL!L24/MEBL!K24)-1</f>
        <v>1.012573785155451</v>
      </c>
      <c r="L23" s="808">
        <f>(MEBL!M24/MEBL!L24)-1</f>
        <v>0.41354556867110404</v>
      </c>
      <c r="M23" s="808">
        <f>(MEBL!N24/MEBL!M24)-1</f>
        <v>3.0312744369532352E-2</v>
      </c>
      <c r="N23" s="808">
        <f>(MEBL!O24/MEBL!N24)-1</f>
        <v>-6.25100062761208E-3</v>
      </c>
      <c r="O23" s="808">
        <f>(MEBL!P24/MEBL!O24)-1</f>
        <v>0.2648836721121981</v>
      </c>
      <c r="P23" s="808">
        <f>(MEBL!Q24/MEBL!P24)-1</f>
        <v>0.13332568166295355</v>
      </c>
      <c r="Q23" s="808">
        <f>(MEBL!R24/MEBL!Q24)-1</f>
        <v>9.256045968070814E-2</v>
      </c>
      <c r="R23" s="808">
        <f>(MEBL!S24/MEBL!R24)-1</f>
        <v>0.12739461060265889</v>
      </c>
    </row>
    <row r="24" spans="1:18" s="798" customFormat="1" x14ac:dyDescent="0.2">
      <c r="A24" s="842"/>
      <c r="B24" s="798" t="s">
        <v>19</v>
      </c>
      <c r="D24" s="799">
        <f>(MEBL!E25/MEBL!D25)-1</f>
        <v>0.27677966823386768</v>
      </c>
      <c r="E24" s="799">
        <f>(MEBL!F25/MEBL!E25)-1</f>
        <v>0.37980616007108736</v>
      </c>
      <c r="F24" s="799">
        <f>(MEBL!G25/MEBL!F25)-1</f>
        <v>0.20522900388851251</v>
      </c>
      <c r="G24" s="799">
        <f>(MEBL!H25/MEBL!G25)-1</f>
        <v>0.33047953506774363</v>
      </c>
      <c r="H24" s="799">
        <f>(MEBL!I25/MEBL!H25)-1</f>
        <v>0.22241442059266991</v>
      </c>
      <c r="I24" s="799">
        <f>(MEBL!J25/MEBL!I25)-1</f>
        <v>0.24330682473101262</v>
      </c>
      <c r="J24" s="799">
        <f>(MEBL!K25/MEBL!J25)-1</f>
        <v>0.18944084514923154</v>
      </c>
      <c r="K24" s="799">
        <f>(MEBL!L25/MEBL!K25)-1</f>
        <v>0.20147836176018474</v>
      </c>
      <c r="L24" s="799">
        <f>(MEBL!M25/MEBL!L25)-1</f>
        <v>0.18388359376076147</v>
      </c>
      <c r="M24" s="799">
        <f>(MEBL!N25/MEBL!M25)-1</f>
        <v>0.19948349252044983</v>
      </c>
      <c r="N24" s="799">
        <f>(MEBL!O25/MEBL!N25)-1</f>
        <v>0.10381869219270379</v>
      </c>
      <c r="O24" s="799">
        <f>(MEBL!P25/MEBL!O25)-1</f>
        <v>0.12910532225892135</v>
      </c>
      <c r="P24" s="799">
        <f>(MEBL!Q25/MEBL!P25)-1</f>
        <v>0.12166463649541281</v>
      </c>
      <c r="Q24" s="799">
        <f>(MEBL!R25/MEBL!Q25)-1</f>
        <v>0.12799550596601383</v>
      </c>
      <c r="R24" s="799">
        <f>(MEBL!S25/MEBL!R25)-1</f>
        <v>0.13347375424101826</v>
      </c>
    </row>
    <row r="25" spans="1:18" x14ac:dyDescent="0.2">
      <c r="D25" s="799"/>
    </row>
    <row r="26" spans="1:18" x14ac:dyDescent="0.2">
      <c r="B26" s="798" t="s">
        <v>20</v>
      </c>
      <c r="D26" s="799">
        <f>(MEBL!E27/MEBL!D27)-1</f>
        <v>0.1939161662151454</v>
      </c>
      <c r="E26" s="799">
        <f>(MEBL!F27/MEBL!E27)-1</f>
        <v>0.11560073595270204</v>
      </c>
      <c r="F26" s="799">
        <f>(MEBL!G27/MEBL!F27)-1</f>
        <v>0.1427418007078598</v>
      </c>
      <c r="G26" s="799">
        <f>(MEBL!H27/MEBL!G27)-1</f>
        <v>0.26248930445191077</v>
      </c>
      <c r="H26" s="799">
        <f>(MEBL!I27/MEBL!H27)-1</f>
        <v>0.10341599363123244</v>
      </c>
      <c r="I26" s="799">
        <f>(MEBL!J27/MEBL!I27)-1</f>
        <v>0.31978664832689696</v>
      </c>
      <c r="J26" s="799">
        <f>(MEBL!K27/MEBL!J27)-1</f>
        <v>0.1045942139900824</v>
      </c>
      <c r="K26" s="799">
        <f>(MEBL!L27/MEBL!K27)-1</f>
        <v>0.13453328418933586</v>
      </c>
      <c r="L26" s="799">
        <f>(MEBL!M27/MEBL!L27)-1</f>
        <v>0.44069196783188413</v>
      </c>
      <c r="M26" s="799">
        <f>(MEBL!N27/MEBL!M27)-1</f>
        <v>0.26290726396063779</v>
      </c>
      <c r="N26" s="799">
        <f ca="1">(MEBL!O27/MEBL!N27)-1</f>
        <v>0.10351145411663953</v>
      </c>
      <c r="O26" s="799">
        <f ca="1">(MEBL!P27/MEBL!O27)-1</f>
        <v>0.19918157032170547</v>
      </c>
      <c r="P26" s="799">
        <f ca="1">(MEBL!Q27/MEBL!P27)-1</f>
        <v>0.18057475380366994</v>
      </c>
      <c r="Q26" s="799">
        <f ca="1">(MEBL!R27/MEBL!Q27)-1</f>
        <v>0.18204239049202986</v>
      </c>
      <c r="R26" s="799">
        <f ca="1">(MEBL!S27/MEBL!R27)-1</f>
        <v>0.17428930797361608</v>
      </c>
    </row>
    <row r="28" spans="1:18" x14ac:dyDescent="0.2">
      <c r="B28" s="798" t="s">
        <v>21</v>
      </c>
    </row>
    <row r="29" spans="1:18" x14ac:dyDescent="0.2">
      <c r="B29" s="804" t="s">
        <v>22</v>
      </c>
      <c r="D29" s="808">
        <f>(MEBL!E30/MEBL!D30)-1</f>
        <v>0.15000007160707751</v>
      </c>
      <c r="E29" s="808">
        <f>(MEBL!F30/MEBL!E30)-1</f>
        <v>0.12500004670026499</v>
      </c>
      <c r="F29" s="808">
        <f>(MEBL!G30/MEBL!F30)-1</f>
        <v>0.10999997232577008</v>
      </c>
      <c r="G29" s="808">
        <f>(MEBL!H30/MEBL!G30)-1</f>
        <v>0</v>
      </c>
      <c r="H29" s="808">
        <f>(MEBL!I30/MEBL!H30)-1</f>
        <v>0</v>
      </c>
      <c r="I29" s="808">
        <f>(MEBL!J30/MEBL!I30)-1</f>
        <v>0</v>
      </c>
      <c r="J29" s="808">
        <f>(MEBL!K30/MEBL!J30)-1</f>
        <v>6.0000025929008993E-2</v>
      </c>
      <c r="K29" s="808">
        <f>(MEBL!L30/MEBL!K30)-1</f>
        <v>9.9999981183593434E-2</v>
      </c>
      <c r="L29" s="808">
        <f>(MEBL!M30/MEBL!L30)-1</f>
        <v>9.999996578835102E-2</v>
      </c>
      <c r="M29" s="808">
        <f>(MEBL!N30/MEBL!M30)-1</f>
        <v>0.10000003110149991</v>
      </c>
      <c r="N29" s="808">
        <f>(MEBL!O30/MEBL!N30)-1</f>
        <v>0</v>
      </c>
      <c r="O29" s="808">
        <f>(MEBL!P30/MEBL!O30)-1</f>
        <v>0</v>
      </c>
      <c r="P29" s="808">
        <f>(MEBL!Q30/MEBL!P30)-1</f>
        <v>0</v>
      </c>
      <c r="Q29" s="808">
        <f>(MEBL!R30/MEBL!Q30)-1</f>
        <v>0</v>
      </c>
      <c r="R29" s="808">
        <f>(MEBL!S30/MEBL!R30)-1</f>
        <v>0</v>
      </c>
    </row>
    <row r="30" spans="1:18" x14ac:dyDescent="0.2">
      <c r="B30" s="804" t="s">
        <v>23</v>
      </c>
      <c r="D30" s="808">
        <f>(MEBL!E31/MEBL!D31)-1</f>
        <v>0.48301391557231033</v>
      </c>
      <c r="E30" s="808">
        <f>(MEBL!F31/MEBL!E31)-1</f>
        <v>0.32521637252807123</v>
      </c>
      <c r="F30" s="808">
        <f>(MEBL!G31/MEBL!F31)-1</f>
        <v>0.28672885154832972</v>
      </c>
      <c r="G30" s="808">
        <f>(MEBL!H31/MEBL!G31)-1</f>
        <v>1.0488827039811088</v>
      </c>
      <c r="H30" s="808">
        <f>(MEBL!I31/MEBL!H31)-1</f>
        <v>0.18020032734159952</v>
      </c>
      <c r="I30" s="808">
        <f>(MEBL!J31/MEBL!I31)-1</f>
        <v>0.13236170405280423</v>
      </c>
      <c r="J30" s="808">
        <f>(MEBL!K31/MEBL!J31)-1</f>
        <v>0.37732657575827067</v>
      </c>
      <c r="K30" s="808">
        <f>(MEBL!L31/MEBL!K31)-1</f>
        <v>0.13383284334313328</v>
      </c>
      <c r="L30" s="808">
        <f>(MEBL!M31/MEBL!L31)-1</f>
        <v>0.20061255541035172</v>
      </c>
      <c r="M30" s="808">
        <f ca="1">(MEBL!N31/MEBL!M31)-1</f>
        <v>0.26828080190210302</v>
      </c>
      <c r="N30" s="808">
        <f ca="1">(MEBL!O31/MEBL!N31)-1</f>
        <v>-4.9827502720165118E-2</v>
      </c>
      <c r="O30" s="808">
        <f ca="1">(MEBL!P31/MEBL!O31)-1</f>
        <v>8.651060822241563E-2</v>
      </c>
      <c r="P30" s="808">
        <f ca="1">(MEBL!Q31/MEBL!P31)-1</f>
        <v>8.8046282896940609E-2</v>
      </c>
      <c r="Q30" s="808">
        <f ca="1">(MEBL!R31/MEBL!Q31)-1</f>
        <v>9.5313718459313801E-2</v>
      </c>
      <c r="R30" s="808">
        <f ca="1">(MEBL!S31/MEBL!R31)-1</f>
        <v>0.10092685756847009</v>
      </c>
    </row>
    <row r="31" spans="1:18" x14ac:dyDescent="0.2">
      <c r="B31" s="804" t="s">
        <v>24</v>
      </c>
      <c r="D31" s="808">
        <f>(MEBL!E32/MEBL!D32)-1</f>
        <v>0.14650602567434046</v>
      </c>
      <c r="E31" s="808">
        <f>(MEBL!F32/MEBL!E32)-1</f>
        <v>-4.2477751578899214E-2</v>
      </c>
      <c r="F31" s="808">
        <f>(MEBL!G32/MEBL!F32)-1</f>
        <v>0.17389695186247955</v>
      </c>
      <c r="G31" s="808">
        <f>(MEBL!H32/MEBL!G32)-1</f>
        <v>0.37628427841349787</v>
      </c>
      <c r="H31" s="808">
        <f>(MEBL!I32/MEBL!H32)-1</f>
        <v>0.16504835794123673</v>
      </c>
      <c r="I31" s="808">
        <f>(MEBL!J32/MEBL!I32)-1</f>
        <v>0.63362278707043251</v>
      </c>
      <c r="J31" s="808">
        <f>(MEBL!K32/MEBL!J32)-1</f>
        <v>0.10779584783202556</v>
      </c>
      <c r="K31" s="808">
        <f>(MEBL!L32/MEBL!K32)-1</f>
        <v>0.25278226267348725</v>
      </c>
      <c r="L31" s="808">
        <f>(MEBL!M32/MEBL!L32)-1</f>
        <v>0.34172040877827614</v>
      </c>
      <c r="M31" s="808">
        <f ca="1">(MEBL!N32/MEBL!M32)-1</f>
        <v>0.61449700684576625</v>
      </c>
      <c r="N31" s="808">
        <f ca="1">(MEBL!O32/MEBL!N32)-1</f>
        <v>0.31241832692191185</v>
      </c>
      <c r="O31" s="808">
        <f ca="1">(MEBL!P32/MEBL!O32)-1</f>
        <v>0.34699575481556177</v>
      </c>
      <c r="P31" s="808">
        <f ca="1">(MEBL!Q32/MEBL!P32)-1</f>
        <v>0.27947198230374659</v>
      </c>
      <c r="Q31" s="808">
        <f ca="1">(MEBL!R32/MEBL!Q32)-1</f>
        <v>0.26030161610327096</v>
      </c>
      <c r="R31" s="808">
        <f ca="1">(MEBL!S32/MEBL!R32)-1</f>
        <v>0.23302408272609965</v>
      </c>
    </row>
    <row r="32" spans="1:18" x14ac:dyDescent="0.2">
      <c r="B32" s="804" t="s">
        <v>25</v>
      </c>
      <c r="D32" s="808">
        <f>(MEBL!E33/MEBL!D33)-1</f>
        <v>0.34663457577647794</v>
      </c>
      <c r="E32" s="808">
        <f>(MEBL!F33/MEBL!E33)-1</f>
        <v>1.3357469662076831</v>
      </c>
      <c r="F32" s="808">
        <f>(MEBL!G33/MEBL!F33)-1</f>
        <v>-5.9799629567267254E-2</v>
      </c>
      <c r="G32" s="808">
        <f>(MEBL!H33/MEBL!G33)-1</f>
        <v>-0.38750941455168819</v>
      </c>
      <c r="H32" s="808">
        <f>(MEBL!I33/MEBL!H33)-1</f>
        <v>0.28380955475057257</v>
      </c>
      <c r="I32" s="808">
        <f>(MEBL!J33/MEBL!I33)-1</f>
        <v>2.1107631534328868</v>
      </c>
      <c r="J32" s="808">
        <f>(MEBL!K33/MEBL!J33)-1</f>
        <v>-0.66797260299603378</v>
      </c>
      <c r="K32" s="808">
        <f>(MEBL!L33/MEBL!K33)-1</f>
        <v>-1.0562088460666794</v>
      </c>
      <c r="L32" s="808">
        <f>(MEBL!M33/MEBL!L33)-1</f>
        <v>-205.88710415622342</v>
      </c>
      <c r="M32" s="808">
        <f>(MEBL!N33/MEBL!M33)-1</f>
        <v>-0.29473199932771921</v>
      </c>
      <c r="N32" s="808">
        <f>(MEBL!O33/MEBL!N33)-1</f>
        <v>0</v>
      </c>
      <c r="O32" s="808">
        <f>(MEBL!P33/MEBL!O33)-1</f>
        <v>0</v>
      </c>
      <c r="P32" s="808">
        <f>(MEBL!Q33/MEBL!P33)-1</f>
        <v>0</v>
      </c>
      <c r="Q32" s="808">
        <f>(MEBL!R33/MEBL!Q33)-1</f>
        <v>0</v>
      </c>
      <c r="R32" s="808">
        <f>(MEBL!S33/MEBL!R33)-1</f>
        <v>0</v>
      </c>
    </row>
    <row r="33" spans="1:18" x14ac:dyDescent="0.2">
      <c r="B33" s="798" t="s">
        <v>26</v>
      </c>
      <c r="D33" s="808">
        <f>(MEBL!E34/MEBL!D34)-1</f>
        <v>0.19325168982859475</v>
      </c>
      <c r="E33" s="808">
        <f>(MEBL!F34/MEBL!E34)-1</f>
        <v>0.14760650063306135</v>
      </c>
      <c r="F33" s="808">
        <f>(MEBL!G34/MEBL!F34)-1</f>
        <v>0.14274180070785913</v>
      </c>
      <c r="G33" s="808">
        <f>(MEBL!H34/MEBL!G34)-1</f>
        <v>0.2624893044519121</v>
      </c>
      <c r="H33" s="808">
        <f>(MEBL!I34/MEBL!H34)-1</f>
        <v>0.10341599363123022</v>
      </c>
      <c r="I33" s="808">
        <f>(MEBL!J34/MEBL!I34)-1</f>
        <v>0.27340626732875051</v>
      </c>
      <c r="J33" s="808">
        <f>(MEBL!K34/MEBL!J34)-1</f>
        <v>0.11478262295057551</v>
      </c>
      <c r="K33" s="808">
        <f>(MEBL!L34/MEBL!K34)-1</f>
        <v>0.13820016460259255</v>
      </c>
      <c r="L33" s="808">
        <f>(MEBL!M34/MEBL!L34)-1</f>
        <v>0.44727277724330494</v>
      </c>
      <c r="M33" s="808">
        <f ca="1">(MEBL!N34/MEBL!M34)-1</f>
        <v>0.26591188871206994</v>
      </c>
      <c r="N33" s="808">
        <f ca="1">(MEBL!O34/MEBL!N34)-1</f>
        <v>0.1217949696095646</v>
      </c>
      <c r="O33" s="808">
        <f ca="1">(MEBL!P34/MEBL!O34)-1</f>
        <v>0.19918157032170369</v>
      </c>
      <c r="P33" s="808">
        <f ca="1">(MEBL!Q34/MEBL!P34)-1</f>
        <v>0.18057475380366927</v>
      </c>
      <c r="Q33" s="808">
        <f ca="1">(MEBL!R34/MEBL!Q34)-1</f>
        <v>0.18204239049202919</v>
      </c>
      <c r="R33" s="808">
        <f ca="1">(MEBL!S34/MEBL!R34)-1</f>
        <v>0.17428930797361253</v>
      </c>
    </row>
    <row r="34" spans="1:18" x14ac:dyDescent="0.2">
      <c r="B34" s="804" t="s">
        <v>27</v>
      </c>
      <c r="D34" s="808">
        <f>(MEBL!E35/MEBL!D35)-1</f>
        <v>0.21754892930814784</v>
      </c>
      <c r="E34" s="808">
        <f>(MEBL!F35/MEBL!E35)-1</f>
        <v>-1</v>
      </c>
      <c r="F34" s="809" t="s">
        <v>148</v>
      </c>
      <c r="G34" s="809" t="s">
        <v>148</v>
      </c>
      <c r="H34" s="809" t="s">
        <v>148</v>
      </c>
      <c r="I34" s="809" t="s">
        <v>148</v>
      </c>
      <c r="J34" s="808">
        <f>(MEBL!K35/MEBL!J35)-1</f>
        <v>-0.17513578272799513</v>
      </c>
      <c r="K34" s="808">
        <f>(MEBL!L35/MEBL!K35)-1</f>
        <v>-1.5288077581290249E-3</v>
      </c>
      <c r="L34" s="808">
        <f>(MEBL!M35/MEBL!L35)-1</f>
        <v>0.16233453957239141</v>
      </c>
      <c r="M34" s="808">
        <f>(MEBL!N35/MEBL!M35)-1</f>
        <v>0.1046611723412203</v>
      </c>
      <c r="N34" s="808">
        <f>(MEBL!O35/MEBL!N35)-1</f>
        <v>-1</v>
      </c>
      <c r="O34" s="809" t="s">
        <v>148</v>
      </c>
      <c r="P34" s="809" t="s">
        <v>148</v>
      </c>
      <c r="Q34" s="809" t="s">
        <v>148</v>
      </c>
      <c r="R34" s="809" t="s">
        <v>148</v>
      </c>
    </row>
    <row r="36" spans="1:18" x14ac:dyDescent="0.2">
      <c r="B36" s="798" t="s">
        <v>28</v>
      </c>
      <c r="D36" s="799">
        <f>(MEBL!E37/MEBL!D37)-1</f>
        <v>0.19391616621514429</v>
      </c>
      <c r="E36" s="799">
        <f>(MEBL!F37/MEBL!E37)-1</f>
        <v>0.11560073595270226</v>
      </c>
      <c r="F36" s="799">
        <f>(MEBL!G37/MEBL!F37)-1</f>
        <v>0.14274180070785913</v>
      </c>
      <c r="G36" s="799">
        <f>(MEBL!H37/MEBL!G37)-1</f>
        <v>0.2624893044519121</v>
      </c>
      <c r="H36" s="799">
        <f>(MEBL!I37/MEBL!H37)-1</f>
        <v>0.10341599363123022</v>
      </c>
      <c r="I36" s="799">
        <f>(MEBL!J37/MEBL!I37)-1</f>
        <v>0.3197866483268943</v>
      </c>
      <c r="J36" s="799">
        <f>(MEBL!K37/MEBL!J37)-1</f>
        <v>0.10459421399008706</v>
      </c>
      <c r="K36" s="799">
        <f>(MEBL!L37/MEBL!K37)-1</f>
        <v>0.13453328418933475</v>
      </c>
      <c r="L36" s="799">
        <f>(MEBL!M37/MEBL!L37)-1</f>
        <v>0.44069196783188458</v>
      </c>
      <c r="M36" s="799">
        <f ca="1">(MEBL!N37/MEBL!M37)-1</f>
        <v>0.26290726396063779</v>
      </c>
      <c r="N36" s="799">
        <f ca="1">(MEBL!O37/MEBL!N37)-1</f>
        <v>0.10351145411664198</v>
      </c>
      <c r="O36" s="799">
        <f ca="1">(MEBL!P37/MEBL!O37)-1</f>
        <v>0.19918157032170369</v>
      </c>
      <c r="P36" s="799">
        <f ca="1">(MEBL!Q37/MEBL!P37)-1</f>
        <v>0.18057475380366927</v>
      </c>
      <c r="Q36" s="799">
        <f ca="1">(MEBL!R37/MEBL!Q37)-1</f>
        <v>0.18204239049202919</v>
      </c>
      <c r="R36" s="799">
        <f ca="1">(MEBL!S37/MEBL!R37)-1</f>
        <v>0.17428930797361253</v>
      </c>
    </row>
    <row r="38" spans="1:18" s="958" customFormat="1" x14ac:dyDescent="0.2">
      <c r="A38" s="840"/>
      <c r="B38" s="806" t="s">
        <v>30</v>
      </c>
      <c r="C38" s="807"/>
      <c r="D38" s="807"/>
      <c r="E38" s="807"/>
      <c r="F38" s="807"/>
      <c r="G38" s="807"/>
      <c r="H38" s="807"/>
      <c r="I38" s="807"/>
      <c r="J38" s="807"/>
      <c r="K38" s="807"/>
      <c r="L38" s="807"/>
      <c r="M38" s="807"/>
      <c r="N38" s="807"/>
      <c r="O38" s="807"/>
      <c r="P38" s="807"/>
      <c r="Q38" s="807"/>
      <c r="R38" s="807"/>
    </row>
    <row r="39" spans="1:18" x14ac:dyDescent="0.2">
      <c r="B39" s="804" t="s">
        <v>31</v>
      </c>
      <c r="D39" s="808">
        <f>(MEBL!E41/MEBL!D41)-1</f>
        <v>0.46580738811430855</v>
      </c>
      <c r="E39" s="808">
        <f>(MEBL!F41/MEBL!E41)-1</f>
        <v>0.21270616919863428</v>
      </c>
      <c r="F39" s="808">
        <f>(MEBL!G41/MEBL!F41)-1</f>
        <v>6.1091162272864485E-2</v>
      </c>
      <c r="G39" s="808">
        <f>(MEBL!H41/MEBL!G41)-1</f>
        <v>0.24306402938360328</v>
      </c>
      <c r="H39" s="808">
        <f>(MEBL!I41/MEBL!H41)-1</f>
        <v>0.1496605620951581</v>
      </c>
      <c r="I39" s="808">
        <f>(MEBL!J41/MEBL!I41)-1</f>
        <v>-5.0858010878323978E-2</v>
      </c>
      <c r="J39" s="808">
        <f>(MEBL!K41/MEBL!J41)-1</f>
        <v>0.1484360528191826</v>
      </c>
      <c r="K39" s="808">
        <f>(MEBL!L41/MEBL!K41)-1</f>
        <v>0.34725662609606101</v>
      </c>
      <c r="L39" s="808">
        <f>(MEBL!M41/MEBL!L41)-1</f>
        <v>0.93873080911426365</v>
      </c>
      <c r="M39" s="808">
        <f>(MEBL!N41/MEBL!M41)-1</f>
        <v>0.16177678308286603</v>
      </c>
      <c r="N39" s="808">
        <f>(MEBL!O41/MEBL!N41)-1</f>
        <v>-5.7565849704074079E-2</v>
      </c>
      <c r="O39" s="808">
        <f ca="1">(MEBL!P41/MEBL!O41)-1</f>
        <v>0.14982977467666836</v>
      </c>
      <c r="P39" s="808">
        <f ca="1">(MEBL!Q41/MEBL!P41)-1</f>
        <v>0.11715227301723052</v>
      </c>
      <c r="Q39" s="808">
        <f ca="1">(MEBL!R41/MEBL!Q41)-1</f>
        <v>0.13181387318925109</v>
      </c>
      <c r="R39" s="808">
        <f ca="1">(MEBL!S41/MEBL!R41)-1</f>
        <v>0.13532032068238076</v>
      </c>
    </row>
    <row r="40" spans="1:18" x14ac:dyDescent="0.2">
      <c r="B40" s="804" t="s">
        <v>32</v>
      </c>
      <c r="D40" s="808">
        <f>(MEBL!E42/MEBL!D42)-1</f>
        <v>0.31166086670894888</v>
      </c>
      <c r="E40" s="808">
        <f>(MEBL!F42/MEBL!E42)-1</f>
        <v>0.3138046767360041</v>
      </c>
      <c r="F40" s="808">
        <f>(MEBL!G42/MEBL!F42)-1</f>
        <v>0.10027946686267519</v>
      </c>
      <c r="G40" s="808">
        <f>(MEBL!H42/MEBL!G42)-1</f>
        <v>0.2326394446697948</v>
      </c>
      <c r="H40" s="808">
        <f>(MEBL!I42/MEBL!H42)-1</f>
        <v>-3.5174365700037291E-2</v>
      </c>
      <c r="I40" s="808">
        <f>(MEBL!J42/MEBL!I42)-1</f>
        <v>-0.13595621551479409</v>
      </c>
      <c r="J40" s="808">
        <f>(MEBL!K42/MEBL!J42)-1</f>
        <v>0.1863722284447018</v>
      </c>
      <c r="K40" s="808">
        <f>(MEBL!L42/MEBL!K42)-1</f>
        <v>0.33938292287606631</v>
      </c>
      <c r="L40" s="808">
        <f>(MEBL!M42/MEBL!L42)-1</f>
        <v>1.3343871781647212</v>
      </c>
      <c r="M40" s="808">
        <f>(MEBL!N42/MEBL!M42)-1</f>
        <v>-0.12433978673705703</v>
      </c>
      <c r="N40" s="808">
        <f>(MEBL!O42/MEBL!N42)-1</f>
        <v>-1.6808421599557311E-2</v>
      </c>
      <c r="O40" s="808">
        <f>(MEBL!P42/MEBL!O42)-1</f>
        <v>0.23070814040390863</v>
      </c>
      <c r="P40" s="808">
        <f>(MEBL!Q42/MEBL!P42)-1</f>
        <v>0.11653986406327288</v>
      </c>
      <c r="Q40" s="808">
        <f>(MEBL!R42/MEBL!Q42)-1</f>
        <v>0.12193929804753201</v>
      </c>
      <c r="R40" s="808">
        <f>(MEBL!S42/MEBL!R42)-1</f>
        <v>0.12749830268663875</v>
      </c>
    </row>
    <row r="41" spans="1:18" s="798" customFormat="1" x14ac:dyDescent="0.2">
      <c r="A41" s="842"/>
      <c r="B41" s="798" t="s">
        <v>33</v>
      </c>
      <c r="D41" s="799">
        <f>(MEBL!E43/MEBL!D43)-1</f>
        <v>0.64515104172995752</v>
      </c>
      <c r="E41" s="799">
        <f>(MEBL!F43/MEBL!E43)-1</f>
        <v>0.11892561094343024</v>
      </c>
      <c r="F41" s="799">
        <f>(MEBL!G43/MEBL!F43)-1</f>
        <v>1.8408241216068211E-2</v>
      </c>
      <c r="G41" s="799">
        <f>(MEBL!H43/MEBL!G43)-1</f>
        <v>0.2553310056347442</v>
      </c>
      <c r="H41" s="799">
        <f>(MEBL!I43/MEBL!H43)-1</f>
        <v>0.36323073988410681</v>
      </c>
      <c r="I41" s="799">
        <f>(MEBL!J43/MEBL!I43)-1</f>
        <v>1.873352600749878E-2</v>
      </c>
      <c r="J41" s="799">
        <f>(MEBL!K43/MEBL!J43)-1</f>
        <v>0.12212339433877406</v>
      </c>
      <c r="K41" s="799">
        <f>(MEBL!L43/MEBL!K43)-1</f>
        <v>0.35303054364486797</v>
      </c>
      <c r="L41" s="799">
        <f>(MEBL!M43/MEBL!L43)-1</f>
        <v>0.65151598287607282</v>
      </c>
      <c r="M41" s="799">
        <f>(MEBL!N43/MEBL!M43)-1</f>
        <v>0.45535363658760875</v>
      </c>
      <c r="N41" s="799">
        <f>(MEBL!O43/MEBL!N43)-1</f>
        <v>-8.272828405842414E-2</v>
      </c>
      <c r="O41" s="799">
        <f ca="1">(MEBL!P43/MEBL!O43)-1</f>
        <v>9.630949201005401E-2</v>
      </c>
      <c r="P41" s="799">
        <f ca="1">(MEBL!Q43/MEBL!P43)-1</f>
        <v>0.11760720813454051</v>
      </c>
      <c r="Q41" s="799">
        <f ca="1">(MEBL!R43/MEBL!Q43)-1</f>
        <v>0.13914231069209193</v>
      </c>
      <c r="R41" s="799">
        <f ca="1">(MEBL!S43/MEBL!R43)-1</f>
        <v>0.1410377809813308</v>
      </c>
    </row>
    <row r="43" spans="1:18" x14ac:dyDescent="0.2">
      <c r="B43" s="804" t="s">
        <v>34</v>
      </c>
      <c r="D43" s="808">
        <f>(MEBL!E45/MEBL!D45)-1</f>
        <v>0.2162349561685899</v>
      </c>
      <c r="E43" s="808">
        <f>(MEBL!F45/MEBL!E45)-1</f>
        <v>-0.76756878554655161</v>
      </c>
      <c r="F43" s="808">
        <f>(MEBL!G45/MEBL!F45)-1</f>
        <v>-0.78768985671103464</v>
      </c>
      <c r="G43" s="808">
        <f>(MEBL!H45/MEBL!G45)-1</f>
        <v>5.1922167086602045</v>
      </c>
      <c r="H43" s="808">
        <f>(MEBL!I45/MEBL!H45)-1</f>
        <v>0.10578330893118593</v>
      </c>
      <c r="I43" s="808">
        <f>(MEBL!J45/MEBL!I45)-1</f>
        <v>-1.4161114914048265</v>
      </c>
      <c r="J43" s="808">
        <f>(MEBL!K45/MEBL!J45)-1</f>
        <v>-6.0467027344308137</v>
      </c>
      <c r="K43" s="808">
        <f>(MEBL!L45/MEBL!K45)-1</f>
        <v>-0.10622865621071287</v>
      </c>
      <c r="L43" s="808">
        <f>(MEBL!M45/MEBL!L45)-1</f>
        <v>2.5841157620686088</v>
      </c>
      <c r="M43" s="808">
        <f>(MEBL!N45/MEBL!M45)-1</f>
        <v>0.27080668541047004</v>
      </c>
      <c r="N43" s="808">
        <f>(MEBL!O45/MEBL!N45)-1</f>
        <v>2.6953866535363469E-2</v>
      </c>
      <c r="O43" s="808">
        <f ca="1">(MEBL!P45/MEBL!O45)-1</f>
        <v>-0.69481703014681606</v>
      </c>
      <c r="P43" s="808">
        <f ca="1">(MEBL!Q45/MEBL!P45)-1</f>
        <v>0.90211124254982233</v>
      </c>
      <c r="Q43" s="808">
        <f ca="1">(MEBL!R45/MEBL!Q45)-1</f>
        <v>0.25224091287668737</v>
      </c>
      <c r="R43" s="808">
        <f ca="1">(MEBL!S45/MEBL!R45)-1</f>
        <v>0.27126383783427754</v>
      </c>
    </row>
    <row r="44" spans="1:18" s="798" customFormat="1" x14ac:dyDescent="0.2">
      <c r="A44" s="842"/>
      <c r="B44" s="798" t="s">
        <v>35</v>
      </c>
      <c r="D44" s="799">
        <f>(MEBL!E46/MEBL!D46)-1</f>
        <v>0.80113999607096731</v>
      </c>
      <c r="E44" s="799">
        <f>(MEBL!F46/MEBL!E46)-1</f>
        <v>0.33663016752625419</v>
      </c>
      <c r="F44" s="799">
        <f>(MEBL!G46/MEBL!F46)-1</f>
        <v>5.2832342679107525E-2</v>
      </c>
      <c r="G44" s="799">
        <f>(MEBL!H46/MEBL!G46)-1</f>
        <v>0.21281628643347417</v>
      </c>
      <c r="H44" s="799">
        <f>(MEBL!I46/MEBL!H46)-1</f>
        <v>0.37455020567550812</v>
      </c>
      <c r="I44" s="799">
        <f>(MEBL!J46/MEBL!I46)-1</f>
        <v>6.9485365288895595E-2</v>
      </c>
      <c r="J44" s="799">
        <f>(MEBL!K46/MEBL!J46)-1</f>
        <v>3.7227989228780123E-2</v>
      </c>
      <c r="K44" s="799">
        <f>(MEBL!L46/MEBL!K46)-1</f>
        <v>0.38378251893369408</v>
      </c>
      <c r="L44" s="799">
        <f>(MEBL!M46/MEBL!L46)-1</f>
        <v>0.56793342379879452</v>
      </c>
      <c r="M44" s="799">
        <f>(MEBL!N46/MEBL!M46)-1</f>
        <v>0.47359826503635882</v>
      </c>
      <c r="N44" s="799">
        <f>(MEBL!O46/MEBL!N46)-1</f>
        <v>-9.2079422684604451E-2</v>
      </c>
      <c r="O44" s="799">
        <f ca="1">(MEBL!P46/MEBL!O46)-1</f>
        <v>0.17260123858408161</v>
      </c>
      <c r="P44" s="799">
        <f ca="1">(MEBL!Q46/MEBL!P46)-1</f>
        <v>9.7917615046889894E-2</v>
      </c>
      <c r="Q44" s="799">
        <f ca="1">(MEBL!R46/MEBL!Q46)-1</f>
        <v>0.13422457757025108</v>
      </c>
      <c r="R44" s="799">
        <f ca="1">(MEBL!S46/MEBL!R46)-1</f>
        <v>0.1347861340209342</v>
      </c>
    </row>
    <row r="46" spans="1:18" x14ac:dyDescent="0.2">
      <c r="B46" s="798" t="s">
        <v>36</v>
      </c>
    </row>
    <row r="47" spans="1:18" x14ac:dyDescent="0.2">
      <c r="B47" s="804" t="s">
        <v>37</v>
      </c>
      <c r="D47" s="808">
        <f>(MEBL!E49/MEBL!D49)-1</f>
        <v>0.23483672045551729</v>
      </c>
      <c r="E47" s="808">
        <f>(MEBL!F49/MEBL!E49)-1</f>
        <v>-0.11649245910602801</v>
      </c>
      <c r="F47" s="808">
        <f>(MEBL!G49/MEBL!F49)-1</f>
        <v>0.29779467508047808</v>
      </c>
      <c r="G47" s="808">
        <f>(MEBL!H49/MEBL!G49)-1</f>
        <v>0.24724574284274636</v>
      </c>
      <c r="H47" s="808">
        <f>(MEBL!I49/MEBL!H49)-1</f>
        <v>0.26628293529646774</v>
      </c>
      <c r="I47" s="808">
        <f>(MEBL!J49/MEBL!I49)-1</f>
        <v>0.98380243275503565</v>
      </c>
      <c r="J47" s="808">
        <f>(MEBL!K49/MEBL!J49)-1</f>
        <v>0.52959082104673594</v>
      </c>
      <c r="K47" s="808">
        <f>(MEBL!L49/MEBL!K49)-1</f>
        <v>0.13146367301668582</v>
      </c>
      <c r="L47" s="808">
        <f>(MEBL!M49/MEBL!L49)-1</f>
        <v>8.8635862304486501E-2</v>
      </c>
      <c r="M47" s="808">
        <f>(MEBL!N49/MEBL!M49)-1</f>
        <v>-9.4599556298306298E-2</v>
      </c>
      <c r="N47" s="808">
        <f>(MEBL!O49/MEBL!N49)-1</f>
        <v>0.24104123164913194</v>
      </c>
      <c r="O47" s="808">
        <f>(MEBL!P49/MEBL!O49)-1</f>
        <v>0.15667680057193567</v>
      </c>
      <c r="P47" s="808">
        <f>(MEBL!Q49/MEBL!P49)-1</f>
        <v>0.12000000000000011</v>
      </c>
      <c r="Q47" s="808">
        <f>(MEBL!R49/MEBL!Q49)-1</f>
        <v>0.12000000000000011</v>
      </c>
      <c r="R47" s="808">
        <f>(MEBL!S49/MEBL!R49)-1</f>
        <v>0.12000000000000011</v>
      </c>
    </row>
    <row r="48" spans="1:18" x14ac:dyDescent="0.2">
      <c r="B48" s="804" t="s">
        <v>38</v>
      </c>
      <c r="D48" s="808">
        <f>(MEBL!E50/MEBL!D50)-1</f>
        <v>-9.6718754131302709E-2</v>
      </c>
      <c r="E48" s="808">
        <f>(MEBL!F50/MEBL!E50)-1</f>
        <v>1.8160641629833445</v>
      </c>
      <c r="F48" s="808">
        <f>(MEBL!G50/MEBL!F50)-1</f>
        <v>-0.35703059709870144</v>
      </c>
      <c r="G48" s="808">
        <f>(MEBL!H50/MEBL!G50)-1</f>
        <v>-8.2939683463472358E-2</v>
      </c>
      <c r="H48" s="808">
        <f>(MEBL!I50/MEBL!H50)-1</f>
        <v>1.2164592977544926</v>
      </c>
      <c r="I48" s="808">
        <f>(MEBL!J50/MEBL!I50)-1</f>
        <v>-0.45075644902419576</v>
      </c>
      <c r="J48" s="808">
        <f>(MEBL!K50/MEBL!J50)-1</f>
        <v>-0.16598028312597035</v>
      </c>
      <c r="K48" s="808">
        <f>(MEBL!L50/MEBL!K50)-1</f>
        <v>-0.15816540904308318</v>
      </c>
      <c r="L48" s="808">
        <f>(MEBL!M50/MEBL!L50)-1</f>
        <v>0.14039161981446102</v>
      </c>
      <c r="M48" s="808">
        <f>(MEBL!N50/MEBL!M50)-1</f>
        <v>-4.8722225976928213E-2</v>
      </c>
      <c r="N48" s="808">
        <f>(MEBL!O50/MEBL!N50)-1</f>
        <v>7.6356753670991928E-4</v>
      </c>
      <c r="O48" s="808">
        <f>(MEBL!P50/MEBL!O50)-1</f>
        <v>6.7263257283884936E-3</v>
      </c>
      <c r="P48" s="808">
        <f>(MEBL!Q50/MEBL!P50)-1</f>
        <v>1.7792072555046889E-2</v>
      </c>
      <c r="Q48" s="808">
        <f>(MEBL!R50/MEBL!Q50)-1</f>
        <v>-8.4107063542134819E-3</v>
      </c>
      <c r="R48" s="808">
        <f>(MEBL!S50/MEBL!R50)-1</f>
        <v>-6.6364252804900214E-3</v>
      </c>
    </row>
    <row r="49" spans="1:18" x14ac:dyDescent="0.2">
      <c r="B49" s="804" t="s">
        <v>39</v>
      </c>
      <c r="D49" s="808">
        <f>(MEBL!E51/MEBL!D51)-1</f>
        <v>-0.58590747289731537</v>
      </c>
      <c r="E49" s="808">
        <f>(MEBL!F51/MEBL!E51)-1</f>
        <v>-0.3935266139749598</v>
      </c>
      <c r="F49" s="808">
        <f>(MEBL!G51/MEBL!F51)-1</f>
        <v>0.73961883343424728</v>
      </c>
      <c r="G49" s="808">
        <f>(MEBL!H51/MEBL!G51)-1</f>
        <v>1.695545883663268</v>
      </c>
      <c r="H49" s="808">
        <f>(MEBL!I51/MEBL!H51)-1</f>
        <v>-9.5320663345144996E-2</v>
      </c>
      <c r="I49" s="808">
        <f>(MEBL!J51/MEBL!I51)-1</f>
        <v>-0.17927504032047037</v>
      </c>
      <c r="J49" s="808">
        <f>(MEBL!K51/MEBL!J51)-1</f>
        <v>-5.6241372085762964E-2</v>
      </c>
      <c r="K49" s="808">
        <f>(MEBL!L51/MEBL!K51)-1</f>
        <v>0.15690107822766342</v>
      </c>
      <c r="L49" s="808">
        <f>(MEBL!M51/MEBL!L51)-1</f>
        <v>1.0357818970617236</v>
      </c>
      <c r="M49" s="808">
        <f>(MEBL!N51/MEBL!M51)-1</f>
        <v>-0.31806721217601297</v>
      </c>
      <c r="N49" s="808">
        <f>(MEBL!O51/MEBL!N51)-1</f>
        <v>0.10000000000000009</v>
      </c>
      <c r="O49" s="808">
        <f>(MEBL!P51/MEBL!O51)-1</f>
        <v>0.10000000000000009</v>
      </c>
      <c r="P49" s="808">
        <f>(MEBL!Q51/MEBL!P51)-1</f>
        <v>0.10000000000000009</v>
      </c>
      <c r="Q49" s="808">
        <f>(MEBL!R51/MEBL!Q51)-1</f>
        <v>0.10000000000000009</v>
      </c>
      <c r="R49" s="808">
        <f>(MEBL!S51/MEBL!R51)-1</f>
        <v>0.10000000000000009</v>
      </c>
    </row>
    <row r="50" spans="1:18" x14ac:dyDescent="0.2">
      <c r="B50" s="804" t="s">
        <v>40</v>
      </c>
      <c r="D50" s="808">
        <f>(MEBL!E52/MEBL!D52)-1</f>
        <v>1.8145193458316715</v>
      </c>
      <c r="E50" s="808">
        <f>(MEBL!F52/MEBL!E52)-1</f>
        <v>0.30153576582148012</v>
      </c>
      <c r="F50" s="808">
        <f>(MEBL!G52/MEBL!F52)-1</f>
        <v>1.435476143337953</v>
      </c>
      <c r="G50" s="808">
        <f>(MEBL!H52/MEBL!G52)-1</f>
        <v>-6.6381662858215895E-2</v>
      </c>
      <c r="H50" s="808">
        <f>(MEBL!I52/MEBL!H52)-1</f>
        <v>-0.70210161262656734</v>
      </c>
      <c r="I50" s="808">
        <f>(MEBL!J52/MEBL!I52)-1</f>
        <v>1.9591273645567844</v>
      </c>
      <c r="J50" s="808">
        <f>(MEBL!K52/MEBL!J52)-1</f>
        <v>-7.2260238793232845E-2</v>
      </c>
      <c r="K50" s="808">
        <f>(MEBL!L52/MEBL!K52)-1</f>
        <v>-1.0419220966158682</v>
      </c>
      <c r="L50" s="808">
        <f>(MEBL!M52/MEBL!L52)-1</f>
        <v>9.889425030475417</v>
      </c>
      <c r="M50" s="808">
        <f>(MEBL!N52/MEBL!M52)-1</f>
        <v>-1.4737290338874276E-3</v>
      </c>
      <c r="N50" s="808">
        <f>(MEBL!O52/MEBL!N52)-1</f>
        <v>-1.4934633575523586</v>
      </c>
      <c r="O50" s="808">
        <f>(MEBL!P52/MEBL!O52)-1</f>
        <v>-0.75933486920055904</v>
      </c>
      <c r="P50" s="808">
        <f>(MEBL!Q52/MEBL!P52)-1</f>
        <v>-3.494489831950701</v>
      </c>
      <c r="Q50" s="808">
        <f>(MEBL!R52/MEBL!Q52)-1</f>
        <v>0.13791084746163818</v>
      </c>
      <c r="R50" s="808">
        <f>(MEBL!S52/MEBL!R52)-1</f>
        <v>-0.39417235830071251</v>
      </c>
    </row>
    <row r="51" spans="1:18" x14ac:dyDescent="0.2">
      <c r="B51" s="804" t="s">
        <v>390</v>
      </c>
      <c r="D51" s="808">
        <f>(MEBL!E53/MEBL!D53)-1</f>
        <v>-1</v>
      </c>
      <c r="E51" s="809" t="s">
        <v>148</v>
      </c>
      <c r="F51" s="809" t="s">
        <v>148</v>
      </c>
      <c r="G51" s="809" t="s">
        <v>148</v>
      </c>
      <c r="H51" s="809" t="s">
        <v>148</v>
      </c>
      <c r="I51" s="809" t="s">
        <v>148</v>
      </c>
      <c r="J51" s="809" t="s">
        <v>148</v>
      </c>
      <c r="K51" s="808">
        <f>(MEBL!L53/MEBL!K53)-1</f>
        <v>-1</v>
      </c>
      <c r="L51" s="809" t="s">
        <v>148</v>
      </c>
      <c r="M51" s="809" t="s">
        <v>148</v>
      </c>
      <c r="N51" s="809" t="s">
        <v>148</v>
      </c>
      <c r="O51" s="809" t="s">
        <v>148</v>
      </c>
      <c r="P51" s="809" t="s">
        <v>148</v>
      </c>
      <c r="Q51" s="809" t="s">
        <v>148</v>
      </c>
      <c r="R51" s="809" t="s">
        <v>148</v>
      </c>
    </row>
    <row r="52" spans="1:18" x14ac:dyDescent="0.2">
      <c r="B52" s="804" t="s">
        <v>41</v>
      </c>
      <c r="D52" s="808">
        <f>(MEBL!E54/MEBL!D54)-1</f>
        <v>-0.43105425530196584</v>
      </c>
      <c r="E52" s="808">
        <f>(MEBL!F54/MEBL!E54)-1</f>
        <v>1.7287360890302073</v>
      </c>
      <c r="F52" s="808">
        <f>(MEBL!G54/MEBL!F54)-1</f>
        <v>4.4768355233725465E-2</v>
      </c>
      <c r="G52" s="808">
        <f>(MEBL!H54/MEBL!G54)-1</f>
        <v>0.26530571599283004</v>
      </c>
      <c r="H52" s="808">
        <f>(MEBL!I54/MEBL!H54)-1</f>
        <v>0.31726243880940008</v>
      </c>
      <c r="I52" s="808">
        <f>(MEBL!J54/MEBL!I54)-1</f>
        <v>1.13330624828229</v>
      </c>
      <c r="J52" s="808">
        <f>(MEBL!K54/MEBL!J54)-1</f>
        <v>0.15110345600179231</v>
      </c>
      <c r="K52" s="808">
        <f>(MEBL!L54/MEBL!K54)-1</f>
        <v>-0.23728446545486392</v>
      </c>
      <c r="L52" s="808">
        <f>(MEBL!M54/MEBL!L54)-1</f>
        <v>0.70857709754183618</v>
      </c>
      <c r="M52" s="808">
        <f>(MEBL!N54/MEBL!M54)-1</f>
        <v>0.10486744557446692</v>
      </c>
      <c r="N52" s="808">
        <f>(MEBL!O54/MEBL!N54)-1</f>
        <v>0.18704894961879015</v>
      </c>
      <c r="O52" s="808">
        <f>(MEBL!P54/MEBL!O54)-1</f>
        <v>0.12578616431499468</v>
      </c>
      <c r="P52" s="808">
        <f>(MEBL!Q54/MEBL!P54)-1</f>
        <v>9.4373714964786082E-2</v>
      </c>
      <c r="Q52" s="808">
        <f>(MEBL!R54/MEBL!Q54)-1</f>
        <v>0.11662039892118203</v>
      </c>
      <c r="R52" s="808">
        <f>(MEBL!S54/MEBL!R54)-1</f>
        <v>9.7505337008526594E-2</v>
      </c>
    </row>
    <row r="53" spans="1:18" x14ac:dyDescent="0.2">
      <c r="B53" s="804" t="s">
        <v>42</v>
      </c>
      <c r="D53" s="808">
        <f>(MEBL!E55/MEBL!D55)-1</f>
        <v>-0.15775280079366683</v>
      </c>
      <c r="E53" s="808">
        <f>(MEBL!F55/MEBL!E55)-1</f>
        <v>5.9752605541611103E-2</v>
      </c>
      <c r="F53" s="808">
        <f>(MEBL!G55/MEBL!F55)-1</f>
        <v>0.45979512963866265</v>
      </c>
      <c r="G53" s="808">
        <f>(MEBL!H55/MEBL!G55)-1</f>
        <v>0.35797569578317545</v>
      </c>
      <c r="H53" s="808">
        <f>(MEBL!I55/MEBL!H55)-1</f>
        <v>-3.3263482347834272E-2</v>
      </c>
      <c r="I53" s="808">
        <f>(MEBL!J55/MEBL!I55)-1</f>
        <v>0.49336287613776775</v>
      </c>
      <c r="J53" s="808">
        <f>(MEBL!K55/MEBL!J55)-1</f>
        <v>0.28284841106603742</v>
      </c>
      <c r="K53" s="808">
        <f>(MEBL!L55/MEBL!K55)-1</f>
        <v>-1.6859704817194676E-2</v>
      </c>
      <c r="L53" s="808">
        <f>(MEBL!M55/MEBL!L55)-1</f>
        <v>0.21219570848446034</v>
      </c>
      <c r="M53" s="808">
        <f>(MEBL!N55/MEBL!M55)-1</f>
        <v>-3.6302542777120306E-2</v>
      </c>
      <c r="N53" s="808">
        <f>(MEBL!O55/MEBL!N55)-1</f>
        <v>0.14062681526281096</v>
      </c>
      <c r="O53" s="808">
        <f>(MEBL!P55/MEBL!O55)-1</f>
        <v>0.12470676367819422</v>
      </c>
      <c r="P53" s="808">
        <f>(MEBL!Q55/MEBL!P55)-1</f>
        <v>9.877205532652833E-2</v>
      </c>
      <c r="Q53" s="808">
        <f>(MEBL!R55/MEBL!Q55)-1</f>
        <v>0.11378866087014239</v>
      </c>
      <c r="R53" s="808">
        <f>(MEBL!S55/MEBL!R55)-1</f>
        <v>0.11779640674970171</v>
      </c>
    </row>
    <row r="54" spans="1:18" s="798" customFormat="1" x14ac:dyDescent="0.2">
      <c r="A54" s="842"/>
      <c r="B54" s="798" t="s">
        <v>43</v>
      </c>
      <c r="D54" s="799">
        <f>(MEBL!E56/MEBL!D56)-1</f>
        <v>0.42502672544805664</v>
      </c>
      <c r="E54" s="799">
        <f>(MEBL!F56/MEBL!E56)-1</f>
        <v>0.2724423027226377</v>
      </c>
      <c r="F54" s="799">
        <f>(MEBL!G56/MEBL!F56)-1</f>
        <v>0.13140768104688871</v>
      </c>
      <c r="G54" s="799">
        <f>(MEBL!H56/MEBL!G56)-1</f>
        <v>0.24897804489829256</v>
      </c>
      <c r="H54" s="799">
        <f>(MEBL!I56/MEBL!H56)-1</f>
        <v>0.2640906377085237</v>
      </c>
      <c r="I54" s="799">
        <f>(MEBL!J56/MEBL!I56)-1</f>
        <v>0.15728886494723548</v>
      </c>
      <c r="J54" s="799">
        <f>(MEBL!K56/MEBL!J56)-1</f>
        <v>0.1028817336575476</v>
      </c>
      <c r="K54" s="799">
        <f>(MEBL!L56/MEBL!K56)-1</f>
        <v>0.25921691388282686</v>
      </c>
      <c r="L54" s="799">
        <f>(MEBL!M56/MEBL!L56)-1</f>
        <v>0.48157866336965793</v>
      </c>
      <c r="M54" s="799">
        <f>(MEBL!N56/MEBL!M56)-1</f>
        <v>0.37232609890293156</v>
      </c>
      <c r="N54" s="799">
        <f>(MEBL!O56/MEBL!N56)-1</f>
        <v>-5.9623361401595965E-2</v>
      </c>
      <c r="O54" s="799">
        <f ca="1">(MEBL!P56/MEBL!O56)-1</f>
        <v>0.16449881485679763</v>
      </c>
      <c r="P54" s="799">
        <f ca="1">(MEBL!Q56/MEBL!P56)-1</f>
        <v>9.8057223432393537E-2</v>
      </c>
      <c r="Q54" s="799">
        <f ca="1">(MEBL!R56/MEBL!Q56)-1</f>
        <v>0.13088334622197517</v>
      </c>
      <c r="R54" s="799">
        <f ca="1">(MEBL!S56/MEBL!R56)-1</f>
        <v>0.13205033736319316</v>
      </c>
    </row>
    <row r="56" spans="1:18" x14ac:dyDescent="0.2">
      <c r="B56" s="798" t="s">
        <v>44</v>
      </c>
    </row>
    <row r="57" spans="1:18" x14ac:dyDescent="0.2">
      <c r="B57" s="804" t="s">
        <v>45</v>
      </c>
      <c r="D57" s="808">
        <f>(MEBL!E59/MEBL!D59)-1</f>
        <v>0.32921126158598146</v>
      </c>
      <c r="E57" s="808">
        <f>(MEBL!F59/MEBL!E59)-1</f>
        <v>0.16684612046414116</v>
      </c>
      <c r="F57" s="808">
        <f>(MEBL!G59/MEBL!F59)-1</f>
        <v>0.16841577376073791</v>
      </c>
      <c r="G57" s="808">
        <f>(MEBL!H59/MEBL!G59)-1</f>
        <v>0.24465799176616665</v>
      </c>
      <c r="H57" s="808">
        <f>(MEBL!I59/MEBL!H59)-1</f>
        <v>0.29643724329426946</v>
      </c>
      <c r="I57" s="808">
        <f>(MEBL!J59/MEBL!I59)-1</f>
        <v>0.18838104196790617</v>
      </c>
      <c r="J57" s="808">
        <f>(MEBL!K59/MEBL!J59)-1</f>
        <v>6.2712031739938556E-2</v>
      </c>
      <c r="K57" s="808">
        <f>(MEBL!L59/MEBL!K59)-1</f>
        <v>0.15540188259433796</v>
      </c>
      <c r="L57" s="808">
        <f>(MEBL!M59/MEBL!L59)-1</f>
        <v>0.28638598182200603</v>
      </c>
      <c r="M57" s="808">
        <f>(MEBL!N59/MEBL!M59)-1</f>
        <v>0.19584909337944656</v>
      </c>
      <c r="N57" s="808">
        <f>(MEBL!O59/MEBL!N59)-1</f>
        <v>7.8342869983721641E-2</v>
      </c>
      <c r="O57" s="808">
        <f>(MEBL!P59/MEBL!O59)-1</f>
        <v>8.7926376149702445E-2</v>
      </c>
      <c r="P57" s="808">
        <f>(MEBL!Q59/MEBL!P59)-1</f>
        <v>8.6648058521822557E-2</v>
      </c>
      <c r="Q57" s="808">
        <f>(MEBL!R59/MEBL!Q59)-1</f>
        <v>8.9296766768405256E-2</v>
      </c>
      <c r="R57" s="808">
        <f>(MEBL!S59/MEBL!R59)-1</f>
        <v>8.9351545664617449E-2</v>
      </c>
    </row>
    <row r="58" spans="1:18" x14ac:dyDescent="0.2">
      <c r="B58" s="804" t="s">
        <v>46</v>
      </c>
      <c r="D58" s="809" t="s">
        <v>148</v>
      </c>
      <c r="E58" s="809" t="s">
        <v>148</v>
      </c>
      <c r="F58" s="809" t="s">
        <v>148</v>
      </c>
      <c r="G58" s="809" t="s">
        <v>148</v>
      </c>
      <c r="H58" s="808">
        <f>(MEBL!I60/MEBL!H60)-1</f>
        <v>0.19059863945578237</v>
      </c>
      <c r="I58" s="808">
        <f>(MEBL!J60/MEBL!I60)-1</f>
        <v>0.21096115828086259</v>
      </c>
      <c r="J58" s="808">
        <f>(MEBL!K60/MEBL!J60)-1</f>
        <v>0.37226101726903837</v>
      </c>
      <c r="K58" s="808">
        <f>(MEBL!L60/MEBL!K60)-1</f>
        <v>0.31964296152140204</v>
      </c>
      <c r="L58" s="808">
        <f>(MEBL!M60/MEBL!L60)-1</f>
        <v>0.6374579534706788</v>
      </c>
      <c r="M58" s="808">
        <f>(MEBL!N60/MEBL!M60)-1</f>
        <v>0.50653788645986242</v>
      </c>
      <c r="N58" s="808">
        <f>(MEBL!O60/MEBL!N60)-1</f>
        <v>-0.25307486821119807</v>
      </c>
      <c r="O58" s="808">
        <f ca="1">(MEBL!P60/MEBL!O60)-1</f>
        <v>0.23562070908068122</v>
      </c>
      <c r="P58" s="808">
        <f ca="1">(MEBL!Q60/MEBL!P60)-1</f>
        <v>0.10740167690953983</v>
      </c>
      <c r="Q58" s="808">
        <f ca="1">(MEBL!R60/MEBL!Q60)-1</f>
        <v>0.16425983542637823</v>
      </c>
      <c r="R58" s="808">
        <f ca="1">(MEBL!S60/MEBL!R60)-1</f>
        <v>0.16411078904006593</v>
      </c>
    </row>
    <row r="59" spans="1:18" x14ac:dyDescent="0.2">
      <c r="B59" s="804" t="s">
        <v>47</v>
      </c>
      <c r="D59" s="808">
        <f>(MEBL!E61/MEBL!D61)-1</f>
        <v>-1.0126513299360806</v>
      </c>
      <c r="E59" s="808">
        <f>(MEBL!F61/MEBL!E61)-1</f>
        <v>-1.2200232828870781</v>
      </c>
      <c r="F59" s="808">
        <f>(MEBL!G61/MEBL!F61)-1</f>
        <v>24.851851851851851</v>
      </c>
      <c r="G59" s="808">
        <f>(MEBL!H61/MEBL!G61)-1</f>
        <v>9.1172738436348748</v>
      </c>
      <c r="H59" s="808">
        <f>(MEBL!I61/MEBL!H61)-1</f>
        <v>-0.91772702445734633</v>
      </c>
      <c r="I59" s="808">
        <f>(MEBL!J61/MEBL!I61)-1</f>
        <v>-0.11482665355298749</v>
      </c>
      <c r="J59" s="808">
        <f>(MEBL!K61/MEBL!J61)-1</f>
        <v>2.0066666666666664</v>
      </c>
      <c r="K59" s="808">
        <f>(MEBL!L61/MEBL!K61)-1</f>
        <v>0.51690687361419085</v>
      </c>
      <c r="L59" s="808">
        <f>(MEBL!M61/MEBL!L61)-1</f>
        <v>4.0109629088251415</v>
      </c>
      <c r="M59" s="808">
        <f>(MEBL!N61/MEBL!M61)-1</f>
        <v>3.8225463384989444E-2</v>
      </c>
      <c r="N59" s="808">
        <f>(MEBL!O61/MEBL!N61)-1</f>
        <v>-0.8991244082622678</v>
      </c>
      <c r="O59" s="808">
        <f>(MEBL!P61/MEBL!O61)-1</f>
        <v>0</v>
      </c>
      <c r="P59" s="808">
        <f>(MEBL!Q61/MEBL!P61)-1</f>
        <v>0</v>
      </c>
      <c r="Q59" s="808">
        <f>(MEBL!R61/MEBL!Q61)-1</f>
        <v>0</v>
      </c>
      <c r="R59" s="808">
        <f>(MEBL!S61/MEBL!R61)-1</f>
        <v>0</v>
      </c>
    </row>
    <row r="60" spans="1:18" s="798" customFormat="1" x14ac:dyDescent="0.2">
      <c r="A60" s="842"/>
      <c r="B60" s="810" t="s">
        <v>48</v>
      </c>
      <c r="D60" s="799">
        <f>(MEBL!E62/MEBL!D62)-1</f>
        <v>0.30984799877414582</v>
      </c>
      <c r="E60" s="799">
        <f>(MEBL!F62/MEBL!E62)-1</f>
        <v>0.16703941578552506</v>
      </c>
      <c r="F60" s="799">
        <f>(MEBL!G62/MEBL!F62)-1</f>
        <v>0.16906437012110564</v>
      </c>
      <c r="G60" s="799">
        <f>(MEBL!H62/MEBL!G62)-1</f>
        <v>0.26729532149138024</v>
      </c>
      <c r="H60" s="799">
        <f>(MEBL!I62/MEBL!H62)-1</f>
        <v>0.28934495217741629</v>
      </c>
      <c r="I60" s="799">
        <f>(MEBL!J62/MEBL!I62)-1</f>
        <v>0.18857891925556358</v>
      </c>
      <c r="J60" s="799">
        <f>(MEBL!K62/MEBL!J62)-1</f>
        <v>6.7157878841746177E-2</v>
      </c>
      <c r="K60" s="799">
        <f>(MEBL!L62/MEBL!K62)-1</f>
        <v>0.15836732942013043</v>
      </c>
      <c r="L60" s="799">
        <f>(MEBL!M62/MEBL!L62)-1</f>
        <v>0.29608981662956602</v>
      </c>
      <c r="M60" s="799">
        <f>(MEBL!N62/MEBL!M62)-1</f>
        <v>0.20281596510443523</v>
      </c>
      <c r="N60" s="799">
        <f>(MEBL!O62/MEBL!N62)-1</f>
        <v>6.5719325425993569E-2</v>
      </c>
      <c r="O60" s="799">
        <f ca="1">(MEBL!P62/MEBL!O62)-1</f>
        <v>9.1017931482074266E-2</v>
      </c>
      <c r="P60" s="799">
        <f ca="1">(MEBL!Q62/MEBL!P62)-1</f>
        <v>8.7123244067673022E-2</v>
      </c>
      <c r="Q60" s="799">
        <f ca="1">(MEBL!R62/MEBL!Q62)-1</f>
        <v>9.1100908526326796E-2</v>
      </c>
      <c r="R60" s="799">
        <f ca="1">(MEBL!S62/MEBL!R62)-1</f>
        <v>9.1274266666265591E-2</v>
      </c>
    </row>
    <row r="62" spans="1:18" x14ac:dyDescent="0.2">
      <c r="B62" s="810" t="s">
        <v>51</v>
      </c>
      <c r="D62" s="808">
        <f>(MEBL!E66/MEBL!D66)-1</f>
        <v>0.68684376179254136</v>
      </c>
      <c r="E62" s="808">
        <f>(MEBL!F66/MEBL!E66)-1</f>
        <v>0.26903032560261098</v>
      </c>
      <c r="F62" s="808">
        <f>(MEBL!G66/MEBL!F66)-1</f>
        <v>7.9621415977052967E-2</v>
      </c>
      <c r="G62" s="808">
        <f>(MEBL!H66/MEBL!G66)-1</f>
        <v>0.22170081308184808</v>
      </c>
      <c r="H62" s="808">
        <f>(MEBL!I66/MEBL!H66)-1</f>
        <v>0.22507956038195998</v>
      </c>
      <c r="I62" s="808">
        <f>(MEBL!J66/MEBL!I66)-1</f>
        <v>0.24444162303506811</v>
      </c>
      <c r="J62" s="808">
        <f>(MEBL!K66/MEBL!J66)-1</f>
        <v>-5.5552148403013479E-2</v>
      </c>
      <c r="K62" s="808">
        <f>(MEBL!L66/MEBL!K66)-1</f>
        <v>0.52826219761429871</v>
      </c>
      <c r="L62" s="808">
        <f>(MEBL!M66/MEBL!L66)-1</f>
        <v>0.77719128932232473</v>
      </c>
      <c r="M62" s="808">
        <f>(MEBL!N66/MEBL!M66)-1</f>
        <v>0.52140131249615185</v>
      </c>
      <c r="N62" s="808">
        <f>(MEBL!O66/MEBL!N66)-1</f>
        <v>-0.15573259767373637</v>
      </c>
      <c r="O62" s="808">
        <f ca="1">(MEBL!P66/MEBL!O66)-1</f>
        <v>0.23562070908068122</v>
      </c>
      <c r="P62" s="808">
        <f ca="1">(MEBL!Q66/MEBL!P66)-1</f>
        <v>0.10740167690953983</v>
      </c>
      <c r="Q62" s="808">
        <f ca="1">(MEBL!R66/MEBL!Q66)-1</f>
        <v>0.16425983542637801</v>
      </c>
      <c r="R62" s="808">
        <f ca="1">(MEBL!S66/MEBL!R66)-1</f>
        <v>0.16411078904006615</v>
      </c>
    </row>
    <row r="63" spans="1:18" x14ac:dyDescent="0.2">
      <c r="B63" s="804" t="s">
        <v>52</v>
      </c>
      <c r="D63" s="808">
        <f>(MEBL!E68/MEBL!D68)-1</f>
        <v>0.97861637534498613</v>
      </c>
      <c r="E63" s="808">
        <f>(MEBL!F68/MEBL!E68)-1</f>
        <v>0.60139969387508385</v>
      </c>
      <c r="F63" s="808">
        <f>(MEBL!G68/MEBL!F68)-1</f>
        <v>-1.8710767604856793E-2</v>
      </c>
      <c r="G63" s="808">
        <f>(MEBL!H68/MEBL!G68)-1</f>
        <v>0.37787119619761778</v>
      </c>
      <c r="H63" s="808">
        <f>(MEBL!I68/MEBL!H68)-1</f>
        <v>0.4725448023748009</v>
      </c>
      <c r="I63" s="808">
        <f>(MEBL!J68/MEBL!I68)-1</f>
        <v>0.14172070005809712</v>
      </c>
      <c r="J63" s="808">
        <f>(MEBL!K68/MEBL!J68)-1</f>
        <v>6.084372927665882E-2</v>
      </c>
      <c r="K63" s="808">
        <f>(MEBL!L68/MEBL!K68)-1</f>
        <v>0.45588657045485137</v>
      </c>
      <c r="L63" s="808">
        <f>(MEBL!M68/MEBL!L68)-1</f>
        <v>0.85212683259235744</v>
      </c>
      <c r="M63" s="808">
        <f>(MEBL!N68/MEBL!M68)-1</f>
        <v>0.50245938145615243</v>
      </c>
      <c r="N63" s="808">
        <f>(MEBL!O68/MEBL!N68)-1</f>
        <v>-0.1761614544122635</v>
      </c>
      <c r="O63" s="808">
        <f ca="1">(MEBL!P68/MEBL!O68)-1</f>
        <v>0.235620709080681</v>
      </c>
      <c r="P63" s="808">
        <f ca="1">(MEBL!Q68/MEBL!P68)-1</f>
        <v>0.10740167690953983</v>
      </c>
      <c r="Q63" s="808">
        <f ca="1">(MEBL!R68/MEBL!Q68)-1</f>
        <v>0.16425983542637823</v>
      </c>
      <c r="R63" s="808">
        <f ca="1">(MEBL!S68/MEBL!R68)-1</f>
        <v>0.16411078904006593</v>
      </c>
    </row>
    <row r="64" spans="1:18" s="798" customFormat="1" x14ac:dyDescent="0.2">
      <c r="A64" s="842"/>
      <c r="B64" s="798" t="s">
        <v>53</v>
      </c>
      <c r="D64" s="799">
        <f>(MEBL!E69/MEBL!D69)-1</f>
        <v>0.60337186056084535</v>
      </c>
      <c r="E64" s="799">
        <f>(MEBL!F69/MEBL!E69)-1</f>
        <v>0.15169085805025895</v>
      </c>
      <c r="F64" s="799">
        <f>(MEBL!G69/MEBL!F69)-1</f>
        <v>0.12789200813199963</v>
      </c>
      <c r="G64" s="799">
        <f>(MEBL!H69/MEBL!G69)-1</f>
        <v>0.15500245654542999</v>
      </c>
      <c r="H64" s="799">
        <f>(MEBL!I69/MEBL!H69)-1</f>
        <v>9.8996605315524455E-2</v>
      </c>
      <c r="I64" s="799">
        <f>(MEBL!J69/MEBL!I69)-1</f>
        <v>0.31456668370330254</v>
      </c>
      <c r="J64" s="799">
        <f>(MEBL!K69/MEBL!J69)-1</f>
        <v>-0.12456487565246843</v>
      </c>
      <c r="K64" s="799">
        <f>(MEBL!L69/MEBL!K69)-1</f>
        <v>0.58026315948825546</v>
      </c>
      <c r="L64" s="799">
        <f>(MEBL!M69/MEBL!L69)-1</f>
        <v>0.72758862305409133</v>
      </c>
      <c r="M64" s="799">
        <f>(MEBL!N69/MEBL!M69)-1</f>
        <v>0.53484355731382704</v>
      </c>
      <c r="N64" s="799">
        <f>(MEBL!O69/MEBL!N69)-1</f>
        <v>-0.14154103443820398</v>
      </c>
      <c r="O64" s="799">
        <f ca="1">(MEBL!P69/MEBL!O69)-1</f>
        <v>0.23562070908068122</v>
      </c>
      <c r="P64" s="799">
        <f ca="1">(MEBL!Q69/MEBL!P69)-1</f>
        <v>0.10740167690953961</v>
      </c>
      <c r="Q64" s="799">
        <f ca="1">(MEBL!R69/MEBL!Q69)-1</f>
        <v>0.16425983542637801</v>
      </c>
      <c r="R64" s="799">
        <f ca="1">(MEBL!S69/MEBL!R69)-1</f>
        <v>0.16411078904006615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S63"/>
  <sheetViews>
    <sheetView showGridLines="0" zoomScaleNormal="100" workbookViewId="0">
      <pane xSplit="3" ySplit="3" topLeftCell="D4" activePane="bottomRight" state="frozen"/>
      <selection pane="topRight" activeCell="C1" sqref="C1"/>
      <selection pane="bottomLeft" activeCell="A4" sqref="A4"/>
      <selection pane="bottomRight" activeCell="C1" sqref="C1"/>
    </sheetView>
  </sheetViews>
  <sheetFormatPr defaultColWidth="9.28515625" defaultRowHeight="11.25" x14ac:dyDescent="0.2"/>
  <cols>
    <col min="1" max="1" width="1.85546875" style="51" customWidth="1"/>
    <col min="2" max="2" width="13.140625" style="2" customWidth="1"/>
    <col min="3" max="3" width="36.28515625" style="2" customWidth="1"/>
    <col min="4" max="16384" width="9.28515625" style="2"/>
  </cols>
  <sheetData>
    <row r="1" spans="1:18" ht="13.5" thickBot="1" x14ac:dyDescent="0.25">
      <c r="B1" s="843" t="s">
        <v>714</v>
      </c>
    </row>
    <row r="2" spans="1:18" ht="12" thickTop="1" x14ac:dyDescent="0.2"/>
    <row r="3" spans="1:18" ht="11.25" customHeight="1" x14ac:dyDescent="0.2">
      <c r="B3" s="811" t="s">
        <v>1</v>
      </c>
      <c r="C3" s="59"/>
      <c r="D3" s="59">
        <v>2011</v>
      </c>
      <c r="E3" s="59">
        <f>D3+1</f>
        <v>2012</v>
      </c>
      <c r="F3" s="59">
        <f t="shared" ref="F3:J3" si="0">E3+1</f>
        <v>2013</v>
      </c>
      <c r="G3" s="59">
        <f t="shared" si="0"/>
        <v>2014</v>
      </c>
      <c r="H3" s="59">
        <f t="shared" si="0"/>
        <v>2015</v>
      </c>
      <c r="I3" s="59">
        <f t="shared" si="0"/>
        <v>2016</v>
      </c>
      <c r="J3" s="59">
        <f t="shared" si="0"/>
        <v>2017</v>
      </c>
      <c r="K3" s="59">
        <f>J3+1</f>
        <v>2018</v>
      </c>
      <c r="L3" s="425">
        <f>K3+1</f>
        <v>2019</v>
      </c>
      <c r="M3" s="348" t="s">
        <v>477</v>
      </c>
      <c r="N3" s="348" t="s">
        <v>478</v>
      </c>
      <c r="O3" s="348" t="s">
        <v>479</v>
      </c>
      <c r="P3" s="348" t="s">
        <v>480</v>
      </c>
      <c r="Q3" s="348" t="s">
        <v>481</v>
      </c>
      <c r="R3" s="348" t="s">
        <v>482</v>
      </c>
    </row>
    <row r="4" spans="1:18" s="10" customFormat="1" x14ac:dyDescent="0.2">
      <c r="A4" s="51"/>
      <c r="B4" s="800" t="s">
        <v>60</v>
      </c>
      <c r="C4" s="801"/>
      <c r="D4" s="801"/>
      <c r="E4" s="801"/>
      <c r="F4" s="801"/>
      <c r="G4" s="801"/>
      <c r="H4" s="801"/>
      <c r="I4" s="801"/>
      <c r="J4" s="801"/>
      <c r="K4" s="801"/>
      <c r="L4" s="801"/>
      <c r="M4" s="801"/>
      <c r="N4" s="801"/>
      <c r="O4" s="801"/>
      <c r="P4" s="801"/>
      <c r="Q4" s="801"/>
      <c r="R4" s="801"/>
    </row>
    <row r="5" spans="1:18" x14ac:dyDescent="0.2">
      <c r="B5" s="3" t="s">
        <v>2</v>
      </c>
    </row>
    <row r="6" spans="1:18" x14ac:dyDescent="0.2">
      <c r="B6" s="2" t="s">
        <v>3</v>
      </c>
      <c r="D6" s="11">
        <f>MEBL!E7/MEBL!E$16</f>
        <v>8.2490075803233295E-2</v>
      </c>
      <c r="E6" s="11">
        <f>MEBL!F7/MEBL!F$16</f>
        <v>6.9689710745847927E-2</v>
      </c>
      <c r="F6" s="11">
        <f>MEBL!G7/MEBL!G$16</f>
        <v>8.6686353741040362E-2</v>
      </c>
      <c r="G6" s="11">
        <f>MEBL!H7/MEBL!H$16</f>
        <v>6.7966070091802444E-2</v>
      </c>
      <c r="H6" s="11">
        <f>MEBL!I7/MEBL!I$16</f>
        <v>8.2139026833084078E-2</v>
      </c>
      <c r="I6" s="11">
        <f>MEBL!J7/MEBL!J$16</f>
        <v>8.4486316930792671E-2</v>
      </c>
      <c r="J6" s="11">
        <f>MEBL!K7/MEBL!K$16</f>
        <v>8.213624996618657E-2</v>
      </c>
      <c r="K6" s="11">
        <f>MEBL!L7/MEBL!L$16</f>
        <v>6.9044135763101644E-2</v>
      </c>
      <c r="L6" s="11">
        <f>MEBL!M7/MEBL!M$16</f>
        <v>8.1868974331353414E-2</v>
      </c>
      <c r="M6" s="11">
        <f>MEBL!N7/MEBL!N$16</f>
        <v>7.022001101489618E-2</v>
      </c>
      <c r="N6" s="11">
        <f ca="1">MEBL!O7/MEBL!O$16</f>
        <v>7.4063510601977411E-2</v>
      </c>
      <c r="O6" s="11">
        <f ca="1">MEBL!P7/MEBL!P$16</f>
        <v>7.1518722642934213E-2</v>
      </c>
      <c r="P6" s="11">
        <f ca="1">MEBL!Q7/MEBL!Q$16</f>
        <v>7.7148955145249096E-2</v>
      </c>
      <c r="Q6" s="11">
        <f ca="1">MEBL!R7/MEBL!R$16</f>
        <v>7.9914414194234104E-2</v>
      </c>
      <c r="R6" s="11">
        <f ca="1">MEBL!S7/MEBL!S$16</f>
        <v>8.1318381416449911E-2</v>
      </c>
    </row>
    <row r="7" spans="1:18" x14ac:dyDescent="0.2">
      <c r="B7" s="2" t="s">
        <v>4</v>
      </c>
      <c r="D7" s="11">
        <f>MEBL!E8/MEBL!E$16</f>
        <v>1.1673232567110746E-2</v>
      </c>
      <c r="E7" s="11">
        <f>MEBL!F8/MEBL!F$16</f>
        <v>1.4032936069621348E-2</v>
      </c>
      <c r="F7" s="11">
        <f>MEBL!G8/MEBL!G$16</f>
        <v>1.0779400948059594E-2</v>
      </c>
      <c r="G7" s="11">
        <f>MEBL!H8/MEBL!H$16</f>
        <v>1.2576593664048809E-2</v>
      </c>
      <c r="H7" s="11">
        <f>MEBL!I8/MEBL!I$16</f>
        <v>2.1011678831946604E-2</v>
      </c>
      <c r="I7" s="11">
        <f>MEBL!J8/MEBL!J$16</f>
        <v>1.819454717132114E-2</v>
      </c>
      <c r="J7" s="11">
        <f>MEBL!K8/MEBL!K$16</f>
        <v>6.2853630395621699E-3</v>
      </c>
      <c r="K7" s="11">
        <f>MEBL!L8/MEBL!L$16</f>
        <v>8.789098628869901E-3</v>
      </c>
      <c r="L7" s="11">
        <f>MEBL!M8/MEBL!M$16</f>
        <v>1.3688507396202674E-2</v>
      </c>
      <c r="M7" s="11">
        <f>MEBL!N8/MEBL!N$16</f>
        <v>1.1879616693545005E-2</v>
      </c>
      <c r="N7" s="11">
        <f ca="1">MEBL!O8/MEBL!O$16</f>
        <v>9.6583595502401625E-3</v>
      </c>
      <c r="O7" s="11">
        <f ca="1">MEBL!P8/MEBL!P$16</f>
        <v>1.0790636651623536E-2</v>
      </c>
      <c r="P7" s="11">
        <f ca="1">MEBL!Q8/MEBL!Q$16</f>
        <v>1.1390231053348585E-2</v>
      </c>
      <c r="Q7" s="11">
        <f ca="1">MEBL!R8/MEBL!R$16</f>
        <v>1.0886509054433802E-2</v>
      </c>
      <c r="R7" s="11">
        <f ca="1">MEBL!S8/MEBL!S$16</f>
        <v>1.0629558081597656E-2</v>
      </c>
    </row>
    <row r="8" spans="1:18" x14ac:dyDescent="0.2">
      <c r="B8" s="2" t="s">
        <v>5</v>
      </c>
      <c r="D8" s="11">
        <f>MEBL!E9/MEBL!E$16</f>
        <v>2.0152137458332737E-2</v>
      </c>
      <c r="E8" s="11">
        <f>MEBL!F9/MEBL!F$16</f>
        <v>1.8219150214379275E-3</v>
      </c>
      <c r="F8" s="11">
        <f>MEBL!G9/MEBL!G$16</f>
        <v>2.2572569047776114E-2</v>
      </c>
      <c r="G8" s="11">
        <f>MEBL!H9/MEBL!H$16</f>
        <v>0.20751042673268752</v>
      </c>
      <c r="H8" s="11">
        <f>MEBL!I9/MEBL!I$16</f>
        <v>0.32053105792055997</v>
      </c>
      <c r="I8" s="11">
        <f>MEBL!J9/MEBL!J$16</f>
        <v>0.19466524582251046</v>
      </c>
      <c r="J8" s="11">
        <f>MEBL!K9/MEBL!K$16</f>
        <v>0.18732231680332351</v>
      </c>
      <c r="K8" s="11">
        <f>MEBL!L9/MEBL!L$16</f>
        <v>0.19624563194308028</v>
      </c>
      <c r="L8" s="11">
        <f>MEBL!M9/MEBL!M$16</f>
        <v>0.19863808967077903</v>
      </c>
      <c r="M8" s="11">
        <f>MEBL!N9/MEBL!N$16</f>
        <v>0.19747024603484911</v>
      </c>
      <c r="N8" s="11">
        <f ca="1">MEBL!O9/MEBL!O$16</f>
        <v>0.15744440526485984</v>
      </c>
      <c r="O8" s="11">
        <f ca="1">MEBL!P9/MEBL!P$16</f>
        <v>0.13194877541476691</v>
      </c>
      <c r="P8" s="11">
        <f ca="1">MEBL!Q9/MEBL!Q$16</f>
        <v>0.11545133282262984</v>
      </c>
      <c r="Q8" s="11">
        <f ca="1">MEBL!R9/MEBL!R$16</f>
        <v>0.10716871586495798</v>
      </c>
      <c r="R8" s="11">
        <f ca="1">MEBL!S9/MEBL!S$16</f>
        <v>9.8768674049277264E-2</v>
      </c>
    </row>
    <row r="9" spans="1:18" x14ac:dyDescent="0.2">
      <c r="B9" s="2" t="s">
        <v>6</v>
      </c>
      <c r="D9" s="11">
        <f>MEBL!E10/MEBL!E$16</f>
        <v>0.49544791080679307</v>
      </c>
      <c r="E9" s="11">
        <f>MEBL!F10/MEBL!F$16</f>
        <v>0.55553779998149666</v>
      </c>
      <c r="F9" s="11">
        <f>MEBL!G10/MEBL!G$16</f>
        <v>0.45981985798325148</v>
      </c>
      <c r="G9" s="11">
        <f>MEBL!H10/MEBL!H$16</f>
        <v>0.26083149969347236</v>
      </c>
      <c r="H9" s="11">
        <f>MEBL!I10/MEBL!I$16</f>
        <v>0.14460836804390767</v>
      </c>
      <c r="I9" s="11">
        <f>MEBL!J10/MEBL!J$16</f>
        <v>0.20323103187562996</v>
      </c>
      <c r="J9" s="11">
        <f>MEBL!K10/MEBL!K$16</f>
        <v>0.15669977167715071</v>
      </c>
      <c r="K9" s="11">
        <f>MEBL!L10/MEBL!L$16</f>
        <v>0.13497763322163001</v>
      </c>
      <c r="L9" s="11">
        <f>MEBL!M10/MEBL!M$16</f>
        <v>0.20394638162711279</v>
      </c>
      <c r="M9" s="11">
        <f>MEBL!N10/MEBL!N$16</f>
        <v>0.28252598694443665</v>
      </c>
      <c r="N9" s="11">
        <f ca="1">MEBL!O10/MEBL!O$16</f>
        <v>0.31488439659096301</v>
      </c>
      <c r="O9" s="11">
        <f ca="1">MEBL!P10/MEBL!P$16</f>
        <v>0.32986644759405992</v>
      </c>
      <c r="P9" s="11">
        <f ca="1">MEBL!Q10/MEBL!Q$16</f>
        <v>0.3298546757824804</v>
      </c>
      <c r="Q9" s="11">
        <f ca="1">MEBL!R10/MEBL!R$16</f>
        <v>0.32974313941184052</v>
      </c>
      <c r="R9" s="11">
        <f ca="1">MEBL!S10/MEBL!S$16</f>
        <v>0.32922160655244315</v>
      </c>
    </row>
    <row r="10" spans="1:18" x14ac:dyDescent="0.2">
      <c r="B10" s="2" t="s">
        <v>7</v>
      </c>
      <c r="D10" s="11">
        <f>MEBL!E11/MEBL!E$16</f>
        <v>0.29224167349003266</v>
      </c>
      <c r="E10" s="11">
        <f>MEBL!F11/MEBL!F$16</f>
        <v>0.32312783747322832</v>
      </c>
      <c r="F10" s="11">
        <f>MEBL!G11/MEBL!G$16</f>
        <v>0.38705894555993908</v>
      </c>
      <c r="G10" s="11">
        <f>MEBL!H11/MEBL!H$16</f>
        <v>0.40171364561065259</v>
      </c>
      <c r="H10" s="11">
        <f>MEBL!I11/MEBL!I$16</f>
        <v>0.39027704946561109</v>
      </c>
      <c r="I10" s="11">
        <f>MEBL!J11/MEBL!J$16</f>
        <v>0.46969011417599993</v>
      </c>
      <c r="J10" s="11">
        <f>MEBL!K11/MEBL!K$16</f>
        <v>0.53428321191706929</v>
      </c>
      <c r="K10" s="11">
        <f>MEBL!L11/MEBL!L$16</f>
        <v>0.54426732807631473</v>
      </c>
      <c r="L10" s="11">
        <f>MEBL!M11/MEBL!M$16</f>
        <v>0.43847685380591112</v>
      </c>
      <c r="M10" s="11">
        <f>MEBL!N11/MEBL!N$16</f>
        <v>0.3881028929722129</v>
      </c>
      <c r="N10" s="11">
        <f ca="1">MEBL!O11/MEBL!O$16</f>
        <v>0.3973936784431823</v>
      </c>
      <c r="O10" s="11">
        <f ca="1">MEBL!P11/MEBL!P$16</f>
        <v>0.40504674497460469</v>
      </c>
      <c r="P10" s="11">
        <f ca="1">MEBL!Q11/MEBL!Q$16</f>
        <v>0.41383579910836599</v>
      </c>
      <c r="Q10" s="11">
        <f ca="1">MEBL!R11/MEBL!R$16</f>
        <v>0.42242356588131563</v>
      </c>
      <c r="R10" s="11">
        <f ca="1">MEBL!S11/MEBL!S$16</f>
        <v>0.43036087934066825</v>
      </c>
    </row>
    <row r="11" spans="1:18" x14ac:dyDescent="0.2">
      <c r="B11" s="2" t="s">
        <v>8</v>
      </c>
      <c r="D11" s="11">
        <f>MEBL!E12/MEBL!E$16</f>
        <v>1.9934099722804671E-2</v>
      </c>
      <c r="E11" s="11">
        <f>MEBL!F12/MEBL!F$16</f>
        <v>1.7848354069216227E-2</v>
      </c>
      <c r="F11" s="11">
        <f>MEBL!G12/MEBL!G$16</f>
        <v>1.6968444192451002E-2</v>
      </c>
      <c r="G11" s="11">
        <f>MEBL!H12/MEBL!H$16</f>
        <v>1.4341914839669375E-2</v>
      </c>
      <c r="H11" s="11">
        <f>MEBL!I12/MEBL!I$16</f>
        <v>1.5148526839903679E-2</v>
      </c>
      <c r="I11" s="11">
        <f>MEBL!J12/MEBL!J$16</f>
        <v>1.3616954874214243E-2</v>
      </c>
      <c r="J11" s="11">
        <f>MEBL!K12/MEBL!K$16</f>
        <v>1.5260921869692625E-2</v>
      </c>
      <c r="K11" s="11">
        <f>MEBL!L12/MEBL!L$16</f>
        <v>1.4046592234079879E-2</v>
      </c>
      <c r="L11" s="11">
        <f>MEBL!M12/MEBL!M$16</f>
        <v>2.1013414950956478E-2</v>
      </c>
      <c r="M11" s="11">
        <f>MEBL!N12/MEBL!N$16</f>
        <v>1.749831274147403E-2</v>
      </c>
      <c r="N11" s="11">
        <f ca="1">MEBL!O12/MEBL!O$16</f>
        <v>1.6622877347997972E-2</v>
      </c>
      <c r="O11" s="11">
        <f ca="1">MEBL!P12/MEBL!P$16</f>
        <v>1.7040722654963914E-2</v>
      </c>
      <c r="P11" s="11">
        <f ca="1">MEBL!Q12/MEBL!Q$16</f>
        <v>1.7933995176966287E-2</v>
      </c>
      <c r="Q11" s="11">
        <f ca="1">MEBL!R12/MEBL!R$16</f>
        <v>1.7249803256973333E-2</v>
      </c>
      <c r="R11" s="11">
        <f ca="1">MEBL!S12/MEBL!S$16</f>
        <v>1.7152844784327229E-2</v>
      </c>
    </row>
    <row r="12" spans="1:18" x14ac:dyDescent="0.2">
      <c r="B12" s="2" t="s">
        <v>9</v>
      </c>
      <c r="D12" s="11">
        <f>MEBL!E13/MEBL!E$16</f>
        <v>0</v>
      </c>
      <c r="E12" s="11">
        <f>MEBL!F13/MEBL!F$16</f>
        <v>0</v>
      </c>
      <c r="F12" s="11">
        <f>MEBL!G13/MEBL!G$16</f>
        <v>0</v>
      </c>
      <c r="G12" s="11">
        <f>MEBL!H13/MEBL!H$16</f>
        <v>0</v>
      </c>
      <c r="H12" s="11">
        <f>MEBL!I13/MEBL!I$16</f>
        <v>0</v>
      </c>
      <c r="I12" s="11">
        <f>MEBL!J13/MEBL!J$16</f>
        <v>0</v>
      </c>
      <c r="J12" s="11">
        <f>MEBL!K13/MEBL!K$16</f>
        <v>0</v>
      </c>
      <c r="K12" s="11">
        <f>MEBL!L13/MEBL!L$16</f>
        <v>6.8484739731320624E-4</v>
      </c>
      <c r="L12" s="11">
        <f>MEBL!M13/MEBL!M$16</f>
        <v>7.1087946284574858E-4</v>
      </c>
      <c r="M12" s="11">
        <f>MEBL!N13/MEBL!N$16</f>
        <v>7.8496232473132261E-4</v>
      </c>
      <c r="N12" s="11">
        <f ca="1">MEBL!O13/MEBL!O$16</f>
        <v>8.9797105797135256E-4</v>
      </c>
      <c r="O12" s="11">
        <f ca="1">MEBL!P13/MEBL!P$16</f>
        <v>9.5895851040981293E-4</v>
      </c>
      <c r="P12" s="11">
        <f ca="1">MEBL!Q13/MEBL!Q$16</f>
        <v>9.9545131319821786E-4</v>
      </c>
      <c r="Q12" s="11">
        <f ca="1">MEBL!R13/MEBL!R$16</f>
        <v>9.9809246958532604E-4</v>
      </c>
      <c r="R12" s="11">
        <f ca="1">MEBL!S13/MEBL!S$16</f>
        <v>9.7293755988918493E-4</v>
      </c>
    </row>
    <row r="13" spans="1:18" x14ac:dyDescent="0.2">
      <c r="B13" s="2" t="s">
        <v>10</v>
      </c>
      <c r="D13" s="11">
        <f>MEBL!E14/MEBL!E$16</f>
        <v>3.1669254887837857E-3</v>
      </c>
      <c r="E13" s="11">
        <f>MEBL!F14/MEBL!F$16</f>
        <v>1.9893890940385446E-3</v>
      </c>
      <c r="F13" s="11">
        <f>MEBL!G14/MEBL!G$16</f>
        <v>3.9711622271858726E-4</v>
      </c>
      <c r="G13" s="11">
        <f>MEBL!H14/MEBL!H$16</f>
        <v>1.21297844781529E-3</v>
      </c>
      <c r="H13" s="11">
        <f>MEBL!I14/MEBL!I$16</f>
        <v>0</v>
      </c>
      <c r="I13" s="11">
        <f>MEBL!J14/MEBL!J$16</f>
        <v>0</v>
      </c>
      <c r="J13" s="11">
        <f>MEBL!K14/MEBL!K$16</f>
        <v>0</v>
      </c>
      <c r="K13" s="11">
        <f>MEBL!L14/MEBL!L$16</f>
        <v>9.2171245357109408E-4</v>
      </c>
      <c r="L13" s="11">
        <f>MEBL!M14/MEBL!M$16</f>
        <v>0</v>
      </c>
      <c r="M13" s="11">
        <f>MEBL!N14/MEBL!N$16</f>
        <v>0</v>
      </c>
      <c r="N13" s="11">
        <f ca="1">MEBL!O14/MEBL!O$16</f>
        <v>0</v>
      </c>
      <c r="O13" s="11">
        <f ca="1">MEBL!P14/MEBL!P$16</f>
        <v>0</v>
      </c>
      <c r="P13" s="11">
        <f ca="1">MEBL!Q14/MEBL!Q$16</f>
        <v>0</v>
      </c>
      <c r="Q13" s="11">
        <f ca="1">MEBL!R14/MEBL!R$16</f>
        <v>0</v>
      </c>
      <c r="R13" s="11">
        <f ca="1">MEBL!S14/MEBL!S$16</f>
        <v>0</v>
      </c>
    </row>
    <row r="14" spans="1:18" x14ac:dyDescent="0.2">
      <c r="B14" s="2" t="s">
        <v>11</v>
      </c>
      <c r="D14" s="11">
        <f>MEBL!E15/MEBL!E$16</f>
        <v>7.4893944662909023E-2</v>
      </c>
      <c r="E14" s="11">
        <f>MEBL!F15/MEBL!F$16</f>
        <v>1.5952057545113075E-2</v>
      </c>
      <c r="F14" s="11">
        <f>MEBL!G15/MEBL!G$16</f>
        <v>1.5717312304763791E-2</v>
      </c>
      <c r="G14" s="11">
        <f>MEBL!H15/MEBL!H$16</f>
        <v>3.3846870919851529E-2</v>
      </c>
      <c r="H14" s="11">
        <f>MEBL!I15/MEBL!I$16</f>
        <v>2.6284292064986888E-2</v>
      </c>
      <c r="I14" s="11">
        <f>MEBL!J15/MEBL!J$16</f>
        <v>1.6115789149531521E-2</v>
      </c>
      <c r="J14" s="11">
        <f>MEBL!K15/MEBL!K$16</f>
        <v>1.8012164727015008E-2</v>
      </c>
      <c r="K14" s="11">
        <f>MEBL!L15/MEBL!L$16</f>
        <v>3.1023020282039251E-2</v>
      </c>
      <c r="L14" s="11">
        <f>MEBL!M15/MEBL!M$16</f>
        <v>4.1656898754838766E-2</v>
      </c>
      <c r="M14" s="11">
        <f>MEBL!N15/MEBL!N$16</f>
        <v>3.1517971273854695E-2</v>
      </c>
      <c r="N14" s="11">
        <f ca="1">MEBL!O15/MEBL!O$16</f>
        <v>2.903480114280808E-2</v>
      </c>
      <c r="O14" s="11">
        <f ca="1">MEBL!P15/MEBL!P$16</f>
        <v>3.2828991556636829E-2</v>
      </c>
      <c r="P14" s="11">
        <f ca="1">MEBL!Q15/MEBL!Q$16</f>
        <v>3.3389559597761555E-2</v>
      </c>
      <c r="Q14" s="11">
        <f ca="1">MEBL!R15/MEBL!R$16</f>
        <v>3.1615759866659328E-2</v>
      </c>
      <c r="R14" s="11">
        <f ca="1">MEBL!S15/MEBL!S$16</f>
        <v>3.1575118215347267E-2</v>
      </c>
    </row>
    <row r="15" spans="1:18" s="798" customFormat="1" x14ac:dyDescent="0.2">
      <c r="A15" s="842"/>
      <c r="B15" s="798" t="s">
        <v>12</v>
      </c>
      <c r="D15" s="799">
        <f>MEBL!E16/MEBL!E$16</f>
        <v>1</v>
      </c>
      <c r="E15" s="799">
        <f>MEBL!F16/MEBL!F$16</f>
        <v>1</v>
      </c>
      <c r="F15" s="799">
        <f>MEBL!G16/MEBL!G$16</f>
        <v>1</v>
      </c>
      <c r="G15" s="799">
        <f>MEBL!H16/MEBL!H$16</f>
        <v>1</v>
      </c>
      <c r="H15" s="799">
        <f>MEBL!I16/MEBL!I$16</f>
        <v>1</v>
      </c>
      <c r="I15" s="799">
        <f>MEBL!J16/MEBL!J$16</f>
        <v>1</v>
      </c>
      <c r="J15" s="799">
        <f>MEBL!K16/MEBL!K$16</f>
        <v>1</v>
      </c>
      <c r="K15" s="799">
        <f>MEBL!L16/MEBL!L$16</f>
        <v>1</v>
      </c>
      <c r="L15" s="799">
        <f>MEBL!M16/MEBL!M$16</f>
        <v>1</v>
      </c>
      <c r="M15" s="799">
        <f>MEBL!N16/MEBL!N$16</f>
        <v>1</v>
      </c>
      <c r="N15" s="799">
        <f ca="1">MEBL!O16/MEBL!O$16</f>
        <v>1</v>
      </c>
      <c r="O15" s="799">
        <f ca="1">MEBL!P16/MEBL!P$16</f>
        <v>1</v>
      </c>
      <c r="P15" s="799">
        <f ca="1">MEBL!Q16/MEBL!Q$16</f>
        <v>1</v>
      </c>
      <c r="Q15" s="799">
        <f ca="1">MEBL!R16/MEBL!R$16</f>
        <v>1</v>
      </c>
      <c r="R15" s="799">
        <f ca="1">MEBL!S16/MEBL!S$16</f>
        <v>1</v>
      </c>
    </row>
    <row r="16" spans="1:18" x14ac:dyDescent="0.2">
      <c r="D16" s="11"/>
    </row>
    <row r="17" spans="1:18" x14ac:dyDescent="0.2">
      <c r="B17" s="3" t="s">
        <v>13</v>
      </c>
    </row>
    <row r="18" spans="1:18" x14ac:dyDescent="0.2">
      <c r="B18" s="2" t="s">
        <v>14</v>
      </c>
      <c r="D18" s="11">
        <f>MEBL!E19/MEBL!E$16</f>
        <v>1.1312052111425263E-2</v>
      </c>
      <c r="E18" s="11">
        <f>MEBL!F19/MEBL!F$16</f>
        <v>1.1144665117625931E-2</v>
      </c>
      <c r="F18" s="11">
        <f>MEBL!G19/MEBL!G$16</f>
        <v>1.0962838866593499E-2</v>
      </c>
      <c r="G18" s="11">
        <f>MEBL!H19/MEBL!H$16</f>
        <v>1.2848078306240171E-2</v>
      </c>
      <c r="H18" s="11">
        <f>MEBL!I19/MEBL!I$16</f>
        <v>1.2334915510208561E-2</v>
      </c>
      <c r="I18" s="11">
        <f>MEBL!J19/MEBL!J$16</f>
        <v>1.3766686277904314E-2</v>
      </c>
      <c r="J18" s="11">
        <f>MEBL!K19/MEBL!K$16</f>
        <v>1.4209360348615712E-2</v>
      </c>
      <c r="K18" s="11">
        <f>MEBL!L19/MEBL!L$16</f>
        <v>2.5219546074965408E-2</v>
      </c>
      <c r="L18" s="11">
        <f>MEBL!M19/MEBL!M$16</f>
        <v>1.5262035906364208E-2</v>
      </c>
      <c r="M18" s="11">
        <f>MEBL!N19/MEBL!N$16</f>
        <v>1.8471148240723774E-2</v>
      </c>
      <c r="N18" s="11">
        <f ca="1">MEBL!O19/MEBL!O$16</f>
        <v>1.7686813698309174E-2</v>
      </c>
      <c r="O18" s="11">
        <f ca="1">MEBL!P19/MEBL!P$16</f>
        <v>1.8746440570518653E-2</v>
      </c>
      <c r="P18" s="11">
        <f ca="1">MEBL!Q19/MEBL!Q$16</f>
        <v>1.7455166271760678E-2</v>
      </c>
      <c r="Q18" s="11">
        <f ca="1">MEBL!R19/MEBL!R$16</f>
        <v>1.8063997494266612E-2</v>
      </c>
      <c r="R18" s="11">
        <f ca="1">MEBL!S19/MEBL!S$16</f>
        <v>1.7926639113404089E-2</v>
      </c>
    </row>
    <row r="19" spans="1:18" x14ac:dyDescent="0.2">
      <c r="B19" s="2" t="s">
        <v>15</v>
      </c>
      <c r="D19" s="11">
        <f>MEBL!E20/MEBL!E$16</f>
        <v>4.5782471782563124E-2</v>
      </c>
      <c r="E19" s="11">
        <f>MEBL!F20/MEBL!F$16</f>
        <v>6.7270010830556046E-2</v>
      </c>
      <c r="F19" s="11">
        <f>MEBL!G20/MEBL!G$16</f>
        <v>3.4499994633400623E-2</v>
      </c>
      <c r="G19" s="11">
        <f>MEBL!H20/MEBL!H$16</f>
        <v>3.5357126982710187E-2</v>
      </c>
      <c r="H19" s="11">
        <f>MEBL!I20/MEBL!I$16</f>
        <v>2.5589080922965763E-2</v>
      </c>
      <c r="I19" s="11">
        <f>MEBL!J20/MEBL!J$16</f>
        <v>4.8254275319538222E-2</v>
      </c>
      <c r="J19" s="11">
        <f>MEBL!K20/MEBL!K$16</f>
        <v>4.6838200064674693E-2</v>
      </c>
      <c r="K19" s="11">
        <f>MEBL!L20/MEBL!L$16</f>
        <v>3.8659683149270839E-2</v>
      </c>
      <c r="L19" s="11">
        <f>MEBL!M20/MEBL!M$16</f>
        <v>3.7338452450702407E-2</v>
      </c>
      <c r="M19" s="11">
        <f>MEBL!N20/MEBL!N$16</f>
        <v>4.5467421637624329E-2</v>
      </c>
      <c r="N19" s="11">
        <f ca="1">MEBL!O20/MEBL!O$16</f>
        <v>4.5791225322261826E-2</v>
      </c>
      <c r="O19" s="11">
        <f ca="1">MEBL!P20/MEBL!P$16</f>
        <v>4.2379157624837197E-2</v>
      </c>
      <c r="P19" s="11">
        <f ca="1">MEBL!Q20/MEBL!Q$16</f>
        <v>4.1545360017711967E-2</v>
      </c>
      <c r="Q19" s="11">
        <f ca="1">MEBL!R20/MEBL!R$16</f>
        <v>4.0855729355732909E-2</v>
      </c>
      <c r="R19" s="11">
        <f ca="1">MEBL!S20/MEBL!S$16</f>
        <v>4.1340637045610404E-2</v>
      </c>
    </row>
    <row r="20" spans="1:18" x14ac:dyDescent="0.2">
      <c r="B20" s="2" t="s">
        <v>16</v>
      </c>
      <c r="D20" s="11">
        <f>MEBL!E21/MEBL!E$16</f>
        <v>0.84279811386106418</v>
      </c>
      <c r="E20" s="11">
        <f>MEBL!F21/MEBL!F$16</f>
        <v>0.83963313044609111</v>
      </c>
      <c r="F20" s="11">
        <f>MEBL!G21/MEBL!G$16</f>
        <v>0.87894713270601843</v>
      </c>
      <c r="G20" s="11">
        <f>MEBL!H21/MEBL!H$16</f>
        <v>0.86972196432678672</v>
      </c>
      <c r="H20" s="11">
        <f>MEBL!I21/MEBL!I$16</f>
        <v>0.88713174306796094</v>
      </c>
      <c r="I20" s="11">
        <f>MEBL!J21/MEBL!J$16</f>
        <v>0.85033520139512286</v>
      </c>
      <c r="J20" s="11">
        <f>MEBL!K21/MEBL!K$16</f>
        <v>0.85649910010445229</v>
      </c>
      <c r="K20" s="11">
        <f>MEBL!L21/MEBL!L$16</f>
        <v>0.83402539795727637</v>
      </c>
      <c r="L20" s="11">
        <f>MEBL!M21/MEBL!M$16</f>
        <v>0.82812927244622714</v>
      </c>
      <c r="M20" s="11">
        <f>MEBL!N21/MEBL!N$16</f>
        <v>0.82278356113176088</v>
      </c>
      <c r="N20" s="11">
        <f ca="1">MEBL!O21/MEBL!O$16</f>
        <v>0.82864314892358693</v>
      </c>
      <c r="O20" s="11">
        <f ca="1">MEBL!P21/MEBL!P$16</f>
        <v>0.82466611898514974</v>
      </c>
      <c r="P20" s="11">
        <f ca="1">MEBL!Q21/MEBL!Q$16</f>
        <v>0.82463668945620094</v>
      </c>
      <c r="Q20" s="11">
        <f ca="1">MEBL!R21/MEBL!R$16</f>
        <v>0.82435784852960114</v>
      </c>
      <c r="R20" s="11">
        <f ca="1">MEBL!S21/MEBL!S$16</f>
        <v>0.82305401638110787</v>
      </c>
    </row>
    <row r="21" spans="1:18" x14ac:dyDescent="0.2">
      <c r="B21" s="2" t="s">
        <v>64</v>
      </c>
      <c r="D21" s="11">
        <f>MEBL!E22/MEBL!E$16</f>
        <v>0</v>
      </c>
      <c r="E21" s="11">
        <f>MEBL!F22/MEBL!F$16</f>
        <v>0</v>
      </c>
      <c r="F21" s="11">
        <f>MEBL!G22/MEBL!G$16</f>
        <v>0</v>
      </c>
      <c r="G21" s="11">
        <f>MEBL!H22/MEBL!H$16</f>
        <v>0</v>
      </c>
      <c r="H21" s="11">
        <f>MEBL!I22/MEBL!I$16</f>
        <v>0</v>
      </c>
      <c r="I21" s="11">
        <f>MEBL!J22/MEBL!J$16</f>
        <v>1.0553808460513322E-2</v>
      </c>
      <c r="J21" s="11">
        <f>MEBL!K22/MEBL!K$16</f>
        <v>8.9062226147570561E-3</v>
      </c>
      <c r="K21" s="11">
        <f>MEBL!L22/MEBL!L$16</f>
        <v>1.4865918857076898E-2</v>
      </c>
      <c r="L21" s="11">
        <f>MEBL!M22/MEBL!M$16</f>
        <v>1.2432123237847431E-2</v>
      </c>
      <c r="M21" s="11">
        <f>MEBL!N22/MEBL!N$16</f>
        <v>1.328670082064695E-2</v>
      </c>
      <c r="N21" s="11">
        <f ca="1">MEBL!O22/MEBL!O$16</f>
        <v>1.2037227996404765E-2</v>
      </c>
      <c r="O21" s="11">
        <f ca="1">MEBL!P22/MEBL!P$16</f>
        <v>1.0622281807463753E-2</v>
      </c>
      <c r="P21" s="11">
        <f ca="1">MEBL!Q22/MEBL!Q$16</f>
        <v>9.4394091941486583E-3</v>
      </c>
      <c r="Q21" s="11">
        <f ca="1">MEBL!R22/MEBL!R$16</f>
        <v>8.3423395157562266E-3</v>
      </c>
      <c r="R21" s="11">
        <f ca="1">MEBL!S22/MEBL!S$16</f>
        <v>7.3420354356287573E-3</v>
      </c>
    </row>
    <row r="22" spans="1:18" x14ac:dyDescent="0.2">
      <c r="B22" s="2" t="s">
        <v>17</v>
      </c>
      <c r="D22" s="11">
        <f>MEBL!E23/MEBL!E$16</f>
        <v>0</v>
      </c>
      <c r="E22" s="11">
        <f>MEBL!F23/MEBL!F$16</f>
        <v>0</v>
      </c>
      <c r="F22" s="11">
        <f>MEBL!G23/MEBL!G$16</f>
        <v>0</v>
      </c>
      <c r="G22" s="11">
        <f>MEBL!H23/MEBL!H$16</f>
        <v>0</v>
      </c>
      <c r="H22" s="11">
        <f>MEBL!I23/MEBL!I$16</f>
        <v>7.3915774896006654E-4</v>
      </c>
      <c r="I22" s="11">
        <f>MEBL!J23/MEBL!J$16</f>
        <v>2.9478339947744321E-3</v>
      </c>
      <c r="J22" s="11">
        <f>MEBL!K23/MEBL!K$16</f>
        <v>2.9363434265599096E-4</v>
      </c>
      <c r="K22" s="11">
        <f>MEBL!L23/MEBL!L$16</f>
        <v>0</v>
      </c>
      <c r="L22" s="11">
        <f>MEBL!M23/MEBL!M$16</f>
        <v>2.6715309705018101E-3</v>
      </c>
      <c r="M22" s="11">
        <f>MEBL!N23/MEBL!N$16</f>
        <v>0</v>
      </c>
      <c r="N22" s="11">
        <f ca="1">MEBL!O23/MEBL!O$16</f>
        <v>0</v>
      </c>
      <c r="O22" s="11">
        <f ca="1">MEBL!P23/MEBL!P$16</f>
        <v>0</v>
      </c>
      <c r="P22" s="11">
        <f ca="1">MEBL!Q23/MEBL!Q$16</f>
        <v>0</v>
      </c>
      <c r="Q22" s="11">
        <f ca="1">MEBL!R23/MEBL!R$16</f>
        <v>0</v>
      </c>
      <c r="R22" s="11">
        <f ca="1">MEBL!S23/MEBL!S$16</f>
        <v>0</v>
      </c>
    </row>
    <row r="23" spans="1:18" x14ac:dyDescent="0.2">
      <c r="B23" s="2" t="s">
        <v>18</v>
      </c>
      <c r="D23" s="11">
        <f>MEBL!E24/MEBL!E$16</f>
        <v>2.6566911139317209E-2</v>
      </c>
      <c r="E23" s="11">
        <f>MEBL!F24/MEBL!F$16</f>
        <v>2.1644044372958977E-2</v>
      </c>
      <c r="F23" s="11">
        <f>MEBL!G24/MEBL!G$16</f>
        <v>1.8229311476581803E-2</v>
      </c>
      <c r="G23" s="11">
        <f>MEBL!H24/MEBL!H$16</f>
        <v>2.7483343059538295E-2</v>
      </c>
      <c r="H23" s="11">
        <f>MEBL!I24/MEBL!I$16</f>
        <v>2.4666486091920809E-2</v>
      </c>
      <c r="I23" s="11">
        <f>MEBL!J24/MEBL!J$16</f>
        <v>2.1716054532583694E-2</v>
      </c>
      <c r="J23" s="11">
        <f>MEBL!K24/MEBL!K$16</f>
        <v>2.4384309999735371E-2</v>
      </c>
      <c r="K23" s="11">
        <f>MEBL!L24/MEBL!L$16</f>
        <v>4.0957222588996881E-2</v>
      </c>
      <c r="L23" s="11">
        <f>MEBL!M24/MEBL!M$16</f>
        <v>4.8416552298310947E-2</v>
      </c>
      <c r="M23" s="11">
        <f>MEBL!N24/MEBL!N$16</f>
        <v>4.1465825174152163E-2</v>
      </c>
      <c r="N23" s="11">
        <f ca="1">MEBL!O24/MEBL!O$16</f>
        <v>3.7331577942561228E-2</v>
      </c>
      <c r="O23" s="11">
        <f ca="1">MEBL!P24/MEBL!P$16</f>
        <v>4.1669497776031399E-2</v>
      </c>
      <c r="P23" s="11">
        <f ca="1">MEBL!Q24/MEBL!Q$16</f>
        <v>4.1966233265054893E-2</v>
      </c>
      <c r="Q23" s="11">
        <f ca="1">MEBL!R24/MEBL!R$16</f>
        <v>4.0521780263743944E-2</v>
      </c>
      <c r="R23" s="11">
        <f ca="1">MEBL!S24/MEBL!S$16</f>
        <v>4.0206205408409135E-2</v>
      </c>
    </row>
    <row r="24" spans="1:18" s="802" customFormat="1" x14ac:dyDescent="0.2">
      <c r="A24" s="841"/>
      <c r="B24" s="798" t="s">
        <v>19</v>
      </c>
      <c r="D24" s="803">
        <f>MEBL!E25/MEBL!E$16</f>
        <v>0.92645954889436977</v>
      </c>
      <c r="E24" s="803">
        <f>MEBL!F25/MEBL!F$16</f>
        <v>0.93969185076723205</v>
      </c>
      <c r="F24" s="803">
        <f>MEBL!G25/MEBL!G$16</f>
        <v>0.94263927768259448</v>
      </c>
      <c r="G24" s="803">
        <f>MEBL!H25/MEBL!H$16</f>
        <v>0.94541051267527543</v>
      </c>
      <c r="H24" s="803">
        <f>MEBL!I25/MEBL!I$16</f>
        <v>0.95046138334201613</v>
      </c>
      <c r="I24" s="803">
        <f>MEBL!J25/MEBL!J$16</f>
        <v>0.94757385998043686</v>
      </c>
      <c r="J24" s="803">
        <f>MEBL!K25/MEBL!K$16</f>
        <v>0.95113082747489119</v>
      </c>
      <c r="K24" s="803">
        <f>MEBL!L25/MEBL!L$16</f>
        <v>0.95372776862758646</v>
      </c>
      <c r="L24" s="803">
        <f>MEBL!M25/MEBL!M$16</f>
        <v>0.94424996730995392</v>
      </c>
      <c r="M24" s="803">
        <f>MEBL!N25/MEBL!N$16</f>
        <v>0.94147465700490818</v>
      </c>
      <c r="N24" s="803">
        <f ca="1">MEBL!O25/MEBL!O$16</f>
        <v>0.94148999388312382</v>
      </c>
      <c r="O24" s="803">
        <f ca="1">MEBL!P25/MEBL!P$16</f>
        <v>0.93808349676400071</v>
      </c>
      <c r="P24" s="803">
        <f ca="1">MEBL!Q25/MEBL!Q$16</f>
        <v>0.93504285820487709</v>
      </c>
      <c r="Q24" s="803">
        <f ca="1">MEBL!R25/MEBL!R$16</f>
        <v>0.93214169515910084</v>
      </c>
      <c r="R24" s="803">
        <f ca="1">MEBL!S25/MEBL!S$16</f>
        <v>0.92986953338416023</v>
      </c>
    </row>
    <row r="26" spans="1:18" s="798" customFormat="1" x14ac:dyDescent="0.2">
      <c r="A26" s="842"/>
      <c r="B26" s="798" t="s">
        <v>20</v>
      </c>
      <c r="D26" s="799">
        <f>MEBL!E27/MEBL!E$16</f>
        <v>7.3540451105630192E-2</v>
      </c>
      <c r="E26" s="799">
        <f>MEBL!F27/MEBL!F$16</f>
        <v>6.0308149232767901E-2</v>
      </c>
      <c r="F26" s="799">
        <f>MEBL!G27/MEBL!G$16</f>
        <v>5.736072231740557E-2</v>
      </c>
      <c r="G26" s="799">
        <f>MEBL!H27/MEBL!H$16</f>
        <v>5.4589487324724531E-2</v>
      </c>
      <c r="H26" s="799">
        <f>MEBL!I27/MEBL!I$16</f>
        <v>4.9538616657983911E-2</v>
      </c>
      <c r="I26" s="799">
        <f>MEBL!J27/MEBL!J$16</f>
        <v>5.242614001956318E-2</v>
      </c>
      <c r="J26" s="799">
        <f>MEBL!K27/MEBL!K$16</f>
        <v>4.8869172525108834E-2</v>
      </c>
      <c r="K26" s="799">
        <f>MEBL!L27/MEBL!L$16</f>
        <v>4.6272231372413562E-2</v>
      </c>
      <c r="L26" s="799">
        <f>MEBL!M27/MEBL!M$16</f>
        <v>5.5750032690046046E-2</v>
      </c>
      <c r="M26" s="799">
        <f>MEBL!N27/MEBL!N$16</f>
        <v>5.8525342995091843E-2</v>
      </c>
      <c r="N26" s="799">
        <f ca="1">MEBL!O27/MEBL!O$16</f>
        <v>5.8510006116876123E-2</v>
      </c>
      <c r="O26" s="799">
        <f ca="1">MEBL!P27/MEBL!P$16</f>
        <v>6.1916503235999253E-2</v>
      </c>
      <c r="P26" s="799">
        <f ca="1">MEBL!Q27/MEBL!Q$16</f>
        <v>6.4957141795122852E-2</v>
      </c>
      <c r="Q26" s="799">
        <f ca="1">MEBL!R27/MEBL!R$16</f>
        <v>6.7858304840899164E-2</v>
      </c>
      <c r="R26" s="799">
        <f ca="1">MEBL!S27/MEBL!S$16</f>
        <v>7.0130466615839784E-2</v>
      </c>
    </row>
    <row r="27" spans="1:18" x14ac:dyDescent="0.2">
      <c r="B27" s="3"/>
    </row>
    <row r="28" spans="1:18" x14ac:dyDescent="0.2">
      <c r="B28" s="2" t="s">
        <v>21</v>
      </c>
    </row>
    <row r="29" spans="1:18" x14ac:dyDescent="0.2">
      <c r="B29" s="2" t="s">
        <v>22</v>
      </c>
      <c r="D29" s="11">
        <f>MEBL!E30/MEBL!E$16</f>
        <v>3.9804219700861898E-2</v>
      </c>
      <c r="E29" s="11">
        <f>MEBL!F30/MEBL!F$16</f>
        <v>3.2917176362576538E-2</v>
      </c>
      <c r="F29" s="11">
        <f>MEBL!G30/MEBL!G$16</f>
        <v>3.0411373786631068E-2</v>
      </c>
      <c r="G29" s="11">
        <f>MEBL!H30/MEBL!H$16</f>
        <v>2.2924651154385967E-2</v>
      </c>
      <c r="H29" s="11">
        <f>MEBL!I30/MEBL!I$16</f>
        <v>1.8853775019928836E-2</v>
      </c>
      <c r="I29" s="11">
        <f>MEBL!J30/MEBL!J$16</f>
        <v>1.5118148189567658E-2</v>
      </c>
      <c r="J29" s="11">
        <f>MEBL!K30/MEBL!K$16</f>
        <v>1.3523490872735756E-2</v>
      </c>
      <c r="K29" s="11">
        <f>MEBL!L30/MEBL!L$16</f>
        <v>1.2415085247650712E-2</v>
      </c>
      <c r="L29" s="11">
        <f>MEBL!M30/MEBL!M$16</f>
        <v>1.1420784220589385E-2</v>
      </c>
      <c r="M29" s="11">
        <f>MEBL!N30/MEBL!N$16</f>
        <v>1.0442776993193306E-2</v>
      </c>
      <c r="N29" s="11">
        <f ca="1">MEBL!O30/MEBL!O$16</f>
        <v>9.4607449418400765E-3</v>
      </c>
      <c r="O29" s="11">
        <f ca="1">MEBL!P30/MEBL!P$16</f>
        <v>8.3486579228023231E-3</v>
      </c>
      <c r="P29" s="11">
        <f ca="1">MEBL!Q30/MEBL!Q$16</f>
        <v>7.4189707808287406E-3</v>
      </c>
      <c r="Q29" s="11">
        <f ca="1">MEBL!R30/MEBL!R$16</f>
        <v>6.5567210657118298E-3</v>
      </c>
      <c r="R29" s="11">
        <f ca="1">MEBL!S30/MEBL!S$16</f>
        <v>5.7705249606621861E-3</v>
      </c>
    </row>
    <row r="30" spans="1:18" x14ac:dyDescent="0.2">
      <c r="B30" s="2" t="s">
        <v>23</v>
      </c>
      <c r="D30" s="11">
        <f>MEBL!E31/MEBL!E$16</f>
        <v>1.0323580669565305E-2</v>
      </c>
      <c r="E30" s="11">
        <f>MEBL!F31/MEBL!F$16</f>
        <v>1.0056759576194873E-2</v>
      </c>
      <c r="F30" s="11">
        <f>MEBL!G31/MEBL!G$16</f>
        <v>1.0770493515238781E-2</v>
      </c>
      <c r="G30" s="11">
        <f>MEBL!H31/MEBL!H$16</f>
        <v>1.6634869431751086E-2</v>
      </c>
      <c r="H30" s="11">
        <f>MEBL!I31/MEBL!I$16</f>
        <v>1.6146214281564618E-2</v>
      </c>
      <c r="I30" s="11">
        <f>MEBL!J31/MEBL!J$16</f>
        <v>1.4660749146262857E-2</v>
      </c>
      <c r="J30" s="11">
        <f>MEBL!K31/MEBL!K$16</f>
        <v>1.7040307536752588E-2</v>
      </c>
      <c r="K30" s="11">
        <f>MEBL!L31/MEBL!L$16</f>
        <v>1.6124812649204782E-2</v>
      </c>
      <c r="L30" s="11">
        <f>MEBL!M31/MEBL!M$16</f>
        <v>1.6190158730712115E-2</v>
      </c>
      <c r="M30" s="11">
        <f ca="1">MEBL!N31/MEBL!N$16</f>
        <v>1.7068442963178079E-2</v>
      </c>
      <c r="N30" s="11">
        <f ca="1">MEBL!O31/MEBL!O$16</f>
        <v>1.4692838040136987E-2</v>
      </c>
      <c r="O30" s="11">
        <f ca="1">MEBL!P31/MEBL!P$16</f>
        <v>1.4087404818843881E-2</v>
      </c>
      <c r="P30" s="11">
        <f ca="1">MEBL!Q31/MEBL!Q$16</f>
        <v>1.3620886006960268E-2</v>
      </c>
      <c r="Q30" s="11">
        <f ca="1">MEBL!R31/MEBL!R$16</f>
        <v>1.3185206419302589E-2</v>
      </c>
      <c r="R30" s="11">
        <f ca="1">MEBL!S31/MEBL!S$16</f>
        <v>1.2775385542510001E-2</v>
      </c>
    </row>
    <row r="31" spans="1:18" x14ac:dyDescent="0.2">
      <c r="B31" s="2" t="s">
        <v>24</v>
      </c>
      <c r="D31" s="11">
        <f>MEBL!E32/MEBL!E$16</f>
        <v>1.9092969563417231E-2</v>
      </c>
      <c r="E31" s="11">
        <f>MEBL!F32/MEBL!F$16</f>
        <v>1.3438886101561342E-2</v>
      </c>
      <c r="F31" s="11">
        <f>MEBL!G32/MEBL!G$16</f>
        <v>1.3130575010030112E-2</v>
      </c>
      <c r="G31" s="11">
        <f>MEBL!H32/MEBL!H$16</f>
        <v>1.3622555639719933E-2</v>
      </c>
      <c r="H31" s="11">
        <f>MEBL!I32/MEBL!I$16</f>
        <v>1.3052633000796801E-2</v>
      </c>
      <c r="I31" s="11">
        <f>MEBL!J32/MEBL!J$16</f>
        <v>1.7098191917765328E-2</v>
      </c>
      <c r="J31" s="11">
        <f>MEBL!K32/MEBL!K$16</f>
        <v>1.5984323439988686E-2</v>
      </c>
      <c r="K31" s="11">
        <f>MEBL!L32/MEBL!L$16</f>
        <v>1.6712371102409192E-2</v>
      </c>
      <c r="L31" s="11">
        <f>MEBL!M32/MEBL!M$16</f>
        <v>1.8752261264465591E-2</v>
      </c>
      <c r="M31" s="11">
        <f ca="1">MEBL!N32/MEBL!N$16</f>
        <v>2.5166236256698858E-2</v>
      </c>
      <c r="N31" s="11">
        <f ca="1">MEBL!O32/MEBL!O$16</f>
        <v>2.9922638529238106E-2</v>
      </c>
      <c r="O31" s="11">
        <f ca="1">MEBL!P32/MEBL!P$16</f>
        <v>3.5567836232890782E-2</v>
      </c>
      <c r="P31" s="11">
        <f ca="1">MEBL!Q32/MEBL!Q$16</f>
        <v>4.0440379262584938E-2</v>
      </c>
      <c r="Q31" s="11">
        <f ca="1">MEBL!R32/MEBL!R$16</f>
        <v>4.5043565531500768E-2</v>
      </c>
      <c r="R31" s="11">
        <f ca="1">MEBL!S32/MEBL!S$16</f>
        <v>4.8880195632128844E-2</v>
      </c>
    </row>
    <row r="32" spans="1:18" x14ac:dyDescent="0.2">
      <c r="B32" s="2" t="s">
        <v>25</v>
      </c>
      <c r="D32" s="11">
        <f>MEBL!E33/MEBL!E$16</f>
        <v>2.2687008302872606E-3</v>
      </c>
      <c r="E32" s="11">
        <f>MEBL!F33/MEBL!F$16</f>
        <v>3.8953271924351465E-3</v>
      </c>
      <c r="F32" s="11">
        <f>MEBL!G33/MEBL!G$16</f>
        <v>3.0482800055055639E-3</v>
      </c>
      <c r="G32" s="11">
        <f>MEBL!H33/MEBL!H$16</f>
        <v>1.4074110988675649E-3</v>
      </c>
      <c r="H32" s="11">
        <f>MEBL!I33/MEBL!I$16</f>
        <v>1.4859943556935742E-3</v>
      </c>
      <c r="I32" s="11">
        <f>MEBL!J33/MEBL!J$16</f>
        <v>3.7066739307022607E-3</v>
      </c>
      <c r="J32" s="11">
        <f>MEBL!K33/MEBL!K$16</f>
        <v>1.0385864270447301E-3</v>
      </c>
      <c r="K32" s="11">
        <f>MEBL!L33/MEBL!L$16</f>
        <v>-4.8720925351375665E-5</v>
      </c>
      <c r="L32" s="11">
        <f>MEBL!M33/MEBL!M$16</f>
        <v>8.3480242327621038E-3</v>
      </c>
      <c r="M32" s="11">
        <f>MEBL!N33/MEBL!N$16</f>
        <v>4.8940146000561206E-3</v>
      </c>
      <c r="N32" s="11">
        <f ca="1">MEBL!O33/MEBL!O$16</f>
        <v>4.4337846056611034E-3</v>
      </c>
      <c r="O32" s="11">
        <f ca="1">MEBL!P33/MEBL!P$16</f>
        <v>3.9126042614623172E-3</v>
      </c>
      <c r="P32" s="11">
        <f ca="1">MEBL!Q33/MEBL!Q$16</f>
        <v>3.4769057447489159E-3</v>
      </c>
      <c r="Q32" s="11">
        <f ca="1">MEBL!R33/MEBL!R$16</f>
        <v>3.0728118243839651E-3</v>
      </c>
      <c r="R32" s="11">
        <f ca="1">MEBL!S33/MEBL!S$16</f>
        <v>2.704360480538535E-3</v>
      </c>
    </row>
    <row r="33" spans="1:19" x14ac:dyDescent="0.2">
      <c r="B33" s="798" t="s">
        <v>26</v>
      </c>
      <c r="D33" s="11">
        <f>MEBL!E34/MEBL!E$16</f>
        <v>7.1489470764131688E-2</v>
      </c>
      <c r="E33" s="11">
        <f>MEBL!F34/MEBL!F$16</f>
        <v>6.0308149232767894E-2</v>
      </c>
      <c r="F33" s="11">
        <f>MEBL!G34/MEBL!G$16</f>
        <v>5.7360722317405528E-2</v>
      </c>
      <c r="G33" s="11">
        <f>MEBL!H34/MEBL!H$16</f>
        <v>5.4589487324724545E-2</v>
      </c>
      <c r="H33" s="11">
        <f>MEBL!I34/MEBL!I$16</f>
        <v>4.9538616657983828E-2</v>
      </c>
      <c r="I33" s="11">
        <f>MEBL!J34/MEBL!J$16</f>
        <v>5.0583763184298094E-2</v>
      </c>
      <c r="J33" s="11">
        <f>MEBL!K34/MEBL!K$16</f>
        <v>4.7586708276521755E-2</v>
      </c>
      <c r="K33" s="11">
        <f>MEBL!L34/MEBL!L$16</f>
        <v>4.5203548073913309E-2</v>
      </c>
      <c r="L33" s="11">
        <f>MEBL!M34/MEBL!M$16</f>
        <v>5.4711228448529187E-2</v>
      </c>
      <c r="M33" s="11">
        <f ca="1">MEBL!N34/MEBL!N$16</f>
        <v>5.7571470813126364E-2</v>
      </c>
      <c r="N33" s="11">
        <f ca="1">MEBL!O34/MEBL!O$16</f>
        <v>5.8510006116876262E-2</v>
      </c>
      <c r="O33" s="11">
        <f ca="1">MEBL!P34/MEBL!P$16</f>
        <v>6.1916503235999301E-2</v>
      </c>
      <c r="P33" s="11">
        <f ca="1">MEBL!Q34/MEBL!Q$16</f>
        <v>6.4957141795122866E-2</v>
      </c>
      <c r="Q33" s="11">
        <f ca="1">MEBL!R34/MEBL!R$16</f>
        <v>6.785830484089915E-2</v>
      </c>
      <c r="R33" s="11">
        <f ca="1">MEBL!S34/MEBL!S$16</f>
        <v>7.0130466615839562E-2</v>
      </c>
    </row>
    <row r="35" spans="1:19" s="798" customFormat="1" x14ac:dyDescent="0.2">
      <c r="A35" s="842"/>
      <c r="B35" s="798" t="s">
        <v>28</v>
      </c>
      <c r="D35" s="799">
        <f>MEBL!E37/MEBL!E$16</f>
        <v>7.3540451105630164E-2</v>
      </c>
      <c r="E35" s="799">
        <f>MEBL!F37/MEBL!F$16</f>
        <v>6.0308149232767894E-2</v>
      </c>
      <c r="F35" s="799">
        <f>MEBL!G37/MEBL!G$16</f>
        <v>5.7360722317405528E-2</v>
      </c>
      <c r="G35" s="799">
        <f>MEBL!H37/MEBL!H$16</f>
        <v>5.4589487324724545E-2</v>
      </c>
      <c r="H35" s="799">
        <f>MEBL!I37/MEBL!I$16</f>
        <v>4.9538616657983828E-2</v>
      </c>
      <c r="I35" s="799">
        <f>MEBL!J37/MEBL!J$16</f>
        <v>5.2426140019562986E-2</v>
      </c>
      <c r="J35" s="799">
        <f>MEBL!K37/MEBL!K$16</f>
        <v>4.8869172525108862E-2</v>
      </c>
      <c r="K35" s="799">
        <f>MEBL!L37/MEBL!L$16</f>
        <v>4.6272231372413548E-2</v>
      </c>
      <c r="L35" s="799">
        <f>MEBL!M37/MEBL!M$16</f>
        <v>5.5750032690046046E-2</v>
      </c>
      <c r="M35" s="799">
        <f ca="1">MEBL!N37/MEBL!N$16</f>
        <v>5.8525342995091843E-2</v>
      </c>
      <c r="N35" s="799">
        <f ca="1">MEBL!O37/MEBL!O$16</f>
        <v>5.8510006116876262E-2</v>
      </c>
      <c r="O35" s="799">
        <f ca="1">MEBL!P37/MEBL!P$16</f>
        <v>6.1916503235999301E-2</v>
      </c>
      <c r="P35" s="799">
        <f ca="1">MEBL!Q37/MEBL!Q$16</f>
        <v>6.4957141795122866E-2</v>
      </c>
      <c r="Q35" s="799">
        <f ca="1">MEBL!R37/MEBL!R$16</f>
        <v>6.785830484089915E-2</v>
      </c>
      <c r="R35" s="799">
        <f ca="1">MEBL!S37/MEBL!S$16</f>
        <v>7.0130466615839562E-2</v>
      </c>
    </row>
    <row r="36" spans="1:19" x14ac:dyDescent="0.2">
      <c r="B36" s="796"/>
    </row>
    <row r="37" spans="1:19" s="10" customFormat="1" x14ac:dyDescent="0.2">
      <c r="A37" s="51"/>
      <c r="B37" s="800" t="s">
        <v>30</v>
      </c>
      <c r="C37" s="801"/>
      <c r="D37" s="801"/>
      <c r="E37" s="801"/>
      <c r="F37" s="801"/>
      <c r="G37" s="801"/>
      <c r="H37" s="801"/>
      <c r="I37" s="801"/>
      <c r="J37" s="801"/>
      <c r="K37" s="801"/>
      <c r="L37" s="801"/>
      <c r="M37" s="801"/>
      <c r="N37" s="801"/>
      <c r="O37" s="801"/>
      <c r="P37" s="801"/>
      <c r="Q37" s="801"/>
      <c r="R37" s="801"/>
    </row>
    <row r="38" spans="1:19" x14ac:dyDescent="0.2">
      <c r="B38" s="2" t="s">
        <v>31</v>
      </c>
      <c r="D38" s="11">
        <f>MEBL!E41/(MEBL!E$41+MEBL!E$55)</f>
        <v>0.88834084741606156</v>
      </c>
      <c r="E38" s="11">
        <f>MEBL!F41/(MEBL!F$41+MEBL!F$55)</f>
        <v>0.90103014735123532</v>
      </c>
      <c r="F38" s="11">
        <f>MEBL!G41/(MEBL!G$41+MEBL!G$55)</f>
        <v>0.86872418405375906</v>
      </c>
      <c r="G38" s="11">
        <f>MEBL!H41/(MEBL!H$41+MEBL!H$55)</f>
        <v>0.85830824016835605</v>
      </c>
      <c r="H38" s="11">
        <f>MEBL!I41/(MEBL!I$41+MEBL!I$55)</f>
        <v>0.87810491099538668</v>
      </c>
      <c r="I38" s="11">
        <f>MEBL!J41/(MEBL!J$41+MEBL!J$55)</f>
        <v>0.82074129581929256</v>
      </c>
      <c r="J38" s="11">
        <f>MEBL!K41/(MEBL!K$41+MEBL!K$55)</f>
        <v>0.80387570577832579</v>
      </c>
      <c r="K38" s="11">
        <f>MEBL!L41/(MEBL!L$41+MEBL!L$55)</f>
        <v>0.84887054316963673</v>
      </c>
      <c r="L38" s="11">
        <f>MEBL!M41/(MEBL!M$41+MEBL!M$55)</f>
        <v>0.89983297140718876</v>
      </c>
      <c r="M38" s="11">
        <f>MEBL!N41/(MEBL!N$41+MEBL!N$55)</f>
        <v>0.91546747753982094</v>
      </c>
      <c r="N38" s="11">
        <f>MEBL!O41/(MEBL!O$41+MEBL!O$55)</f>
        <v>0.89947739721022713</v>
      </c>
      <c r="O38" s="11">
        <f ca="1">MEBL!P41/(MEBL!P$41+MEBL!P$55)</f>
        <v>0.90145731441735222</v>
      </c>
      <c r="P38" s="11">
        <f ca="1">MEBL!Q41/(MEBL!Q$41+MEBL!Q$55)</f>
        <v>0.90292121819004223</v>
      </c>
      <c r="Q38" s="11">
        <f ca="1">MEBL!R41/(MEBL!R$41+MEBL!R$55)</f>
        <v>0.90431936096537779</v>
      </c>
      <c r="R38" s="11">
        <f ca="1">MEBL!S41/(MEBL!S$41+MEBL!S$55)</f>
        <v>0.90565688150175616</v>
      </c>
      <c r="S38" s="11"/>
    </row>
    <row r="39" spans="1:19" x14ac:dyDescent="0.2">
      <c r="B39" s="2" t="s">
        <v>32</v>
      </c>
      <c r="D39" s="11">
        <f>MEBL!E42/(MEBL!E$41+MEBL!E$55)</f>
        <v>0.4274912764629743</v>
      </c>
      <c r="E39" s="11">
        <f>MEBL!F42/(MEBL!F$41+MEBL!F$55)</f>
        <v>0.46974499704195011</v>
      </c>
      <c r="F39" s="11">
        <f>MEBL!G42/(MEBL!G$41+MEBL!G$55)</f>
        <v>0.46962916967413737</v>
      </c>
      <c r="G39" s="11">
        <f>MEBL!H42/(MEBL!H$41+MEBL!H$55)</f>
        <v>0.46010716449455796</v>
      </c>
      <c r="H39" s="11">
        <f>MEBL!I42/(MEBL!I$41+MEBL!I$55)</f>
        <v>0.39504022504524666</v>
      </c>
      <c r="I39" s="11">
        <f>MEBL!J42/(MEBL!J$41+MEBL!J$55)</f>
        <v>0.33612882970071745</v>
      </c>
      <c r="J39" s="11">
        <f>MEBL!K42/(MEBL!K$41+MEBL!K$55)</f>
        <v>0.34009679220156958</v>
      </c>
      <c r="K39" s="11">
        <f>MEBL!L42/(MEBL!L$41+MEBL!L$55)</f>
        <v>0.35703395784929642</v>
      </c>
      <c r="L39" s="11">
        <f>MEBL!M42/(MEBL!M$41+MEBL!M$55)</f>
        <v>0.45570662318449867</v>
      </c>
      <c r="M39" s="11">
        <f>MEBL!N42/(MEBL!N$41+MEBL!N$55)</f>
        <v>0.34944536362635703</v>
      </c>
      <c r="N39" s="11">
        <f>MEBL!O42/(MEBL!O$41+MEBL!O$55)</f>
        <v>0.35819024317749903</v>
      </c>
      <c r="O39" s="11">
        <f ca="1">MEBL!P42/(MEBL!P$41+MEBL!P$55)</f>
        <v>0.38422904115389422</v>
      </c>
      <c r="P39" s="11">
        <f ca="1">MEBL!Q42/(MEBL!Q$41+MEBL!Q$55)</f>
        <v>0.38464203068450381</v>
      </c>
      <c r="Q39" s="11">
        <f ca="1">MEBL!R42/(MEBL!R$41+MEBL!R$55)</f>
        <v>0.38187660789843658</v>
      </c>
      <c r="R39" s="11">
        <f ca="1">MEBL!S42/(MEBL!S$41+MEBL!S$55)</f>
        <v>0.37980650983587028</v>
      </c>
    </row>
    <row r="40" spans="1:19" s="804" customFormat="1" x14ac:dyDescent="0.2">
      <c r="A40" s="840"/>
      <c r="B40" s="804" t="s">
        <v>33</v>
      </c>
      <c r="D40" s="997">
        <f>D38-D39</f>
        <v>0.46084957095308726</v>
      </c>
      <c r="E40" s="997">
        <f t="shared" ref="E40:R40" si="1">E38-E39</f>
        <v>0.43128515030928521</v>
      </c>
      <c r="F40" s="997">
        <f t="shared" si="1"/>
        <v>0.39909501437962169</v>
      </c>
      <c r="G40" s="997">
        <f t="shared" si="1"/>
        <v>0.39820107567379809</v>
      </c>
      <c r="H40" s="997">
        <f t="shared" si="1"/>
        <v>0.48306468595014002</v>
      </c>
      <c r="I40" s="997">
        <f t="shared" si="1"/>
        <v>0.48461246611857511</v>
      </c>
      <c r="J40" s="997">
        <f t="shared" si="1"/>
        <v>0.46377891357675621</v>
      </c>
      <c r="K40" s="997">
        <f t="shared" si="1"/>
        <v>0.4918365853203403</v>
      </c>
      <c r="L40" s="997">
        <f t="shared" si="1"/>
        <v>0.44412634822269009</v>
      </c>
      <c r="M40" s="997">
        <f t="shared" si="1"/>
        <v>0.56602211391346391</v>
      </c>
      <c r="N40" s="997">
        <f t="shared" si="1"/>
        <v>0.54128715403272809</v>
      </c>
      <c r="O40" s="997">
        <f t="shared" ca="1" si="1"/>
        <v>0.51722827326345799</v>
      </c>
      <c r="P40" s="997">
        <f t="shared" ca="1" si="1"/>
        <v>0.51827918750553836</v>
      </c>
      <c r="Q40" s="997">
        <f t="shared" ca="1" si="1"/>
        <v>0.52244275306694121</v>
      </c>
      <c r="R40" s="997">
        <f t="shared" ca="1" si="1"/>
        <v>0.52585037166588589</v>
      </c>
    </row>
    <row r="42" spans="1:19" x14ac:dyDescent="0.2">
      <c r="B42" s="2" t="s">
        <v>34</v>
      </c>
      <c r="D42" s="11">
        <f>MEBL!E45/(MEBL!E$41+MEBL!E$45)</f>
        <v>9.2791240001114411E-2</v>
      </c>
      <c r="E42" s="11">
        <f>MEBL!F45/(MEBL!F$41+MEBL!F$45)</f>
        <v>1.9226808212222037E-2</v>
      </c>
      <c r="F42" s="11">
        <f>MEBL!G45/(MEBL!G$41+MEBL!G$45)</f>
        <v>3.9071176672761752E-3</v>
      </c>
      <c r="G42" s="11">
        <f>MEBL!H45/(MEBL!H$41+MEBL!H$45)</f>
        <v>1.9164845588843994E-2</v>
      </c>
      <c r="H42" s="11">
        <f>MEBL!I45/(MEBL!I$41+MEBL!I$45)</f>
        <v>1.8446904317566123E-2</v>
      </c>
      <c r="I42" s="11">
        <f>MEBL!J45/(MEBL!J$41+MEBL!J$45)</f>
        <v>-8.3077096316619276E-3</v>
      </c>
      <c r="J42" s="11">
        <f>MEBL!K45/(MEBL!K$41+MEBL!K$45)</f>
        <v>3.4941594943539239E-2</v>
      </c>
      <c r="K42" s="11">
        <f>MEBL!L45/(MEBL!L$41+MEBL!L$45)</f>
        <v>2.3456162887905922E-2</v>
      </c>
      <c r="L42" s="11">
        <f>MEBL!M45/(MEBL!M$41+MEBL!M$45)</f>
        <v>4.251683132037256E-2</v>
      </c>
      <c r="M42" s="11">
        <f>MEBL!N45/(MEBL!N$41+MEBL!N$45)</f>
        <v>4.6322101849801824E-2</v>
      </c>
      <c r="N42" s="11">
        <f>MEBL!O45/(MEBL!O$41+MEBL!O$45)</f>
        <v>5.0267551892028271E-2</v>
      </c>
      <c r="O42" s="11">
        <f ca="1">MEBL!P45/(MEBL!P$41+MEBL!P$45)</f>
        <v>1.3853346866688021E-2</v>
      </c>
      <c r="P42" s="11">
        <f ca="1">MEBL!Q45/(MEBL!Q$41+MEBL!Q$45)</f>
        <v>2.3359916552432563E-2</v>
      </c>
      <c r="Q42" s="11">
        <f ca="1">MEBL!R45/(MEBL!R$41+MEBL!R$45)</f>
        <v>2.5781373286867939E-2</v>
      </c>
      <c r="R42" s="11">
        <f ca="1">MEBL!S45/(MEBL!S$41+MEBL!S$45)</f>
        <v>2.8779596313878272E-2</v>
      </c>
    </row>
    <row r="43" spans="1:19" s="798" customFormat="1" x14ac:dyDescent="0.2">
      <c r="A43" s="842"/>
      <c r="B43" s="798" t="s">
        <v>35</v>
      </c>
      <c r="D43" s="998">
        <f>D40-D42</f>
        <v>0.36805833095197282</v>
      </c>
      <c r="E43" s="998">
        <f t="shared" ref="E43:R43" si="2">E40-E42</f>
        <v>0.41205834209706316</v>
      </c>
      <c r="F43" s="998">
        <f t="shared" si="2"/>
        <v>0.3951878967123455</v>
      </c>
      <c r="G43" s="998">
        <f t="shared" si="2"/>
        <v>0.37903623008495407</v>
      </c>
      <c r="H43" s="998">
        <f t="shared" si="2"/>
        <v>0.46461778163257389</v>
      </c>
      <c r="I43" s="998">
        <f t="shared" si="2"/>
        <v>0.49292017575023706</v>
      </c>
      <c r="J43" s="998">
        <f t="shared" si="2"/>
        <v>0.42883731863321695</v>
      </c>
      <c r="K43" s="998">
        <f t="shared" si="2"/>
        <v>0.46838042243243438</v>
      </c>
      <c r="L43" s="998">
        <f t="shared" si="2"/>
        <v>0.40160951690231755</v>
      </c>
      <c r="M43" s="998">
        <f t="shared" si="2"/>
        <v>0.51970001206366212</v>
      </c>
      <c r="N43" s="998">
        <f t="shared" si="2"/>
        <v>0.49101960214069984</v>
      </c>
      <c r="O43" s="998">
        <f t="shared" ca="1" si="2"/>
        <v>0.50337492639676995</v>
      </c>
      <c r="P43" s="998">
        <f t="shared" ca="1" si="2"/>
        <v>0.49491927095310578</v>
      </c>
      <c r="Q43" s="998">
        <f t="shared" ca="1" si="2"/>
        <v>0.4966613797800733</v>
      </c>
      <c r="R43" s="998">
        <f t="shared" ca="1" si="2"/>
        <v>0.49707077535200761</v>
      </c>
    </row>
    <row r="45" spans="1:19" x14ac:dyDescent="0.2">
      <c r="B45" s="3" t="s">
        <v>36</v>
      </c>
    </row>
    <row r="46" spans="1:19" x14ac:dyDescent="0.2">
      <c r="B46" s="2" t="s">
        <v>37</v>
      </c>
      <c r="D46" s="11">
        <f>MEBL!E49/(MEBL!E$41+MEBL!E$55)</f>
        <v>5.4136225163677776E-2</v>
      </c>
      <c r="E46" s="11">
        <f>MEBL!F49/(MEBL!F$41+MEBL!F$55)</f>
        <v>4.0003900053978532E-2</v>
      </c>
      <c r="F46" s="11">
        <f>MEBL!G49/(MEBL!G$41+MEBL!G$55)</f>
        <v>4.7173512402376862E-2</v>
      </c>
      <c r="G46" s="11">
        <f>MEBL!H49/(MEBL!H$41+MEBL!H$55)</f>
        <v>4.6764695917148436E-2</v>
      </c>
      <c r="H46" s="11">
        <f>MEBL!I49/(MEBL!I$41+MEBL!I$55)</f>
        <v>5.2696571383733543E-2</v>
      </c>
      <c r="I46" s="11">
        <f>MEBL!J49/(MEBL!J$41+MEBL!J$55)</f>
        <v>0.10294599865520149</v>
      </c>
      <c r="J46" s="11">
        <f>MEBL!K49/(MEBL!K$41+MEBL!K$55)</f>
        <v>0.13429521541302583</v>
      </c>
      <c r="K46" s="11">
        <f>MEBL!L49/(MEBL!L$41+MEBL!L$55)</f>
        <v>0.11909770323822699</v>
      </c>
      <c r="L46" s="11">
        <f>MEBL!M49/(MEBL!M$41+MEBL!M$55)</f>
        <v>7.0890648698998623E-2</v>
      </c>
      <c r="M46" s="11">
        <f>MEBL!N49/(MEBL!N$41+MEBL!N$55)</f>
        <v>5.6206685805526145E-2</v>
      </c>
      <c r="N46" s="11">
        <f>MEBL!O49/(MEBL!O$41+MEBL!O$55)</f>
        <v>7.2722785921198671E-2</v>
      </c>
      <c r="O46" s="11">
        <f ca="1">MEBL!P49/(MEBL!P$41+MEBL!P$55)</f>
        <v>7.3316866419703225E-2</v>
      </c>
      <c r="P46" s="11">
        <f ca="1">MEBL!Q49/(MEBL!Q$41+MEBL!Q$55)</f>
        <v>7.3623123032048945E-2</v>
      </c>
      <c r="Q46" s="11">
        <f ca="1">MEBL!R49/(MEBL!R$41+MEBL!R$55)</f>
        <v>7.2967457813055248E-2</v>
      </c>
      <c r="R46" s="11">
        <f ca="1">MEBL!S49/(MEBL!S$41+MEBL!S$55)</f>
        <v>7.2089280271144793E-2</v>
      </c>
    </row>
    <row r="47" spans="1:19" x14ac:dyDescent="0.2">
      <c r="B47" s="2" t="s">
        <v>38</v>
      </c>
      <c r="D47" s="11">
        <f>MEBL!E50/(MEBL!E$41+MEBL!E$55)</f>
        <v>8.4269187600433965E-3</v>
      </c>
      <c r="E47" s="11">
        <f>MEBL!F50/(MEBL!F$41+MEBL!F$55)</f>
        <v>1.984794080698438E-2</v>
      </c>
      <c r="F47" s="11">
        <f>MEBL!G50/(MEBL!G$41+MEBL!G$55)</f>
        <v>1.1595664863109031E-2</v>
      </c>
      <c r="G47" s="11">
        <f>MEBL!H50/(MEBL!H$41+MEBL!H$55)</f>
        <v>8.4520377187600557E-3</v>
      </c>
      <c r="H47" s="11">
        <f>MEBL!I50/(MEBL!I$41+MEBL!I$55)</f>
        <v>1.6670732293620063E-2</v>
      </c>
      <c r="I47" s="11">
        <f>MEBL!J50/(MEBL!J$41+MEBL!J$55)</f>
        <v>9.0167148754303934E-3</v>
      </c>
      <c r="J47" s="11">
        <f>MEBL!K50/(MEBL!K$41+MEBL!K$55)</f>
        <v>6.4135790945877577E-3</v>
      </c>
      <c r="K47" s="11">
        <f>MEBL!L50/(MEBL!L$41+MEBL!L$55)</f>
        <v>4.231842083613116E-3</v>
      </c>
      <c r="L47" s="11">
        <f>MEBL!M50/(MEBL!M$41+MEBL!M$55)</f>
        <v>2.6386780084211607E-3</v>
      </c>
      <c r="M47" s="11">
        <f>MEBL!N50/(MEBL!N$41+MEBL!N$55)</f>
        <v>2.198123412770809E-3</v>
      </c>
      <c r="N47" s="11">
        <f>MEBL!O50/(MEBL!O$41+MEBL!O$55)</f>
        <v>2.2934003682035971E-3</v>
      </c>
      <c r="O47" s="11">
        <f ca="1">MEBL!P50/(MEBL!P$41+MEBL!P$55)</f>
        <v>2.012392385451151E-3</v>
      </c>
      <c r="P47" s="11">
        <f ca="1">MEBL!Q50/(MEBL!Q$41+MEBL!Q$55)</f>
        <v>1.8363863148830335E-3</v>
      </c>
      <c r="Q47" s="11">
        <f ca="1">MEBL!R50/(MEBL!R$41+MEBL!R$55)</f>
        <v>1.61136094654226E-3</v>
      </c>
      <c r="R47" s="11">
        <f ca="1">MEBL!S50/(MEBL!S$41+MEBL!S$55)</f>
        <v>1.4119669001845677E-3</v>
      </c>
    </row>
    <row r="48" spans="1:19" x14ac:dyDescent="0.2">
      <c r="B48" s="2" t="s">
        <v>39</v>
      </c>
      <c r="D48" s="11">
        <f>MEBL!E51/(MEBL!E$41+MEBL!E$55)</f>
        <v>2.8212898752999545E-2</v>
      </c>
      <c r="E48" s="11">
        <f>MEBL!F51/(MEBL!F$41+MEBL!F$55)</f>
        <v>1.4310788419100821E-2</v>
      </c>
      <c r="F48" s="11">
        <f>MEBL!G51/(MEBL!G$41+MEBL!G$55)</f>
        <v>2.2620778849561277E-2</v>
      </c>
      <c r="G48" s="11">
        <f>MEBL!H51/(MEBL!H$41+MEBL!H$55)</f>
        <v>4.8464323334716911E-2</v>
      </c>
      <c r="H48" s="11">
        <f>MEBL!I51/(MEBL!I$41+MEBL!I$55)</f>
        <v>3.9016680278716291E-2</v>
      </c>
      <c r="I48" s="11">
        <f>MEBL!J51/(MEBL!J$41+MEBL!J$55)</f>
        <v>3.1533824706098543E-2</v>
      </c>
      <c r="J48" s="11">
        <f>MEBL!K51/(MEBL!K$41+MEBL!K$55)</f>
        <v>2.5381272073772384E-2</v>
      </c>
      <c r="K48" s="11">
        <f>MEBL!L51/(MEBL!L$41+MEBL!L$55)</f>
        <v>2.301504569816544E-2</v>
      </c>
      <c r="L48" s="11">
        <f>MEBL!M51/(MEBL!M$41+MEBL!M$55)</f>
        <v>2.5618046929687818E-2</v>
      </c>
      <c r="M48" s="11">
        <f>MEBL!N51/(MEBL!N$41+MEBL!N$55)</f>
        <v>1.5298396536696512E-2</v>
      </c>
      <c r="N48" s="11">
        <f>MEBL!O51/(MEBL!O$41+MEBL!O$55)</f>
        <v>1.7544254476044317E-2</v>
      </c>
      <c r="O48" s="11">
        <f ca="1">MEBL!P51/(MEBL!P$41+MEBL!P$55)</f>
        <v>1.6820889784697101E-2</v>
      </c>
      <c r="P48" s="11">
        <f ca="1">MEBL!Q51/(MEBL!Q$41+MEBL!Q$55)</f>
        <v>1.6589525669083671E-2</v>
      </c>
      <c r="Q48" s="11">
        <f ca="1">MEBL!R51/(MEBL!R$41+MEBL!R$55)</f>
        <v>1.6148181089131491E-2</v>
      </c>
      <c r="R48" s="11">
        <f ca="1">MEBL!S51/(MEBL!S$41+MEBL!S$55)</f>
        <v>1.5668944686624824E-2</v>
      </c>
    </row>
    <row r="49" spans="1:18" x14ac:dyDescent="0.2">
      <c r="B49" s="2" t="s">
        <v>40</v>
      </c>
      <c r="D49" s="11">
        <f>MEBL!E52/(MEBL!E$41+MEBL!E$55)</f>
        <v>1.9145383206379072E-2</v>
      </c>
      <c r="E49" s="11">
        <f>MEBL!F52/(MEBL!F$41+MEBL!F$55)</f>
        <v>2.0841274487465981E-2</v>
      </c>
      <c r="F49" s="11">
        <f>MEBL!G52/(MEBL!G$41+MEBL!G$55)</f>
        <v>4.6120928891919565E-2</v>
      </c>
      <c r="G49" s="11">
        <f>MEBL!H52/(MEBL!H$41+MEBL!H$55)</f>
        <v>3.4224356361771041E-2</v>
      </c>
      <c r="H49" s="11">
        <f>MEBL!I52/(MEBL!I$41+MEBL!I$55)</f>
        <v>9.0727079682213375E-3</v>
      </c>
      <c r="I49" s="11">
        <f>MEBL!J52/(MEBL!J$41+MEBL!J$55)</f>
        <v>2.6438041695751782E-2</v>
      </c>
      <c r="J49" s="11">
        <f>MEBL!K52/(MEBL!K$41+MEBL!K$55)</f>
        <v>2.0918534403292853E-2</v>
      </c>
      <c r="K49" s="11">
        <f>MEBL!L52/(MEBL!L$41+MEBL!L$55)</f>
        <v>-6.8734769307446744E-4</v>
      </c>
      <c r="L49" s="11">
        <f>MEBL!M52/(MEBL!M$41+MEBL!M$55)</f>
        <v>-4.0924591766264042E-3</v>
      </c>
      <c r="M49" s="11">
        <f>MEBL!N52/(MEBL!N$41+MEBL!N$55)</f>
        <v>-3.5785095132925496E-3</v>
      </c>
      <c r="N49" s="11">
        <f>MEBL!O52/(MEBL!O$41+MEBL!O$55)</f>
        <v>1.8409983729784189E-3</v>
      </c>
      <c r="O49" s="11">
        <f ca="1">MEBL!P52/(MEBL!P$41+MEBL!P$55)</f>
        <v>3.8617836362780483E-4</v>
      </c>
      <c r="P49" s="11">
        <f ca="1">MEBL!Q52/(MEBL!Q$41+MEBL!Q$55)</f>
        <v>-8.6369815996030974E-4</v>
      </c>
      <c r="Q49" s="11">
        <f ca="1">MEBL!R52/(MEBL!R$41+MEBL!R$55)</f>
        <v>-8.6969543193832427E-4</v>
      </c>
      <c r="R49" s="11">
        <f ca="1">MEBL!S52/(MEBL!S$41+MEBL!S$55)</f>
        <v>-4.6477175241162855E-4</v>
      </c>
    </row>
    <row r="50" spans="1:18" x14ac:dyDescent="0.2">
      <c r="B50" s="2" t="s">
        <v>390</v>
      </c>
      <c r="D50" s="11">
        <f>MEBL!E53/(MEBL!E$41+MEBL!E$55)</f>
        <v>0</v>
      </c>
      <c r="E50" s="11">
        <f>MEBL!F53/(MEBL!F$41+MEBL!F$55)</f>
        <v>0</v>
      </c>
      <c r="F50" s="11">
        <f>MEBL!G53/(MEBL!G$41+MEBL!G$55)</f>
        <v>0</v>
      </c>
      <c r="G50" s="11">
        <f>MEBL!H53/(MEBL!H$41+MEBL!H$55)</f>
        <v>0</v>
      </c>
      <c r="H50" s="11">
        <f>MEBL!I53/(MEBL!I$41+MEBL!I$55)</f>
        <v>0</v>
      </c>
      <c r="I50" s="11">
        <f>MEBL!J53/(MEBL!J$41+MEBL!J$55)</f>
        <v>0</v>
      </c>
      <c r="J50" s="11">
        <f>MEBL!K53/(MEBL!K$41+MEBL!K$55)</f>
        <v>-3.8039124977188774E-5</v>
      </c>
      <c r="K50" s="11">
        <f>MEBL!L53/(MEBL!L$41+MEBL!L$55)</f>
        <v>0</v>
      </c>
      <c r="L50" s="11">
        <f>MEBL!M53/(MEBL!M$41+MEBL!M$55)</f>
        <v>0</v>
      </c>
      <c r="M50" s="11">
        <f>MEBL!N53/(MEBL!N$41+MEBL!N$55)</f>
        <v>0</v>
      </c>
      <c r="N50" s="11">
        <f>MEBL!O53/(MEBL!O$41+MEBL!O$55)</f>
        <v>0</v>
      </c>
      <c r="O50" s="11">
        <f ca="1">MEBL!P53/(MEBL!P$41+MEBL!P$55)</f>
        <v>0</v>
      </c>
      <c r="P50" s="11">
        <f ca="1">MEBL!Q53/(MEBL!Q$41+MEBL!Q$55)</f>
        <v>0</v>
      </c>
      <c r="Q50" s="11">
        <f ca="1">MEBL!R53/(MEBL!R$41+MEBL!R$55)</f>
        <v>0</v>
      </c>
      <c r="R50" s="11">
        <f ca="1">MEBL!S53/(MEBL!S$41+MEBL!S$55)</f>
        <v>0</v>
      </c>
    </row>
    <row r="51" spans="1:18" x14ac:dyDescent="0.2">
      <c r="B51" s="2" t="s">
        <v>41</v>
      </c>
      <c r="D51" s="11">
        <f>MEBL!E54/(MEBL!E$41+MEBL!E$55)</f>
        <v>1.7377267008387351E-3</v>
      </c>
      <c r="E51" s="11">
        <f>MEBL!F54/(MEBL!F$41+MEBL!F$55)</f>
        <v>3.9659488812349387E-3</v>
      </c>
      <c r="F51" s="11">
        <f>MEBL!G54/(MEBL!G$41+MEBL!G$55)</f>
        <v>3.7649309392741607E-3</v>
      </c>
      <c r="G51" s="11">
        <f>MEBL!H54/(MEBL!H$41+MEBL!H$55)</f>
        <v>3.786346499247585E-3</v>
      </c>
      <c r="H51" s="11">
        <f>MEBL!I54/(MEBL!I$41+MEBL!I$55)</f>
        <v>4.4383970803220886E-3</v>
      </c>
      <c r="I51" s="11">
        <f>MEBL!J54/(MEBL!J$41+MEBL!J$55)</f>
        <v>9.3241242482251813E-3</v>
      </c>
      <c r="J51" s="11">
        <f>MEBL!K54/(MEBL!K$41+MEBL!K$55)</f>
        <v>9.153732361972651E-3</v>
      </c>
      <c r="K51" s="11">
        <f>MEBL!L54/(MEBL!L$41+MEBL!L$55)</f>
        <v>5.4722135034321034E-3</v>
      </c>
      <c r="L51" s="11">
        <f>MEBL!M54/(MEBL!M$41+MEBL!M$55)</f>
        <v>5.1121141323300688E-3</v>
      </c>
      <c r="M51" s="11">
        <f>MEBL!N54/(MEBL!N$41+MEBL!N$55)</f>
        <v>4.9461700500948664E-3</v>
      </c>
      <c r="N51" s="11">
        <f>MEBL!O54/(MEBL!O$41+MEBL!O$55)</f>
        <v>6.1211636513479727E-3</v>
      </c>
      <c r="O51" s="11">
        <f ca="1">MEBL!P54/(MEBL!P$41+MEBL!P$55)</f>
        <v>6.0063586291684784E-3</v>
      </c>
      <c r="P51" s="11">
        <f ca="1">MEBL!Q54/(MEBL!Q$41+MEBL!Q$55)</f>
        <v>5.8934449539024773E-3</v>
      </c>
      <c r="Q51" s="11">
        <f ca="1">MEBL!R54/(MEBL!R$41+MEBL!R$55)</f>
        <v>5.8233346178315449E-3</v>
      </c>
      <c r="R51" s="11">
        <f ca="1">MEBL!S54/(MEBL!S$41+MEBL!S$55)</f>
        <v>5.6376983927012023E-3</v>
      </c>
    </row>
    <row r="52" spans="1:18" x14ac:dyDescent="0.2">
      <c r="B52" s="2" t="s">
        <v>42</v>
      </c>
      <c r="D52" s="11">
        <f>MEBL!E55/(MEBL!E$41+MEBL!E$55)</f>
        <v>0.11165915258393853</v>
      </c>
      <c r="E52" s="11">
        <f>MEBL!F55/(MEBL!F$41+MEBL!F$55)</f>
        <v>9.896985264876465E-2</v>
      </c>
      <c r="F52" s="11">
        <f>MEBL!G55/(MEBL!G$41+MEBL!G$55)</f>
        <v>0.13127581594624091</v>
      </c>
      <c r="G52" s="11">
        <f>MEBL!H55/(MEBL!H$41+MEBL!H$55)</f>
        <v>0.14169175983164403</v>
      </c>
      <c r="H52" s="11">
        <f>MEBL!I55/(MEBL!I$41+MEBL!I$55)</f>
        <v>0.12189508900461334</v>
      </c>
      <c r="I52" s="11">
        <f>MEBL!J55/(MEBL!J$41+MEBL!J$55)</f>
        <v>0.17925870418070738</v>
      </c>
      <c r="J52" s="11">
        <f>MEBL!K55/(MEBL!K$41+MEBL!K$55)</f>
        <v>0.19612429422167429</v>
      </c>
      <c r="K52" s="11">
        <f>MEBL!L55/(MEBL!L$41+MEBL!L$55)</f>
        <v>0.15112945683036319</v>
      </c>
      <c r="L52" s="11">
        <f>MEBL!M55/(MEBL!M$41+MEBL!M$55)</f>
        <v>0.10016702859281126</v>
      </c>
      <c r="M52" s="11">
        <f>MEBL!N55/(MEBL!N$41+MEBL!N$55)</f>
        <v>8.4532522460179019E-2</v>
      </c>
      <c r="N52" s="11">
        <f>MEBL!O55/(MEBL!O$41+MEBL!O$55)</f>
        <v>0.10052260278977299</v>
      </c>
      <c r="O52" s="11">
        <f ca="1">MEBL!P55/(MEBL!P$41+MEBL!P$55)</f>
        <v>9.8542685582647754E-2</v>
      </c>
      <c r="P52" s="11">
        <f ca="1">MEBL!Q55/(MEBL!Q$41+MEBL!Q$55)</f>
        <v>9.7078781809957798E-2</v>
      </c>
      <c r="Q52" s="11">
        <f ca="1">MEBL!R55/(MEBL!R$41+MEBL!R$55)</f>
        <v>9.568063903462222E-2</v>
      </c>
      <c r="R52" s="11">
        <f ca="1">MEBL!S55/(MEBL!S$41+MEBL!S$55)</f>
        <v>9.4343118498243769E-2</v>
      </c>
    </row>
    <row r="53" spans="1:18" s="798" customFormat="1" x14ac:dyDescent="0.2">
      <c r="A53" s="842"/>
      <c r="B53" s="798" t="s">
        <v>43</v>
      </c>
      <c r="D53" s="799">
        <f>D43+D52</f>
        <v>0.47971748353591137</v>
      </c>
      <c r="E53" s="799">
        <f t="shared" ref="E53:R53" si="3">E43+E52</f>
        <v>0.51102819474582784</v>
      </c>
      <c r="F53" s="799">
        <f t="shared" si="3"/>
        <v>0.52646371265858638</v>
      </c>
      <c r="G53" s="799">
        <f t="shared" si="3"/>
        <v>0.52072798991659808</v>
      </c>
      <c r="H53" s="799">
        <f t="shared" si="3"/>
        <v>0.58651287063718727</v>
      </c>
      <c r="I53" s="799">
        <f t="shared" si="3"/>
        <v>0.6721788799309445</v>
      </c>
      <c r="J53" s="799">
        <f t="shared" si="3"/>
        <v>0.62496161285489127</v>
      </c>
      <c r="K53" s="799">
        <f t="shared" si="3"/>
        <v>0.61950987926279755</v>
      </c>
      <c r="L53" s="799">
        <f t="shared" si="3"/>
        <v>0.50177654549512885</v>
      </c>
      <c r="M53" s="799">
        <f t="shared" si="3"/>
        <v>0.60423253452384118</v>
      </c>
      <c r="N53" s="799">
        <f t="shared" si="3"/>
        <v>0.59154220493047283</v>
      </c>
      <c r="O53" s="799">
        <f t="shared" ca="1" si="3"/>
        <v>0.60191761197941773</v>
      </c>
      <c r="P53" s="799">
        <f t="shared" ca="1" si="3"/>
        <v>0.59199805276306361</v>
      </c>
      <c r="Q53" s="799">
        <f t="shared" ca="1" si="3"/>
        <v>0.5923420188146955</v>
      </c>
      <c r="R53" s="799">
        <f t="shared" ca="1" si="3"/>
        <v>0.59141389385025134</v>
      </c>
    </row>
    <row r="55" spans="1:18" x14ac:dyDescent="0.2">
      <c r="B55" s="3" t="s">
        <v>44</v>
      </c>
    </row>
    <row r="56" spans="1:18" x14ac:dyDescent="0.2">
      <c r="B56" s="2" t="s">
        <v>45</v>
      </c>
      <c r="D56" s="11">
        <f>MEBL!E59/(MEBL!E$41+MEBL!E$45)</f>
        <v>0.31055485209098255</v>
      </c>
      <c r="E56" s="11">
        <f>MEBL!F59/(MEBL!F$41+MEBL!F$45)</f>
        <v>0.32304101790347906</v>
      </c>
      <c r="F56" s="11">
        <f>MEBL!G59/(MEBL!G$41+MEBL!G$45)</f>
        <v>0.36127144358985214</v>
      </c>
      <c r="G56" s="11">
        <f>MEBL!H59/(MEBL!H$41+MEBL!H$45)</f>
        <v>0.35619379802751155</v>
      </c>
      <c r="H56" s="11">
        <f>MEBL!I59/(MEBL!I$41+MEBL!I$45)</f>
        <v>0.40196291998115841</v>
      </c>
      <c r="I56" s="11">
        <f>MEBL!J59/(MEBL!J$41+MEBL!J$45)</f>
        <v>0.51699912914971224</v>
      </c>
      <c r="J56" s="11">
        <f>MEBL!K59/(MEBL!K$41+MEBL!K$45)</f>
        <v>0.45788783019689444</v>
      </c>
      <c r="K56" s="11">
        <f>MEBL!L59/(MEBL!L$41+MEBL!L$45)</f>
        <v>0.3973561962030388</v>
      </c>
      <c r="L56" s="11">
        <f>MEBL!M59/(MEBL!M$41+MEBL!M$45)</f>
        <v>0.25850752001416949</v>
      </c>
      <c r="M56" s="11">
        <f>MEBL!N59/(MEBL!N$41+MEBL!N$45)</f>
        <v>0.26503146429433694</v>
      </c>
      <c r="N56" s="11">
        <f>MEBL!O59/(MEBL!O$41+MEBL!O$45)</f>
        <v>0.30199715424391887</v>
      </c>
      <c r="O56" s="11">
        <f ca="1">MEBL!P59/(MEBL!P$41+MEBL!P$45)</f>
        <v>0.29669418544310011</v>
      </c>
      <c r="P56" s="11">
        <f ca="1">MEBL!Q59/(MEBL!Q$41+MEBL!Q$45)</f>
        <v>0.28581078297278106</v>
      </c>
      <c r="Q56" s="11">
        <f ca="1">MEBL!R59/(MEBL!R$41+MEBL!R$45)</f>
        <v>0.27439215808979206</v>
      </c>
      <c r="R56" s="11">
        <f ca="1">MEBL!S59/(MEBL!S$41+MEBL!S$45)</f>
        <v>0.2624718346414161</v>
      </c>
    </row>
    <row r="57" spans="1:18" x14ac:dyDescent="0.2">
      <c r="B57" s="2" t="s">
        <v>46</v>
      </c>
      <c r="D57" s="11">
        <f>MEBL!E60/(MEBL!E$41+MEBL!E$45)</f>
        <v>0</v>
      </c>
      <c r="E57" s="11">
        <f>MEBL!F60/(MEBL!F$41+MEBL!F$45)</f>
        <v>0</v>
      </c>
      <c r="F57" s="11">
        <f>MEBL!G60/(MEBL!G$41+MEBL!G$45)</f>
        <v>0</v>
      </c>
      <c r="G57" s="11">
        <f>MEBL!H60/(MEBL!H$41+MEBL!H$45)</f>
        <v>5.0058144066725662E-3</v>
      </c>
      <c r="H57" s="11">
        <f>MEBL!I60/(MEBL!I$41+MEBL!I$45)</f>
        <v>5.1878602209320954E-3</v>
      </c>
      <c r="I57" s="11">
        <f>MEBL!J60/(MEBL!J$41+MEBL!J$45)</f>
        <v>6.7993372619177279E-3</v>
      </c>
      <c r="J57" s="11">
        <f>MEBL!K60/(MEBL!K$41+MEBL!K$45)</f>
        <v>7.7760134248037651E-3</v>
      </c>
      <c r="K57" s="11">
        <f>MEBL!L60/(MEBL!L$41+MEBL!L$45)</f>
        <v>7.7072822783775547E-3</v>
      </c>
      <c r="L57" s="11">
        <f>MEBL!M60/(MEBL!M$41+MEBL!M$45)</f>
        <v>6.3825366190139792E-3</v>
      </c>
      <c r="M57" s="11">
        <f>MEBL!N60/(MEBL!N$41+MEBL!N$45)</f>
        <v>8.243682353289896E-3</v>
      </c>
      <c r="N57" s="11">
        <f>MEBL!O60/(MEBL!O$41+MEBL!O$45)</f>
        <v>6.5064914725237941E-3</v>
      </c>
      <c r="O57" s="11">
        <f ca="1">MEBL!P60/(MEBL!P$41+MEBL!P$45)</f>
        <v>7.2600351259208681E-3</v>
      </c>
      <c r="P57" s="11">
        <f ca="1">MEBL!Q60/(MEBL!Q$41+MEBL!Q$45)</f>
        <v>7.1272922126864331E-3</v>
      </c>
      <c r="Q57" s="11">
        <f ca="1">MEBL!R60/(MEBL!R$41+MEBL!R$45)</f>
        <v>7.3134340844275706E-3</v>
      </c>
      <c r="R57" s="11">
        <f ca="1">MEBL!S60/(MEBL!S$41+MEBL!S$45)</f>
        <v>7.4758163382955467E-3</v>
      </c>
    </row>
    <row r="58" spans="1:18" x14ac:dyDescent="0.2">
      <c r="B58" s="2" t="s">
        <v>47</v>
      </c>
      <c r="D58" s="11">
        <f>MEBL!E61/(MEBL!E$41+MEBL!E$45)</f>
        <v>-4.3277639864238186E-5</v>
      </c>
      <c r="E58" s="11">
        <f>MEBL!F61/(MEBL!F$41+MEBL!F$45)</f>
        <v>8.4886372180121876E-6</v>
      </c>
      <c r="F58" s="11">
        <f>MEBL!G61/(MEBL!G$41+MEBL!G$45)</f>
        <v>2.1004298659116699E-4</v>
      </c>
      <c r="G58" s="11">
        <f>MEBL!H61/(MEBL!H$41+MEBL!H$45)</f>
        <v>1.6833498201703739E-3</v>
      </c>
      <c r="H58" s="11">
        <f>MEBL!I61/(MEBL!I$41+MEBL!I$45)</f>
        <v>1.2055347174879633E-4</v>
      </c>
      <c r="I58" s="11">
        <f>MEBL!J61/(MEBL!J$41+MEBL!J$45)</f>
        <v>1.1549313080543465E-4</v>
      </c>
      <c r="J58" s="11">
        <f>MEBL!K61/(MEBL!K$41+MEBL!K$45)</f>
        <v>2.893977358798088E-4</v>
      </c>
      <c r="K58" s="11">
        <f>MEBL!L61/(MEBL!L$41+MEBL!L$45)</f>
        <v>3.29717399716731E-4</v>
      </c>
      <c r="L58" s="11">
        <f>MEBL!M61/(MEBL!M$41+MEBL!M$45)</f>
        <v>8.3557405638781776E-4</v>
      </c>
      <c r="M58" s="11">
        <f>MEBL!N61/(MEBL!N$41+MEBL!N$45)</f>
        <v>7.4374575410075642E-4</v>
      </c>
      <c r="N58" s="11">
        <f>MEBL!O61/(MEBL!O$41+MEBL!O$45)</f>
        <v>7.9279177929119054E-5</v>
      </c>
      <c r="O58" s="11">
        <f ca="1">MEBL!P61/(MEBL!P$41+MEBL!P$45)</f>
        <v>7.1592217861523216E-5</v>
      </c>
      <c r="P58" s="11">
        <f ca="1">MEBL!Q61/(MEBL!Q$41+MEBL!Q$45)</f>
        <v>6.3466782618761753E-5</v>
      </c>
      <c r="Q58" s="11">
        <f ca="1">MEBL!R61/(MEBL!R$41+MEBL!R$45)</f>
        <v>5.593625081120232E-5</v>
      </c>
      <c r="R58" s="11">
        <f ca="1">MEBL!S61/(MEBL!S$41+MEBL!S$45)</f>
        <v>4.9117506521918759E-5</v>
      </c>
    </row>
    <row r="59" spans="1:18" s="798" customFormat="1" x14ac:dyDescent="0.2">
      <c r="A59" s="842"/>
      <c r="B59" s="810" t="s">
        <v>48</v>
      </c>
      <c r="D59" s="799">
        <f>SUM(D56:D58)</f>
        <v>0.31051157445111832</v>
      </c>
      <c r="E59" s="799">
        <f t="shared" ref="E59:R59" si="4">SUM(E56:E58)</f>
        <v>0.32304950654069708</v>
      </c>
      <c r="F59" s="799">
        <f t="shared" si="4"/>
        <v>0.3614814865764433</v>
      </c>
      <c r="G59" s="799">
        <f t="shared" si="4"/>
        <v>0.36288296225435451</v>
      </c>
      <c r="H59" s="799">
        <f t="shared" si="4"/>
        <v>0.40727133367383928</v>
      </c>
      <c r="I59" s="799">
        <f t="shared" si="4"/>
        <v>0.52391395954243536</v>
      </c>
      <c r="J59" s="799">
        <f t="shared" si="4"/>
        <v>0.46595324135757804</v>
      </c>
      <c r="K59" s="799">
        <f t="shared" si="4"/>
        <v>0.40539319588113309</v>
      </c>
      <c r="L59" s="799">
        <f t="shared" si="4"/>
        <v>0.26572563068957133</v>
      </c>
      <c r="M59" s="799">
        <f t="shared" si="4"/>
        <v>0.27401889240172755</v>
      </c>
      <c r="N59" s="799">
        <f t="shared" si="4"/>
        <v>0.30858292489437178</v>
      </c>
      <c r="O59" s="799">
        <f t="shared" ca="1" si="4"/>
        <v>0.30402581278688251</v>
      </c>
      <c r="P59" s="799">
        <f t="shared" ca="1" si="4"/>
        <v>0.29300154196808625</v>
      </c>
      <c r="Q59" s="799">
        <f t="shared" ca="1" si="4"/>
        <v>0.28176152842503083</v>
      </c>
      <c r="R59" s="799">
        <f t="shared" ca="1" si="4"/>
        <v>0.26999676848623355</v>
      </c>
    </row>
    <row r="61" spans="1:18" x14ac:dyDescent="0.2">
      <c r="B61" s="65" t="s">
        <v>51</v>
      </c>
      <c r="D61" s="797">
        <f>D53-D59</f>
        <v>0.16920590908479305</v>
      </c>
      <c r="E61" s="797">
        <f t="shared" ref="E61:R61" si="5">E53-E59</f>
        <v>0.18797868820513075</v>
      </c>
      <c r="F61" s="797">
        <f t="shared" si="5"/>
        <v>0.16498222608214308</v>
      </c>
      <c r="G61" s="797">
        <f t="shared" si="5"/>
        <v>0.15784502766224356</v>
      </c>
      <c r="H61" s="797">
        <f t="shared" si="5"/>
        <v>0.17924153696334799</v>
      </c>
      <c r="I61" s="797">
        <f t="shared" si="5"/>
        <v>0.14826492038850914</v>
      </c>
      <c r="J61" s="797">
        <f t="shared" si="5"/>
        <v>0.15900837149731323</v>
      </c>
      <c r="K61" s="797">
        <f t="shared" si="5"/>
        <v>0.21411668338166445</v>
      </c>
      <c r="L61" s="797">
        <f t="shared" si="5"/>
        <v>0.23605091480555751</v>
      </c>
      <c r="M61" s="797">
        <f t="shared" si="5"/>
        <v>0.33021364212211363</v>
      </c>
      <c r="N61" s="797">
        <f t="shared" si="5"/>
        <v>0.28295928003610105</v>
      </c>
      <c r="O61" s="797">
        <f t="shared" ca="1" si="5"/>
        <v>0.29789179919253522</v>
      </c>
      <c r="P61" s="797">
        <f t="shared" ca="1" si="5"/>
        <v>0.29899651079497735</v>
      </c>
      <c r="Q61" s="797">
        <f t="shared" ca="1" si="5"/>
        <v>0.31058049038966468</v>
      </c>
      <c r="R61" s="797">
        <f t="shared" ca="1" si="5"/>
        <v>0.32141712536401779</v>
      </c>
    </row>
    <row r="62" spans="1:18" x14ac:dyDescent="0.2">
      <c r="B62" s="2" t="s">
        <v>52</v>
      </c>
      <c r="D62" s="11">
        <f>MEBL!E68/(MEBL!E$41+MEBL!E$45)</f>
        <v>5.4179070782217384E-2</v>
      </c>
      <c r="E62" s="11">
        <f>MEBL!F68/(MEBL!F$41+MEBL!F$45)</f>
        <v>7.734585735190988E-2</v>
      </c>
      <c r="F62" s="11">
        <f>MEBL!G68/(MEBL!G$41+MEBL!G$45)</f>
        <v>7.2646156881820301E-2</v>
      </c>
      <c r="G62" s="11">
        <f>MEBL!H68/(MEBL!H$41+MEBL!H$45)</f>
        <v>7.9291010500598114E-2</v>
      </c>
      <c r="H62" s="11">
        <f>MEBL!I68/(MEBL!I$41+MEBL!I$45)</f>
        <v>0.10163437249516963</v>
      </c>
      <c r="I62" s="11">
        <f>MEBL!J68/(MEBL!J$41+MEBL!J$45)</f>
        <v>0.12558812871773592</v>
      </c>
      <c r="J62" s="11">
        <f>MEBL!K68/(MEBL!K$41+MEBL!K$45)</f>
        <v>0.11103341434277529</v>
      </c>
      <c r="K62" s="11">
        <f>MEBL!L68/(MEBL!L$41+MEBL!L$45)</f>
        <v>0.12141407979044599</v>
      </c>
      <c r="L62" s="11">
        <f>MEBL!M68/(MEBL!M$41+MEBL!M$45)</f>
        <v>0.11372649881318525</v>
      </c>
      <c r="M62" s="11">
        <f>MEBL!N68/(MEBL!N$41+MEBL!N$45)</f>
        <v>0.14649145247963691</v>
      </c>
      <c r="N62" s="11">
        <f>MEBL!O68/(MEBL!O$41+MEBL!O$45)</f>
        <v>0.12752723286146636</v>
      </c>
      <c r="O62" s="11">
        <f ca="1">MEBL!P68/(MEBL!P$41+MEBL!P$45)</f>
        <v>0.14229668846804899</v>
      </c>
      <c r="P62" s="11">
        <f ca="1">MEBL!Q68/(MEBL!Q$41+MEBL!Q$45)</f>
        <v>0.13969492736865408</v>
      </c>
      <c r="Q62" s="11">
        <f ca="1">MEBL!R68/(MEBL!R$41+MEBL!R$45)</f>
        <v>0.14334330805478038</v>
      </c>
      <c r="R62" s="11">
        <f ca="1">MEBL!S68/(MEBL!S$41+MEBL!S$45)</f>
        <v>0.14652600023059273</v>
      </c>
    </row>
    <row r="63" spans="1:18" s="798" customFormat="1" x14ac:dyDescent="0.2">
      <c r="A63" s="842"/>
      <c r="B63" s="798" t="s">
        <v>53</v>
      </c>
      <c r="D63" s="998">
        <f t="shared" ref="D63:R63" si="6">D61-D62</f>
        <v>0.11502683830257567</v>
      </c>
      <c r="E63" s="998">
        <f t="shared" si="6"/>
        <v>0.11063283085322087</v>
      </c>
      <c r="F63" s="998">
        <f t="shared" si="6"/>
        <v>9.2336069200322779E-2</v>
      </c>
      <c r="G63" s="998">
        <f t="shared" si="6"/>
        <v>7.8554017161645451E-2</v>
      </c>
      <c r="H63" s="998">
        <f t="shared" si="6"/>
        <v>7.7607164468178363E-2</v>
      </c>
      <c r="I63" s="998">
        <f t="shared" si="6"/>
        <v>2.2676791670773216E-2</v>
      </c>
      <c r="J63" s="998">
        <f t="shared" si="6"/>
        <v>4.7974957154537937E-2</v>
      </c>
      <c r="K63" s="998">
        <f t="shared" si="6"/>
        <v>9.2702603591218458E-2</v>
      </c>
      <c r="L63" s="998">
        <f t="shared" si="6"/>
        <v>0.12232441599237226</v>
      </c>
      <c r="M63" s="998">
        <f t="shared" si="6"/>
        <v>0.18372218964247672</v>
      </c>
      <c r="N63" s="998">
        <f t="shared" si="6"/>
        <v>0.15543204717463469</v>
      </c>
      <c r="O63" s="998">
        <f t="shared" ca="1" si="6"/>
        <v>0.15559511072448623</v>
      </c>
      <c r="P63" s="998">
        <f t="shared" ca="1" si="6"/>
        <v>0.15930158342632328</v>
      </c>
      <c r="Q63" s="998">
        <f t="shared" ca="1" si="6"/>
        <v>0.1672371823348843</v>
      </c>
      <c r="R63" s="998">
        <f t="shared" ca="1" si="6"/>
        <v>0.17489112513342506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2:N166"/>
  <sheetViews>
    <sheetView zoomScaleNormal="100" workbookViewId="0">
      <selection activeCell="G1" sqref="G1"/>
    </sheetView>
  </sheetViews>
  <sheetFormatPr defaultRowHeight="15" x14ac:dyDescent="0.25"/>
  <cols>
    <col min="2" max="2" width="16.5703125" customWidth="1"/>
    <col min="3" max="3" width="13.28515625" bestFit="1" customWidth="1"/>
    <col min="4" max="4" width="12.28515625" bestFit="1" customWidth="1"/>
    <col min="5" max="5" width="13.5703125" bestFit="1" customWidth="1"/>
    <col min="7" max="7" width="10.28515625" bestFit="1" customWidth="1"/>
    <col min="8" max="10" width="11.28515625" bestFit="1" customWidth="1"/>
  </cols>
  <sheetData>
    <row r="2" spans="1:6" x14ac:dyDescent="0.25">
      <c r="A2" t="s">
        <v>588</v>
      </c>
      <c r="B2" t="s">
        <v>4</v>
      </c>
      <c r="C2" t="s">
        <v>5</v>
      </c>
      <c r="D2" t="s">
        <v>6</v>
      </c>
      <c r="E2" t="s">
        <v>7</v>
      </c>
      <c r="F2" t="s">
        <v>658</v>
      </c>
    </row>
    <row r="3" spans="1:6" x14ac:dyDescent="0.25">
      <c r="A3" s="734">
        <v>2010</v>
      </c>
      <c r="B3" s="732">
        <v>9957.7569999999996</v>
      </c>
      <c r="C3" s="732">
        <v>10511.855</v>
      </c>
      <c r="D3" s="732">
        <v>50519.385999999999</v>
      </c>
      <c r="E3" s="732">
        <v>53995.163</v>
      </c>
      <c r="F3" s="733">
        <v>4.5431348697056104E-2</v>
      </c>
    </row>
    <row r="4" spans="1:6" x14ac:dyDescent="0.25">
      <c r="A4" s="734">
        <v>2011</v>
      </c>
      <c r="B4" s="732">
        <v>2354.9079999999999</v>
      </c>
      <c r="C4" s="732">
        <v>4065.4059999999999</v>
      </c>
      <c r="D4" s="732">
        <v>99949.542000000001</v>
      </c>
      <c r="E4" s="732">
        <v>58955.584999999999</v>
      </c>
      <c r="F4" s="733">
        <v>5.6503675075634627E-2</v>
      </c>
    </row>
    <row r="5" spans="1:6" x14ac:dyDescent="0.25">
      <c r="A5" s="734">
        <v>2012</v>
      </c>
      <c r="B5" s="732">
        <v>3851.15</v>
      </c>
      <c r="C5" s="732">
        <v>500</v>
      </c>
      <c r="D5" s="732">
        <v>152459.85500000001</v>
      </c>
      <c r="E5" s="732">
        <v>88678.076000000001</v>
      </c>
      <c r="F5" s="733">
        <v>4.2578015924056523E-2</v>
      </c>
    </row>
    <row r="6" spans="1:6" x14ac:dyDescent="0.25">
      <c r="A6" s="734">
        <v>2013</v>
      </c>
      <c r="B6" s="732">
        <v>3554.2339999999999</v>
      </c>
      <c r="C6" s="732">
        <v>7442.732</v>
      </c>
      <c r="D6" s="732">
        <v>151613.93299999999</v>
      </c>
      <c r="E6" s="732">
        <v>127622.868</v>
      </c>
      <c r="F6" s="733">
        <v>3.6676810937715597E-2</v>
      </c>
    </row>
    <row r="7" spans="1:6" x14ac:dyDescent="0.25">
      <c r="A7" s="734">
        <v>2014</v>
      </c>
      <c r="B7" s="732">
        <v>5501.0770000000002</v>
      </c>
      <c r="C7" s="732">
        <v>90766.297000000006</v>
      </c>
      <c r="D7" s="732">
        <v>114089.25199999999</v>
      </c>
      <c r="E7" s="732">
        <v>175711.94200000001</v>
      </c>
      <c r="F7" s="733">
        <v>3.4612527689640876E-2</v>
      </c>
    </row>
    <row r="8" spans="1:6" x14ac:dyDescent="0.25">
      <c r="A8" s="734">
        <v>2015</v>
      </c>
      <c r="B8" s="732">
        <v>11175.06</v>
      </c>
      <c r="C8" s="732">
        <v>170474.42199999999</v>
      </c>
      <c r="D8" s="732">
        <v>76909.951000000001</v>
      </c>
      <c r="E8" s="732">
        <v>207568.823</v>
      </c>
      <c r="F8" s="733">
        <v>3.9080643075196896E-2</v>
      </c>
    </row>
    <row r="9" spans="1:6" x14ac:dyDescent="0.25">
      <c r="A9" s="734">
        <v>2016</v>
      </c>
      <c r="B9" s="732">
        <v>12067.855</v>
      </c>
      <c r="C9" s="732">
        <v>129115.16499999999</v>
      </c>
      <c r="D9" s="732">
        <v>134796.57399999999</v>
      </c>
      <c r="E9" s="732">
        <v>311530.27</v>
      </c>
      <c r="F9" s="733">
        <v>3.1587304549494336E-2</v>
      </c>
    </row>
    <row r="10" spans="1:6" x14ac:dyDescent="0.25">
      <c r="A10" s="734">
        <v>2017</v>
      </c>
      <c r="B10" s="732">
        <v>4940.09</v>
      </c>
      <c r="C10" s="732">
        <v>147229.22099999999</v>
      </c>
      <c r="D10" s="732">
        <v>123160.901</v>
      </c>
      <c r="E10" s="732">
        <v>419929.14899999998</v>
      </c>
      <c r="F10" s="733">
        <v>2.9951701721855708E-2</v>
      </c>
    </row>
    <row r="11" spans="1:6" x14ac:dyDescent="0.25">
      <c r="A11" s="734">
        <v>2018</v>
      </c>
      <c r="B11" s="732">
        <v>8277.1460000000006</v>
      </c>
      <c r="C11" s="732">
        <v>184814.6</v>
      </c>
      <c r="D11" s="732">
        <v>127115.376</v>
      </c>
      <c r="E11" s="732">
        <v>512564.522</v>
      </c>
      <c r="F11" s="733">
        <v>3.3833740861618479E-2</v>
      </c>
    </row>
    <row r="12" spans="1:6" x14ac:dyDescent="0.25">
      <c r="A12" s="734">
        <v>2019</v>
      </c>
      <c r="B12" s="732">
        <v>15414.833000000001</v>
      </c>
      <c r="C12" s="732">
        <v>223689.32500000001</v>
      </c>
      <c r="D12" s="732">
        <v>229667.07199999999</v>
      </c>
      <c r="E12" s="732">
        <v>493775.34600000002</v>
      </c>
      <c r="F12" s="733">
        <v>4.8343375957320946E-2</v>
      </c>
    </row>
    <row r="13" spans="1:6" x14ac:dyDescent="0.25">
      <c r="A13" s="734" t="s">
        <v>477</v>
      </c>
      <c r="B13" s="732">
        <v>16093.769504580312</v>
      </c>
      <c r="C13" s="732">
        <v>267520.46852020646</v>
      </c>
      <c r="D13" s="732">
        <v>382748.72247422516</v>
      </c>
      <c r="E13" s="732">
        <v>525777.78094048181</v>
      </c>
      <c r="F13" s="733">
        <v>5.6806722590910491E-2</v>
      </c>
    </row>
    <row r="14" spans="1:6" x14ac:dyDescent="0.25">
      <c r="A14" s="734" t="s">
        <v>478</v>
      </c>
      <c r="B14" s="732">
        <v>14442.733157189343</v>
      </c>
      <c r="C14" s="732">
        <v>235436.2063769105</v>
      </c>
      <c r="D14" s="732">
        <v>470865.8123224224</v>
      </c>
      <c r="E14" s="732">
        <v>594246.96567297215</v>
      </c>
      <c r="F14" s="733">
        <v>4.7239168965521459E-2</v>
      </c>
    </row>
    <row r="15" spans="1:6" x14ac:dyDescent="0.25">
      <c r="A15" s="734" t="s">
        <v>479</v>
      </c>
      <c r="B15" s="732">
        <v>18285.285897117396</v>
      </c>
      <c r="C15" s="732">
        <v>223593.95095288794</v>
      </c>
      <c r="D15" s="732">
        <v>558975.57269861014</v>
      </c>
      <c r="E15" s="732">
        <v>686372.43312637124</v>
      </c>
      <c r="F15" s="733">
        <v>4.5791103388969918E-2</v>
      </c>
    </row>
    <row r="16" spans="1:6" x14ac:dyDescent="0.25">
      <c r="A16" s="734" t="s">
        <v>480</v>
      </c>
      <c r="B16" s="732">
        <v>21720.020262217869</v>
      </c>
      <c r="C16" s="732">
        <v>220154.03168405217</v>
      </c>
      <c r="D16" s="732">
        <v>628999.55304036802</v>
      </c>
      <c r="E16" s="732">
        <v>789143.07354830357</v>
      </c>
      <c r="F16" s="733">
        <v>4.5849561158982845E-2</v>
      </c>
    </row>
    <row r="17" spans="1:14" x14ac:dyDescent="0.25">
      <c r="A17" s="734" t="s">
        <v>481</v>
      </c>
      <c r="B17" s="732">
        <v>23489.473499574426</v>
      </c>
      <c r="C17" s="732">
        <v>231234.52143440818</v>
      </c>
      <c r="D17" s="732">
        <v>711476.25893227523</v>
      </c>
      <c r="E17" s="732">
        <v>911449.86025834479</v>
      </c>
      <c r="F17" s="733">
        <v>4.6175430142741947E-2</v>
      </c>
    </row>
    <row r="18" spans="1:14" x14ac:dyDescent="0.25">
      <c r="A18" s="734" t="s">
        <v>482</v>
      </c>
      <c r="B18" s="732">
        <v>26059.809591803274</v>
      </c>
      <c r="C18" s="732">
        <v>242144.8586668038</v>
      </c>
      <c r="D18" s="732">
        <v>807131.61491796689</v>
      </c>
      <c r="E18" s="732">
        <v>1055088.3193154507</v>
      </c>
      <c r="F18" s="733">
        <v>4.6436499446310613E-2</v>
      </c>
    </row>
    <row r="21" spans="1:14" x14ac:dyDescent="0.25">
      <c r="A21" s="734" t="s">
        <v>588</v>
      </c>
      <c r="B21" t="s">
        <v>534</v>
      </c>
      <c r="G21" t="s">
        <v>588</v>
      </c>
      <c r="H21" t="s">
        <v>116</v>
      </c>
      <c r="I21" t="s">
        <v>117</v>
      </c>
      <c r="J21" t="s">
        <v>118</v>
      </c>
      <c r="K21" t="s">
        <v>588</v>
      </c>
      <c r="L21" t="s">
        <v>116</v>
      </c>
      <c r="M21" t="s">
        <v>117</v>
      </c>
      <c r="N21" t="s">
        <v>118</v>
      </c>
    </row>
    <row r="22" spans="1:14" x14ac:dyDescent="0.25">
      <c r="A22" s="734">
        <v>2010</v>
      </c>
      <c r="B22" s="735">
        <v>131067.996</v>
      </c>
      <c r="G22" s="734">
        <v>2010</v>
      </c>
      <c r="H22" s="732">
        <v>44517.241000000002</v>
      </c>
      <c r="I22" s="732">
        <v>48406.231</v>
      </c>
      <c r="J22" s="732">
        <v>36970.326000000001</v>
      </c>
      <c r="K22" s="734">
        <v>2010</v>
      </c>
      <c r="L22" s="733">
        <f>H22/SUM(H22:J22)</f>
        <v>0.34272029677660204</v>
      </c>
      <c r="M22" s="733">
        <f>I22/SUM(H22:J22)</f>
        <v>0.37266006341580676</v>
      </c>
      <c r="N22" s="733">
        <f>J22/SUM(H22:J22)</f>
        <v>0.28461963980759108</v>
      </c>
    </row>
    <row r="23" spans="1:14" x14ac:dyDescent="0.25">
      <c r="A23" s="734">
        <v>2011</v>
      </c>
      <c r="B23" s="735">
        <v>170022.486</v>
      </c>
      <c r="G23" s="734">
        <v>2011</v>
      </c>
      <c r="H23" s="732">
        <v>58552.349000000002</v>
      </c>
      <c r="I23" s="732">
        <v>62661.326999999997</v>
      </c>
      <c r="J23" s="732">
        <v>47587.663</v>
      </c>
      <c r="K23" s="734">
        <v>2011</v>
      </c>
      <c r="L23" s="733">
        <f t="shared" ref="L23:L37" si="0">H23/SUM(H23:J23)</f>
        <v>0.34687135390555168</v>
      </c>
      <c r="M23" s="733">
        <f t="shared" ref="M23:M37" si="1">I23/SUM(H23:J23)</f>
        <v>0.37121344754261693</v>
      </c>
      <c r="N23" s="733">
        <f t="shared" ref="N23:N37" si="2">J23/SUM(H23:J23)</f>
        <v>0.28191519855183139</v>
      </c>
    </row>
    <row r="24" spans="1:14" x14ac:dyDescent="0.25">
      <c r="A24" s="734">
        <v>2012</v>
      </c>
      <c r="B24" s="735">
        <v>230425.986</v>
      </c>
      <c r="G24" s="734">
        <v>2012</v>
      </c>
      <c r="H24" s="732">
        <v>78485.381999999998</v>
      </c>
      <c r="I24" s="732">
        <v>91561.144</v>
      </c>
      <c r="J24" s="732">
        <v>59437.682999999997</v>
      </c>
      <c r="K24" s="734">
        <v>2012</v>
      </c>
      <c r="L24" s="733">
        <f t="shared" si="0"/>
        <v>0.34200776751484457</v>
      </c>
      <c r="M24" s="733">
        <f t="shared" si="1"/>
        <v>0.39898668583335944</v>
      </c>
      <c r="N24" s="733">
        <f t="shared" si="2"/>
        <v>0.25900554665179598</v>
      </c>
    </row>
    <row r="25" spans="1:14" x14ac:dyDescent="0.25">
      <c r="A25" s="734">
        <v>2013</v>
      </c>
      <c r="B25" s="735">
        <v>289810.51899999997</v>
      </c>
      <c r="G25" s="734">
        <v>2013</v>
      </c>
      <c r="H25" s="732">
        <v>89052.436000000002</v>
      </c>
      <c r="I25" s="732">
        <v>108398.04300000001</v>
      </c>
      <c r="J25" s="732">
        <v>82314.327000000005</v>
      </c>
      <c r="K25" s="734">
        <v>2013</v>
      </c>
      <c r="L25" s="733">
        <f t="shared" si="0"/>
        <v>0.31831178936781634</v>
      </c>
      <c r="M25" s="733">
        <f t="shared" si="1"/>
        <v>0.38746132706913827</v>
      </c>
      <c r="N25" s="733">
        <f t="shared" si="2"/>
        <v>0.29422688356304549</v>
      </c>
    </row>
    <row r="26" spans="1:14" x14ac:dyDescent="0.25">
      <c r="A26" s="734">
        <v>2014</v>
      </c>
      <c r="B26" s="735">
        <v>380421.56900000002</v>
      </c>
      <c r="G26" s="734">
        <v>2014</v>
      </c>
      <c r="H26" s="732">
        <v>107700.592</v>
      </c>
      <c r="I26" s="732">
        <v>149365.05799999999</v>
      </c>
      <c r="J26" s="732">
        <v>117999.20600000001</v>
      </c>
      <c r="K26" s="734">
        <v>2014</v>
      </c>
      <c r="L26" s="733">
        <f t="shared" si="0"/>
        <v>0.28715191593424044</v>
      </c>
      <c r="M26" s="733">
        <f t="shared" si="1"/>
        <v>0.39823794634600468</v>
      </c>
      <c r="N26" s="733">
        <f t="shared" si="2"/>
        <v>0.31461013771975477</v>
      </c>
    </row>
    <row r="27" spans="1:14" x14ac:dyDescent="0.25">
      <c r="A27" s="734">
        <v>2015</v>
      </c>
      <c r="B27" s="735">
        <v>471820.95899999997</v>
      </c>
      <c r="G27" s="734">
        <v>2015</v>
      </c>
      <c r="H27" s="732">
        <v>131769.647</v>
      </c>
      <c r="I27" s="732">
        <v>184622.913</v>
      </c>
      <c r="J27" s="732">
        <v>148226.20199999999</v>
      </c>
      <c r="K27" s="734">
        <v>2015</v>
      </c>
      <c r="L27" s="733">
        <f t="shared" si="0"/>
        <v>0.28360810577856088</v>
      </c>
      <c r="M27" s="733">
        <f t="shared" si="1"/>
        <v>0.39736430833156927</v>
      </c>
      <c r="N27" s="733">
        <f t="shared" si="2"/>
        <v>0.31902758588986985</v>
      </c>
    </row>
    <row r="28" spans="1:14" x14ac:dyDescent="0.25">
      <c r="A28" s="734">
        <v>2016</v>
      </c>
      <c r="B28" s="735">
        <v>563999.85199999996</v>
      </c>
      <c r="G28" s="734">
        <v>2016</v>
      </c>
      <c r="H28" s="732">
        <v>141796.08499999999</v>
      </c>
      <c r="I28" s="732">
        <v>220228.372</v>
      </c>
      <c r="J28" s="732">
        <v>195597.883</v>
      </c>
      <c r="K28" s="734">
        <v>2016</v>
      </c>
      <c r="L28" s="733">
        <f t="shared" si="0"/>
        <v>0.25428695163109855</v>
      </c>
      <c r="M28" s="733">
        <f t="shared" si="1"/>
        <v>0.39494180236753074</v>
      </c>
      <c r="N28" s="733">
        <f t="shared" si="2"/>
        <v>0.35077124600137077</v>
      </c>
    </row>
    <row r="29" spans="1:14" x14ac:dyDescent="0.25">
      <c r="A29" s="734">
        <v>2017</v>
      </c>
      <c r="B29" s="735">
        <v>673180.31</v>
      </c>
      <c r="G29" s="734">
        <v>2017</v>
      </c>
      <c r="H29" s="732">
        <v>167981.117</v>
      </c>
      <c r="I29" s="732">
        <v>258421.15299999999</v>
      </c>
      <c r="J29" s="732">
        <v>236032.29300000001</v>
      </c>
      <c r="K29" s="734">
        <v>2017</v>
      </c>
      <c r="L29" s="733">
        <f t="shared" si="0"/>
        <v>0.25358144997636539</v>
      </c>
      <c r="M29" s="733">
        <f t="shared" si="1"/>
        <v>0.39010819699635746</v>
      </c>
      <c r="N29" s="733">
        <f t="shared" si="2"/>
        <v>0.35631035302727704</v>
      </c>
    </row>
    <row r="30" spans="1:14" x14ac:dyDescent="0.25">
      <c r="A30" s="734">
        <v>2018</v>
      </c>
      <c r="B30" s="735">
        <v>785444.59199999995</v>
      </c>
      <c r="G30" s="734">
        <v>2018</v>
      </c>
      <c r="H30" s="732">
        <v>207117.755</v>
      </c>
      <c r="I30" s="732">
        <v>279200.57900000003</v>
      </c>
      <c r="J30" s="732">
        <v>283445.65700000001</v>
      </c>
      <c r="K30" s="734">
        <v>2018</v>
      </c>
      <c r="L30" s="733">
        <f t="shared" si="0"/>
        <v>0.26906656770334686</v>
      </c>
      <c r="M30" s="733">
        <f t="shared" si="1"/>
        <v>0.36270932683833479</v>
      </c>
      <c r="N30" s="733">
        <f t="shared" si="2"/>
        <v>0.3682241054583183</v>
      </c>
    </row>
    <row r="31" spans="1:14" x14ac:dyDescent="0.25">
      <c r="A31" s="734">
        <v>2019</v>
      </c>
      <c r="B31" s="735">
        <v>932568.76500000001</v>
      </c>
      <c r="G31" s="734">
        <v>2019</v>
      </c>
      <c r="H31" s="732">
        <v>241845.88699999999</v>
      </c>
      <c r="I31" s="732">
        <v>345373.92499999999</v>
      </c>
      <c r="J31" s="732">
        <v>332874.30300000001</v>
      </c>
      <c r="K31" s="734">
        <v>2019</v>
      </c>
      <c r="L31" s="733">
        <f t="shared" si="0"/>
        <v>0.26284907495577231</v>
      </c>
      <c r="M31" s="733">
        <f t="shared" si="1"/>
        <v>0.37536804047485944</v>
      </c>
      <c r="N31" s="733">
        <f t="shared" si="2"/>
        <v>0.36178288456936825</v>
      </c>
    </row>
    <row r="32" spans="1:14" x14ac:dyDescent="0.25">
      <c r="A32" s="734" t="s">
        <v>477</v>
      </c>
      <c r="B32" s="735">
        <v>1114656.249153849</v>
      </c>
      <c r="G32" s="734" t="s">
        <v>477</v>
      </c>
      <c r="H32" s="732">
        <v>289067.18667197227</v>
      </c>
      <c r="I32" s="732">
        <v>412809.4551783994</v>
      </c>
      <c r="J32" s="732">
        <v>397869.23597176437</v>
      </c>
      <c r="K32" s="734" t="s">
        <v>477</v>
      </c>
      <c r="L32" s="733">
        <f t="shared" si="0"/>
        <v>0.26284907495577231</v>
      </c>
      <c r="M32" s="733">
        <f t="shared" si="1"/>
        <v>0.37536804047485944</v>
      </c>
      <c r="N32" s="733">
        <f t="shared" si="2"/>
        <v>0.36178288456936825</v>
      </c>
    </row>
    <row r="33" spans="1:14" x14ac:dyDescent="0.25">
      <c r="A33" s="734" t="s">
        <v>478</v>
      </c>
      <c r="B33" s="735">
        <v>1239120.5587432168</v>
      </c>
      <c r="G33" s="734" t="s">
        <v>478</v>
      </c>
      <c r="H33" s="732">
        <v>321344.89367032243</v>
      </c>
      <c r="I33" s="732">
        <v>458904.42290476878</v>
      </c>
      <c r="J33" s="732">
        <v>442295.9547917294</v>
      </c>
      <c r="K33" s="734" t="s">
        <v>478</v>
      </c>
      <c r="L33" s="733">
        <f t="shared" si="0"/>
        <v>0.26284907495577231</v>
      </c>
      <c r="M33" s="733">
        <f t="shared" si="1"/>
        <v>0.37536804047485944</v>
      </c>
      <c r="N33" s="733">
        <f t="shared" si="2"/>
        <v>0.36178288456936819</v>
      </c>
    </row>
    <row r="34" spans="1:14" x14ac:dyDescent="0.25">
      <c r="A34" s="734" t="s">
        <v>479</v>
      </c>
      <c r="B34" s="735">
        <v>1397438.9317465252</v>
      </c>
      <c r="G34" s="734" t="s">
        <v>479</v>
      </c>
      <c r="H34" s="732">
        <v>362402.0776382864</v>
      </c>
      <c r="I34" s="732">
        <v>517537.13711943227</v>
      </c>
      <c r="J34" s="732">
        <v>498806.65946407639</v>
      </c>
      <c r="K34" s="734" t="s">
        <v>479</v>
      </c>
      <c r="L34" s="733">
        <f t="shared" si="0"/>
        <v>0.26284907495577231</v>
      </c>
      <c r="M34" s="733">
        <f t="shared" si="1"/>
        <v>0.3753680404748595</v>
      </c>
      <c r="N34" s="733">
        <f t="shared" si="2"/>
        <v>0.36178288456936825</v>
      </c>
    </row>
    <row r="35" spans="1:14" x14ac:dyDescent="0.25">
      <c r="A35" s="734" t="s">
        <v>480</v>
      </c>
      <c r="B35" s="735">
        <v>1572498.88260092</v>
      </c>
      <c r="C35" s="736">
        <f>(B35/B31)^(1/5)-1</f>
        <v>0.11015059502124069</v>
      </c>
      <c r="G35" s="734" t="s">
        <v>480</v>
      </c>
      <c r="H35" s="732">
        <v>407800.90577999188</v>
      </c>
      <c r="I35" s="732">
        <v>582370.04232282436</v>
      </c>
      <c r="J35" s="732">
        <v>561293.16052533686</v>
      </c>
      <c r="K35" s="734" t="s">
        <v>480</v>
      </c>
      <c r="L35" s="733">
        <f t="shared" si="0"/>
        <v>0.26284907495577231</v>
      </c>
      <c r="M35" s="733">
        <f t="shared" si="1"/>
        <v>0.3753680404748595</v>
      </c>
      <c r="N35" s="733">
        <f t="shared" si="2"/>
        <v>0.36178288456936819</v>
      </c>
    </row>
    <row r="36" spans="1:14" x14ac:dyDescent="0.25">
      <c r="A36" s="734" t="s">
        <v>481</v>
      </c>
      <c r="B36" s="735">
        <v>1778690.6473306878</v>
      </c>
      <c r="G36" s="734" t="s">
        <v>481</v>
      </c>
      <c r="H36" s="732">
        <v>461273.24165987311</v>
      </c>
      <c r="I36" s="732">
        <v>658732.51741322316</v>
      </c>
      <c r="J36" s="732">
        <v>634891.95832419023</v>
      </c>
      <c r="K36" s="734" t="s">
        <v>481</v>
      </c>
      <c r="L36" s="733">
        <f t="shared" si="0"/>
        <v>0.26284907495577231</v>
      </c>
      <c r="M36" s="733">
        <f t="shared" si="1"/>
        <v>0.3753680404748595</v>
      </c>
      <c r="N36" s="733">
        <f t="shared" si="2"/>
        <v>0.36178288456936819</v>
      </c>
    </row>
    <row r="37" spans="1:14" x14ac:dyDescent="0.25">
      <c r="A37" s="734" t="s">
        <v>482</v>
      </c>
      <c r="B37" s="735">
        <v>2017829.037294917</v>
      </c>
      <c r="G37" s="734" t="s">
        <v>482</v>
      </c>
      <c r="H37" s="732">
        <v>523289.72581335099</v>
      </c>
      <c r="I37" s="732">
        <v>747296.6721006541</v>
      </c>
      <c r="J37" s="732">
        <v>720250.83787007013</v>
      </c>
      <c r="K37" s="734" t="s">
        <v>482</v>
      </c>
      <c r="L37" s="733">
        <f t="shared" si="0"/>
        <v>0.26284907495577231</v>
      </c>
      <c r="M37" s="733">
        <f t="shared" si="1"/>
        <v>0.3753680404748595</v>
      </c>
      <c r="N37" s="733">
        <f t="shared" si="2"/>
        <v>0.36178288456936819</v>
      </c>
    </row>
    <row r="40" spans="1:14" x14ac:dyDescent="0.25">
      <c r="B40" t="s">
        <v>588</v>
      </c>
      <c r="C40" t="s">
        <v>666</v>
      </c>
      <c r="D40" s="734" t="s">
        <v>667</v>
      </c>
    </row>
    <row r="41" spans="1:14" x14ac:dyDescent="0.25">
      <c r="B41" s="734">
        <v>2013</v>
      </c>
      <c r="C41" s="734">
        <v>351</v>
      </c>
    </row>
    <row r="42" spans="1:14" x14ac:dyDescent="0.25">
      <c r="B42" s="734">
        <v>2014</v>
      </c>
      <c r="C42" s="734">
        <v>428</v>
      </c>
      <c r="D42" s="734">
        <f>C42-C41</f>
        <v>77</v>
      </c>
    </row>
    <row r="43" spans="1:14" x14ac:dyDescent="0.25">
      <c r="B43" s="734">
        <v>2015</v>
      </c>
      <c r="C43" s="734">
        <v>551</v>
      </c>
      <c r="D43" s="734">
        <f t="shared" ref="D43:D48" si="3">C43-C42</f>
        <v>123</v>
      </c>
    </row>
    <row r="44" spans="1:14" x14ac:dyDescent="0.25">
      <c r="B44" s="734">
        <v>2016</v>
      </c>
      <c r="C44" s="734">
        <v>571</v>
      </c>
      <c r="D44" s="734">
        <f t="shared" si="3"/>
        <v>20</v>
      </c>
    </row>
    <row r="45" spans="1:14" x14ac:dyDescent="0.25">
      <c r="B45" s="734">
        <v>2017</v>
      </c>
      <c r="C45" s="734">
        <v>601</v>
      </c>
      <c r="D45" s="734">
        <f t="shared" si="3"/>
        <v>30</v>
      </c>
    </row>
    <row r="46" spans="1:14" x14ac:dyDescent="0.25">
      <c r="B46" s="734">
        <v>2018</v>
      </c>
      <c r="C46" s="734">
        <v>660</v>
      </c>
      <c r="D46" s="734">
        <f t="shared" si="3"/>
        <v>59</v>
      </c>
    </row>
    <row r="47" spans="1:14" x14ac:dyDescent="0.25">
      <c r="B47" s="734">
        <v>2019</v>
      </c>
      <c r="C47" s="734">
        <v>760</v>
      </c>
      <c r="D47" s="734">
        <f t="shared" si="3"/>
        <v>100</v>
      </c>
    </row>
    <row r="48" spans="1:14" x14ac:dyDescent="0.25">
      <c r="B48" s="734" t="s">
        <v>477</v>
      </c>
      <c r="C48" s="734">
        <v>802</v>
      </c>
      <c r="D48" s="734">
        <f t="shared" si="3"/>
        <v>42</v>
      </c>
    </row>
    <row r="55" spans="2:5" x14ac:dyDescent="0.25">
      <c r="B55" s="734" t="s">
        <v>588</v>
      </c>
      <c r="C55" t="s">
        <v>668</v>
      </c>
      <c r="D55" t="s">
        <v>669</v>
      </c>
      <c r="E55" t="s">
        <v>670</v>
      </c>
    </row>
    <row r="56" spans="2:5" x14ac:dyDescent="0.25">
      <c r="B56" s="734">
        <v>2010</v>
      </c>
      <c r="C56" s="732">
        <v>390060</v>
      </c>
      <c r="D56" s="735">
        <v>131067.996</v>
      </c>
      <c r="E56" s="733">
        <f>D56/C56</f>
        <v>0.33602008921704352</v>
      </c>
    </row>
    <row r="57" spans="2:5" x14ac:dyDescent="0.25">
      <c r="B57" s="734">
        <v>2011</v>
      </c>
      <c r="C57" s="732">
        <v>521000.3</v>
      </c>
      <c r="D57" s="735">
        <v>170022.486</v>
      </c>
      <c r="E57" s="733">
        <f t="shared" ref="E57:E71" si="4">D57/C57</f>
        <v>0.32633855681081181</v>
      </c>
    </row>
    <row r="58" spans="2:5" x14ac:dyDescent="0.25">
      <c r="B58" s="734">
        <v>2012</v>
      </c>
      <c r="C58" s="732">
        <v>706469.9</v>
      </c>
      <c r="D58" s="735">
        <v>230425.986</v>
      </c>
      <c r="E58" s="733">
        <f t="shared" si="4"/>
        <v>0.32616532707196727</v>
      </c>
    </row>
    <row r="59" spans="2:5" x14ac:dyDescent="0.25">
      <c r="B59" s="734">
        <v>2013</v>
      </c>
      <c r="C59" s="732">
        <v>867698.8</v>
      </c>
      <c r="D59" s="735">
        <v>289810.51899999997</v>
      </c>
      <c r="E59" s="733">
        <f t="shared" si="4"/>
        <v>0.33399898559269642</v>
      </c>
    </row>
    <row r="60" spans="2:5" x14ac:dyDescent="0.25">
      <c r="B60" s="734">
        <v>2014</v>
      </c>
      <c r="C60" s="732">
        <v>1069713.5</v>
      </c>
      <c r="D60" s="735">
        <v>380421.56900000002</v>
      </c>
      <c r="E60" s="733">
        <f t="shared" si="4"/>
        <v>0.35562939889979889</v>
      </c>
    </row>
    <row r="61" spans="2:5" x14ac:dyDescent="0.25">
      <c r="B61" s="734">
        <v>2015</v>
      </c>
      <c r="C61" s="732">
        <v>1375000</v>
      </c>
      <c r="D61" s="735">
        <v>471820.95899999997</v>
      </c>
      <c r="E61" s="733">
        <f t="shared" si="4"/>
        <v>0.34314251563636361</v>
      </c>
    </row>
    <row r="62" spans="2:5" x14ac:dyDescent="0.25">
      <c r="B62" s="734">
        <v>2016</v>
      </c>
      <c r="C62" s="732">
        <v>1573000</v>
      </c>
      <c r="D62" s="735">
        <v>563999.85199999996</v>
      </c>
      <c r="E62" s="733">
        <f t="shared" si="4"/>
        <v>0.3585504462809917</v>
      </c>
    </row>
    <row r="63" spans="2:5" x14ac:dyDescent="0.25">
      <c r="B63" s="734">
        <v>2017</v>
      </c>
      <c r="C63" s="732">
        <v>1885000</v>
      </c>
      <c r="D63" s="735">
        <v>673180.31</v>
      </c>
      <c r="E63" s="733">
        <f t="shared" si="4"/>
        <v>0.35712483289124669</v>
      </c>
    </row>
    <row r="64" spans="2:5" x14ac:dyDescent="0.25">
      <c r="B64" s="734">
        <v>2018</v>
      </c>
      <c r="C64" s="732">
        <v>2203000</v>
      </c>
      <c r="D64" s="735">
        <v>785444.59199999995</v>
      </c>
      <c r="E64" s="733">
        <f t="shared" si="4"/>
        <v>0.35653408624602811</v>
      </c>
    </row>
    <row r="65" spans="2:5" x14ac:dyDescent="0.25">
      <c r="B65" s="734">
        <v>2019</v>
      </c>
      <c r="C65" s="732">
        <v>2652000</v>
      </c>
      <c r="D65" s="735">
        <v>932568.76500000001</v>
      </c>
      <c r="E65" s="733">
        <f t="shared" si="4"/>
        <v>0.35164734728506786</v>
      </c>
    </row>
    <row r="66" spans="2:5" x14ac:dyDescent="0.25">
      <c r="B66" s="734" t="s">
        <v>477</v>
      </c>
      <c r="C66" s="732">
        <v>3100603.9453702858</v>
      </c>
      <c r="D66" s="735">
        <v>1114656.249153849</v>
      </c>
      <c r="E66" s="733">
        <f t="shared" si="4"/>
        <v>0.35949649448721593</v>
      </c>
    </row>
    <row r="67" spans="2:5" x14ac:dyDescent="0.25">
      <c r="B67" s="734" t="s">
        <v>478</v>
      </c>
      <c r="C67" s="732">
        <v>3445245.6920849476</v>
      </c>
      <c r="D67" s="735">
        <v>1239120.5587432168</v>
      </c>
      <c r="E67" s="733">
        <f t="shared" si="4"/>
        <v>0.35966101389806615</v>
      </c>
    </row>
    <row r="68" spans="2:5" x14ac:dyDescent="0.25">
      <c r="B68" s="734" t="s">
        <v>479</v>
      </c>
      <c r="C68" s="732">
        <v>3883050.9995768275</v>
      </c>
      <c r="D68" s="735">
        <v>1397438.9317465252</v>
      </c>
      <c r="E68" s="733">
        <f t="shared" si="4"/>
        <v>0.3598816837324097</v>
      </c>
    </row>
    <row r="69" spans="2:5" x14ac:dyDescent="0.25">
      <c r="B69" s="734" t="s">
        <v>480</v>
      </c>
      <c r="C69" s="732">
        <v>4362829.3576837713</v>
      </c>
      <c r="D69" s="735">
        <v>1572498.88260092</v>
      </c>
      <c r="E69" s="733">
        <f t="shared" si="4"/>
        <v>0.36043098495966863</v>
      </c>
    </row>
    <row r="70" spans="2:5" x14ac:dyDescent="0.25">
      <c r="B70" s="734" t="s">
        <v>481</v>
      </c>
      <c r="C70" s="732">
        <v>4924270.9468373181</v>
      </c>
      <c r="D70" s="735">
        <v>1778690.6473306878</v>
      </c>
      <c r="E70" s="733">
        <f t="shared" si="4"/>
        <v>0.3612089315420543</v>
      </c>
    </row>
    <row r="71" spans="2:5" x14ac:dyDescent="0.25">
      <c r="B71" s="734" t="s">
        <v>482</v>
      </c>
      <c r="C71" s="732">
        <v>5556674.560847369</v>
      </c>
      <c r="D71" s="735">
        <v>2017829.037294917</v>
      </c>
      <c r="E71" s="733">
        <f t="shared" si="4"/>
        <v>0.36313608349725035</v>
      </c>
    </row>
    <row r="73" spans="2:5" x14ac:dyDescent="0.25">
      <c r="B73" s="1044" t="s">
        <v>676</v>
      </c>
      <c r="C73" s="1044"/>
    </row>
    <row r="74" spans="2:5" x14ac:dyDescent="0.25">
      <c r="B74" s="734" t="s">
        <v>672</v>
      </c>
      <c r="C74" s="736">
        <v>0.73</v>
      </c>
    </row>
    <row r="75" spans="2:5" x14ac:dyDescent="0.25">
      <c r="B75" s="734" t="s">
        <v>673</v>
      </c>
      <c r="C75" s="736">
        <v>0.16</v>
      </c>
    </row>
    <row r="76" spans="2:5" x14ac:dyDescent="0.25">
      <c r="B76" s="734" t="s">
        <v>674</v>
      </c>
      <c r="C76" s="736">
        <v>0.1</v>
      </c>
    </row>
    <row r="77" spans="2:5" x14ac:dyDescent="0.25">
      <c r="B77" s="734" t="s">
        <v>675</v>
      </c>
      <c r="C77" s="736">
        <v>0.01</v>
      </c>
    </row>
    <row r="88" spans="2:4" x14ac:dyDescent="0.25">
      <c r="D88">
        <v>1000</v>
      </c>
    </row>
    <row r="89" spans="2:4" x14ac:dyDescent="0.25">
      <c r="B89" s="738" t="s">
        <v>588</v>
      </c>
      <c r="C89" s="738" t="s">
        <v>677</v>
      </c>
    </row>
    <row r="90" spans="2:4" x14ac:dyDescent="0.25">
      <c r="B90" s="734">
        <v>2010</v>
      </c>
      <c r="C90" s="739">
        <v>1.8997820000000001</v>
      </c>
    </row>
    <row r="91" spans="2:4" x14ac:dyDescent="0.25">
      <c r="B91" s="734">
        <v>2011</v>
      </c>
      <c r="C91" s="739">
        <v>3.0460570000000042</v>
      </c>
    </row>
    <row r="92" spans="2:4" x14ac:dyDescent="0.25">
      <c r="B92" s="734">
        <v>2012</v>
      </c>
      <c r="C92" s="739">
        <v>3.5081160000000029</v>
      </c>
    </row>
    <row r="93" spans="2:4" x14ac:dyDescent="0.25">
      <c r="B93" s="734">
        <v>2013</v>
      </c>
      <c r="C93" s="739">
        <v>3.956776000000001</v>
      </c>
    </row>
    <row r="94" spans="2:4" x14ac:dyDescent="0.25">
      <c r="B94" s="734">
        <v>2014</v>
      </c>
      <c r="C94" s="739">
        <v>4.5700860000000008</v>
      </c>
    </row>
    <row r="95" spans="2:4" x14ac:dyDescent="0.25">
      <c r="B95" s="734">
        <v>2015</v>
      </c>
      <c r="C95" s="739">
        <v>5.0225090000000057</v>
      </c>
    </row>
    <row r="96" spans="2:4" x14ac:dyDescent="0.25">
      <c r="B96" s="734">
        <v>2016</v>
      </c>
      <c r="C96" s="739">
        <v>6.6024229999999973</v>
      </c>
    </row>
    <row r="97" spans="2:5" x14ac:dyDescent="0.25">
      <c r="B97" s="734">
        <v>2017</v>
      </c>
      <c r="C97" s="739">
        <v>5.7799929999999993</v>
      </c>
    </row>
    <row r="98" spans="2:5" x14ac:dyDescent="0.25">
      <c r="B98" s="734">
        <v>2018</v>
      </c>
      <c r="C98" s="739">
        <v>9.1339100000000002</v>
      </c>
    </row>
    <row r="99" spans="2:5" x14ac:dyDescent="0.25">
      <c r="B99" s="734">
        <v>2019</v>
      </c>
      <c r="C99" s="739">
        <v>15.779638999999996</v>
      </c>
    </row>
    <row r="100" spans="2:5" x14ac:dyDescent="0.25">
      <c r="B100" s="734" t="s">
        <v>477</v>
      </c>
      <c r="C100" s="739">
        <v>24.219277255887995</v>
      </c>
    </row>
    <row r="101" spans="2:5" x14ac:dyDescent="0.25">
      <c r="B101" s="734" t="s">
        <v>478</v>
      </c>
      <c r="C101" s="739">
        <v>20.791255699743942</v>
      </c>
    </row>
    <row r="102" spans="2:5" x14ac:dyDescent="0.25">
      <c r="B102" s="734" t="s">
        <v>479</v>
      </c>
      <c r="C102" s="739">
        <v>25.690106110395366</v>
      </c>
    </row>
    <row r="103" spans="2:5" x14ac:dyDescent="0.25">
      <c r="B103" s="734" t="s">
        <v>480</v>
      </c>
      <c r="C103" s="739">
        <v>28.44926658663584</v>
      </c>
    </row>
    <row r="104" spans="2:5" x14ac:dyDescent="0.25">
      <c r="B104" s="734" t="s">
        <v>481</v>
      </c>
      <c r="C104" s="739">
        <v>33.122338434157797</v>
      </c>
    </row>
    <row r="105" spans="2:5" x14ac:dyDescent="0.25">
      <c r="B105" s="734" t="s">
        <v>482</v>
      </c>
      <c r="C105" s="739">
        <v>38.558071529439545</v>
      </c>
    </row>
    <row r="109" spans="2:5" x14ac:dyDescent="0.25">
      <c r="B109" s="738" t="s">
        <v>588</v>
      </c>
      <c r="C109" s="738" t="s">
        <v>0</v>
      </c>
      <c r="D109" s="738" t="s">
        <v>679</v>
      </c>
      <c r="E109" s="738" t="s">
        <v>678</v>
      </c>
    </row>
    <row r="110" spans="2:5" x14ac:dyDescent="0.25">
      <c r="B110" s="734">
        <v>2010</v>
      </c>
      <c r="C110" s="737">
        <v>2.6147394023942714</v>
      </c>
      <c r="D110" s="737">
        <v>0</v>
      </c>
      <c r="E110" s="733">
        <v>0</v>
      </c>
    </row>
    <row r="111" spans="2:5" x14ac:dyDescent="0.25">
      <c r="B111" s="734">
        <v>2011</v>
      </c>
      <c r="C111" s="737">
        <v>3.6686208506519242</v>
      </c>
      <c r="D111" s="737">
        <v>1</v>
      </c>
      <c r="E111" s="733">
        <v>0.27258199762515584</v>
      </c>
    </row>
    <row r="112" spans="2:5" x14ac:dyDescent="0.25">
      <c r="B112" s="734">
        <v>2012</v>
      </c>
      <c r="C112" s="737">
        <v>3.8833764828280493</v>
      </c>
      <c r="D112" s="737">
        <v>1.5</v>
      </c>
      <c r="E112" s="733">
        <v>0.38626180248885694</v>
      </c>
    </row>
    <row r="113" spans="2:7" x14ac:dyDescent="0.25">
      <c r="B113" s="734">
        <v>2013</v>
      </c>
      <c r="C113" s="737">
        <v>3.9459723420545512</v>
      </c>
      <c r="D113" s="737">
        <v>1.5</v>
      </c>
      <c r="E113" s="733">
        <v>0.38013444342060299</v>
      </c>
    </row>
    <row r="114" spans="2:7" x14ac:dyDescent="0.25">
      <c r="B114" s="734">
        <v>2014</v>
      </c>
      <c r="C114" s="737">
        <v>4.5576077485333304</v>
      </c>
      <c r="D114" s="737">
        <v>2.75</v>
      </c>
      <c r="E114" s="733">
        <v>0.60338672209888378</v>
      </c>
    </row>
    <row r="115" spans="2:7" x14ac:dyDescent="0.25">
      <c r="B115" s="734">
        <v>2015</v>
      </c>
      <c r="C115" s="737">
        <v>5.0087954439978608</v>
      </c>
      <c r="D115" s="737">
        <v>3</v>
      </c>
      <c r="E115" s="733">
        <v>0.59894640009604694</v>
      </c>
    </row>
    <row r="116" spans="2:7" x14ac:dyDescent="0.25">
      <c r="B116" s="734">
        <v>2016</v>
      </c>
      <c r="C116" s="737">
        <v>6.1650218175907243</v>
      </c>
      <c r="D116" s="737">
        <v>3</v>
      </c>
      <c r="E116" s="733">
        <v>0.48661628275832974</v>
      </c>
    </row>
    <row r="117" spans="2:7" x14ac:dyDescent="0.25">
      <c r="B117" s="734">
        <v>2017</v>
      </c>
      <c r="C117" s="737">
        <v>5.2860104806936468</v>
      </c>
      <c r="D117" s="737">
        <v>3</v>
      </c>
      <c r="E117" s="733">
        <v>0.56753576462949629</v>
      </c>
    </row>
    <row r="118" spans="2:7" x14ac:dyDescent="0.25">
      <c r="B118" s="734">
        <v>2018</v>
      </c>
      <c r="C118" s="737">
        <v>7.661263449882159</v>
      </c>
      <c r="D118" s="737">
        <v>3.5</v>
      </c>
      <c r="E118" s="733">
        <v>0.4568437076855561</v>
      </c>
    </row>
    <row r="119" spans="2:7" x14ac:dyDescent="0.25">
      <c r="B119" s="734">
        <v>2019</v>
      </c>
      <c r="C119" s="737">
        <v>12.117487108751122</v>
      </c>
      <c r="D119" s="737">
        <v>5</v>
      </c>
      <c r="E119" s="733">
        <v>0.41262680579945099</v>
      </c>
    </row>
    <row r="120" spans="2:7" x14ac:dyDescent="0.25">
      <c r="B120" s="734" t="s">
        <v>477</v>
      </c>
      <c r="C120" s="737">
        <v>16.967749914813961</v>
      </c>
      <c r="D120" s="737">
        <v>8</v>
      </c>
      <c r="E120" s="733">
        <v>0.47148266801218436</v>
      </c>
    </row>
    <row r="121" spans="2:7" x14ac:dyDescent="0.25">
      <c r="B121" s="734" t="s">
        <v>478</v>
      </c>
      <c r="C121" s="737">
        <v>14.529025781087135</v>
      </c>
      <c r="D121" s="737">
        <v>7</v>
      </c>
      <c r="E121" s="733">
        <v>0.45</v>
      </c>
    </row>
    <row r="122" spans="2:7" x14ac:dyDescent="0.25">
      <c r="B122" s="734" t="s">
        <v>479</v>
      </c>
      <c r="C122" s="737">
        <v>17.97485345534313</v>
      </c>
      <c r="D122" s="737">
        <v>7</v>
      </c>
      <c r="E122" s="733">
        <v>0.4</v>
      </c>
    </row>
    <row r="123" spans="2:7" x14ac:dyDescent="0.25">
      <c r="B123" s="734" t="s">
        <v>480</v>
      </c>
      <c r="C123" s="737">
        <v>19.906361672219983</v>
      </c>
      <c r="D123" s="737">
        <v>8</v>
      </c>
      <c r="E123" s="733">
        <v>0.4</v>
      </c>
    </row>
    <row r="124" spans="2:7" x14ac:dyDescent="0.25">
      <c r="B124" s="734" t="s">
        <v>481</v>
      </c>
      <c r="C124" s="737">
        <v>23.188890593079797</v>
      </c>
      <c r="D124" s="737">
        <v>9</v>
      </c>
      <c r="E124" s="733">
        <v>0.4</v>
      </c>
    </row>
    <row r="125" spans="2:7" x14ac:dyDescent="0.25">
      <c r="B125" s="734" t="s">
        <v>482</v>
      </c>
      <c r="C125" s="737">
        <v>27.008361235317654</v>
      </c>
      <c r="D125" s="737">
        <v>11</v>
      </c>
      <c r="E125" s="733">
        <v>0.4</v>
      </c>
    </row>
    <row r="128" spans="2:7" x14ac:dyDescent="0.25">
      <c r="B128" s="738" t="s">
        <v>696</v>
      </c>
      <c r="C128" s="793" t="s">
        <v>697</v>
      </c>
      <c r="D128" s="793" t="s">
        <v>699</v>
      </c>
      <c r="G128" s="793" t="s">
        <v>698</v>
      </c>
    </row>
    <row r="129" spans="2:7" x14ac:dyDescent="0.25">
      <c r="B129" s="792">
        <v>2010</v>
      </c>
      <c r="C129" s="735">
        <v>12284.569</v>
      </c>
      <c r="D129" s="733">
        <f>G129/C129</f>
        <v>0.23529071308891669</v>
      </c>
      <c r="G129" s="732">
        <v>2890.4450000000002</v>
      </c>
    </row>
    <row r="130" spans="2:7" x14ac:dyDescent="0.25">
      <c r="B130" s="792">
        <v>2011</v>
      </c>
      <c r="C130" s="735">
        <v>18006.851999999999</v>
      </c>
      <c r="D130" s="733">
        <f t="shared" ref="D130:D144" si="5">G130/C130</f>
        <v>0.50583766668377128</v>
      </c>
      <c r="G130" s="732">
        <v>9108.5439999999999</v>
      </c>
    </row>
    <row r="131" spans="2:7" x14ac:dyDescent="0.25">
      <c r="B131" s="792">
        <v>2012</v>
      </c>
      <c r="C131" s="735">
        <v>21836.971999999998</v>
      </c>
      <c r="D131" s="733">
        <f t="shared" si="5"/>
        <v>0.60023752377390049</v>
      </c>
      <c r="G131" s="732">
        <v>13107.369999999999</v>
      </c>
    </row>
    <row r="132" spans="2:7" x14ac:dyDescent="0.25">
      <c r="B132" s="792">
        <v>2013</v>
      </c>
      <c r="C132" s="735">
        <v>23171.018</v>
      </c>
      <c r="D132" s="733">
        <f t="shared" si="5"/>
        <v>0.61130965415503113</v>
      </c>
      <c r="G132" s="732">
        <v>14164.667000000001</v>
      </c>
    </row>
    <row r="133" spans="2:7" x14ac:dyDescent="0.25">
      <c r="B133" s="792">
        <v>2014</v>
      </c>
      <c r="C133" s="735">
        <v>28803.059000000001</v>
      </c>
      <c r="D133" s="733">
        <f t="shared" si="5"/>
        <v>0.35723695181126419</v>
      </c>
      <c r="G133" s="732">
        <v>10289.517</v>
      </c>
    </row>
    <row r="134" spans="2:7" x14ac:dyDescent="0.25">
      <c r="B134" s="792">
        <v>2015</v>
      </c>
      <c r="C134" s="735">
        <v>33113.740999999995</v>
      </c>
      <c r="D134" s="733">
        <f t="shared" si="5"/>
        <v>0.19931236401226915</v>
      </c>
      <c r="G134" s="732">
        <v>6599.9780000000001</v>
      </c>
    </row>
    <row r="135" spans="2:7" x14ac:dyDescent="0.25">
      <c r="B135" s="792">
        <v>2016</v>
      </c>
      <c r="C135" s="735">
        <v>31429.642</v>
      </c>
      <c r="D135" s="733">
        <f t="shared" si="5"/>
        <v>0.30094268970674248</v>
      </c>
      <c r="G135" s="732">
        <v>9458.5210000000006</v>
      </c>
    </row>
    <row r="136" spans="2:7" x14ac:dyDescent="0.25">
      <c r="B136" s="792">
        <v>2017</v>
      </c>
      <c r="C136" s="735">
        <v>36094.934000000001</v>
      </c>
      <c r="D136" s="733">
        <f t="shared" si="5"/>
        <v>0.16586635121704335</v>
      </c>
      <c r="G136" s="732">
        <v>5986.9349999999995</v>
      </c>
    </row>
    <row r="137" spans="2:7" x14ac:dyDescent="0.25">
      <c r="B137" s="792">
        <v>2018</v>
      </c>
      <c r="C137" s="735">
        <v>48629.139000000003</v>
      </c>
      <c r="D137" s="733">
        <f t="shared" si="5"/>
        <v>0.14197522600595497</v>
      </c>
      <c r="G137" s="732">
        <v>6904.1329999999998</v>
      </c>
    </row>
    <row r="138" spans="2:7" x14ac:dyDescent="0.25">
      <c r="B138" s="792">
        <v>2019</v>
      </c>
      <c r="C138" s="735">
        <v>94278.81</v>
      </c>
      <c r="D138" s="733">
        <f t="shared" si="5"/>
        <v>0.23554104045225008</v>
      </c>
      <c r="G138" s="732">
        <v>22206.528999999999</v>
      </c>
    </row>
    <row r="139" spans="2:7" x14ac:dyDescent="0.25">
      <c r="B139" s="792" t="s">
        <v>477</v>
      </c>
      <c r="C139" s="735">
        <v>109530.93259468074</v>
      </c>
      <c r="D139" s="733">
        <f t="shared" si="5"/>
        <v>0.26668597126672389</v>
      </c>
      <c r="G139" s="732">
        <v>29210.363142762501</v>
      </c>
    </row>
    <row r="140" spans="2:7" x14ac:dyDescent="0.25">
      <c r="B140" s="792" t="s">
        <v>478</v>
      </c>
      <c r="C140" s="735">
        <v>103225.69139098827</v>
      </c>
      <c r="D140" s="733">
        <f t="shared" si="5"/>
        <v>0.31930623489577392</v>
      </c>
      <c r="G140" s="732">
        <v>32960.60686256957</v>
      </c>
    </row>
    <row r="141" spans="2:7" x14ac:dyDescent="0.25">
      <c r="B141" s="792" t="s">
        <v>479</v>
      </c>
      <c r="C141" s="735">
        <v>118691.97347294335</v>
      </c>
      <c r="D141" s="733">
        <f t="shared" si="5"/>
        <v>0.36498345774002589</v>
      </c>
      <c r="G141" s="732">
        <v>43320.606884142297</v>
      </c>
    </row>
    <row r="142" spans="2:7" x14ac:dyDescent="0.25">
      <c r="B142" s="792" t="s">
        <v>480</v>
      </c>
      <c r="C142" s="735">
        <v>132597.00795419951</v>
      </c>
      <c r="D142" s="733">
        <f t="shared" si="5"/>
        <v>0.36763623940493778</v>
      </c>
      <c r="G142" s="732">
        <v>48747.465360628528</v>
      </c>
    </row>
    <row r="143" spans="2:7" x14ac:dyDescent="0.25">
      <c r="B143" s="792" t="s">
        <v>481</v>
      </c>
      <c r="C143" s="735">
        <v>150075.13314594846</v>
      </c>
      <c r="D143" s="733">
        <f t="shared" si="5"/>
        <v>0.36741203496803243</v>
      </c>
      <c r="G143" s="732">
        <v>55139.410067251338</v>
      </c>
    </row>
    <row r="144" spans="2:7" x14ac:dyDescent="0.25">
      <c r="B144" s="792" t="s">
        <v>482</v>
      </c>
      <c r="C144" s="735">
        <v>170383.34828970919</v>
      </c>
      <c r="D144" s="733">
        <f t="shared" si="5"/>
        <v>0.36712918711857773</v>
      </c>
      <c r="G144" s="732">
        <v>62552.700156142448</v>
      </c>
    </row>
    <row r="150" spans="2:4" x14ac:dyDescent="0.25">
      <c r="B150" s="738" t="s">
        <v>696</v>
      </c>
      <c r="C150" s="738" t="s">
        <v>605</v>
      </c>
      <c r="D150" s="738" t="s">
        <v>658</v>
      </c>
    </row>
    <row r="151" spans="2:4" x14ac:dyDescent="0.25">
      <c r="B151" s="792">
        <v>2010</v>
      </c>
    </row>
    <row r="152" spans="2:4" x14ac:dyDescent="0.25">
      <c r="B152" s="792">
        <v>2011</v>
      </c>
      <c r="C152" s="733">
        <v>0.21611726395070535</v>
      </c>
      <c r="D152" s="733">
        <v>8.2490075803233295E-2</v>
      </c>
    </row>
    <row r="153" spans="2:4" x14ac:dyDescent="0.25">
      <c r="B153" s="792">
        <v>2012</v>
      </c>
      <c r="C153" s="733">
        <v>0.22354303096102437</v>
      </c>
      <c r="D153" s="733">
        <v>6.9689710745847927E-2</v>
      </c>
    </row>
    <row r="154" spans="2:4" x14ac:dyDescent="0.25">
      <c r="B154" s="792">
        <v>2013</v>
      </c>
      <c r="C154" s="733">
        <v>0.22314323756081555</v>
      </c>
      <c r="D154" s="733">
        <v>8.6686353741040362E-2</v>
      </c>
    </row>
    <row r="155" spans="2:4" x14ac:dyDescent="0.25">
      <c r="B155" s="792">
        <v>2014</v>
      </c>
      <c r="C155" s="733">
        <v>0.213600286602256</v>
      </c>
      <c r="D155" s="733">
        <v>6.7966070091802444E-2</v>
      </c>
    </row>
    <row r="156" spans="2:4" x14ac:dyDescent="0.25">
      <c r="B156" s="792">
        <v>2015</v>
      </c>
      <c r="C156" s="733">
        <v>0.20000084818525313</v>
      </c>
      <c r="D156" s="733">
        <v>8.2139026833084078E-2</v>
      </c>
    </row>
    <row r="157" spans="2:4" x14ac:dyDescent="0.25">
      <c r="B157" s="792">
        <v>2016</v>
      </c>
      <c r="C157" s="733">
        <v>0.20228841534724146</v>
      </c>
      <c r="D157" s="733">
        <v>8.4486316930792671E-2</v>
      </c>
    </row>
    <row r="158" spans="2:4" x14ac:dyDescent="0.25">
      <c r="B158" s="792">
        <v>2017</v>
      </c>
      <c r="C158" s="733">
        <v>0.15354872733492328</v>
      </c>
      <c r="D158" s="733">
        <v>8.213624996618657E-2</v>
      </c>
    </row>
    <row r="159" spans="2:4" x14ac:dyDescent="0.25">
      <c r="B159" s="792">
        <v>2018</v>
      </c>
      <c r="C159" s="733">
        <v>0.21851133269335818</v>
      </c>
      <c r="D159" s="733">
        <v>6.9044135763101644E-2</v>
      </c>
    </row>
    <row r="160" spans="2:4" x14ac:dyDescent="0.25">
      <c r="B160" s="792">
        <v>2019</v>
      </c>
      <c r="C160" s="733">
        <v>0.29305661728794241</v>
      </c>
      <c r="D160" s="733">
        <v>8.1868974331353414E-2</v>
      </c>
    </row>
    <row r="161" spans="2:4" x14ac:dyDescent="0.25">
      <c r="B161" s="792" t="s">
        <v>477</v>
      </c>
      <c r="C161" s="733">
        <v>0.33793328862924527</v>
      </c>
      <c r="D161" s="733">
        <v>7.022001101489618E-2</v>
      </c>
    </row>
    <row r="162" spans="2:4" x14ac:dyDescent="0.25">
      <c r="B162" s="792" t="s">
        <v>478</v>
      </c>
      <c r="C162" s="733">
        <v>0.24648677844678638</v>
      </c>
      <c r="D162" s="733">
        <v>7.4063510601977411E-2</v>
      </c>
    </row>
    <row r="163" spans="2:4" x14ac:dyDescent="0.25">
      <c r="B163" s="792" t="s">
        <v>479</v>
      </c>
      <c r="C163" s="733">
        <v>0.26431964424853638</v>
      </c>
      <c r="D163" s="733">
        <v>7.1518722642934213E-2</v>
      </c>
    </row>
    <row r="164" spans="2:4" x14ac:dyDescent="0.25">
      <c r="B164" s="792" t="s">
        <v>480</v>
      </c>
      <c r="C164" s="733">
        <v>0.24618474349555139</v>
      </c>
      <c r="D164" s="733">
        <v>7.7148955145249096E-2</v>
      </c>
    </row>
    <row r="165" spans="2:4" x14ac:dyDescent="0.25">
      <c r="B165" s="792" t="s">
        <v>481</v>
      </c>
      <c r="C165" s="733">
        <v>0.24275239375070873</v>
      </c>
      <c r="D165" s="733">
        <v>7.9914414194234104E-2</v>
      </c>
    </row>
    <row r="166" spans="2:4" x14ac:dyDescent="0.25">
      <c r="B166" s="792" t="s">
        <v>482</v>
      </c>
      <c r="C166" s="733">
        <v>0.24004606153500446</v>
      </c>
      <c r="D166" s="733">
        <v>8.1318381416449911E-2</v>
      </c>
    </row>
  </sheetData>
  <mergeCells count="1">
    <mergeCell ref="B73:C73"/>
  </mergeCells>
  <pageMargins left="0.7" right="0.7" top="0.75" bottom="0.75" header="0.3" footer="0.3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B4:S101"/>
  <sheetViews>
    <sheetView showGridLines="0" zoomScale="70" zoomScaleNormal="70" workbookViewId="0">
      <selection activeCell="W76" sqref="W76"/>
    </sheetView>
  </sheetViews>
  <sheetFormatPr defaultRowHeight="15" x14ac:dyDescent="0.25"/>
  <cols>
    <col min="2" max="2" width="35.42578125" customWidth="1"/>
    <col min="4" max="4" width="10.7109375" customWidth="1"/>
    <col min="5" max="5" width="13" customWidth="1"/>
    <col min="6" max="6" width="9.28515625" customWidth="1"/>
  </cols>
  <sheetData>
    <row r="4" spans="2:15" ht="15.75" thickBot="1" x14ac:dyDescent="0.3"/>
    <row r="5" spans="2:15" x14ac:dyDescent="0.25">
      <c r="B5" s="741" t="s">
        <v>680</v>
      </c>
      <c r="C5" s="742" t="s">
        <v>681</v>
      </c>
      <c r="D5" s="742" t="s">
        <v>682</v>
      </c>
      <c r="E5" s="742" t="s">
        <v>683</v>
      </c>
      <c r="F5" s="742" t="s">
        <v>596</v>
      </c>
      <c r="G5" s="742" t="s">
        <v>597</v>
      </c>
      <c r="H5" s="742" t="s">
        <v>598</v>
      </c>
      <c r="I5" s="742" t="s">
        <v>599</v>
      </c>
      <c r="J5" s="742" t="s">
        <v>600</v>
      </c>
      <c r="K5" s="742" t="s">
        <v>684</v>
      </c>
      <c r="L5" s="743" t="s">
        <v>685</v>
      </c>
      <c r="N5" s="744"/>
      <c r="O5" s="743" t="s">
        <v>605</v>
      </c>
    </row>
    <row r="6" spans="2:15" x14ac:dyDescent="0.25">
      <c r="B6" s="745" t="s">
        <v>0</v>
      </c>
      <c r="C6" s="746">
        <v>6.1650218175907243</v>
      </c>
      <c r="D6" s="746">
        <v>5.2860104806936468</v>
      </c>
      <c r="E6" s="746">
        <v>7.661263449882159</v>
      </c>
      <c r="F6" s="746">
        <v>12.117487108751122</v>
      </c>
      <c r="G6" s="746">
        <v>16.967749914813961</v>
      </c>
      <c r="H6" s="746">
        <v>14.529025781087135</v>
      </c>
      <c r="I6" s="746">
        <v>17.97485345534313</v>
      </c>
      <c r="J6" s="746">
        <v>19.906361672219983</v>
      </c>
      <c r="K6" s="746">
        <v>23.188890593079797</v>
      </c>
      <c r="L6" s="747">
        <v>27.008361235317654</v>
      </c>
      <c r="N6" s="748" t="s">
        <v>681</v>
      </c>
      <c r="O6" s="749">
        <v>0.20228841534724146</v>
      </c>
    </row>
    <row r="7" spans="2:15" x14ac:dyDescent="0.25">
      <c r="B7" s="750" t="s">
        <v>286</v>
      </c>
      <c r="C7" s="751"/>
      <c r="D7" s="751"/>
      <c r="E7" s="751"/>
      <c r="F7" s="751"/>
      <c r="G7" s="751"/>
      <c r="H7" s="751"/>
      <c r="I7" s="751"/>
      <c r="J7" s="751"/>
      <c r="K7" s="751"/>
      <c r="L7" s="751"/>
      <c r="N7" s="748" t="s">
        <v>682</v>
      </c>
      <c r="O7" s="749">
        <v>0.15354872733492328</v>
      </c>
    </row>
    <row r="8" spans="2:15" x14ac:dyDescent="0.25">
      <c r="B8" s="752" t="s">
        <v>607</v>
      </c>
      <c r="C8" s="753">
        <v>3.1587304549494336E-2</v>
      </c>
      <c r="D8" s="753">
        <v>2.9951701721855708E-2</v>
      </c>
      <c r="E8" s="753">
        <v>3.3833740861618479E-2</v>
      </c>
      <c r="F8" s="753">
        <v>4.8343375957320946E-2</v>
      </c>
      <c r="G8" s="753">
        <v>5.6806722590910491E-2</v>
      </c>
      <c r="H8" s="753">
        <v>4.7239168965521459E-2</v>
      </c>
      <c r="I8" s="753">
        <v>4.5791103388969918E-2</v>
      </c>
      <c r="J8" s="753">
        <v>4.5849561158982845E-2</v>
      </c>
      <c r="K8" s="753">
        <v>4.6175430142741947E-2</v>
      </c>
      <c r="L8" s="753">
        <v>4.6436499446310613E-2</v>
      </c>
      <c r="N8" s="748" t="s">
        <v>683</v>
      </c>
      <c r="O8" s="749">
        <v>0.21851133269335818</v>
      </c>
    </row>
    <row r="9" spans="2:15" x14ac:dyDescent="0.25">
      <c r="B9" s="752" t="s">
        <v>605</v>
      </c>
      <c r="C9" s="753">
        <v>0.20228841534724146</v>
      </c>
      <c r="D9" s="753">
        <v>0.15354872733492328</v>
      </c>
      <c r="E9" s="753">
        <v>0.21851133269335818</v>
      </c>
      <c r="F9" s="753">
        <v>0.29305661728794241</v>
      </c>
      <c r="G9" s="753">
        <v>0.33793328862924527</v>
      </c>
      <c r="H9" s="753">
        <v>0.24648677844678638</v>
      </c>
      <c r="I9" s="753">
        <v>0.26431964424853638</v>
      </c>
      <c r="J9" s="753">
        <v>0.24618474349555139</v>
      </c>
      <c r="K9" s="753">
        <v>0.24275239375070873</v>
      </c>
      <c r="L9" s="753">
        <v>0.24004606153500446</v>
      </c>
      <c r="N9" s="748" t="s">
        <v>596</v>
      </c>
      <c r="O9" s="749">
        <v>0.29305661728794241</v>
      </c>
    </row>
    <row r="10" spans="2:15" x14ac:dyDescent="0.25">
      <c r="B10" s="752" t="s">
        <v>606</v>
      </c>
      <c r="C10" s="754">
        <v>1.0345259668916812E-2</v>
      </c>
      <c r="D10" s="754">
        <v>7.753762480884707E-3</v>
      </c>
      <c r="E10" s="754">
        <v>1.0369154207053758E-2</v>
      </c>
      <c r="F10" s="754">
        <v>1.5072967214994647E-2</v>
      </c>
      <c r="G10" s="754">
        <v>1.935194147568494E-2</v>
      </c>
      <c r="H10" s="754">
        <v>1.4423739823304091E-2</v>
      </c>
      <c r="I10" s="754">
        <v>1.5943658387874964E-2</v>
      </c>
      <c r="J10" s="754">
        <v>1.5639246052083125E-2</v>
      </c>
      <c r="K10" s="754">
        <v>1.6142359080145521E-2</v>
      </c>
      <c r="L10" s="754">
        <v>1.6579223328469984E-2</v>
      </c>
      <c r="N10" s="748" t="s">
        <v>597</v>
      </c>
      <c r="O10" s="749">
        <v>0.33793328862924527</v>
      </c>
    </row>
    <row r="11" spans="2:15" x14ac:dyDescent="0.25">
      <c r="B11" s="750" t="s">
        <v>608</v>
      </c>
      <c r="C11" s="755"/>
      <c r="D11" s="755"/>
      <c r="E11" s="755"/>
      <c r="F11" s="755"/>
      <c r="G11" s="755"/>
      <c r="H11" s="755"/>
      <c r="I11" s="755"/>
      <c r="J11" s="755"/>
      <c r="K11" s="755"/>
      <c r="L11" s="755"/>
      <c r="N11" s="748" t="s">
        <v>598</v>
      </c>
      <c r="O11" s="749">
        <v>0.24648677844678638</v>
      </c>
    </row>
    <row r="12" spans="2:15" x14ac:dyDescent="0.25">
      <c r="B12" s="752" t="s">
        <v>398</v>
      </c>
      <c r="C12" s="753">
        <v>2.1423437782056458E-2</v>
      </c>
      <c r="D12" s="753">
        <v>1.5408470758242969E-2</v>
      </c>
      <c r="E12" s="753">
        <v>1.3374931394579639E-2</v>
      </c>
      <c r="F12" s="753">
        <v>1.7760109869414179E-2</v>
      </c>
      <c r="G12" s="753">
        <v>1.9633336052449116E-2</v>
      </c>
      <c r="H12" s="753">
        <v>2.1000000000000001E-2</v>
      </c>
      <c r="I12" s="753">
        <v>1.7520057171348472E-2</v>
      </c>
      <c r="J12" s="753">
        <v>1.7435369614937184E-2</v>
      </c>
      <c r="K12" s="753">
        <v>1.7857686897558282E-2</v>
      </c>
      <c r="L12" s="753">
        <v>1.866977454162979E-2</v>
      </c>
      <c r="N12" s="748" t="s">
        <v>599</v>
      </c>
      <c r="O12" s="749">
        <v>0.26431964424853638</v>
      </c>
    </row>
    <row r="13" spans="2:15" x14ac:dyDescent="0.25">
      <c r="B13" s="752" t="s">
        <v>603</v>
      </c>
      <c r="C13" s="753">
        <v>1.1810073237712075</v>
      </c>
      <c r="D13" s="753">
        <v>1.3327687061515145</v>
      </c>
      <c r="E13" s="753">
        <v>1.388533282025161</v>
      </c>
      <c r="F13" s="753">
        <v>1.4159212843353597</v>
      </c>
      <c r="G13" s="753">
        <v>1.4616776046699071</v>
      </c>
      <c r="H13" s="753">
        <v>1.5162661264861608</v>
      </c>
      <c r="I13" s="753">
        <v>1.5913244958095345</v>
      </c>
      <c r="J13" s="753">
        <v>1.5041968778487733</v>
      </c>
      <c r="K13" s="753">
        <v>1.4099832702798736</v>
      </c>
      <c r="L13" s="753">
        <v>1.3279797349536873</v>
      </c>
      <c r="N13" s="748" t="s">
        <v>600</v>
      </c>
      <c r="O13" s="749">
        <v>0.24618474349555139</v>
      </c>
    </row>
    <row r="14" spans="2:15" x14ac:dyDescent="0.25">
      <c r="B14" s="750" t="s">
        <v>611</v>
      </c>
      <c r="C14" s="755"/>
      <c r="D14" s="755"/>
      <c r="E14" s="755"/>
      <c r="F14" s="755"/>
      <c r="G14" s="755"/>
      <c r="H14" s="755"/>
      <c r="I14" s="755"/>
      <c r="J14" s="755"/>
      <c r="K14" s="755"/>
      <c r="L14" s="755"/>
      <c r="N14" s="748" t="s">
        <v>684</v>
      </c>
      <c r="O14" s="749">
        <v>0.24275239375070873</v>
      </c>
    </row>
    <row r="15" spans="2:15" ht="15.75" thickBot="1" x14ac:dyDescent="0.3">
      <c r="B15" s="752" t="s">
        <v>612</v>
      </c>
      <c r="C15" s="753">
        <v>0.62750585725900032</v>
      </c>
      <c r="D15" s="753">
        <v>0.60465052973983535</v>
      </c>
      <c r="E15" s="753">
        <v>0.55480064845926713</v>
      </c>
      <c r="F15" s="753">
        <v>0.48170765044669989</v>
      </c>
      <c r="G15" s="753">
        <v>0.41976149657223344</v>
      </c>
      <c r="H15" s="753">
        <v>0.48134630141069584</v>
      </c>
      <c r="I15" s="753">
        <v>0.44969503677098899</v>
      </c>
      <c r="J15" s="753">
        <v>0.44502256185392802</v>
      </c>
      <c r="K15" s="753">
        <v>0.42865750865105151</v>
      </c>
      <c r="L15" s="753">
        <v>0.41248936040902723</v>
      </c>
      <c r="N15" s="756" t="s">
        <v>685</v>
      </c>
      <c r="O15" s="757">
        <v>0.24004606153500446</v>
      </c>
    </row>
    <row r="16" spans="2:15" x14ac:dyDescent="0.25">
      <c r="B16" s="750" t="s">
        <v>609</v>
      </c>
      <c r="C16" s="755"/>
      <c r="D16" s="755"/>
      <c r="E16" s="755"/>
      <c r="F16" s="755"/>
      <c r="G16" s="755"/>
      <c r="H16" s="755"/>
      <c r="I16" s="755"/>
      <c r="J16" s="755"/>
      <c r="K16" s="755"/>
      <c r="L16" s="755"/>
    </row>
    <row r="17" spans="2:15" ht="15.75" thickBot="1" x14ac:dyDescent="0.3">
      <c r="B17" s="752" t="s">
        <v>601</v>
      </c>
      <c r="C17" s="753">
        <v>0.55235877969698477</v>
      </c>
      <c r="D17" s="753">
        <v>0.62379891800459808</v>
      </c>
      <c r="E17" s="753">
        <v>0.65257884161483926</v>
      </c>
      <c r="F17" s="753">
        <v>0.5294787521647264</v>
      </c>
      <c r="G17" s="753">
        <v>0.47169500134198955</v>
      </c>
      <c r="H17" s="753">
        <v>0.479571548934423</v>
      </c>
      <c r="I17" s="753">
        <v>0.49116452786136422</v>
      </c>
      <c r="J17" s="753">
        <v>0.5018401490009694</v>
      </c>
      <c r="K17" s="753">
        <v>0.51242742048830892</v>
      </c>
      <c r="L17" s="753">
        <v>0.52288291020427202</v>
      </c>
    </row>
    <row r="18" spans="2:15" x14ac:dyDescent="0.25">
      <c r="B18" s="752" t="s">
        <v>602</v>
      </c>
      <c r="C18" s="753">
        <v>0.23900108044709203</v>
      </c>
      <c r="D18" s="753">
        <v>0.18295380772500608</v>
      </c>
      <c r="E18" s="753">
        <v>0.16183875641224099</v>
      </c>
      <c r="F18" s="753">
        <v>0.24627360535713416</v>
      </c>
      <c r="G18" s="753">
        <v>0.34337825922994197</v>
      </c>
      <c r="H18" s="753">
        <v>0.38</v>
      </c>
      <c r="I18" s="753">
        <v>0.4</v>
      </c>
      <c r="J18" s="753">
        <v>0.4</v>
      </c>
      <c r="K18" s="753">
        <v>0.40000000000000008</v>
      </c>
      <c r="L18" s="753">
        <v>0.4</v>
      </c>
      <c r="N18" s="744"/>
      <c r="O18" s="758" t="s">
        <v>606</v>
      </c>
    </row>
    <row r="19" spans="2:15" x14ac:dyDescent="0.25">
      <c r="B19" s="752" t="s">
        <v>613</v>
      </c>
      <c r="C19" s="753">
        <v>0.73728078744247616</v>
      </c>
      <c r="D19" s="753">
        <v>0.73450372605223702</v>
      </c>
      <c r="E19" s="753">
        <v>0.71634109105941868</v>
      </c>
      <c r="F19" s="753">
        <v>0.72729031193747962</v>
      </c>
      <c r="G19" s="753">
        <v>0.72729031193747962</v>
      </c>
      <c r="H19" s="753">
        <v>0.72729031193747962</v>
      </c>
      <c r="I19" s="753">
        <v>0.72729031193747962</v>
      </c>
      <c r="J19" s="753">
        <v>0.72729031193747951</v>
      </c>
      <c r="K19" s="753">
        <v>0.72729031193747951</v>
      </c>
      <c r="L19" s="753">
        <v>0.72729031193747951</v>
      </c>
      <c r="N19" s="748" t="s">
        <v>681</v>
      </c>
      <c r="O19" s="759">
        <v>1.0345259668916812E-2</v>
      </c>
    </row>
    <row r="20" spans="2:15" x14ac:dyDescent="0.25">
      <c r="B20" s="750" t="s">
        <v>610</v>
      </c>
      <c r="C20" s="755"/>
      <c r="D20" s="755"/>
      <c r="E20" s="755"/>
      <c r="F20" s="755"/>
      <c r="G20" s="755"/>
      <c r="H20" s="755"/>
      <c r="I20" s="755"/>
      <c r="J20" s="755"/>
      <c r="K20" s="755"/>
      <c r="L20" s="755"/>
      <c r="N20" s="748" t="s">
        <v>682</v>
      </c>
      <c r="O20" s="759">
        <v>7.753762480884707E-3</v>
      </c>
    </row>
    <row r="21" spans="2:15" x14ac:dyDescent="0.25">
      <c r="B21" s="752" t="s">
        <v>604</v>
      </c>
      <c r="C21" s="760">
        <v>0.13689770343386726</v>
      </c>
      <c r="D21" s="760">
        <v>0.13364584369746974</v>
      </c>
      <c r="E21" s="760">
        <v>0.1488034751167088</v>
      </c>
      <c r="F21" s="760">
        <v>0.17172851718397766</v>
      </c>
      <c r="G21" s="760">
        <v>0.18701372352380013</v>
      </c>
      <c r="H21" s="760">
        <v>0.17453893727358857</v>
      </c>
      <c r="I21" s="760">
        <v>0.17087867218670205</v>
      </c>
      <c r="J21" s="760">
        <v>0.16674304766876133</v>
      </c>
      <c r="K21" s="753">
        <v>0.16341930974520169</v>
      </c>
      <c r="L21" s="753">
        <v>0.15941409915729454</v>
      </c>
      <c r="N21" s="748" t="s">
        <v>683</v>
      </c>
      <c r="O21" s="759">
        <v>1.0369154207053758E-2</v>
      </c>
    </row>
    <row r="22" spans="2:15" x14ac:dyDescent="0.25">
      <c r="B22" s="750" t="s">
        <v>535</v>
      </c>
      <c r="C22" s="755"/>
      <c r="D22" s="755"/>
      <c r="E22" s="755"/>
      <c r="F22" s="755"/>
      <c r="G22" s="755"/>
      <c r="H22" s="755"/>
      <c r="I22" s="755"/>
      <c r="J22" s="755"/>
      <c r="K22" s="755"/>
      <c r="L22" s="755"/>
      <c r="N22" s="748" t="s">
        <v>596</v>
      </c>
      <c r="O22" s="759">
        <v>1.5072967214994647E-2</v>
      </c>
    </row>
    <row r="23" spans="2:15" x14ac:dyDescent="0.25">
      <c r="B23" s="752" t="s">
        <v>320</v>
      </c>
      <c r="C23" s="753">
        <v>0.24709552939419943</v>
      </c>
      <c r="D23" s="753">
        <v>0.1849926637838939</v>
      </c>
      <c r="E23" s="753">
        <v>0.19820681121466821</v>
      </c>
      <c r="F23" s="753">
        <v>0.19576669026415372</v>
      </c>
      <c r="G23" s="753">
        <v>0.20301936985156632</v>
      </c>
      <c r="H23" s="753">
        <v>0.10380071097892096</v>
      </c>
      <c r="I23" s="753">
        <v>0.13320548396172271</v>
      </c>
      <c r="J23" s="753">
        <v>0.1253121449643626</v>
      </c>
      <c r="K23" s="753">
        <v>0.13150623710775489</v>
      </c>
      <c r="L23" s="753">
        <v>0.13624342852845484</v>
      </c>
      <c r="N23" s="748" t="s">
        <v>597</v>
      </c>
      <c r="O23" s="759">
        <v>1.935194147568494E-2</v>
      </c>
    </row>
    <row r="24" spans="2:15" x14ac:dyDescent="0.25">
      <c r="B24" s="752" t="s">
        <v>286</v>
      </c>
      <c r="C24" s="753">
        <v>0.15728886494723548</v>
      </c>
      <c r="D24" s="753">
        <v>0.1028817336575476</v>
      </c>
      <c r="E24" s="753">
        <v>0.25921691388282686</v>
      </c>
      <c r="F24" s="753">
        <v>0.48157866336965793</v>
      </c>
      <c r="G24" s="753">
        <v>0.37232609890293156</v>
      </c>
      <c r="H24" s="753">
        <v>-5.9623361401595965E-2</v>
      </c>
      <c r="I24" s="753">
        <v>0.16449881485679763</v>
      </c>
      <c r="J24" s="753">
        <v>9.8057223432393537E-2</v>
      </c>
      <c r="K24" s="753">
        <v>0.13088334622197517</v>
      </c>
      <c r="L24" s="753">
        <v>0.13205033736319316</v>
      </c>
      <c r="N24" s="748" t="s">
        <v>598</v>
      </c>
      <c r="O24" s="759">
        <v>1.4423739823304091E-2</v>
      </c>
    </row>
    <row r="25" spans="2:15" x14ac:dyDescent="0.25">
      <c r="B25" s="752" t="s">
        <v>321</v>
      </c>
      <c r="C25" s="753">
        <v>0.31456668370330254</v>
      </c>
      <c r="D25" s="753">
        <v>-0.12456487565246843</v>
      </c>
      <c r="E25" s="753">
        <v>0.58026315948825546</v>
      </c>
      <c r="F25" s="753">
        <v>0.72758862305409133</v>
      </c>
      <c r="G25" s="753">
        <v>0.53484355731382704</v>
      </c>
      <c r="H25" s="753">
        <v>-0.14154103443820398</v>
      </c>
      <c r="I25" s="753">
        <v>0.23562070908068122</v>
      </c>
      <c r="J25" s="753">
        <v>0.10740167690953961</v>
      </c>
      <c r="K25" s="753">
        <v>0.16425983542637801</v>
      </c>
      <c r="L25" s="753">
        <v>0.16411078904006615</v>
      </c>
      <c r="N25" s="748" t="s">
        <v>599</v>
      </c>
      <c r="O25" s="759">
        <v>1.5943658387874964E-2</v>
      </c>
    </row>
    <row r="26" spans="2:15" x14ac:dyDescent="0.25">
      <c r="B26" s="752" t="s">
        <v>536</v>
      </c>
      <c r="C26" s="753">
        <v>0.50085290024504303</v>
      </c>
      <c r="D26" s="753">
        <v>0.34795616811168917</v>
      </c>
      <c r="E26" s="753">
        <v>0.22059762514842718</v>
      </c>
      <c r="F26" s="753">
        <v>-3.6657191813989742E-2</v>
      </c>
      <c r="G26" s="753">
        <v>6.4811731083231905E-2</v>
      </c>
      <c r="H26" s="753">
        <v>0.13022456865715482</v>
      </c>
      <c r="I26" s="753">
        <v>0.15502892362112264</v>
      </c>
      <c r="J26" s="753">
        <v>0.14973013988021089</v>
      </c>
      <c r="K26" s="753">
        <v>0.15498683421258574</v>
      </c>
      <c r="L26" s="753">
        <v>0.15759337438089305</v>
      </c>
      <c r="N26" s="748" t="s">
        <v>600</v>
      </c>
      <c r="O26" s="759">
        <v>1.5639246052083125E-2</v>
      </c>
    </row>
    <row r="27" spans="2:15" x14ac:dyDescent="0.25">
      <c r="N27" s="748" t="s">
        <v>684</v>
      </c>
      <c r="O27" s="759">
        <v>1.6142359080145521E-2</v>
      </c>
    </row>
    <row r="28" spans="2:15" ht="15.75" thickBot="1" x14ac:dyDescent="0.3">
      <c r="N28" s="756" t="s">
        <v>685</v>
      </c>
      <c r="O28" s="761">
        <v>1.6579223328469984E-2</v>
      </c>
    </row>
    <row r="29" spans="2:15" ht="15.75" thickBot="1" x14ac:dyDescent="0.3"/>
    <row r="30" spans="2:15" x14ac:dyDescent="0.25">
      <c r="D30" s="744"/>
      <c r="E30" s="762" t="s">
        <v>686</v>
      </c>
      <c r="F30" s="763" t="s">
        <v>536</v>
      </c>
      <c r="G30" s="763" t="s">
        <v>687</v>
      </c>
      <c r="H30" s="764"/>
    </row>
    <row r="31" spans="2:15" x14ac:dyDescent="0.25">
      <c r="D31" s="748" t="s">
        <v>681</v>
      </c>
      <c r="E31" s="765">
        <v>6847.2920000000004</v>
      </c>
      <c r="F31" s="766">
        <v>311530.16200000001</v>
      </c>
      <c r="G31" s="767">
        <v>2.1423437782056458E-2</v>
      </c>
      <c r="H31" s="768"/>
    </row>
    <row r="32" spans="2:15" x14ac:dyDescent="0.25">
      <c r="D32" s="748" t="s">
        <v>682</v>
      </c>
      <c r="E32" s="765">
        <v>6606.1289999999999</v>
      </c>
      <c r="F32" s="766">
        <v>419929.14899999998</v>
      </c>
      <c r="G32" s="767">
        <v>1.5408470758242969E-2</v>
      </c>
      <c r="H32" s="768"/>
    </row>
    <row r="33" spans="3:8" x14ac:dyDescent="0.25">
      <c r="D33" s="748" t="s">
        <v>683</v>
      </c>
      <c r="E33" s="765">
        <v>6985.2420000000002</v>
      </c>
      <c r="F33" s="766">
        <v>512564.522</v>
      </c>
      <c r="G33" s="767">
        <v>1.3374931394579639E-2</v>
      </c>
      <c r="H33" s="768"/>
    </row>
    <row r="34" spans="3:8" x14ac:dyDescent="0.25">
      <c r="D34" s="748" t="s">
        <v>596</v>
      </c>
      <c r="E34" s="765">
        <v>8995.719000000001</v>
      </c>
      <c r="F34" s="766">
        <v>493775.34600000014</v>
      </c>
      <c r="G34" s="767">
        <v>1.7760109869414179E-2</v>
      </c>
      <c r="H34" s="768"/>
    </row>
    <row r="35" spans="3:8" x14ac:dyDescent="0.25">
      <c r="D35" s="748" t="s">
        <v>597</v>
      </c>
      <c r="E35" s="765">
        <v>10627.763241419703</v>
      </c>
      <c r="F35" s="766">
        <v>525777.78094048181</v>
      </c>
      <c r="G35" s="767">
        <v>1.9633336052449116E-2</v>
      </c>
      <c r="H35" s="768"/>
    </row>
    <row r="36" spans="3:8" x14ac:dyDescent="0.25">
      <c r="D36" s="748" t="s">
        <v>598</v>
      </c>
      <c r="E36" s="765">
        <v>12889.612002452652</v>
      </c>
      <c r="F36" s="766">
        <v>594246.96567297215</v>
      </c>
      <c r="G36" s="767">
        <v>2.1000000000000001E-2</v>
      </c>
      <c r="H36" s="768"/>
    </row>
    <row r="37" spans="3:8" x14ac:dyDescent="0.25">
      <c r="D37" s="748" t="s">
        <v>599</v>
      </c>
      <c r="E37" s="765">
        <v>12370.165677630406</v>
      </c>
      <c r="F37" s="766">
        <v>686372.43312637124</v>
      </c>
      <c r="G37" s="767">
        <v>1.7520057171348472E-2</v>
      </c>
      <c r="H37" s="768"/>
    </row>
    <row r="38" spans="3:8" x14ac:dyDescent="0.25">
      <c r="D38" s="748" t="s">
        <v>600</v>
      </c>
      <c r="E38" s="765">
        <v>14129.566404050827</v>
      </c>
      <c r="F38" s="766">
        <v>789143.07354830357</v>
      </c>
      <c r="G38" s="767">
        <v>1.7435369614937184E-2</v>
      </c>
      <c r="H38" s="768"/>
    </row>
    <row r="39" spans="3:8" x14ac:dyDescent="0.25">
      <c r="D39" s="748" t="s">
        <v>684</v>
      </c>
      <c r="E39" s="765">
        <v>16696.795505403137</v>
      </c>
      <c r="F39" s="766">
        <v>911449.86025834479</v>
      </c>
      <c r="G39" s="767">
        <v>1.7857686897558282E-2</v>
      </c>
      <c r="H39" s="768"/>
    </row>
    <row r="40" spans="3:8" ht="15.75" thickBot="1" x14ac:dyDescent="0.3">
      <c r="D40" s="756" t="s">
        <v>685</v>
      </c>
      <c r="E40" s="769">
        <v>20199.057948155973</v>
      </c>
      <c r="F40" s="770">
        <v>1055088.3189999999</v>
      </c>
      <c r="G40" s="771">
        <v>1.866977454162979E-2</v>
      </c>
      <c r="H40" s="772"/>
    </row>
    <row r="45" spans="3:8" ht="15.75" thickBot="1" x14ac:dyDescent="0.3">
      <c r="C45" s="766"/>
      <c r="D45" s="766"/>
      <c r="E45" s="766"/>
      <c r="F45" s="766"/>
      <c r="G45" s="766"/>
      <c r="H45" s="766"/>
    </row>
    <row r="46" spans="3:8" x14ac:dyDescent="0.25">
      <c r="C46" s="744"/>
      <c r="D46" s="763" t="s">
        <v>688</v>
      </c>
      <c r="E46" s="763" t="s">
        <v>689</v>
      </c>
      <c r="F46" s="763"/>
      <c r="G46" s="763" t="s">
        <v>603</v>
      </c>
      <c r="H46" s="764"/>
    </row>
    <row r="47" spans="3:8" x14ac:dyDescent="0.25">
      <c r="C47" s="748" t="s">
        <v>681</v>
      </c>
      <c r="D47" s="765">
        <v>8086.7019999999993</v>
      </c>
      <c r="E47" s="765">
        <v>6847.2920000000004</v>
      </c>
      <c r="F47" s="766"/>
      <c r="G47" s="773">
        <v>1.1810073237712075</v>
      </c>
      <c r="H47" s="768"/>
    </row>
    <row r="48" spans="3:8" x14ac:dyDescent="0.25">
      <c r="C48" s="748" t="s">
        <v>682</v>
      </c>
      <c r="D48" s="765">
        <v>8804.4419999999991</v>
      </c>
      <c r="E48" s="765">
        <v>6606.1289999999999</v>
      </c>
      <c r="F48" s="766"/>
      <c r="G48" s="773">
        <v>1.3327687061515145</v>
      </c>
      <c r="H48" s="768"/>
    </row>
    <row r="49" spans="3:19" x14ac:dyDescent="0.25">
      <c r="C49" s="748" t="s">
        <v>683</v>
      </c>
      <c r="D49" s="765">
        <v>9699.241</v>
      </c>
      <c r="E49" s="765">
        <v>6985.2420000000002</v>
      </c>
      <c r="F49" s="766"/>
      <c r="G49" s="773">
        <v>1.388533282025161</v>
      </c>
      <c r="H49" s="768"/>
    </row>
    <row r="50" spans="3:19" x14ac:dyDescent="0.25">
      <c r="C50" s="748" t="s">
        <v>596</v>
      </c>
      <c r="D50" s="765">
        <v>12737.23</v>
      </c>
      <c r="E50" s="765">
        <v>8995.719000000001</v>
      </c>
      <c r="F50" s="766"/>
      <c r="G50" s="773">
        <v>1.4159212843353597</v>
      </c>
      <c r="H50" s="768"/>
    </row>
    <row r="51" spans="3:19" x14ac:dyDescent="0.25">
      <c r="C51" s="748" t="s">
        <v>597</v>
      </c>
      <c r="D51" s="765">
        <v>15534.36351771724</v>
      </c>
      <c r="E51" s="765">
        <v>10627.763241419703</v>
      </c>
      <c r="F51" s="766"/>
      <c r="G51" s="773">
        <v>1.4616776046699071</v>
      </c>
      <c r="H51" s="768"/>
    </row>
    <row r="52" spans="3:19" x14ac:dyDescent="0.25">
      <c r="C52" s="748" t="s">
        <v>598</v>
      </c>
      <c r="D52" s="765">
        <v>19544.082062868409</v>
      </c>
      <c r="E52" s="765">
        <v>12889.612002452652</v>
      </c>
      <c r="F52" s="766"/>
      <c r="G52" s="773">
        <v>1.5162661264861608</v>
      </c>
      <c r="H52" s="768"/>
    </row>
    <row r="53" spans="3:19" x14ac:dyDescent="0.25">
      <c r="C53" s="748" t="s">
        <v>599</v>
      </c>
      <c r="D53" s="765">
        <v>19684.947660035614</v>
      </c>
      <c r="E53" s="765">
        <v>12370.165677630406</v>
      </c>
      <c r="F53" s="766"/>
      <c r="G53" s="773">
        <v>1.5913244958095345</v>
      </c>
      <c r="H53" s="768"/>
    </row>
    <row r="54" spans="3:19" x14ac:dyDescent="0.25">
      <c r="C54" s="748" t="s">
        <v>600</v>
      </c>
      <c r="D54" s="765">
        <v>21253.649670330175</v>
      </c>
      <c r="E54" s="765">
        <v>14129.566404050827</v>
      </c>
      <c r="F54" s="766"/>
      <c r="G54" s="773">
        <v>1.5041968778487733</v>
      </c>
      <c r="H54" s="768"/>
    </row>
    <row r="55" spans="3:19" x14ac:dyDescent="0.25">
      <c r="C55" s="748" t="s">
        <v>684</v>
      </c>
      <c r="D55" s="765">
        <v>23542.202329902611</v>
      </c>
      <c r="E55" s="765">
        <v>16696.795505403137</v>
      </c>
      <c r="F55" s="766"/>
      <c r="G55" s="773">
        <v>1.4099832702798736</v>
      </c>
      <c r="H55" s="768"/>
    </row>
    <row r="56" spans="3:19" ht="15.75" thickBot="1" x14ac:dyDescent="0.3">
      <c r="C56" s="756" t="s">
        <v>685</v>
      </c>
      <c r="D56" s="769">
        <v>26823.939620306337</v>
      </c>
      <c r="E56" s="769">
        <v>20199.057948155973</v>
      </c>
      <c r="F56" s="770"/>
      <c r="G56" s="774">
        <v>1.3279797349536873</v>
      </c>
      <c r="H56" s="772"/>
    </row>
    <row r="57" spans="3:19" x14ac:dyDescent="0.25">
      <c r="E57" s="740"/>
    </row>
    <row r="63" spans="3:19" ht="15.75" thickBot="1" x14ac:dyDescent="0.3"/>
    <row r="64" spans="3:19" x14ac:dyDescent="0.25">
      <c r="C64" s="744"/>
      <c r="D64" s="763" t="s">
        <v>690</v>
      </c>
      <c r="E64" s="764"/>
      <c r="S64" s="795" t="s">
        <v>702</v>
      </c>
    </row>
    <row r="65" spans="3:19" x14ac:dyDescent="0.25">
      <c r="C65" s="748" t="s">
        <v>681</v>
      </c>
      <c r="D65" s="773">
        <v>0.62750585725900032</v>
      </c>
      <c r="E65" s="768"/>
      <c r="S65" s="795" t="s">
        <v>703</v>
      </c>
    </row>
    <row r="66" spans="3:19" x14ac:dyDescent="0.25">
      <c r="C66" s="748" t="s">
        <v>682</v>
      </c>
      <c r="D66" s="773">
        <v>0.60465052973983535</v>
      </c>
      <c r="E66" s="768"/>
      <c r="S66" s="795" t="s">
        <v>704</v>
      </c>
    </row>
    <row r="67" spans="3:19" x14ac:dyDescent="0.25">
      <c r="C67" s="748" t="s">
        <v>683</v>
      </c>
      <c r="D67" s="773">
        <v>0.55480064845926713</v>
      </c>
      <c r="E67" s="768"/>
      <c r="S67" s="795" t="s">
        <v>700</v>
      </c>
    </row>
    <row r="68" spans="3:19" x14ac:dyDescent="0.25">
      <c r="C68" s="748" t="s">
        <v>596</v>
      </c>
      <c r="D68" s="773">
        <v>0.48170765044669989</v>
      </c>
      <c r="E68" s="768"/>
      <c r="S68" s="795" t="s">
        <v>701</v>
      </c>
    </row>
    <row r="69" spans="3:19" x14ac:dyDescent="0.25">
      <c r="C69" s="748" t="s">
        <v>597</v>
      </c>
      <c r="D69" s="773">
        <v>0.41976149657223344</v>
      </c>
      <c r="E69" s="768"/>
    </row>
    <row r="70" spans="3:19" x14ac:dyDescent="0.25">
      <c r="C70" s="748" t="s">
        <v>598</v>
      </c>
      <c r="D70" s="773">
        <v>0.48134630141069584</v>
      </c>
      <c r="E70" s="768"/>
    </row>
    <row r="71" spans="3:19" x14ac:dyDescent="0.25">
      <c r="C71" s="748" t="s">
        <v>599</v>
      </c>
      <c r="D71" s="773">
        <v>0.44969503677098899</v>
      </c>
      <c r="E71" s="768"/>
    </row>
    <row r="72" spans="3:19" x14ac:dyDescent="0.25">
      <c r="C72" s="748" t="s">
        <v>600</v>
      </c>
      <c r="D72" s="773">
        <v>0.44502256185392802</v>
      </c>
      <c r="E72" s="768"/>
    </row>
    <row r="73" spans="3:19" x14ac:dyDescent="0.25">
      <c r="C73" s="748" t="s">
        <v>684</v>
      </c>
      <c r="D73" s="773">
        <v>0.42865750865105151</v>
      </c>
      <c r="E73" s="768"/>
    </row>
    <row r="74" spans="3:19" ht="15.75" thickBot="1" x14ac:dyDescent="0.3">
      <c r="C74" s="756" t="s">
        <v>685</v>
      </c>
      <c r="D74" s="774">
        <v>0.41248936040902723</v>
      </c>
      <c r="E74" s="772"/>
    </row>
    <row r="77" spans="3:19" ht="15.75" thickBot="1" x14ac:dyDescent="0.3"/>
    <row r="78" spans="3:19" x14ac:dyDescent="0.25">
      <c r="C78" s="744"/>
      <c r="D78" s="762" t="s">
        <v>537</v>
      </c>
      <c r="E78" s="775" t="s">
        <v>538</v>
      </c>
    </row>
    <row r="79" spans="3:19" x14ac:dyDescent="0.25">
      <c r="C79" s="748" t="s">
        <v>681</v>
      </c>
      <c r="D79" s="773">
        <v>0.55235877969698477</v>
      </c>
      <c r="E79" s="776">
        <v>0.23900108044709203</v>
      </c>
    </row>
    <row r="80" spans="3:19" x14ac:dyDescent="0.25">
      <c r="C80" s="748" t="s">
        <v>682</v>
      </c>
      <c r="D80" s="773">
        <v>0.62379891800459808</v>
      </c>
      <c r="E80" s="776">
        <v>0.18295380772500608</v>
      </c>
    </row>
    <row r="81" spans="3:7" x14ac:dyDescent="0.25">
      <c r="C81" s="748" t="s">
        <v>683</v>
      </c>
      <c r="D81" s="773">
        <v>0.65257884161483926</v>
      </c>
      <c r="E81" s="776">
        <v>0.16183875641224099</v>
      </c>
    </row>
    <row r="82" spans="3:7" x14ac:dyDescent="0.25">
      <c r="C82" s="748" t="s">
        <v>596</v>
      </c>
      <c r="D82" s="773">
        <v>0.5294787521647264</v>
      </c>
      <c r="E82" s="776">
        <v>0.24627360535713416</v>
      </c>
    </row>
    <row r="83" spans="3:7" x14ac:dyDescent="0.25">
      <c r="C83" s="748" t="s">
        <v>597</v>
      </c>
      <c r="D83" s="773">
        <v>0.47169500134198955</v>
      </c>
      <c r="E83" s="776">
        <v>0.34337825922994197</v>
      </c>
    </row>
    <row r="84" spans="3:7" x14ac:dyDescent="0.25">
      <c r="C84" s="748" t="s">
        <v>598</v>
      </c>
      <c r="D84" s="773">
        <v>0.479571548934423</v>
      </c>
      <c r="E84" s="776">
        <v>0.38</v>
      </c>
    </row>
    <row r="85" spans="3:7" x14ac:dyDescent="0.25">
      <c r="C85" s="748" t="s">
        <v>599</v>
      </c>
      <c r="D85" s="773">
        <v>0.49116452786136422</v>
      </c>
      <c r="E85" s="776">
        <v>0.4</v>
      </c>
    </row>
    <row r="86" spans="3:7" x14ac:dyDescent="0.25">
      <c r="C86" s="748" t="s">
        <v>600</v>
      </c>
      <c r="D86" s="773">
        <v>0.5018401490009694</v>
      </c>
      <c r="E86" s="776">
        <v>0.4</v>
      </c>
    </row>
    <row r="87" spans="3:7" x14ac:dyDescent="0.25">
      <c r="C87" s="748" t="s">
        <v>684</v>
      </c>
      <c r="D87" s="773">
        <v>0.51242742048830892</v>
      </c>
      <c r="E87" s="776">
        <v>0.40000000000000008</v>
      </c>
    </row>
    <row r="88" spans="3:7" ht="15.75" thickBot="1" x14ac:dyDescent="0.3">
      <c r="C88" s="756" t="s">
        <v>685</v>
      </c>
      <c r="D88" s="774">
        <v>0.52288291020427202</v>
      </c>
      <c r="E88" s="777">
        <v>0.4</v>
      </c>
    </row>
    <row r="94" spans="3:7" ht="15.75" thickBot="1" x14ac:dyDescent="0.3"/>
    <row r="95" spans="3:7" x14ac:dyDescent="0.25">
      <c r="C95" s="744"/>
      <c r="D95" s="763" t="s">
        <v>312</v>
      </c>
      <c r="E95" s="763" t="s">
        <v>691</v>
      </c>
      <c r="F95" s="763" t="s">
        <v>692</v>
      </c>
      <c r="G95" s="758" t="s">
        <v>693</v>
      </c>
    </row>
    <row r="96" spans="3:7" x14ac:dyDescent="0.25">
      <c r="C96" s="748" t="s">
        <v>681</v>
      </c>
      <c r="D96" s="778">
        <v>0.13689770343386726</v>
      </c>
      <c r="E96" s="779">
        <v>0.1125</v>
      </c>
      <c r="F96" s="767">
        <v>0.10258048822390037</v>
      </c>
      <c r="G96" s="780">
        <v>3.431721520996691E-2</v>
      </c>
    </row>
    <row r="97" spans="3:7" x14ac:dyDescent="0.25">
      <c r="C97" s="748" t="s">
        <v>682</v>
      </c>
      <c r="D97" s="781">
        <v>0.13364584369746974</v>
      </c>
      <c r="E97" s="782">
        <v>0.11874999999999999</v>
      </c>
      <c r="F97" s="767">
        <v>0.10451480902295006</v>
      </c>
      <c r="G97" s="780">
        <v>2.9131034674519676E-2</v>
      </c>
    </row>
    <row r="98" spans="3:7" x14ac:dyDescent="0.25">
      <c r="C98" s="748" t="s">
        <v>683</v>
      </c>
      <c r="D98" s="778">
        <v>0.1488034751167088</v>
      </c>
      <c r="E98" s="779">
        <v>0.125</v>
      </c>
      <c r="F98" s="767">
        <v>0.12363090247739926</v>
      </c>
      <c r="G98" s="780">
        <v>2.5172572639309533E-2</v>
      </c>
    </row>
    <row r="99" spans="3:7" x14ac:dyDescent="0.25">
      <c r="C99" s="748" t="s">
        <v>596</v>
      </c>
      <c r="D99" s="778">
        <v>0.17172851718397766</v>
      </c>
      <c r="E99" s="779">
        <v>0.125</v>
      </c>
      <c r="F99" s="767">
        <v>0.13325386362694422</v>
      </c>
      <c r="G99" s="780">
        <v>3.8474653557033438E-2</v>
      </c>
    </row>
    <row r="100" spans="3:7" x14ac:dyDescent="0.25">
      <c r="C100" s="748" t="s">
        <v>597</v>
      </c>
      <c r="D100" s="781">
        <v>0.18701372352380013</v>
      </c>
      <c r="E100" s="779">
        <v>0.125</v>
      </c>
      <c r="F100" s="767">
        <v>0.15118241276042996</v>
      </c>
      <c r="G100" s="780">
        <v>3.5831310763370199E-2</v>
      </c>
    </row>
    <row r="101" spans="3:7" ht="15.75" thickBot="1" x14ac:dyDescent="0.3">
      <c r="C101" s="756" t="s">
        <v>598</v>
      </c>
      <c r="D101" s="783">
        <v>0.17453893727358857</v>
      </c>
      <c r="E101" s="784">
        <v>0.125</v>
      </c>
      <c r="F101" s="771">
        <v>0.14345436082641097</v>
      </c>
      <c r="G101" s="785">
        <v>3.1084576447177627E-2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2:Q215"/>
  <sheetViews>
    <sheetView showGridLines="0" zoomScaleNormal="100" workbookViewId="0">
      <selection activeCell="J249" sqref="J249"/>
    </sheetView>
  </sheetViews>
  <sheetFormatPr defaultColWidth="8.7109375" defaultRowHeight="11.25" x14ac:dyDescent="0.2"/>
  <cols>
    <col min="1" max="1" width="1.28515625" style="2" customWidth="1"/>
    <col min="2" max="2" width="11.28515625" style="2" customWidth="1"/>
    <col min="3" max="5" width="9.7109375" style="2" customWidth="1"/>
    <col min="6" max="6" width="12.5703125" style="2" customWidth="1"/>
    <col min="7" max="7" width="13.7109375" style="2" customWidth="1"/>
    <col min="8" max="8" width="9.85546875" style="2" customWidth="1"/>
    <col min="9" max="10" width="12.5703125" style="2" customWidth="1"/>
    <col min="11" max="11" width="2.7109375" style="2" customWidth="1"/>
    <col min="12" max="12" width="18.28515625" style="2" customWidth="1"/>
    <col min="13" max="17" width="8.7109375" style="2" customWidth="1"/>
    <col min="18" max="18" width="8.7109375" style="2"/>
    <col min="19" max="19" width="14.5703125" style="2" customWidth="1"/>
    <col min="20" max="16384" width="8.7109375" style="2"/>
  </cols>
  <sheetData>
    <row r="2" spans="2:17" x14ac:dyDescent="0.2">
      <c r="E2" s="1007" t="s">
        <v>646</v>
      </c>
      <c r="F2" s="1007"/>
      <c r="G2" s="1007"/>
      <c r="I2" s="1007" t="s">
        <v>655</v>
      </c>
      <c r="J2" s="1007"/>
    </row>
    <row r="3" spans="2:17" x14ac:dyDescent="0.2">
      <c r="E3" s="323"/>
      <c r="F3" s="323"/>
      <c r="I3" s="323"/>
      <c r="J3" s="323"/>
    </row>
    <row r="4" spans="2:17" x14ac:dyDescent="0.2">
      <c r="E4" s="723" t="s">
        <v>649</v>
      </c>
      <c r="G4" s="258">
        <v>2002</v>
      </c>
      <c r="I4" s="50" t="s">
        <v>645</v>
      </c>
      <c r="J4" s="718">
        <v>113.81</v>
      </c>
    </row>
    <row r="5" spans="2:17" x14ac:dyDescent="0.2">
      <c r="E5" s="2" t="s">
        <v>650</v>
      </c>
      <c r="G5" s="7">
        <f>Assumptions!O15</f>
        <v>11823.20409549446</v>
      </c>
      <c r="I5" s="50" t="s">
        <v>509</v>
      </c>
      <c r="J5" s="717" t="s">
        <v>492</v>
      </c>
      <c r="L5" s="726"/>
      <c r="M5" s="727" t="s">
        <v>596</v>
      </c>
      <c r="N5" s="727" t="s">
        <v>597</v>
      </c>
      <c r="O5" s="727" t="s">
        <v>598</v>
      </c>
      <c r="P5" s="727" t="s">
        <v>599</v>
      </c>
      <c r="Q5" s="727" t="s">
        <v>600</v>
      </c>
    </row>
    <row r="6" spans="2:17" x14ac:dyDescent="0.2">
      <c r="E6" s="2" t="s">
        <v>651</v>
      </c>
      <c r="G6" s="8" t="s">
        <v>652</v>
      </c>
      <c r="I6" s="667" t="s">
        <v>637</v>
      </c>
      <c r="J6" s="724">
        <v>169.21830963765839</v>
      </c>
      <c r="L6" s="824" t="s">
        <v>0</v>
      </c>
      <c r="M6" s="825">
        <v>12.117487108751122</v>
      </c>
      <c r="N6" s="825">
        <v>16.967749914813961</v>
      </c>
      <c r="O6" s="825">
        <v>14.529025781087135</v>
      </c>
      <c r="P6" s="825">
        <v>17.97485345534313</v>
      </c>
      <c r="Q6" s="825">
        <v>19.906361672219983</v>
      </c>
    </row>
    <row r="7" spans="2:17" x14ac:dyDescent="0.2">
      <c r="B7" s="2" t="s">
        <v>639</v>
      </c>
      <c r="C7" s="722" t="s">
        <v>638</v>
      </c>
      <c r="D7" s="323"/>
      <c r="E7" s="2" t="s">
        <v>647</v>
      </c>
      <c r="G7" s="2">
        <f>Assumptions!O13</f>
        <v>802</v>
      </c>
      <c r="I7" s="50" t="s">
        <v>642</v>
      </c>
      <c r="J7" s="679">
        <v>0.48684921920444935</v>
      </c>
      <c r="L7" s="728" t="s">
        <v>286</v>
      </c>
      <c r="M7" s="729"/>
      <c r="N7" s="729"/>
      <c r="O7" s="729"/>
      <c r="P7" s="729"/>
      <c r="Q7" s="729"/>
    </row>
    <row r="8" spans="2:17" x14ac:dyDescent="0.2">
      <c r="E8" s="2" t="s">
        <v>648</v>
      </c>
      <c r="G8" s="36">
        <f>Assumptions!O17</f>
        <v>0.1850329751176619</v>
      </c>
      <c r="I8" s="50" t="s">
        <v>643</v>
      </c>
      <c r="J8" s="679">
        <v>6.1506018803268607E-2</v>
      </c>
      <c r="L8" s="82" t="s">
        <v>658</v>
      </c>
      <c r="M8" s="730">
        <v>4.8343375957320946E-2</v>
      </c>
      <c r="N8" s="730">
        <v>5.6806722590910491E-2</v>
      </c>
      <c r="O8" s="730">
        <v>4.7239168965521459E-2</v>
      </c>
      <c r="P8" s="730">
        <v>4.5791103388969918E-2</v>
      </c>
      <c r="Q8" s="730">
        <v>4.5849561158982845E-2</v>
      </c>
    </row>
    <row r="9" spans="2:17" x14ac:dyDescent="0.2">
      <c r="E9" s="2" t="s">
        <v>671</v>
      </c>
      <c r="G9" s="36">
        <f>Assumptions!O19</f>
        <v>0.3595004839294545</v>
      </c>
      <c r="I9" s="50" t="s">
        <v>656</v>
      </c>
      <c r="J9" s="720">
        <v>161009.59583607002</v>
      </c>
      <c r="L9" s="82" t="s">
        <v>605</v>
      </c>
      <c r="M9" s="730">
        <v>0.29305661728794241</v>
      </c>
      <c r="N9" s="730">
        <v>0.33793328862924527</v>
      </c>
      <c r="O9" s="730">
        <v>0.24648677844678638</v>
      </c>
      <c r="P9" s="730">
        <v>0.26431964424853638</v>
      </c>
      <c r="Q9" s="730">
        <v>0.24618474349555139</v>
      </c>
    </row>
    <row r="10" spans="2:17" x14ac:dyDescent="0.2">
      <c r="E10" s="2" t="s">
        <v>653</v>
      </c>
      <c r="G10" s="234" t="s">
        <v>654</v>
      </c>
      <c r="I10" s="50" t="s">
        <v>657</v>
      </c>
      <c r="J10" s="721">
        <v>1414.722747</v>
      </c>
      <c r="L10" s="82" t="s">
        <v>606</v>
      </c>
      <c r="M10" s="730">
        <v>1.5072967214994647E-2</v>
      </c>
      <c r="N10" s="730">
        <v>1.935194147568494E-2</v>
      </c>
      <c r="O10" s="730">
        <v>1.4423739823304091E-2</v>
      </c>
      <c r="P10" s="730">
        <v>1.5943658387874964E-2</v>
      </c>
      <c r="Q10" s="730">
        <v>1.5639246052083125E-2</v>
      </c>
    </row>
    <row r="11" spans="2:17" x14ac:dyDescent="0.2">
      <c r="I11" s="50" t="s">
        <v>511</v>
      </c>
      <c r="J11" s="718">
        <v>120</v>
      </c>
      <c r="L11" s="728" t="s">
        <v>608</v>
      </c>
      <c r="M11" s="731"/>
      <c r="N11" s="731"/>
      <c r="O11" s="731"/>
      <c r="P11" s="731"/>
      <c r="Q11" s="731"/>
    </row>
    <row r="12" spans="2:17" x14ac:dyDescent="0.2">
      <c r="I12" s="50" t="s">
        <v>510</v>
      </c>
      <c r="J12" s="718">
        <v>55.5</v>
      </c>
      <c r="L12" s="82" t="s">
        <v>398</v>
      </c>
      <c r="M12" s="730">
        <v>1.7760109869414179E-2</v>
      </c>
      <c r="N12" s="730">
        <v>1.9633336052449116E-2</v>
      </c>
      <c r="O12" s="730">
        <v>2.1000000000000001E-2</v>
      </c>
      <c r="P12" s="730">
        <v>1.7520057171348472E-2</v>
      </c>
      <c r="Q12" s="730">
        <v>1.7435369614937184E-2</v>
      </c>
    </row>
    <row r="13" spans="2:17" x14ac:dyDescent="0.2">
      <c r="G13" s="826"/>
      <c r="H13" s="826"/>
      <c r="I13" s="50" t="s">
        <v>644</v>
      </c>
      <c r="J13" s="719">
        <v>0.25</v>
      </c>
      <c r="L13" s="82" t="s">
        <v>603</v>
      </c>
      <c r="M13" s="730">
        <v>1.4159212843353597</v>
      </c>
      <c r="N13" s="730">
        <v>1.4616776046699071</v>
      </c>
      <c r="O13" s="730">
        <v>1.5162661264861608</v>
      </c>
      <c r="P13" s="730">
        <v>1.5913244958095345</v>
      </c>
      <c r="Q13" s="730">
        <v>1.5041968778487733</v>
      </c>
    </row>
    <row r="14" spans="2:17" x14ac:dyDescent="0.2">
      <c r="B14" s="1006" t="s">
        <v>665</v>
      </c>
      <c r="C14" s="1006"/>
      <c r="D14" s="1006"/>
      <c r="F14" s="1006" t="s">
        <v>663</v>
      </c>
      <c r="G14" s="1006"/>
      <c r="H14" s="1006"/>
      <c r="L14" s="728" t="s">
        <v>611</v>
      </c>
      <c r="M14" s="731"/>
      <c r="N14" s="731"/>
      <c r="O14" s="731"/>
      <c r="P14" s="731"/>
      <c r="Q14" s="731"/>
    </row>
    <row r="15" spans="2:17" x14ac:dyDescent="0.2">
      <c r="B15" s="812" t="s">
        <v>12</v>
      </c>
      <c r="C15" s="49">
        <f ca="1">AVERAGE(MEBL!M16:Q16)</f>
        <v>1515532.8275104736</v>
      </c>
      <c r="E15" s="826"/>
      <c r="F15" s="50" t="s">
        <v>541</v>
      </c>
      <c r="G15" s="61">
        <f ca="1">AVERAGE(MEBL!M46:Q46)</f>
        <v>60155.450243619081</v>
      </c>
      <c r="H15" s="50"/>
      <c r="L15" s="82" t="s">
        <v>612</v>
      </c>
      <c r="M15" s="730">
        <v>0.48170765044669989</v>
      </c>
      <c r="N15" s="730">
        <v>0.41976149657223344</v>
      </c>
      <c r="O15" s="730">
        <v>0.48134630141069584</v>
      </c>
      <c r="P15" s="730">
        <v>0.44969503677098899</v>
      </c>
      <c r="Q15" s="730">
        <v>0.44502256185392802</v>
      </c>
    </row>
    <row r="16" spans="2:17" x14ac:dyDescent="0.2">
      <c r="B16" s="50"/>
      <c r="C16" s="49"/>
      <c r="F16" s="50"/>
      <c r="G16" s="61"/>
      <c r="H16" s="50"/>
      <c r="L16" s="728" t="s">
        <v>609</v>
      </c>
      <c r="M16" s="731"/>
      <c r="N16" s="731"/>
      <c r="O16" s="731"/>
      <c r="P16" s="731"/>
      <c r="Q16" s="731"/>
    </row>
    <row r="17" spans="2:17" x14ac:dyDescent="0.2">
      <c r="B17" s="50"/>
      <c r="C17" s="49"/>
      <c r="F17" s="50"/>
      <c r="G17" s="61"/>
      <c r="H17" s="50"/>
      <c r="L17" s="82" t="s">
        <v>601</v>
      </c>
      <c r="M17" s="730">
        <v>0.5294787521647264</v>
      </c>
      <c r="N17" s="730">
        <v>0.47169500134198955</v>
      </c>
      <c r="O17" s="730">
        <v>0.479571548934423</v>
      </c>
      <c r="P17" s="730">
        <v>0.49116452786136422</v>
      </c>
      <c r="Q17" s="730">
        <v>0.5018401490009694</v>
      </c>
    </row>
    <row r="18" spans="2:17" x14ac:dyDescent="0.2">
      <c r="B18" s="812" t="s">
        <v>534</v>
      </c>
      <c r="C18" s="49">
        <f>AVERAGE(MEBL!M21:Q21)</f>
        <v>1251256.6774489023</v>
      </c>
      <c r="F18" s="50" t="s">
        <v>660</v>
      </c>
      <c r="G18" s="61">
        <f>AVERAGE(MEBL!M55:Q55)</f>
        <v>11875.209471696591</v>
      </c>
      <c r="H18" s="50"/>
      <c r="L18" s="82" t="s">
        <v>602</v>
      </c>
      <c r="M18" s="730">
        <v>0.24627360535713416</v>
      </c>
      <c r="N18" s="730">
        <v>0.34337825922994197</v>
      </c>
      <c r="O18" s="730">
        <v>0.38</v>
      </c>
      <c r="P18" s="730">
        <v>0.4</v>
      </c>
      <c r="Q18" s="730">
        <v>0.4</v>
      </c>
    </row>
    <row r="19" spans="2:17" x14ac:dyDescent="0.2">
      <c r="B19" s="50"/>
      <c r="C19" s="49"/>
      <c r="F19" s="50"/>
      <c r="G19" s="61"/>
      <c r="H19" s="50"/>
      <c r="L19" s="82" t="s">
        <v>613</v>
      </c>
      <c r="M19" s="730">
        <v>0.72729031193747962</v>
      </c>
      <c r="N19" s="730">
        <v>0.72729031193747962</v>
      </c>
      <c r="O19" s="730">
        <v>0.72729031193747962</v>
      </c>
      <c r="P19" s="730">
        <v>0.72729031193747962</v>
      </c>
      <c r="Q19" s="730">
        <v>0.72729031193747951</v>
      </c>
    </row>
    <row r="20" spans="2:17" x14ac:dyDescent="0.2">
      <c r="B20" s="50"/>
      <c r="C20" s="49"/>
      <c r="F20" s="50"/>
      <c r="G20" s="61"/>
      <c r="H20" s="50"/>
      <c r="L20" s="728" t="s">
        <v>610</v>
      </c>
      <c r="M20" s="731"/>
      <c r="N20" s="731"/>
      <c r="O20" s="731"/>
      <c r="P20" s="731"/>
      <c r="Q20" s="731"/>
    </row>
    <row r="21" spans="2:17" x14ac:dyDescent="0.2">
      <c r="B21" s="812" t="s">
        <v>449</v>
      </c>
      <c r="C21" s="49">
        <f>AVERAGE(MEBL!M25:Q25)</f>
        <v>1423863.1424329313</v>
      </c>
      <c r="F21" s="50" t="s">
        <v>659</v>
      </c>
      <c r="G21" s="61">
        <f ca="1">AVERAGE(MEBL!M56:Q56)</f>
        <v>72030.659715315676</v>
      </c>
      <c r="H21" s="50"/>
      <c r="L21" s="82" t="s">
        <v>604</v>
      </c>
      <c r="M21" s="730">
        <v>0.17172851718397766</v>
      </c>
      <c r="N21" s="730">
        <v>0.18701372352380013</v>
      </c>
      <c r="O21" s="730">
        <v>0.17453893727358857</v>
      </c>
      <c r="P21" s="730">
        <v>0.17087867218670205</v>
      </c>
      <c r="Q21" s="730">
        <v>0.16674304766876133</v>
      </c>
    </row>
    <row r="22" spans="2:17" x14ac:dyDescent="0.2">
      <c r="B22" s="50"/>
      <c r="C22" s="49"/>
      <c r="F22" s="50"/>
      <c r="G22" s="61"/>
      <c r="H22" s="50"/>
      <c r="L22" s="728" t="s">
        <v>535</v>
      </c>
      <c r="M22" s="731"/>
      <c r="N22" s="731"/>
      <c r="O22" s="731"/>
      <c r="P22" s="731"/>
      <c r="Q22" s="731"/>
    </row>
    <row r="23" spans="2:17" x14ac:dyDescent="0.2">
      <c r="B23" s="50"/>
      <c r="C23" s="49"/>
      <c r="F23" s="50"/>
      <c r="G23" s="61"/>
      <c r="H23" s="50"/>
      <c r="L23" s="82" t="s">
        <v>320</v>
      </c>
      <c r="M23" s="730">
        <v>0.19576669026415372</v>
      </c>
      <c r="N23" s="730">
        <v>0.20301936985156632</v>
      </c>
      <c r="O23" s="730">
        <v>0.10380071097892096</v>
      </c>
      <c r="P23" s="730">
        <v>0.13320548396172271</v>
      </c>
      <c r="Q23" s="730">
        <v>0.1253121449643626</v>
      </c>
    </row>
    <row r="24" spans="2:17" x14ac:dyDescent="0.2">
      <c r="B24" s="812" t="s">
        <v>664</v>
      </c>
      <c r="C24" s="49">
        <f>AVERAGE(MEBL!M30:Q30)</f>
        <v>13890.0056</v>
      </c>
      <c r="F24" s="50" t="s">
        <v>661</v>
      </c>
      <c r="G24" s="61">
        <f>AVERAGE(MEBL!M59:Q59)</f>
        <v>32646.205749337776</v>
      </c>
      <c r="H24" s="50"/>
      <c r="L24" s="82" t="s">
        <v>286</v>
      </c>
      <c r="M24" s="730">
        <v>0.48157866336965793</v>
      </c>
      <c r="N24" s="730">
        <v>0.37232609890293156</v>
      </c>
      <c r="O24" s="730">
        <v>-5.9623361401595965E-2</v>
      </c>
      <c r="P24" s="730">
        <v>0.16449881485679763</v>
      </c>
      <c r="Q24" s="730">
        <v>9.8057223432393537E-2</v>
      </c>
    </row>
    <row r="25" spans="2:17" x14ac:dyDescent="0.2">
      <c r="B25" s="50"/>
      <c r="C25" s="49"/>
      <c r="F25" s="50"/>
      <c r="G25" s="61"/>
      <c r="H25" s="50"/>
      <c r="L25" s="82" t="s">
        <v>321</v>
      </c>
      <c r="M25" s="730">
        <v>0.72758862305409133</v>
      </c>
      <c r="N25" s="730">
        <v>0.53484355731382704</v>
      </c>
      <c r="O25" s="730">
        <v>-0.14154103443820398</v>
      </c>
      <c r="P25" s="730">
        <v>0.23562070908068122</v>
      </c>
      <c r="Q25" s="730">
        <v>0.10740167690953961</v>
      </c>
    </row>
    <row r="26" spans="2:17" x14ac:dyDescent="0.2">
      <c r="B26" s="50"/>
      <c r="C26" s="49"/>
      <c r="F26" s="50"/>
      <c r="G26" s="61"/>
      <c r="H26" s="50"/>
      <c r="L26" s="82" t="s">
        <v>536</v>
      </c>
      <c r="M26" s="730">
        <v>-3.6657191813989742E-2</v>
      </c>
      <c r="N26" s="730">
        <v>6.4811731083231905E-2</v>
      </c>
      <c r="O26" s="730">
        <v>0.13022456865715482</v>
      </c>
      <c r="P26" s="730">
        <v>0.15502892362112264</v>
      </c>
      <c r="Q26" s="730">
        <v>0.14973013988021089</v>
      </c>
    </row>
    <row r="27" spans="2:17" x14ac:dyDescent="0.2">
      <c r="B27" s="812" t="s">
        <v>455</v>
      </c>
      <c r="C27" s="49">
        <f ca="1">AVERAGE(MEBL!M37:Q37)</f>
        <v>91669.685077542468</v>
      </c>
      <c r="F27" s="50" t="s">
        <v>662</v>
      </c>
      <c r="G27" s="61">
        <f ca="1">AVERAGE(MEBL!M71:Q71)</f>
        <v>22747.012551822416</v>
      </c>
      <c r="H27" s="50"/>
    </row>
    <row r="31" spans="2:17" ht="12" x14ac:dyDescent="0.2">
      <c r="K31" s="725"/>
    </row>
    <row r="54" spans="7:11" x14ac:dyDescent="0.2">
      <c r="J54" s="50"/>
      <c r="K54" s="50"/>
    </row>
    <row r="55" spans="7:11" x14ac:dyDescent="0.2">
      <c r="J55" s="50"/>
      <c r="K55" s="50"/>
    </row>
    <row r="56" spans="7:11" x14ac:dyDescent="0.2">
      <c r="J56" s="50"/>
      <c r="K56" s="50"/>
    </row>
    <row r="57" spans="7:11" x14ac:dyDescent="0.2">
      <c r="J57" s="50"/>
      <c r="K57" s="50"/>
    </row>
    <row r="58" spans="7:11" x14ac:dyDescent="0.2">
      <c r="G58" s="50"/>
      <c r="J58" s="50"/>
      <c r="K58" s="50"/>
    </row>
    <row r="59" spans="7:11" x14ac:dyDescent="0.2">
      <c r="G59" s="50"/>
      <c r="J59" s="50"/>
      <c r="K59" s="50"/>
    </row>
    <row r="60" spans="7:11" x14ac:dyDescent="0.2">
      <c r="G60" s="50"/>
      <c r="J60" s="50"/>
      <c r="K60" s="50"/>
    </row>
    <row r="61" spans="7:11" x14ac:dyDescent="0.2">
      <c r="G61" s="50"/>
      <c r="J61" s="50"/>
      <c r="K61" s="50"/>
    </row>
    <row r="62" spans="7:11" x14ac:dyDescent="0.2">
      <c r="G62" s="50"/>
      <c r="J62" s="50"/>
      <c r="K62" s="50"/>
    </row>
    <row r="63" spans="7:11" x14ac:dyDescent="0.2">
      <c r="G63" s="50"/>
      <c r="J63" s="50"/>
      <c r="K63" s="50"/>
    </row>
    <row r="64" spans="7:11" x14ac:dyDescent="0.2">
      <c r="G64" s="50"/>
      <c r="J64" s="50"/>
      <c r="K64" s="50"/>
    </row>
    <row r="65" spans="2:11" x14ac:dyDescent="0.2">
      <c r="G65" s="50"/>
      <c r="J65" s="50"/>
      <c r="K65" s="50"/>
    </row>
    <row r="66" spans="2:11" x14ac:dyDescent="0.2">
      <c r="G66" s="50"/>
      <c r="J66" s="50"/>
      <c r="K66" s="50"/>
    </row>
    <row r="67" spans="2:11" x14ac:dyDescent="0.2">
      <c r="G67" s="50"/>
      <c r="J67" s="50"/>
      <c r="K67" s="50"/>
    </row>
    <row r="68" spans="2:11" x14ac:dyDescent="0.2">
      <c r="G68" s="50"/>
      <c r="J68" s="50"/>
      <c r="K68" s="50"/>
    </row>
    <row r="69" spans="2:11" x14ac:dyDescent="0.2">
      <c r="G69" s="50"/>
      <c r="J69" s="50"/>
      <c r="K69" s="50"/>
    </row>
    <row r="70" spans="2:11" x14ac:dyDescent="0.2">
      <c r="G70" s="50"/>
      <c r="J70" s="50"/>
      <c r="K70" s="50"/>
    </row>
    <row r="71" spans="2:11" x14ac:dyDescent="0.2">
      <c r="G71" s="50"/>
      <c r="J71" s="50"/>
      <c r="K71" s="50"/>
    </row>
    <row r="72" spans="2:11" x14ac:dyDescent="0.2">
      <c r="B72" s="50"/>
      <c r="C72" s="50"/>
      <c r="D72" s="50"/>
      <c r="E72" s="50"/>
      <c r="F72" s="50"/>
      <c r="G72" s="50"/>
      <c r="H72" s="50"/>
      <c r="I72" s="50"/>
      <c r="J72" s="50"/>
      <c r="K72" s="50"/>
    </row>
    <row r="73" spans="2:11" x14ac:dyDescent="0.2">
      <c r="B73" s="50"/>
      <c r="C73" s="50"/>
      <c r="D73" s="50"/>
      <c r="E73" s="50"/>
      <c r="F73" s="50"/>
      <c r="G73" s="50"/>
      <c r="H73" s="50"/>
      <c r="I73" s="50"/>
      <c r="J73" s="50"/>
      <c r="K73" s="50"/>
    </row>
    <row r="74" spans="2:11" x14ac:dyDescent="0.2">
      <c r="B74" s="50"/>
      <c r="C74" s="50"/>
      <c r="D74" s="50"/>
      <c r="E74" s="50"/>
      <c r="F74" s="50"/>
      <c r="G74" s="50"/>
      <c r="H74" s="50"/>
      <c r="I74" s="50"/>
      <c r="J74" s="50"/>
      <c r="K74" s="50"/>
    </row>
    <row r="75" spans="2:11" x14ac:dyDescent="0.2">
      <c r="B75" s="50"/>
      <c r="C75" s="50"/>
      <c r="D75" s="50"/>
      <c r="E75" s="50"/>
      <c r="F75" s="50"/>
      <c r="G75" s="50"/>
      <c r="H75" s="50"/>
      <c r="I75" s="50"/>
      <c r="J75" s="50"/>
      <c r="K75" s="50"/>
    </row>
    <row r="76" spans="2:11" x14ac:dyDescent="0.2">
      <c r="B76" s="50"/>
      <c r="C76" s="50"/>
      <c r="D76" s="50"/>
      <c r="E76" s="50"/>
      <c r="F76" s="50"/>
      <c r="G76" s="50"/>
      <c r="H76" s="50"/>
      <c r="I76" s="50"/>
      <c r="J76" s="50"/>
      <c r="K76" s="50"/>
    </row>
    <row r="77" spans="2:11" x14ac:dyDescent="0.2">
      <c r="B77" s="50"/>
      <c r="C77" s="50"/>
      <c r="D77" s="50"/>
      <c r="E77" s="50"/>
      <c r="F77" s="50"/>
      <c r="G77" s="50"/>
      <c r="H77" s="50"/>
      <c r="I77" s="50"/>
      <c r="J77" s="50"/>
      <c r="K77" s="50"/>
    </row>
    <row r="78" spans="2:11" x14ac:dyDescent="0.2">
      <c r="B78" s="50"/>
      <c r="C78" s="50"/>
      <c r="D78" s="50"/>
      <c r="E78" s="50"/>
      <c r="F78" s="50"/>
      <c r="G78" s="50"/>
      <c r="H78" s="50"/>
      <c r="I78" s="50"/>
      <c r="J78" s="50"/>
      <c r="K78" s="50"/>
    </row>
    <row r="79" spans="2:11" x14ac:dyDescent="0.2">
      <c r="B79" s="50"/>
      <c r="C79" s="50"/>
      <c r="D79" s="50"/>
      <c r="E79" s="50"/>
      <c r="F79" s="50"/>
      <c r="G79" s="50"/>
      <c r="H79" s="50"/>
      <c r="I79" s="50"/>
      <c r="J79" s="50"/>
      <c r="K79" s="50"/>
    </row>
    <row r="80" spans="2:11" x14ac:dyDescent="0.2">
      <c r="B80" s="50"/>
      <c r="C80" s="50"/>
      <c r="D80" s="50"/>
      <c r="E80" s="50"/>
      <c r="F80" s="50"/>
      <c r="G80" s="50"/>
      <c r="H80" s="50"/>
      <c r="I80" s="50"/>
      <c r="J80" s="50"/>
      <c r="K80" s="50"/>
    </row>
    <row r="81" spans="2:11" x14ac:dyDescent="0.2">
      <c r="B81" s="50"/>
      <c r="C81" s="50"/>
      <c r="D81" s="50"/>
      <c r="E81" s="50"/>
      <c r="F81" s="50"/>
      <c r="G81" s="50"/>
      <c r="H81" s="50"/>
      <c r="I81" s="50"/>
      <c r="J81" s="50"/>
      <c r="K81" s="50"/>
    </row>
    <row r="82" spans="2:11" x14ac:dyDescent="0.2">
      <c r="B82" s="50"/>
      <c r="C82" s="50"/>
      <c r="D82" s="50"/>
      <c r="E82" s="50"/>
      <c r="F82" s="50"/>
      <c r="G82" s="50"/>
      <c r="H82" s="50"/>
      <c r="I82" s="50"/>
      <c r="J82" s="50"/>
      <c r="K82" s="50"/>
    </row>
    <row r="83" spans="2:11" x14ac:dyDescent="0.2">
      <c r="B83" s="50"/>
      <c r="C83" s="50"/>
      <c r="D83" s="50"/>
      <c r="E83" s="50"/>
      <c r="F83" s="50"/>
      <c r="G83" s="50"/>
      <c r="H83" s="50"/>
      <c r="I83" s="50"/>
      <c r="J83" s="50"/>
      <c r="K83" s="50"/>
    </row>
    <row r="84" spans="2:11" x14ac:dyDescent="0.2">
      <c r="B84" s="50"/>
      <c r="C84" s="50"/>
      <c r="D84" s="50"/>
      <c r="E84" s="50"/>
      <c r="F84" s="50"/>
      <c r="G84" s="50"/>
      <c r="H84" s="50"/>
      <c r="I84" s="50"/>
      <c r="J84" s="50"/>
      <c r="K84" s="50"/>
    </row>
    <row r="85" spans="2:11" x14ac:dyDescent="0.2">
      <c r="B85" s="50"/>
      <c r="C85" s="50"/>
      <c r="D85" s="50"/>
      <c r="E85" s="50"/>
      <c r="F85" s="50"/>
      <c r="G85" s="50"/>
      <c r="H85" s="50"/>
      <c r="I85" s="50"/>
      <c r="J85" s="50"/>
      <c r="K85" s="50"/>
    </row>
    <row r="86" spans="2:11" x14ac:dyDescent="0.2">
      <c r="B86" s="50"/>
      <c r="C86" s="50"/>
      <c r="D86" s="50"/>
      <c r="E86" s="50"/>
      <c r="F86" s="50"/>
      <c r="G86" s="50"/>
      <c r="H86" s="50"/>
      <c r="I86" s="50"/>
      <c r="J86" s="50"/>
      <c r="K86" s="50"/>
    </row>
    <row r="87" spans="2:11" x14ac:dyDescent="0.2">
      <c r="B87" s="50"/>
      <c r="C87" s="50"/>
      <c r="D87" s="50"/>
      <c r="E87" s="50"/>
      <c r="F87" s="50"/>
      <c r="G87" s="50"/>
      <c r="H87" s="50"/>
      <c r="I87" s="50"/>
      <c r="J87" s="50"/>
      <c r="K87" s="50"/>
    </row>
    <row r="88" spans="2:11" x14ac:dyDescent="0.2">
      <c r="B88" s="50"/>
      <c r="C88" s="50"/>
      <c r="D88" s="50"/>
      <c r="E88" s="50"/>
      <c r="F88" s="50"/>
      <c r="G88" s="50"/>
      <c r="H88" s="50"/>
      <c r="I88" s="50"/>
      <c r="J88" s="50"/>
      <c r="K88" s="50"/>
    </row>
    <row r="89" spans="2:11" x14ac:dyDescent="0.2">
      <c r="B89" s="50"/>
      <c r="C89" s="50"/>
      <c r="D89" s="50"/>
      <c r="E89" s="50"/>
      <c r="F89" s="50"/>
      <c r="G89" s="50"/>
      <c r="H89" s="50"/>
      <c r="I89" s="50"/>
      <c r="J89" s="50"/>
      <c r="K89" s="50"/>
    </row>
    <row r="90" spans="2:11" x14ac:dyDescent="0.2">
      <c r="B90" s="50"/>
      <c r="C90" s="50"/>
      <c r="D90" s="50"/>
      <c r="E90" s="50"/>
      <c r="F90" s="50"/>
      <c r="G90" s="50"/>
      <c r="H90" s="50"/>
      <c r="I90" s="50"/>
      <c r="J90" s="50"/>
      <c r="K90" s="50"/>
    </row>
    <row r="91" spans="2:11" x14ac:dyDescent="0.2">
      <c r="B91" s="50"/>
      <c r="C91" s="50"/>
      <c r="D91" s="50"/>
      <c r="E91" s="50"/>
      <c r="F91" s="50"/>
      <c r="G91" s="50"/>
      <c r="H91" s="50"/>
      <c r="I91" s="50"/>
      <c r="J91" s="50"/>
      <c r="K91" s="50"/>
    </row>
    <row r="92" spans="2:11" x14ac:dyDescent="0.2">
      <c r="B92" s="50"/>
      <c r="C92" s="50"/>
      <c r="D92" s="50"/>
      <c r="E92" s="50"/>
      <c r="F92" s="50"/>
      <c r="G92" s="50"/>
      <c r="H92" s="50"/>
      <c r="I92" s="50"/>
      <c r="J92" s="50"/>
      <c r="K92" s="50"/>
    </row>
    <row r="93" spans="2:11" x14ac:dyDescent="0.2">
      <c r="B93" s="50"/>
      <c r="C93" s="50"/>
      <c r="D93" s="50"/>
      <c r="E93" s="50"/>
      <c r="F93" s="50"/>
      <c r="G93" s="50"/>
      <c r="H93" s="50"/>
      <c r="I93" s="50"/>
      <c r="J93" s="50"/>
      <c r="K93" s="50"/>
    </row>
    <row r="94" spans="2:11" x14ac:dyDescent="0.2">
      <c r="B94" s="50"/>
      <c r="C94" s="50"/>
      <c r="D94" s="50"/>
      <c r="E94" s="50"/>
      <c r="F94" s="50"/>
      <c r="G94" s="50"/>
      <c r="H94" s="50"/>
      <c r="I94" s="50"/>
      <c r="J94" s="50"/>
      <c r="K94" s="50"/>
    </row>
    <row r="95" spans="2:11" x14ac:dyDescent="0.2">
      <c r="B95" s="50"/>
      <c r="C95" s="50"/>
      <c r="D95" s="50"/>
      <c r="E95" s="50"/>
      <c r="F95" s="50"/>
      <c r="G95" s="50"/>
      <c r="H95" s="50"/>
      <c r="I95" s="50"/>
      <c r="J95" s="50"/>
      <c r="K95" s="50"/>
    </row>
    <row r="96" spans="2:11" x14ac:dyDescent="0.2">
      <c r="B96" s="50"/>
      <c r="C96" s="50"/>
      <c r="D96" s="50"/>
      <c r="E96" s="50"/>
      <c r="F96" s="50"/>
      <c r="G96" s="50"/>
      <c r="H96" s="50"/>
      <c r="I96" s="50"/>
      <c r="J96" s="50"/>
      <c r="K96" s="50"/>
    </row>
    <row r="97" spans="2:11" x14ac:dyDescent="0.2">
      <c r="B97" s="50"/>
      <c r="C97" s="50"/>
      <c r="D97" s="50"/>
      <c r="E97" s="50"/>
      <c r="F97" s="50"/>
      <c r="G97" s="50"/>
      <c r="H97" s="50"/>
      <c r="I97" s="50"/>
      <c r="J97" s="50"/>
      <c r="K97" s="50"/>
    </row>
    <row r="98" spans="2:11" x14ac:dyDescent="0.2">
      <c r="B98" s="50"/>
      <c r="C98" s="50"/>
      <c r="D98" s="50"/>
      <c r="E98" s="50"/>
      <c r="F98" s="50"/>
      <c r="G98" s="50"/>
      <c r="H98" s="50"/>
      <c r="I98" s="50"/>
      <c r="J98" s="50"/>
      <c r="K98" s="50"/>
    </row>
    <row r="99" spans="2:11" x14ac:dyDescent="0.2">
      <c r="B99" s="50"/>
      <c r="C99" s="50"/>
      <c r="D99" s="50"/>
      <c r="E99" s="50"/>
      <c r="F99" s="50"/>
      <c r="G99" s="50"/>
      <c r="H99" s="50"/>
      <c r="I99" s="50"/>
      <c r="J99" s="50"/>
      <c r="K99" s="50"/>
    </row>
    <row r="100" spans="2:11" x14ac:dyDescent="0.2">
      <c r="B100" s="50"/>
      <c r="C100" s="50"/>
      <c r="D100" s="50"/>
      <c r="E100" s="50"/>
      <c r="F100" s="50"/>
      <c r="G100" s="50"/>
      <c r="H100" s="50"/>
      <c r="I100" s="50"/>
      <c r="J100" s="50"/>
      <c r="K100" s="50"/>
    </row>
    <row r="101" spans="2:11" x14ac:dyDescent="0.2">
      <c r="B101" s="50"/>
      <c r="C101" s="50"/>
      <c r="D101" s="50"/>
      <c r="E101" s="50"/>
      <c r="F101" s="50"/>
      <c r="G101" s="50"/>
      <c r="H101" s="50"/>
      <c r="I101" s="50"/>
      <c r="J101" s="50"/>
      <c r="K101" s="50"/>
    </row>
    <row r="102" spans="2:11" x14ac:dyDescent="0.2">
      <c r="B102" s="50"/>
      <c r="C102" s="50"/>
      <c r="D102" s="50"/>
      <c r="E102" s="50"/>
      <c r="F102" s="50"/>
      <c r="G102" s="50"/>
      <c r="H102" s="50"/>
      <c r="I102" s="50"/>
      <c r="J102" s="50"/>
      <c r="K102" s="50"/>
    </row>
    <row r="103" spans="2:11" x14ac:dyDescent="0.2">
      <c r="B103" s="50"/>
      <c r="C103" s="50"/>
      <c r="D103" s="50"/>
      <c r="E103" s="50"/>
      <c r="F103" s="50"/>
      <c r="G103" s="50"/>
      <c r="H103" s="50"/>
      <c r="I103" s="50"/>
      <c r="J103" s="50"/>
      <c r="K103" s="50"/>
    </row>
    <row r="104" spans="2:11" x14ac:dyDescent="0.2">
      <c r="B104" s="50"/>
      <c r="C104" s="50"/>
      <c r="D104" s="50"/>
      <c r="E104" s="50"/>
      <c r="F104" s="50"/>
      <c r="G104" s="50"/>
      <c r="H104" s="50"/>
      <c r="I104" s="50"/>
      <c r="J104" s="50"/>
      <c r="K104" s="50"/>
    </row>
    <row r="105" spans="2:11" x14ac:dyDescent="0.2">
      <c r="B105" s="50"/>
      <c r="C105" s="50"/>
      <c r="D105" s="50"/>
      <c r="E105" s="50"/>
      <c r="F105" s="50"/>
      <c r="G105" s="50"/>
      <c r="H105" s="50"/>
      <c r="I105" s="50"/>
      <c r="J105" s="50"/>
      <c r="K105" s="50"/>
    </row>
    <row r="106" spans="2:11" x14ac:dyDescent="0.2">
      <c r="B106" s="50"/>
      <c r="C106" s="50"/>
      <c r="D106" s="50"/>
      <c r="E106" s="50"/>
      <c r="F106" s="50"/>
      <c r="G106" s="50"/>
      <c r="H106" s="50"/>
      <c r="I106" s="50"/>
      <c r="J106" s="50"/>
      <c r="K106" s="50"/>
    </row>
    <row r="107" spans="2:11" x14ac:dyDescent="0.2">
      <c r="B107" s="50"/>
      <c r="C107" s="50"/>
      <c r="D107" s="50"/>
      <c r="E107" s="50"/>
      <c r="F107" s="50"/>
      <c r="G107" s="50"/>
      <c r="H107" s="50"/>
      <c r="I107" s="50"/>
      <c r="J107" s="50"/>
      <c r="K107" s="50"/>
    </row>
    <row r="108" spans="2:11" x14ac:dyDescent="0.2">
      <c r="B108" s="50"/>
      <c r="C108" s="50"/>
      <c r="D108" s="50"/>
      <c r="E108" s="50"/>
      <c r="F108" s="50"/>
      <c r="G108" s="50"/>
      <c r="H108" s="50"/>
      <c r="I108" s="50"/>
      <c r="J108" s="50"/>
      <c r="K108" s="50"/>
    </row>
    <row r="109" spans="2:11" x14ac:dyDescent="0.2">
      <c r="B109" s="50"/>
      <c r="C109" s="50"/>
      <c r="D109" s="50"/>
      <c r="E109" s="50"/>
      <c r="F109" s="50"/>
      <c r="G109" s="50"/>
      <c r="H109" s="50"/>
      <c r="I109" s="50"/>
      <c r="J109" s="50"/>
      <c r="K109" s="50"/>
    </row>
    <row r="110" spans="2:11" x14ac:dyDescent="0.2">
      <c r="B110" s="50"/>
      <c r="C110" s="50"/>
      <c r="D110" s="50"/>
      <c r="E110" s="50"/>
      <c r="F110" s="50"/>
      <c r="G110" s="50"/>
      <c r="H110" s="50"/>
      <c r="I110" s="50"/>
      <c r="J110" s="50"/>
      <c r="K110" s="50"/>
    </row>
    <row r="111" spans="2:11" x14ac:dyDescent="0.2">
      <c r="B111" s="50"/>
      <c r="C111" s="50"/>
      <c r="D111" s="50"/>
      <c r="E111" s="50"/>
      <c r="F111" s="50"/>
      <c r="G111" s="50"/>
      <c r="H111" s="50"/>
      <c r="I111" s="50"/>
      <c r="J111" s="50"/>
      <c r="K111" s="50"/>
    </row>
    <row r="112" spans="2:11" x14ac:dyDescent="0.2">
      <c r="B112" s="50"/>
      <c r="C112" s="50"/>
      <c r="D112" s="50"/>
      <c r="E112" s="50"/>
      <c r="F112" s="50"/>
      <c r="G112" s="50"/>
      <c r="H112" s="50"/>
      <c r="I112" s="50"/>
      <c r="J112" s="50"/>
      <c r="K112" s="50"/>
    </row>
    <row r="113" spans="2:11" x14ac:dyDescent="0.2">
      <c r="B113" s="50"/>
      <c r="C113" s="50"/>
      <c r="D113" s="50"/>
      <c r="E113" s="50"/>
      <c r="F113" s="50"/>
      <c r="G113" s="50"/>
      <c r="H113" s="50"/>
      <c r="I113" s="50"/>
      <c r="J113" s="50"/>
      <c r="K113" s="50"/>
    </row>
    <row r="114" spans="2:11" x14ac:dyDescent="0.2">
      <c r="B114" s="50"/>
      <c r="C114" s="50"/>
      <c r="D114" s="50"/>
      <c r="E114" s="50"/>
      <c r="F114" s="50"/>
      <c r="G114" s="50"/>
      <c r="H114" s="50"/>
      <c r="I114" s="50"/>
      <c r="J114" s="50"/>
      <c r="K114" s="50"/>
    </row>
    <row r="115" spans="2:11" x14ac:dyDescent="0.2">
      <c r="B115" s="50"/>
      <c r="C115" s="50"/>
      <c r="D115" s="50"/>
      <c r="E115" s="50"/>
      <c r="F115" s="50"/>
      <c r="G115" s="50"/>
      <c r="H115" s="50"/>
      <c r="I115" s="50"/>
      <c r="J115" s="50"/>
      <c r="K115" s="50"/>
    </row>
    <row r="116" spans="2:11" x14ac:dyDescent="0.2">
      <c r="B116" s="50"/>
      <c r="C116" s="50"/>
      <c r="D116" s="50"/>
      <c r="E116" s="50"/>
      <c r="F116" s="50"/>
      <c r="G116" s="50"/>
      <c r="H116" s="50"/>
      <c r="I116" s="50"/>
      <c r="J116" s="50"/>
      <c r="K116" s="50"/>
    </row>
    <row r="117" spans="2:11" x14ac:dyDescent="0.2">
      <c r="B117" s="50"/>
      <c r="C117" s="50"/>
      <c r="D117" s="50"/>
      <c r="E117" s="50"/>
      <c r="F117" s="50"/>
      <c r="G117" s="50"/>
      <c r="H117" s="50"/>
      <c r="I117" s="50"/>
      <c r="J117" s="50"/>
      <c r="K117" s="50"/>
    </row>
    <row r="118" spans="2:11" x14ac:dyDescent="0.2">
      <c r="B118" s="50"/>
      <c r="C118" s="50"/>
      <c r="D118" s="50"/>
      <c r="E118" s="50"/>
      <c r="F118" s="50"/>
      <c r="G118" s="50"/>
      <c r="H118" s="50"/>
      <c r="I118" s="50"/>
      <c r="J118" s="50"/>
      <c r="K118" s="50"/>
    </row>
    <row r="119" spans="2:11" x14ac:dyDescent="0.2">
      <c r="B119" s="50"/>
      <c r="C119" s="50"/>
      <c r="D119" s="50"/>
      <c r="E119" s="50"/>
      <c r="F119" s="50"/>
      <c r="G119" s="50"/>
      <c r="H119" s="50"/>
      <c r="I119" s="50"/>
      <c r="J119" s="50"/>
      <c r="K119" s="50"/>
    </row>
    <row r="120" spans="2:11" x14ac:dyDescent="0.2">
      <c r="B120" s="50"/>
      <c r="C120" s="50"/>
      <c r="D120" s="50"/>
      <c r="E120" s="50"/>
      <c r="F120" s="50"/>
      <c r="G120" s="50"/>
      <c r="H120" s="50"/>
      <c r="I120" s="50"/>
      <c r="J120" s="50"/>
      <c r="K120" s="50"/>
    </row>
    <row r="121" spans="2:11" x14ac:dyDescent="0.2">
      <c r="B121" s="50"/>
      <c r="C121" s="50"/>
      <c r="D121" s="50"/>
      <c r="E121" s="50"/>
      <c r="F121" s="50"/>
      <c r="G121" s="50"/>
      <c r="H121" s="50"/>
      <c r="I121" s="50"/>
      <c r="J121" s="50"/>
      <c r="K121" s="50"/>
    </row>
    <row r="122" spans="2:11" x14ac:dyDescent="0.2">
      <c r="B122" s="50"/>
      <c r="C122" s="50"/>
      <c r="D122" s="50"/>
      <c r="E122" s="50"/>
      <c r="F122" s="50"/>
      <c r="G122" s="50"/>
      <c r="H122" s="50"/>
      <c r="I122" s="50"/>
      <c r="J122" s="50"/>
      <c r="K122" s="50"/>
    </row>
    <row r="123" spans="2:11" x14ac:dyDescent="0.2">
      <c r="B123" s="50"/>
      <c r="C123" s="50"/>
      <c r="D123" s="50"/>
      <c r="E123" s="50"/>
      <c r="F123" s="50"/>
      <c r="G123" s="50"/>
      <c r="H123" s="50"/>
      <c r="I123" s="50"/>
      <c r="J123" s="50"/>
      <c r="K123" s="50"/>
    </row>
    <row r="124" spans="2:11" x14ac:dyDescent="0.2">
      <c r="B124" s="50"/>
      <c r="C124" s="50"/>
      <c r="D124" s="50"/>
      <c r="E124" s="50"/>
      <c r="F124" s="50"/>
      <c r="G124" s="50"/>
      <c r="H124" s="50"/>
      <c r="I124" s="50"/>
      <c r="J124" s="50"/>
      <c r="K124" s="50"/>
    </row>
    <row r="125" spans="2:11" x14ac:dyDescent="0.2">
      <c r="B125" s="50"/>
      <c r="C125" s="50"/>
      <c r="D125" s="50"/>
      <c r="E125" s="50"/>
      <c r="F125" s="50"/>
      <c r="G125" s="50"/>
      <c r="H125" s="50"/>
      <c r="I125" s="50"/>
      <c r="J125" s="50"/>
      <c r="K125" s="50"/>
    </row>
    <row r="126" spans="2:11" x14ac:dyDescent="0.2">
      <c r="B126" s="50"/>
      <c r="C126" s="50"/>
      <c r="D126" s="50"/>
      <c r="E126" s="50"/>
      <c r="F126" s="50"/>
      <c r="G126" s="50"/>
      <c r="H126" s="50"/>
      <c r="I126" s="50"/>
      <c r="J126" s="50"/>
      <c r="K126" s="50"/>
    </row>
    <row r="127" spans="2:11" x14ac:dyDescent="0.2">
      <c r="B127" s="50"/>
      <c r="C127" s="50"/>
      <c r="D127" s="50"/>
      <c r="E127" s="50"/>
      <c r="F127" s="50"/>
      <c r="G127" s="50"/>
      <c r="H127" s="50"/>
      <c r="I127" s="50"/>
      <c r="J127" s="50"/>
      <c r="K127" s="50"/>
    </row>
    <row r="128" spans="2:11" x14ac:dyDescent="0.2">
      <c r="B128" s="50"/>
      <c r="C128" s="50"/>
      <c r="D128" s="50"/>
      <c r="E128" s="50"/>
      <c r="F128" s="50"/>
      <c r="G128" s="50"/>
      <c r="H128" s="50"/>
      <c r="I128" s="50"/>
      <c r="J128" s="50"/>
      <c r="K128" s="50"/>
    </row>
    <row r="129" spans="2:11" x14ac:dyDescent="0.2">
      <c r="B129" s="50"/>
      <c r="C129" s="50"/>
      <c r="D129" s="50"/>
      <c r="E129" s="50"/>
      <c r="F129" s="50"/>
      <c r="G129" s="50"/>
      <c r="H129" s="50"/>
      <c r="I129" s="50"/>
      <c r="J129" s="50"/>
      <c r="K129" s="50"/>
    </row>
    <row r="130" spans="2:11" x14ac:dyDescent="0.2">
      <c r="B130" s="50"/>
      <c r="C130" s="50"/>
      <c r="D130" s="50"/>
      <c r="E130" s="50"/>
      <c r="F130" s="50"/>
      <c r="G130" s="50"/>
      <c r="H130" s="50"/>
      <c r="I130" s="50"/>
      <c r="J130" s="50"/>
      <c r="K130" s="50"/>
    </row>
    <row r="131" spans="2:11" x14ac:dyDescent="0.2">
      <c r="B131" s="50"/>
      <c r="C131" s="50"/>
      <c r="D131" s="50"/>
      <c r="E131" s="50"/>
      <c r="F131" s="50"/>
      <c r="G131" s="50"/>
      <c r="H131" s="50"/>
      <c r="I131" s="50"/>
      <c r="J131" s="50"/>
      <c r="K131" s="50"/>
    </row>
    <row r="132" spans="2:11" x14ac:dyDescent="0.2">
      <c r="B132" s="50"/>
      <c r="C132" s="50"/>
      <c r="D132" s="50"/>
      <c r="E132" s="50"/>
      <c r="F132" s="50"/>
      <c r="G132" s="50"/>
      <c r="H132" s="50"/>
      <c r="I132" s="50"/>
      <c r="J132" s="50"/>
      <c r="K132" s="50"/>
    </row>
    <row r="133" spans="2:11" x14ac:dyDescent="0.2">
      <c r="B133" s="50"/>
      <c r="C133" s="50"/>
      <c r="D133" s="50"/>
      <c r="E133" s="50"/>
      <c r="F133" s="50"/>
      <c r="G133" s="50"/>
      <c r="H133" s="50"/>
      <c r="I133" s="50"/>
      <c r="J133" s="50"/>
      <c r="K133" s="50"/>
    </row>
    <row r="134" spans="2:11" x14ac:dyDescent="0.2">
      <c r="B134" s="50"/>
      <c r="C134" s="50"/>
      <c r="D134" s="50"/>
      <c r="E134" s="50"/>
      <c r="F134" s="50"/>
      <c r="G134" s="50"/>
      <c r="H134" s="50"/>
      <c r="I134" s="50"/>
      <c r="J134" s="50"/>
      <c r="K134" s="50"/>
    </row>
    <row r="135" spans="2:11" x14ac:dyDescent="0.2">
      <c r="B135" s="50"/>
      <c r="C135" s="50"/>
      <c r="D135" s="50"/>
      <c r="E135" s="50"/>
      <c r="F135" s="50"/>
      <c r="G135" s="50"/>
      <c r="H135" s="50"/>
      <c r="I135" s="50"/>
      <c r="J135" s="50"/>
      <c r="K135" s="50"/>
    </row>
    <row r="136" spans="2:11" x14ac:dyDescent="0.2">
      <c r="B136" s="50"/>
      <c r="C136" s="50"/>
      <c r="D136" s="50"/>
      <c r="E136" s="50"/>
      <c r="F136" s="50"/>
      <c r="G136" s="50"/>
      <c r="H136" s="50"/>
      <c r="I136" s="50"/>
      <c r="J136" s="50"/>
      <c r="K136" s="50"/>
    </row>
    <row r="137" spans="2:11" x14ac:dyDescent="0.2">
      <c r="B137" s="50"/>
      <c r="C137" s="50"/>
      <c r="D137" s="50"/>
      <c r="E137" s="50"/>
      <c r="F137" s="50"/>
      <c r="G137" s="50"/>
      <c r="H137" s="50"/>
      <c r="I137" s="50"/>
      <c r="J137" s="50"/>
      <c r="K137" s="50"/>
    </row>
    <row r="138" spans="2:11" x14ac:dyDescent="0.2">
      <c r="B138" s="50"/>
      <c r="C138" s="50"/>
      <c r="D138" s="50"/>
      <c r="E138" s="50"/>
      <c r="F138" s="50"/>
      <c r="G138" s="50"/>
      <c r="H138" s="50"/>
      <c r="I138" s="50"/>
      <c r="J138" s="50"/>
      <c r="K138" s="50"/>
    </row>
    <row r="139" spans="2:11" x14ac:dyDescent="0.2">
      <c r="B139" s="50"/>
      <c r="C139" s="50"/>
      <c r="D139" s="50"/>
      <c r="E139" s="50"/>
      <c r="F139" s="50"/>
      <c r="G139" s="50"/>
      <c r="H139" s="50"/>
      <c r="I139" s="50"/>
      <c r="J139" s="50"/>
      <c r="K139" s="50"/>
    </row>
    <row r="140" spans="2:11" x14ac:dyDescent="0.2">
      <c r="B140" s="50"/>
      <c r="C140" s="50"/>
      <c r="D140" s="50"/>
      <c r="E140" s="50"/>
      <c r="F140" s="50"/>
      <c r="G140" s="50"/>
      <c r="H140" s="50"/>
      <c r="I140" s="50"/>
      <c r="J140" s="50"/>
      <c r="K140" s="50"/>
    </row>
    <row r="141" spans="2:11" x14ac:dyDescent="0.2">
      <c r="B141" s="50"/>
      <c r="C141" s="50"/>
      <c r="D141" s="50"/>
      <c r="E141" s="50"/>
      <c r="F141" s="50"/>
      <c r="G141" s="50"/>
      <c r="H141" s="50"/>
      <c r="I141" s="50"/>
      <c r="J141" s="50"/>
      <c r="K141" s="50"/>
    </row>
    <row r="142" spans="2:11" x14ac:dyDescent="0.2">
      <c r="B142" s="50"/>
      <c r="C142" s="50"/>
      <c r="D142" s="50"/>
      <c r="E142" s="50"/>
      <c r="F142" s="50"/>
      <c r="G142" s="50"/>
      <c r="H142" s="50"/>
      <c r="I142" s="50"/>
      <c r="J142" s="50"/>
      <c r="K142" s="50"/>
    </row>
    <row r="143" spans="2:11" x14ac:dyDescent="0.2">
      <c r="B143" s="50"/>
      <c r="C143" s="50"/>
      <c r="D143" s="50"/>
      <c r="E143" s="50"/>
      <c r="F143" s="50"/>
      <c r="G143" s="50"/>
      <c r="H143" s="50"/>
      <c r="I143" s="50"/>
      <c r="J143" s="50"/>
      <c r="K143" s="50"/>
    </row>
    <row r="144" spans="2:11" x14ac:dyDescent="0.2">
      <c r="B144" s="50"/>
      <c r="C144" s="50"/>
      <c r="D144" s="50"/>
      <c r="E144" s="50"/>
      <c r="F144" s="50"/>
      <c r="G144" s="50"/>
      <c r="H144" s="50"/>
      <c r="I144" s="50"/>
      <c r="J144" s="50"/>
      <c r="K144" s="50"/>
    </row>
    <row r="145" spans="2:11" x14ac:dyDescent="0.2">
      <c r="B145" s="50"/>
      <c r="C145" s="50"/>
      <c r="D145" s="50"/>
      <c r="E145" s="50"/>
      <c r="F145" s="50"/>
      <c r="G145" s="50"/>
      <c r="H145" s="50"/>
      <c r="I145" s="50"/>
      <c r="J145" s="50"/>
      <c r="K145" s="50"/>
    </row>
    <row r="146" spans="2:11" x14ac:dyDescent="0.2">
      <c r="B146" s="50"/>
      <c r="C146" s="50"/>
      <c r="D146" s="50"/>
      <c r="E146" s="50"/>
      <c r="F146" s="50"/>
      <c r="G146" s="50"/>
      <c r="H146" s="50"/>
      <c r="I146" s="50"/>
      <c r="J146" s="50"/>
      <c r="K146" s="50"/>
    </row>
    <row r="147" spans="2:11" x14ac:dyDescent="0.2">
      <c r="B147" s="50"/>
      <c r="C147" s="50"/>
      <c r="D147" s="50"/>
      <c r="E147" s="50"/>
      <c r="F147" s="50"/>
      <c r="G147" s="50"/>
      <c r="H147" s="50"/>
      <c r="I147" s="50"/>
      <c r="J147" s="50"/>
      <c r="K147" s="50"/>
    </row>
    <row r="148" spans="2:11" x14ac:dyDescent="0.2">
      <c r="B148" s="50"/>
      <c r="C148" s="50"/>
      <c r="D148" s="50"/>
      <c r="E148" s="50"/>
      <c r="F148" s="50"/>
      <c r="G148" s="50"/>
      <c r="H148" s="50"/>
      <c r="I148" s="50"/>
      <c r="J148" s="50"/>
      <c r="K148" s="50"/>
    </row>
    <row r="149" spans="2:11" x14ac:dyDescent="0.2">
      <c r="B149" s="50"/>
      <c r="C149" s="50"/>
      <c r="D149" s="50"/>
      <c r="E149" s="50"/>
      <c r="F149" s="50"/>
      <c r="G149" s="50"/>
      <c r="H149" s="50"/>
      <c r="I149" s="50"/>
      <c r="J149" s="50"/>
      <c r="K149" s="50"/>
    </row>
    <row r="150" spans="2:11" x14ac:dyDescent="0.2">
      <c r="B150" s="50"/>
      <c r="C150" s="50"/>
      <c r="D150" s="50"/>
      <c r="E150" s="50"/>
      <c r="F150" s="50"/>
      <c r="G150" s="50"/>
      <c r="H150" s="50"/>
      <c r="I150" s="50"/>
      <c r="J150" s="50"/>
      <c r="K150" s="50"/>
    </row>
    <row r="151" spans="2:11" x14ac:dyDescent="0.2">
      <c r="B151" s="50"/>
      <c r="C151" s="50"/>
      <c r="D151" s="50"/>
      <c r="E151" s="50"/>
      <c r="F151" s="50"/>
      <c r="G151" s="50"/>
      <c r="H151" s="50"/>
      <c r="I151" s="50"/>
      <c r="J151" s="50"/>
      <c r="K151" s="50"/>
    </row>
    <row r="152" spans="2:11" x14ac:dyDescent="0.2">
      <c r="B152" s="50"/>
      <c r="C152" s="50"/>
      <c r="D152" s="50"/>
      <c r="E152" s="50"/>
      <c r="F152" s="50"/>
      <c r="G152" s="50"/>
      <c r="H152" s="50"/>
      <c r="I152" s="50"/>
      <c r="J152" s="50"/>
      <c r="K152" s="50"/>
    </row>
    <row r="153" spans="2:11" x14ac:dyDescent="0.2">
      <c r="B153" s="50"/>
      <c r="C153" s="50"/>
      <c r="D153" s="50"/>
      <c r="E153" s="50"/>
      <c r="F153" s="50"/>
      <c r="G153" s="50"/>
      <c r="H153" s="50"/>
      <c r="I153" s="50"/>
      <c r="J153" s="50"/>
      <c r="K153" s="50"/>
    </row>
    <row r="154" spans="2:11" x14ac:dyDescent="0.2">
      <c r="B154" s="50"/>
      <c r="C154" s="50"/>
      <c r="D154" s="50"/>
      <c r="E154" s="50"/>
      <c r="F154" s="50"/>
      <c r="G154" s="50"/>
      <c r="H154" s="50"/>
      <c r="I154" s="50"/>
      <c r="J154" s="50"/>
      <c r="K154" s="50"/>
    </row>
    <row r="155" spans="2:11" x14ac:dyDescent="0.2">
      <c r="B155" s="50"/>
      <c r="C155" s="50"/>
      <c r="D155" s="50"/>
      <c r="E155" s="50"/>
      <c r="F155" s="50"/>
      <c r="G155" s="50"/>
      <c r="H155" s="50"/>
      <c r="I155" s="50"/>
      <c r="J155" s="50"/>
      <c r="K155" s="50"/>
    </row>
    <row r="156" spans="2:11" x14ac:dyDescent="0.2">
      <c r="B156" s="50"/>
      <c r="C156" s="50"/>
      <c r="D156" s="50"/>
      <c r="E156" s="50"/>
      <c r="F156" s="50"/>
      <c r="G156" s="50"/>
      <c r="H156" s="50"/>
      <c r="I156" s="50"/>
      <c r="J156" s="50"/>
      <c r="K156" s="50"/>
    </row>
    <row r="157" spans="2:11" x14ac:dyDescent="0.2">
      <c r="B157" s="50"/>
      <c r="C157" s="50"/>
      <c r="D157" s="50"/>
      <c r="E157" s="50"/>
      <c r="F157" s="50"/>
      <c r="G157" s="50"/>
      <c r="H157" s="50"/>
      <c r="I157" s="50"/>
      <c r="J157" s="50"/>
      <c r="K157" s="50"/>
    </row>
    <row r="158" spans="2:11" x14ac:dyDescent="0.2">
      <c r="B158" s="50"/>
      <c r="C158" s="50"/>
      <c r="D158" s="50"/>
      <c r="E158" s="50"/>
      <c r="F158" s="50"/>
      <c r="G158" s="50"/>
      <c r="H158" s="50"/>
      <c r="I158" s="50"/>
      <c r="J158" s="50"/>
      <c r="K158" s="50"/>
    </row>
    <row r="159" spans="2:11" x14ac:dyDescent="0.2">
      <c r="B159" s="50"/>
      <c r="C159" s="50"/>
      <c r="D159" s="50"/>
      <c r="E159" s="50"/>
      <c r="F159" s="50"/>
      <c r="G159" s="50"/>
      <c r="H159" s="50"/>
      <c r="I159" s="50"/>
      <c r="J159" s="50"/>
      <c r="K159" s="50"/>
    </row>
    <row r="160" spans="2:11" x14ac:dyDescent="0.2">
      <c r="B160" s="50"/>
      <c r="C160" s="50"/>
      <c r="D160" s="50"/>
      <c r="E160" s="50"/>
      <c r="F160" s="50"/>
      <c r="G160" s="50"/>
      <c r="H160" s="50"/>
      <c r="I160" s="50"/>
      <c r="J160" s="50"/>
      <c r="K160" s="50"/>
    </row>
    <row r="161" spans="2:11" x14ac:dyDescent="0.2">
      <c r="B161" s="50"/>
      <c r="C161" s="50"/>
      <c r="D161" s="50"/>
      <c r="E161" s="50"/>
      <c r="F161" s="50"/>
      <c r="G161" s="50"/>
      <c r="H161" s="50"/>
      <c r="I161" s="50"/>
      <c r="J161" s="50"/>
      <c r="K161" s="50"/>
    </row>
    <row r="162" spans="2:11" x14ac:dyDescent="0.2">
      <c r="B162" s="50"/>
      <c r="C162" s="50"/>
      <c r="D162" s="50"/>
      <c r="E162" s="50"/>
      <c r="F162" s="50"/>
      <c r="G162" s="50"/>
      <c r="H162" s="50"/>
      <c r="I162" s="50"/>
      <c r="J162" s="50"/>
      <c r="K162" s="50"/>
    </row>
    <row r="163" spans="2:11" x14ac:dyDescent="0.2">
      <c r="B163" s="50"/>
      <c r="C163" s="50"/>
      <c r="D163" s="50"/>
      <c r="E163" s="50"/>
      <c r="F163" s="50"/>
      <c r="G163" s="50"/>
      <c r="H163" s="50"/>
      <c r="I163" s="50"/>
      <c r="J163" s="50"/>
      <c r="K163" s="50"/>
    </row>
    <row r="164" spans="2:11" x14ac:dyDescent="0.2">
      <c r="B164" s="50"/>
      <c r="C164" s="50"/>
      <c r="D164" s="50"/>
      <c r="E164" s="50"/>
      <c r="F164" s="50"/>
      <c r="G164" s="50"/>
      <c r="H164" s="50"/>
      <c r="I164" s="50"/>
      <c r="J164" s="50"/>
      <c r="K164" s="50"/>
    </row>
    <row r="165" spans="2:11" x14ac:dyDescent="0.2">
      <c r="B165" s="50"/>
      <c r="C165" s="50"/>
      <c r="D165" s="50"/>
      <c r="E165" s="50"/>
      <c r="F165" s="50"/>
      <c r="G165" s="50"/>
      <c r="H165" s="50"/>
      <c r="I165" s="50"/>
      <c r="J165" s="50"/>
      <c r="K165" s="50"/>
    </row>
    <row r="166" spans="2:11" x14ac:dyDescent="0.2">
      <c r="B166" s="50"/>
      <c r="C166" s="50"/>
      <c r="D166" s="50"/>
      <c r="E166" s="50"/>
      <c r="F166" s="50"/>
      <c r="G166" s="50"/>
      <c r="H166" s="50"/>
      <c r="I166" s="50"/>
      <c r="J166" s="50"/>
      <c r="K166" s="50"/>
    </row>
    <row r="167" spans="2:11" x14ac:dyDescent="0.2">
      <c r="B167" s="50"/>
      <c r="C167" s="50"/>
      <c r="D167" s="50"/>
      <c r="E167" s="50"/>
      <c r="F167" s="50"/>
      <c r="G167" s="50"/>
      <c r="H167" s="50"/>
      <c r="I167" s="50"/>
      <c r="J167" s="50"/>
      <c r="K167" s="50"/>
    </row>
    <row r="168" spans="2:11" x14ac:dyDescent="0.2">
      <c r="B168" s="50"/>
      <c r="C168" s="50"/>
      <c r="D168" s="50"/>
      <c r="E168" s="50"/>
      <c r="F168" s="50"/>
      <c r="G168" s="50"/>
      <c r="H168" s="50"/>
      <c r="I168" s="50"/>
      <c r="J168" s="50"/>
      <c r="K168" s="50"/>
    </row>
    <row r="169" spans="2:11" x14ac:dyDescent="0.2">
      <c r="B169" s="50"/>
      <c r="C169" s="50"/>
      <c r="D169" s="50"/>
      <c r="E169" s="50"/>
      <c r="F169" s="50"/>
      <c r="G169" s="50"/>
      <c r="H169" s="50"/>
      <c r="I169" s="50"/>
      <c r="J169" s="50"/>
      <c r="K169" s="50"/>
    </row>
    <row r="170" spans="2:11" x14ac:dyDescent="0.2">
      <c r="B170" s="50"/>
      <c r="C170" s="50"/>
      <c r="D170" s="50"/>
      <c r="E170" s="50"/>
      <c r="F170" s="50"/>
      <c r="G170" s="50"/>
      <c r="H170" s="50"/>
      <c r="I170" s="50"/>
      <c r="J170" s="50"/>
      <c r="K170" s="50"/>
    </row>
    <row r="171" spans="2:11" x14ac:dyDescent="0.2">
      <c r="B171" s="50"/>
      <c r="C171" s="50"/>
      <c r="D171" s="50"/>
      <c r="E171" s="50"/>
      <c r="F171" s="50"/>
      <c r="G171" s="50"/>
      <c r="H171" s="50"/>
      <c r="I171" s="50"/>
      <c r="J171" s="50"/>
      <c r="K171" s="50"/>
    </row>
    <row r="172" spans="2:11" x14ac:dyDescent="0.2">
      <c r="B172" s="50"/>
      <c r="C172" s="50"/>
      <c r="D172" s="50"/>
      <c r="E172" s="50"/>
      <c r="F172" s="50"/>
      <c r="G172" s="50"/>
      <c r="H172" s="50"/>
      <c r="I172" s="50"/>
      <c r="J172" s="50"/>
      <c r="K172" s="50"/>
    </row>
    <row r="173" spans="2:11" x14ac:dyDescent="0.2">
      <c r="B173" s="50"/>
      <c r="C173" s="50"/>
      <c r="D173" s="50"/>
      <c r="E173" s="50"/>
      <c r="F173" s="50"/>
      <c r="G173" s="50"/>
      <c r="H173" s="50"/>
      <c r="I173" s="50"/>
      <c r="J173" s="50"/>
      <c r="K173" s="50"/>
    </row>
    <row r="174" spans="2:11" x14ac:dyDescent="0.2">
      <c r="B174" s="50"/>
      <c r="C174" s="50"/>
      <c r="D174" s="50"/>
      <c r="E174" s="50"/>
      <c r="F174" s="50"/>
      <c r="G174" s="50"/>
      <c r="H174" s="50"/>
      <c r="I174" s="50"/>
      <c r="J174" s="50"/>
      <c r="K174" s="50"/>
    </row>
    <row r="175" spans="2:11" x14ac:dyDescent="0.2">
      <c r="B175" s="50"/>
      <c r="C175" s="50"/>
      <c r="D175" s="50"/>
      <c r="E175" s="50"/>
      <c r="F175" s="50"/>
      <c r="G175" s="50"/>
      <c r="H175" s="50"/>
      <c r="I175" s="50"/>
      <c r="J175" s="50"/>
      <c r="K175" s="50"/>
    </row>
    <row r="176" spans="2:11" x14ac:dyDescent="0.2">
      <c r="B176" s="50"/>
      <c r="C176" s="50"/>
      <c r="D176" s="50"/>
      <c r="E176" s="50"/>
      <c r="F176" s="50"/>
      <c r="G176" s="50"/>
      <c r="H176" s="50"/>
      <c r="I176" s="50"/>
      <c r="J176" s="50"/>
      <c r="K176" s="50"/>
    </row>
    <row r="177" spans="2:11" x14ac:dyDescent="0.2">
      <c r="B177" s="50"/>
      <c r="C177" s="50"/>
      <c r="D177" s="50"/>
      <c r="E177" s="50"/>
      <c r="F177" s="50"/>
      <c r="G177" s="50"/>
      <c r="H177" s="50"/>
      <c r="I177" s="50"/>
      <c r="J177" s="50"/>
      <c r="K177" s="50"/>
    </row>
    <row r="178" spans="2:11" x14ac:dyDescent="0.2">
      <c r="B178" s="50"/>
      <c r="C178" s="50"/>
      <c r="D178" s="50"/>
      <c r="E178" s="50"/>
      <c r="F178" s="50"/>
      <c r="G178" s="50"/>
      <c r="H178" s="50"/>
      <c r="I178" s="50"/>
      <c r="J178" s="50"/>
      <c r="K178" s="50"/>
    </row>
    <row r="179" spans="2:11" x14ac:dyDescent="0.2">
      <c r="B179" s="50"/>
      <c r="C179" s="50"/>
      <c r="D179" s="50"/>
      <c r="E179" s="50"/>
      <c r="F179" s="50"/>
      <c r="G179" s="50"/>
      <c r="H179" s="50"/>
      <c r="I179" s="50"/>
      <c r="J179" s="50"/>
      <c r="K179" s="50"/>
    </row>
    <row r="180" spans="2:11" x14ac:dyDescent="0.2">
      <c r="B180" s="50"/>
      <c r="C180" s="50"/>
      <c r="D180" s="50"/>
      <c r="E180" s="50"/>
      <c r="F180" s="50"/>
      <c r="G180" s="50"/>
      <c r="H180" s="50"/>
      <c r="I180" s="50"/>
      <c r="J180" s="50"/>
      <c r="K180" s="50"/>
    </row>
    <row r="181" spans="2:11" x14ac:dyDescent="0.2">
      <c r="B181" s="50"/>
      <c r="C181" s="50"/>
      <c r="D181" s="50"/>
      <c r="E181" s="50"/>
      <c r="F181" s="50"/>
      <c r="G181" s="50"/>
      <c r="H181" s="50"/>
      <c r="I181" s="50"/>
      <c r="J181" s="50"/>
      <c r="K181" s="50"/>
    </row>
    <row r="182" spans="2:11" x14ac:dyDescent="0.2">
      <c r="B182" s="50"/>
      <c r="C182" s="50"/>
      <c r="D182" s="50"/>
      <c r="E182" s="50"/>
      <c r="F182" s="50"/>
      <c r="G182" s="50"/>
      <c r="H182" s="50"/>
      <c r="I182" s="50"/>
      <c r="J182" s="50"/>
      <c r="K182" s="50"/>
    </row>
    <row r="183" spans="2:11" x14ac:dyDescent="0.2">
      <c r="B183" s="50"/>
      <c r="C183" s="50"/>
      <c r="D183" s="50"/>
      <c r="E183" s="50"/>
      <c r="F183" s="50"/>
      <c r="G183" s="50"/>
      <c r="H183" s="50"/>
      <c r="I183" s="50"/>
      <c r="J183" s="50"/>
      <c r="K183" s="50"/>
    </row>
    <row r="184" spans="2:11" x14ac:dyDescent="0.2">
      <c r="B184" s="50"/>
      <c r="C184" s="50"/>
      <c r="D184" s="50"/>
      <c r="E184" s="50"/>
      <c r="F184" s="50"/>
      <c r="G184" s="50"/>
      <c r="H184" s="50"/>
      <c r="I184" s="50"/>
      <c r="J184" s="50"/>
      <c r="K184" s="50"/>
    </row>
    <row r="185" spans="2:11" x14ac:dyDescent="0.2">
      <c r="B185" s="50"/>
      <c r="C185" s="50"/>
      <c r="D185" s="50"/>
      <c r="E185" s="50"/>
      <c r="F185" s="50"/>
      <c r="G185" s="50"/>
      <c r="H185" s="50"/>
      <c r="I185" s="50"/>
      <c r="J185" s="50"/>
      <c r="K185" s="50"/>
    </row>
    <row r="186" spans="2:11" x14ac:dyDescent="0.2">
      <c r="B186" s="50"/>
      <c r="C186" s="50"/>
      <c r="D186" s="50"/>
      <c r="E186" s="50"/>
      <c r="F186" s="50"/>
      <c r="G186" s="50"/>
      <c r="H186" s="50"/>
      <c r="I186" s="50"/>
      <c r="J186" s="50"/>
      <c r="K186" s="50"/>
    </row>
    <row r="187" spans="2:11" x14ac:dyDescent="0.2">
      <c r="B187" s="50"/>
      <c r="C187" s="50"/>
      <c r="D187" s="50"/>
      <c r="E187" s="50"/>
      <c r="F187" s="50"/>
      <c r="G187" s="50"/>
      <c r="H187" s="50"/>
      <c r="I187" s="50"/>
      <c r="J187" s="50"/>
      <c r="K187" s="50"/>
    </row>
    <row r="188" spans="2:11" x14ac:dyDescent="0.2">
      <c r="B188" s="50"/>
      <c r="C188" s="50"/>
      <c r="D188" s="50"/>
      <c r="E188" s="50"/>
      <c r="F188" s="50"/>
      <c r="G188" s="50"/>
      <c r="H188" s="50"/>
      <c r="I188" s="50"/>
      <c r="J188" s="50"/>
      <c r="K188" s="50"/>
    </row>
    <row r="189" spans="2:11" x14ac:dyDescent="0.2">
      <c r="B189" s="50"/>
      <c r="C189" s="50"/>
      <c r="D189" s="50"/>
      <c r="E189" s="50"/>
      <c r="F189" s="50"/>
      <c r="G189" s="50"/>
      <c r="H189" s="50"/>
      <c r="I189" s="50"/>
      <c r="J189" s="50"/>
      <c r="K189" s="50"/>
    </row>
    <row r="190" spans="2:11" x14ac:dyDescent="0.2">
      <c r="B190" s="50"/>
      <c r="C190" s="50"/>
      <c r="D190" s="50"/>
      <c r="E190" s="50"/>
      <c r="F190" s="50"/>
      <c r="G190" s="50"/>
      <c r="H190" s="50"/>
      <c r="I190" s="50"/>
    </row>
    <row r="191" spans="2:11" x14ac:dyDescent="0.2">
      <c r="B191" s="50"/>
      <c r="C191" s="50"/>
      <c r="D191" s="50"/>
      <c r="E191" s="50"/>
      <c r="F191" s="50"/>
      <c r="G191" s="50"/>
      <c r="H191" s="50"/>
      <c r="I191" s="50"/>
    </row>
    <row r="192" spans="2:11" x14ac:dyDescent="0.2">
      <c r="B192" s="50"/>
      <c r="C192" s="50"/>
      <c r="D192" s="50"/>
      <c r="E192" s="50"/>
      <c r="F192" s="50"/>
      <c r="G192" s="50"/>
      <c r="H192" s="50"/>
      <c r="I192" s="50"/>
    </row>
    <row r="193" spans="2:9" x14ac:dyDescent="0.2">
      <c r="B193" s="50"/>
      <c r="C193" s="50"/>
      <c r="D193" s="50"/>
      <c r="E193" s="50"/>
      <c r="F193" s="50"/>
      <c r="G193" s="50"/>
      <c r="H193" s="50"/>
      <c r="I193" s="50"/>
    </row>
    <row r="194" spans="2:9" x14ac:dyDescent="0.2">
      <c r="B194" s="50"/>
      <c r="C194" s="50"/>
      <c r="D194" s="50"/>
      <c r="E194" s="50"/>
      <c r="F194" s="50"/>
      <c r="G194" s="50"/>
      <c r="H194" s="50"/>
      <c r="I194" s="50"/>
    </row>
    <row r="195" spans="2:9" x14ac:dyDescent="0.2">
      <c r="B195" s="50"/>
      <c r="C195" s="50"/>
      <c r="D195" s="50"/>
      <c r="E195" s="50"/>
      <c r="F195" s="50"/>
      <c r="G195" s="50"/>
      <c r="H195" s="50"/>
      <c r="I195" s="50"/>
    </row>
    <row r="196" spans="2:9" x14ac:dyDescent="0.2">
      <c r="B196" s="50"/>
      <c r="C196" s="50"/>
      <c r="D196" s="50"/>
      <c r="E196" s="50"/>
      <c r="F196" s="50"/>
      <c r="G196" s="50"/>
      <c r="H196" s="50"/>
      <c r="I196" s="50"/>
    </row>
    <row r="197" spans="2:9" x14ac:dyDescent="0.2">
      <c r="B197" s="50"/>
      <c r="C197" s="50"/>
      <c r="D197" s="50"/>
      <c r="E197" s="50"/>
      <c r="F197" s="50"/>
      <c r="G197" s="50"/>
      <c r="H197" s="50"/>
      <c r="I197" s="50"/>
    </row>
    <row r="198" spans="2:9" x14ac:dyDescent="0.2">
      <c r="B198" s="50"/>
      <c r="C198" s="50"/>
      <c r="D198" s="50"/>
      <c r="E198" s="50"/>
      <c r="F198" s="50"/>
      <c r="G198" s="50"/>
      <c r="H198" s="50"/>
      <c r="I198" s="50"/>
    </row>
    <row r="199" spans="2:9" x14ac:dyDescent="0.2">
      <c r="B199" s="50"/>
      <c r="C199" s="50"/>
      <c r="D199" s="50"/>
      <c r="E199" s="50"/>
      <c r="F199" s="50"/>
      <c r="G199" s="50"/>
      <c r="H199" s="50"/>
      <c r="I199" s="50"/>
    </row>
    <row r="200" spans="2:9" x14ac:dyDescent="0.2">
      <c r="B200" s="50"/>
      <c r="C200" s="50"/>
      <c r="D200" s="50"/>
      <c r="E200" s="50"/>
      <c r="F200" s="50"/>
      <c r="G200" s="50"/>
      <c r="H200" s="50"/>
      <c r="I200" s="50"/>
    </row>
    <row r="201" spans="2:9" x14ac:dyDescent="0.2">
      <c r="B201" s="50"/>
      <c r="C201" s="50"/>
      <c r="D201" s="50"/>
      <c r="E201" s="50"/>
      <c r="F201" s="50"/>
      <c r="G201" s="50"/>
      <c r="H201" s="50"/>
      <c r="I201" s="50"/>
    </row>
    <row r="202" spans="2:9" x14ac:dyDescent="0.2">
      <c r="B202" s="50"/>
      <c r="C202" s="50"/>
      <c r="D202" s="50"/>
      <c r="E202" s="50"/>
      <c r="F202" s="50"/>
      <c r="G202" s="50"/>
      <c r="H202" s="50"/>
      <c r="I202" s="50"/>
    </row>
    <row r="203" spans="2:9" x14ac:dyDescent="0.2">
      <c r="B203" s="50"/>
      <c r="C203" s="50"/>
      <c r="D203" s="50"/>
      <c r="E203" s="50"/>
      <c r="F203" s="50"/>
      <c r="G203" s="50"/>
      <c r="H203" s="50"/>
      <c r="I203" s="50"/>
    </row>
    <row r="204" spans="2:9" x14ac:dyDescent="0.2">
      <c r="B204" s="50"/>
      <c r="C204" s="50"/>
      <c r="D204" s="50"/>
      <c r="E204" s="50"/>
      <c r="F204" s="50"/>
      <c r="G204" s="50"/>
      <c r="H204" s="50"/>
      <c r="I204" s="50"/>
    </row>
    <row r="205" spans="2:9" x14ac:dyDescent="0.2">
      <c r="B205" s="50"/>
      <c r="C205" s="50"/>
      <c r="D205" s="50"/>
      <c r="E205" s="50"/>
      <c r="F205" s="50"/>
      <c r="G205" s="50"/>
      <c r="H205" s="50"/>
      <c r="I205" s="50"/>
    </row>
    <row r="206" spans="2:9" x14ac:dyDescent="0.2">
      <c r="B206" s="50"/>
      <c r="C206" s="50"/>
      <c r="D206" s="50"/>
      <c r="E206" s="50"/>
      <c r="F206" s="50"/>
      <c r="G206" s="50"/>
      <c r="H206" s="50"/>
      <c r="I206" s="50"/>
    </row>
    <row r="207" spans="2:9" x14ac:dyDescent="0.2">
      <c r="B207" s="50"/>
      <c r="C207" s="50"/>
      <c r="D207" s="50"/>
      <c r="E207" s="50"/>
      <c r="F207" s="50"/>
      <c r="G207" s="50"/>
      <c r="H207" s="50"/>
      <c r="I207" s="50"/>
    </row>
    <row r="208" spans="2:9" x14ac:dyDescent="0.2">
      <c r="B208" s="50"/>
      <c r="C208" s="50"/>
      <c r="D208" s="50"/>
      <c r="E208" s="50"/>
    </row>
    <row r="209" spans="2:5" x14ac:dyDescent="0.2">
      <c r="B209" s="50"/>
      <c r="C209" s="50"/>
      <c r="D209" s="50"/>
      <c r="E209" s="50"/>
    </row>
    <row r="210" spans="2:5" x14ac:dyDescent="0.2">
      <c r="B210" s="50"/>
      <c r="C210" s="50"/>
      <c r="D210" s="50"/>
      <c r="E210" s="50"/>
    </row>
    <row r="211" spans="2:5" x14ac:dyDescent="0.2">
      <c r="B211" s="50"/>
      <c r="C211" s="50"/>
      <c r="D211" s="50"/>
      <c r="E211" s="50"/>
    </row>
    <row r="212" spans="2:5" x14ac:dyDescent="0.2">
      <c r="B212" s="50"/>
      <c r="C212" s="50"/>
      <c r="D212" s="50"/>
      <c r="E212" s="50"/>
    </row>
    <row r="213" spans="2:5" x14ac:dyDescent="0.2">
      <c r="B213" s="50"/>
      <c r="C213" s="50"/>
      <c r="D213" s="50"/>
      <c r="E213" s="50"/>
    </row>
    <row r="214" spans="2:5" x14ac:dyDescent="0.2">
      <c r="B214" s="50"/>
      <c r="C214" s="50"/>
      <c r="D214" s="50"/>
      <c r="E214" s="50"/>
    </row>
    <row r="215" spans="2:5" x14ac:dyDescent="0.2">
      <c r="B215" s="50"/>
      <c r="C215" s="50"/>
      <c r="D215" s="50"/>
      <c r="E215" s="50"/>
    </row>
  </sheetData>
  <mergeCells count="4">
    <mergeCell ref="B14:D14"/>
    <mergeCell ref="E2:G2"/>
    <mergeCell ref="I2:J2"/>
    <mergeCell ref="F14:H1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CR388"/>
  <sheetViews>
    <sheetView zoomScale="70" zoomScaleNormal="70" workbookViewId="0"/>
  </sheetViews>
  <sheetFormatPr defaultRowHeight="15" x14ac:dyDescent="0.25"/>
  <cols>
    <col min="1" max="1" width="60.5703125" customWidth="1"/>
    <col min="2" max="2" width="33.42578125" bestFit="1" customWidth="1"/>
    <col min="3" max="3" width="27" bestFit="1" customWidth="1"/>
    <col min="4" max="4" width="21.7109375" customWidth="1"/>
    <col min="5" max="5" width="18.7109375" customWidth="1"/>
    <col min="6" max="6" width="25.28515625" customWidth="1"/>
    <col min="7" max="7" width="25.28515625" style="35" customWidth="1"/>
    <col min="8" max="8" width="25.42578125" customWidth="1"/>
    <col min="9" max="9" width="14" customWidth="1"/>
    <col min="10" max="10" width="21.7109375" customWidth="1"/>
    <col min="11" max="11" width="17.42578125" customWidth="1"/>
    <col min="12" max="12" width="20.5703125" customWidth="1"/>
    <col min="13" max="13" width="15.28515625" customWidth="1"/>
    <col min="14" max="14" width="13.42578125" customWidth="1"/>
    <col min="15" max="16" width="9.7109375" bestFit="1" customWidth="1"/>
    <col min="17" max="18" width="12.28515625" bestFit="1" customWidth="1"/>
    <col min="19" max="19" width="14" bestFit="1" customWidth="1"/>
    <col min="20" max="20" width="11.28515625" bestFit="1" customWidth="1"/>
    <col min="21" max="22" width="12.28515625" bestFit="1" customWidth="1"/>
    <col min="23" max="23" width="15.5703125" customWidth="1"/>
    <col min="24" max="24" width="14.7109375" customWidth="1"/>
    <col min="25" max="25" width="14" bestFit="1" customWidth="1"/>
    <col min="26" max="29" width="11.28515625" bestFit="1" customWidth="1"/>
    <col min="30" max="30" width="13.42578125" customWidth="1"/>
    <col min="31" max="31" width="14.7109375" bestFit="1" customWidth="1"/>
    <col min="32" max="35" width="12.28515625" bestFit="1" customWidth="1"/>
    <col min="36" max="36" width="15.5703125" customWidth="1"/>
    <col min="37" max="37" width="13.7109375" bestFit="1" customWidth="1"/>
    <col min="38" max="41" width="12.28515625" bestFit="1" customWidth="1"/>
    <col min="42" max="42" width="13.5703125" customWidth="1"/>
    <col min="43" max="43" width="17.28515625" customWidth="1"/>
    <col min="44" max="46" width="11.28515625" bestFit="1" customWidth="1"/>
    <col min="47" max="47" width="13.7109375" customWidth="1"/>
    <col min="48" max="48" width="26.42578125" customWidth="1"/>
    <col min="90" max="90" width="16.7109375" customWidth="1"/>
    <col min="91" max="91" width="17.28515625" customWidth="1"/>
    <col min="92" max="92" width="20.7109375" customWidth="1"/>
    <col min="93" max="93" width="14.42578125" customWidth="1"/>
    <col min="94" max="94" width="17.28515625" customWidth="1"/>
    <col min="116" max="120" width="8.7109375" customWidth="1"/>
  </cols>
  <sheetData>
    <row r="1" spans="1:96" ht="15.75" thickBot="1" x14ac:dyDescent="0.3">
      <c r="G1" s="766"/>
    </row>
    <row r="2" spans="1:96" ht="18" customHeight="1" x14ac:dyDescent="0.25">
      <c r="A2" s="863" t="s">
        <v>847</v>
      </c>
      <c r="B2" s="1018" t="s">
        <v>748</v>
      </c>
      <c r="C2" s="1018"/>
      <c r="D2" s="1018"/>
      <c r="E2" s="1018"/>
      <c r="F2" s="1018"/>
      <c r="G2" s="1018"/>
      <c r="H2" s="1019" t="s">
        <v>430</v>
      </c>
      <c r="I2" s="1019"/>
      <c r="J2" s="1019"/>
      <c r="K2" s="1019"/>
      <c r="L2" s="1019"/>
      <c r="M2" s="1019"/>
      <c r="N2" s="1020" t="s">
        <v>431</v>
      </c>
      <c r="O2" s="1020"/>
      <c r="P2" s="1020"/>
      <c r="Q2" s="1020"/>
      <c r="R2" s="1020"/>
      <c r="S2" s="1020"/>
      <c r="T2" s="1021" t="s">
        <v>432</v>
      </c>
      <c r="U2" s="1021"/>
      <c r="V2" s="1021"/>
      <c r="W2" s="1021"/>
      <c r="X2" s="1021"/>
      <c r="Y2" s="1021"/>
      <c r="Z2" s="1022" t="s">
        <v>433</v>
      </c>
      <c r="AA2" s="1022"/>
      <c r="AB2" s="1022"/>
      <c r="AC2" s="1022"/>
      <c r="AD2" s="1022"/>
      <c r="AE2" s="1022"/>
      <c r="AF2" s="1016" t="s">
        <v>434</v>
      </c>
      <c r="AG2" s="1016"/>
      <c r="AH2" s="1016"/>
      <c r="AI2" s="1016"/>
      <c r="AJ2" s="1016"/>
      <c r="AK2" s="1016"/>
      <c r="AL2" s="1017" t="s">
        <v>435</v>
      </c>
      <c r="AM2" s="1017"/>
      <c r="AN2" s="1017"/>
      <c r="AO2" s="1017"/>
      <c r="AP2" s="1017"/>
      <c r="AQ2" s="1017"/>
      <c r="AR2" s="1014" t="s">
        <v>436</v>
      </c>
      <c r="AS2" s="1014"/>
      <c r="AT2" s="1014"/>
      <c r="AU2" s="1014"/>
      <c r="AV2" s="1015"/>
    </row>
    <row r="3" spans="1:96" ht="18" customHeight="1" thickBot="1" x14ac:dyDescent="0.3">
      <c r="A3" s="913"/>
      <c r="B3" s="540">
        <v>2015</v>
      </c>
      <c r="C3" s="540">
        <v>2016</v>
      </c>
      <c r="D3" s="540">
        <v>2017</v>
      </c>
      <c r="E3" s="540">
        <v>2018</v>
      </c>
      <c r="F3" s="540">
        <v>2019</v>
      </c>
      <c r="G3" s="540" t="s">
        <v>844</v>
      </c>
      <c r="H3" s="540">
        <v>2015</v>
      </c>
      <c r="I3" s="540">
        <v>2016</v>
      </c>
      <c r="J3" s="540">
        <v>2017</v>
      </c>
      <c r="K3" s="540">
        <v>2018</v>
      </c>
      <c r="L3" s="540">
        <v>2019</v>
      </c>
      <c r="M3" s="540" t="s">
        <v>845</v>
      </c>
      <c r="N3" s="540">
        <v>2015</v>
      </c>
      <c r="O3" s="540">
        <v>2016</v>
      </c>
      <c r="P3" s="540">
        <v>2017</v>
      </c>
      <c r="Q3" s="540">
        <v>2018</v>
      </c>
      <c r="R3" s="540">
        <v>2019</v>
      </c>
      <c r="S3" s="540" t="s">
        <v>845</v>
      </c>
      <c r="T3" s="540">
        <v>2015</v>
      </c>
      <c r="U3" s="540">
        <v>2016</v>
      </c>
      <c r="V3" s="540">
        <v>2017</v>
      </c>
      <c r="W3" s="540">
        <v>2018</v>
      </c>
      <c r="X3" s="540">
        <v>2019</v>
      </c>
      <c r="Y3" s="540" t="s">
        <v>845</v>
      </c>
      <c r="Z3" s="540">
        <v>2015</v>
      </c>
      <c r="AA3" s="540">
        <v>2016</v>
      </c>
      <c r="AB3" s="540">
        <v>2017</v>
      </c>
      <c r="AC3" s="540">
        <v>2018</v>
      </c>
      <c r="AD3" s="540">
        <v>2019</v>
      </c>
      <c r="AE3" s="540" t="s">
        <v>845</v>
      </c>
      <c r="AF3" s="540">
        <v>2015</v>
      </c>
      <c r="AG3" s="540">
        <v>2016</v>
      </c>
      <c r="AH3" s="540">
        <v>2017</v>
      </c>
      <c r="AI3" s="540">
        <v>2018</v>
      </c>
      <c r="AJ3" s="540">
        <v>2019</v>
      </c>
      <c r="AK3" s="540" t="s">
        <v>845</v>
      </c>
      <c r="AL3" s="540">
        <v>2015</v>
      </c>
      <c r="AM3" s="540">
        <v>2016</v>
      </c>
      <c r="AN3" s="540">
        <v>2017</v>
      </c>
      <c r="AO3" s="540">
        <v>2018</v>
      </c>
      <c r="AP3" s="540">
        <v>2019</v>
      </c>
      <c r="AQ3" s="540" t="s">
        <v>845</v>
      </c>
      <c r="AR3" s="540">
        <v>2015</v>
      </c>
      <c r="AS3" s="540">
        <v>2016</v>
      </c>
      <c r="AT3" s="540">
        <v>2017</v>
      </c>
      <c r="AU3" s="540">
        <v>2018</v>
      </c>
      <c r="AV3" s="914">
        <v>2019</v>
      </c>
    </row>
    <row r="4" spans="1:96" s="732" customFormat="1" ht="18.75" thickBot="1" x14ac:dyDescent="0.3">
      <c r="A4" s="915" t="s">
        <v>846</v>
      </c>
      <c r="B4" s="865"/>
      <c r="C4" s="865"/>
      <c r="D4" s="865"/>
      <c r="E4" s="865"/>
      <c r="F4" s="865"/>
      <c r="G4" s="865"/>
      <c r="H4" s="865"/>
      <c r="I4" s="865"/>
      <c r="J4" s="865"/>
      <c r="K4" s="865"/>
      <c r="L4" s="865"/>
      <c r="M4" s="865"/>
      <c r="N4" s="865"/>
      <c r="O4" s="865"/>
      <c r="P4" s="865"/>
      <c r="Q4" s="865"/>
      <c r="R4" s="865"/>
      <c r="S4" s="865"/>
      <c r="T4" s="865"/>
      <c r="U4" s="865"/>
      <c r="V4" s="865"/>
      <c r="W4" s="865"/>
      <c r="X4" s="865"/>
      <c r="Y4" s="865"/>
      <c r="Z4" s="865"/>
      <c r="AA4" s="865"/>
      <c r="AB4" s="865"/>
      <c r="AC4" s="865"/>
      <c r="AD4" s="865"/>
      <c r="AE4" s="865"/>
      <c r="AF4" s="865"/>
      <c r="AG4" s="865"/>
      <c r="AH4" s="865"/>
      <c r="AI4" s="865"/>
      <c r="AJ4" s="865"/>
      <c r="AK4" s="865"/>
      <c r="AL4" s="865"/>
      <c r="AM4" s="865"/>
      <c r="AN4" s="865"/>
      <c r="AO4" s="865"/>
      <c r="AP4" s="865"/>
      <c r="AQ4" s="865"/>
      <c r="AR4" s="865"/>
      <c r="AS4" s="865"/>
      <c r="AT4" s="865"/>
      <c r="AU4" s="865"/>
      <c r="AV4" s="872"/>
      <c r="CQ4" s="912"/>
    </row>
    <row r="5" spans="1:96" s="732" customFormat="1" x14ac:dyDescent="0.25">
      <c r="A5" s="916" t="s">
        <v>438</v>
      </c>
      <c r="B5" s="865"/>
      <c r="C5" s="865"/>
      <c r="D5" s="865"/>
      <c r="E5" s="865"/>
      <c r="F5" s="865"/>
      <c r="G5" s="865"/>
      <c r="H5" s="865"/>
      <c r="I5" s="865"/>
      <c r="J5" s="865"/>
      <c r="K5" s="865"/>
      <c r="L5" s="865"/>
      <c r="M5" s="865"/>
      <c r="N5" s="865"/>
      <c r="O5" s="865"/>
      <c r="P5" s="865"/>
      <c r="Q5" s="865"/>
      <c r="R5" s="865"/>
      <c r="S5" s="865"/>
      <c r="T5" s="865"/>
      <c r="U5" s="865"/>
      <c r="V5" s="865"/>
      <c r="W5" s="865"/>
      <c r="X5" s="865"/>
      <c r="Y5" s="865"/>
      <c r="Z5" s="865"/>
      <c r="AA5" s="865"/>
      <c r="AB5" s="865"/>
      <c r="AC5" s="865"/>
      <c r="AD5" s="865"/>
      <c r="AE5" s="865"/>
      <c r="AF5" s="865"/>
      <c r="AG5" s="865"/>
      <c r="AH5" s="865"/>
      <c r="AI5" s="865"/>
      <c r="AJ5" s="865"/>
      <c r="AK5" s="865"/>
      <c r="AL5" s="865"/>
      <c r="AM5" s="865"/>
      <c r="AN5" s="865"/>
      <c r="AO5" s="865"/>
      <c r="AP5" s="865"/>
      <c r="AQ5" s="865"/>
      <c r="AR5" s="865"/>
      <c r="AS5" s="865"/>
      <c r="AT5" s="865"/>
      <c r="AU5" s="865"/>
      <c r="AV5" s="872"/>
    </row>
    <row r="6" spans="1:96" s="732" customFormat="1" x14ac:dyDescent="0.25">
      <c r="A6" s="916" t="s">
        <v>439</v>
      </c>
      <c r="B6" s="865">
        <v>146304.897</v>
      </c>
      <c r="C6" s="865">
        <v>134796.57399999999</v>
      </c>
      <c r="D6" s="865">
        <v>119238.246</v>
      </c>
      <c r="E6" s="865">
        <v>123742.86900000001</v>
      </c>
      <c r="F6" s="865">
        <v>229667.07199999999</v>
      </c>
      <c r="G6" s="865">
        <v>366923.18</v>
      </c>
      <c r="H6" s="865">
        <v>35885.957999999999</v>
      </c>
      <c r="I6" s="865">
        <v>46643.173999999999</v>
      </c>
      <c r="J6" s="865">
        <v>42363.752999999997</v>
      </c>
      <c r="K6" s="865">
        <v>39236.762000000002</v>
      </c>
      <c r="L6" s="865">
        <v>55806.906999999999</v>
      </c>
      <c r="M6" s="865">
        <v>60564.45</v>
      </c>
      <c r="N6" s="865">
        <v>23822.256000000001</v>
      </c>
      <c r="O6" s="865">
        <v>27211.659</v>
      </c>
      <c r="P6" s="865">
        <v>41474.123</v>
      </c>
      <c r="Q6" s="865">
        <v>45850.97</v>
      </c>
      <c r="R6" s="865">
        <v>49157.269</v>
      </c>
      <c r="S6" s="865">
        <v>70949</v>
      </c>
      <c r="T6" s="865">
        <v>17358.401000000002</v>
      </c>
      <c r="U6" s="865">
        <v>24601.518</v>
      </c>
      <c r="V6" s="865">
        <v>19393.486000000001</v>
      </c>
      <c r="W6" s="865">
        <v>21345.325000000001</v>
      </c>
      <c r="X6" s="865">
        <v>24194.884999999998</v>
      </c>
      <c r="Y6" s="865">
        <v>42422.163</v>
      </c>
      <c r="Z6" s="865">
        <v>5995.47</v>
      </c>
      <c r="AA6" s="865">
        <v>5769.6750000000002</v>
      </c>
      <c r="AB6" s="865">
        <v>9186.2129999999997</v>
      </c>
      <c r="AC6" s="865">
        <v>12713.954</v>
      </c>
      <c r="AD6" s="865">
        <v>16309.8</v>
      </c>
      <c r="AE6" s="865">
        <v>28677.705999999998</v>
      </c>
      <c r="AF6" s="865">
        <v>66410.645999999993</v>
      </c>
      <c r="AG6" s="865">
        <v>96574.596000000005</v>
      </c>
      <c r="AH6" s="865">
        <v>104616.35799999999</v>
      </c>
      <c r="AI6" s="865">
        <v>75296.758000000002</v>
      </c>
      <c r="AJ6" s="865">
        <v>33594.110999999997</v>
      </c>
      <c r="AK6" s="865">
        <v>117343.72900000001</v>
      </c>
      <c r="AL6" s="865">
        <v>59424.548999999999</v>
      </c>
      <c r="AM6" s="865">
        <v>38670.241000000002</v>
      </c>
      <c r="AN6" s="865">
        <v>37914.190999999999</v>
      </c>
      <c r="AO6" s="865">
        <v>23200.001</v>
      </c>
      <c r="AP6" s="865">
        <v>13738.130999999999</v>
      </c>
      <c r="AQ6" s="865">
        <v>48394.847000000002</v>
      </c>
      <c r="AR6" s="865">
        <v>21798.271000000001</v>
      </c>
      <c r="AS6" s="865">
        <v>16246.916999999999</v>
      </c>
      <c r="AT6" s="865">
        <v>25399.578000000001</v>
      </c>
      <c r="AU6" s="865">
        <v>213815.81299999999</v>
      </c>
      <c r="AV6" s="872">
        <v>31443.776999999998</v>
      </c>
    </row>
    <row r="7" spans="1:96" s="732" customFormat="1" x14ac:dyDescent="0.25">
      <c r="A7" s="916" t="s">
        <v>440</v>
      </c>
      <c r="B7" s="865">
        <v>207568.823</v>
      </c>
      <c r="C7" s="865">
        <v>311530.27</v>
      </c>
      <c r="D7" s="865">
        <v>420029.08799999999</v>
      </c>
      <c r="E7" s="865">
        <v>512564.522</v>
      </c>
      <c r="F7" s="865">
        <v>493775.34600000002</v>
      </c>
      <c r="G7" s="865">
        <v>490161.81800000003</v>
      </c>
      <c r="H7" s="865">
        <v>68709.047999999995</v>
      </c>
      <c r="I7" s="865">
        <v>77667.275999999998</v>
      </c>
      <c r="J7" s="865">
        <v>119006.77899999999</v>
      </c>
      <c r="K7" s="865">
        <v>118320.811</v>
      </c>
      <c r="L7" s="865">
        <v>131619.72500000001</v>
      </c>
      <c r="M7" s="865">
        <v>134637.704</v>
      </c>
      <c r="N7" s="865">
        <v>104953.637</v>
      </c>
      <c r="O7" s="865">
        <v>93910.902000000002</v>
      </c>
      <c r="P7" s="865">
        <v>119522.264</v>
      </c>
      <c r="Q7" s="865">
        <v>153306.38</v>
      </c>
      <c r="R7" s="865">
        <v>177921.837</v>
      </c>
      <c r="S7" s="865">
        <v>187809</v>
      </c>
      <c r="T7" s="865">
        <v>47644.69</v>
      </c>
      <c r="U7" s="865">
        <v>66785.266000000003</v>
      </c>
      <c r="V7" s="865">
        <v>71203.055999999997</v>
      </c>
      <c r="W7" s="865">
        <v>75011.975999999995</v>
      </c>
      <c r="X7" s="865">
        <v>75443.712</v>
      </c>
      <c r="Y7" s="865">
        <v>81205.472999999998</v>
      </c>
      <c r="Z7" s="865">
        <v>12473.797</v>
      </c>
      <c r="AA7" s="865">
        <v>16128.913</v>
      </c>
      <c r="AB7" s="865">
        <v>31313.403999999999</v>
      </c>
      <c r="AC7" s="865">
        <v>62907.203999999998</v>
      </c>
      <c r="AD7" s="865">
        <v>51309.966999999997</v>
      </c>
      <c r="AE7" s="865">
        <v>77758.932000000001</v>
      </c>
      <c r="AF7" s="865">
        <v>19778.998</v>
      </c>
      <c r="AG7" s="865">
        <v>31972.463</v>
      </c>
      <c r="AH7" s="865">
        <v>84297.519</v>
      </c>
      <c r="AI7" s="865">
        <v>103483.40399999999</v>
      </c>
      <c r="AJ7" s="865">
        <v>153117.09899999999</v>
      </c>
      <c r="AK7" s="865">
        <v>118060.806</v>
      </c>
      <c r="AL7" s="865">
        <v>42056.148999999998</v>
      </c>
      <c r="AM7" s="865">
        <v>56720.714</v>
      </c>
      <c r="AN7" s="865">
        <v>55605.165999999997</v>
      </c>
      <c r="AO7" s="865">
        <v>85835.618000000002</v>
      </c>
      <c r="AP7" s="865">
        <v>87512.376999999993</v>
      </c>
      <c r="AQ7" s="865">
        <v>78156.649999999994</v>
      </c>
      <c r="AR7" s="865">
        <v>20286.652999999998</v>
      </c>
      <c r="AS7" s="865">
        <v>32316.678</v>
      </c>
      <c r="AT7" s="865">
        <v>45601.317000000003</v>
      </c>
      <c r="AU7" s="865">
        <v>78659.697</v>
      </c>
      <c r="AV7" s="872">
        <v>115537.15</v>
      </c>
    </row>
    <row r="8" spans="1:96" s="732" customFormat="1" x14ac:dyDescent="0.25">
      <c r="A8" s="916" t="s">
        <v>441</v>
      </c>
      <c r="B8" s="865">
        <v>375909.76199999999</v>
      </c>
      <c r="C8" s="865">
        <v>466047.61200000002</v>
      </c>
      <c r="D8" s="865">
        <v>572126.79299999995</v>
      </c>
      <c r="E8" s="865">
        <v>679823.57900000003</v>
      </c>
      <c r="F8" s="865">
        <v>794816.92799999996</v>
      </c>
      <c r="G8" s="865">
        <v>1329141.9569999999</v>
      </c>
      <c r="H8" s="865">
        <v>174230.745</v>
      </c>
      <c r="I8" s="865">
        <v>181993.64</v>
      </c>
      <c r="J8" s="865">
        <v>218861.16800000001</v>
      </c>
      <c r="K8" s="865">
        <v>216833.26800000001</v>
      </c>
      <c r="L8" s="865">
        <v>284464.01299999998</v>
      </c>
      <c r="M8" s="865">
        <v>308419.84899999999</v>
      </c>
      <c r="N8" s="865">
        <v>157131.182</v>
      </c>
      <c r="O8" s="865">
        <v>152133.399</v>
      </c>
      <c r="P8" s="865">
        <v>184993.88099999999</v>
      </c>
      <c r="Q8" s="865">
        <v>231822.753</v>
      </c>
      <c r="R8" s="865">
        <v>264638.61800000002</v>
      </c>
      <c r="S8" s="865">
        <v>297787</v>
      </c>
      <c r="T8" s="865">
        <v>86932.51</v>
      </c>
      <c r="U8" s="865">
        <v>128712.056</v>
      </c>
      <c r="V8" s="865">
        <v>122652.393</v>
      </c>
      <c r="W8" s="865">
        <v>128813.039</v>
      </c>
      <c r="X8" s="865">
        <v>161982.226</v>
      </c>
      <c r="Y8" s="865">
        <v>179016.31</v>
      </c>
      <c r="Z8" s="865">
        <v>26887.541000000001</v>
      </c>
      <c r="AA8" s="865">
        <v>28564.192999999999</v>
      </c>
      <c r="AB8" s="865">
        <v>51745.997000000003</v>
      </c>
      <c r="AC8" s="865">
        <v>94894.434999999998</v>
      </c>
      <c r="AD8" s="865">
        <v>105017.261</v>
      </c>
      <c r="AE8" s="865">
        <v>128217.859</v>
      </c>
      <c r="AF8" s="865">
        <v>136325.12700000001</v>
      </c>
      <c r="AG8" s="865">
        <v>142687.60800000001</v>
      </c>
      <c r="AH8" s="865">
        <v>200714.33799999999</v>
      </c>
      <c r="AI8" s="865">
        <v>220075.79199999999</v>
      </c>
      <c r="AJ8" s="865">
        <v>276127.40700000001</v>
      </c>
      <c r="AK8" s="865">
        <v>283918.90399999998</v>
      </c>
      <c r="AL8" s="865">
        <v>131496.73499999999</v>
      </c>
      <c r="AM8" s="865">
        <v>139697.52600000001</v>
      </c>
      <c r="AN8" s="865">
        <v>139221.54999999999</v>
      </c>
      <c r="AO8" s="865">
        <v>147094.13099999999</v>
      </c>
      <c r="AP8" s="865">
        <v>161182.272</v>
      </c>
      <c r="AQ8" s="865">
        <v>182486.75200000001</v>
      </c>
      <c r="AR8" s="865">
        <v>46081.508000000002</v>
      </c>
      <c r="AS8" s="865">
        <v>56377.767999999996</v>
      </c>
      <c r="AT8" s="865">
        <v>84088.953999999998</v>
      </c>
      <c r="AU8" s="865">
        <v>382152.79</v>
      </c>
      <c r="AV8" s="872">
        <v>320287.53100000002</v>
      </c>
    </row>
    <row r="9" spans="1:96" s="732" customFormat="1" x14ac:dyDescent="0.25">
      <c r="A9" s="916" t="s">
        <v>442</v>
      </c>
      <c r="B9" s="865"/>
      <c r="C9" s="865"/>
      <c r="D9" s="865"/>
      <c r="E9" s="865"/>
      <c r="F9" s="865"/>
      <c r="G9" s="865"/>
      <c r="H9" s="865"/>
      <c r="I9" s="865"/>
      <c r="J9" s="865"/>
      <c r="K9" s="865"/>
      <c r="L9" s="865"/>
      <c r="M9" s="865"/>
      <c r="N9" s="865"/>
      <c r="O9" s="865"/>
      <c r="P9" s="865"/>
      <c r="Q9" s="865"/>
      <c r="R9" s="865"/>
      <c r="S9" s="865"/>
      <c r="T9" s="865"/>
      <c r="U9" s="865"/>
      <c r="V9" s="865"/>
      <c r="W9" s="865"/>
      <c r="X9" s="865"/>
      <c r="Y9" s="865"/>
      <c r="Z9" s="865"/>
      <c r="AA9" s="865"/>
      <c r="AB9" s="865"/>
      <c r="AC9" s="865"/>
      <c r="AD9" s="865"/>
      <c r="AE9" s="865"/>
      <c r="AF9" s="865"/>
      <c r="AG9" s="865"/>
      <c r="AH9" s="865"/>
      <c r="AI9" s="865"/>
      <c r="AJ9" s="865"/>
      <c r="AK9" s="865"/>
      <c r="AL9" s="865"/>
      <c r="AM9" s="865"/>
      <c r="AN9" s="865"/>
      <c r="AO9" s="865"/>
      <c r="AP9" s="865"/>
      <c r="AQ9" s="865"/>
      <c r="AR9" s="865"/>
      <c r="AS9" s="865"/>
      <c r="AT9" s="865"/>
      <c r="AU9" s="865"/>
      <c r="AV9" s="872"/>
    </row>
    <row r="10" spans="1:96" s="732" customFormat="1" x14ac:dyDescent="0.25">
      <c r="A10" s="916" t="s">
        <v>381</v>
      </c>
      <c r="B10" s="865">
        <f>(SUM(B11:B16))</f>
        <v>471820.95899999997</v>
      </c>
      <c r="C10" s="865">
        <f t="shared" ref="C10:AV10" si="0">(SUM(C11:C16))</f>
        <v>563999.85199999984</v>
      </c>
      <c r="D10" s="865">
        <f t="shared" si="0"/>
        <v>667180.86499999987</v>
      </c>
      <c r="E10" s="865">
        <f t="shared" si="0"/>
        <v>785476.94400000013</v>
      </c>
      <c r="F10" s="865">
        <f t="shared" si="0"/>
        <v>932568.7649999999</v>
      </c>
      <c r="G10" s="865">
        <f t="shared" si="0"/>
        <v>1090544.7180000001</v>
      </c>
      <c r="H10" s="865">
        <f t="shared" si="0"/>
        <v>153058.10200000001</v>
      </c>
      <c r="I10" s="865">
        <f t="shared" si="0"/>
        <v>153826.348</v>
      </c>
      <c r="J10" s="865">
        <f t="shared" si="0"/>
        <v>178062.10499999998</v>
      </c>
      <c r="K10" s="865">
        <f t="shared" si="0"/>
        <v>184429.52099999998</v>
      </c>
      <c r="L10" s="865">
        <f t="shared" si="0"/>
        <v>228556.897</v>
      </c>
      <c r="M10" s="865">
        <f t="shared" si="0"/>
        <v>254017.04</v>
      </c>
      <c r="N10" s="865">
        <f t="shared" si="0"/>
        <v>136743.45699999999</v>
      </c>
      <c r="O10" s="865">
        <f t="shared" si="0"/>
        <v>129264.51300000001</v>
      </c>
      <c r="P10" s="865">
        <f t="shared" si="0"/>
        <v>149295.45699999999</v>
      </c>
      <c r="Q10" s="865">
        <f t="shared" si="0"/>
        <v>182186.63400000002</v>
      </c>
      <c r="R10" s="865">
        <f t="shared" si="0"/>
        <v>209952.073</v>
      </c>
      <c r="S10" s="865">
        <f t="shared" si="0"/>
        <v>234808.09400000001</v>
      </c>
      <c r="T10" s="865">
        <f t="shared" si="0"/>
        <v>71644.386000000013</v>
      </c>
      <c r="U10" s="865">
        <f t="shared" si="0"/>
        <v>105843.08399999999</v>
      </c>
      <c r="V10" s="865">
        <f t="shared" si="0"/>
        <v>96622.925000000003</v>
      </c>
      <c r="W10" s="865">
        <f t="shared" si="0"/>
        <v>99915.011000000013</v>
      </c>
      <c r="X10" s="865">
        <f t="shared" si="0"/>
        <v>129654.28799999999</v>
      </c>
      <c r="Y10" s="865">
        <f t="shared" si="0"/>
        <v>146228.421</v>
      </c>
      <c r="Z10" s="865">
        <f t="shared" si="0"/>
        <v>9450.0720000000019</v>
      </c>
      <c r="AA10" s="865">
        <f t="shared" si="0"/>
        <v>14279.435999999998</v>
      </c>
      <c r="AB10" s="865">
        <f t="shared" si="0"/>
        <v>32690.808000000001</v>
      </c>
      <c r="AC10" s="865">
        <f t="shared" si="0"/>
        <v>73307.184999999998</v>
      </c>
      <c r="AD10" s="865">
        <f t="shared" si="0"/>
        <v>81853.511000000013</v>
      </c>
      <c r="AE10" s="865">
        <f t="shared" si="0"/>
        <v>89558.067999999999</v>
      </c>
      <c r="AF10" s="865">
        <f t="shared" si="0"/>
        <v>130640.04299999999</v>
      </c>
      <c r="AG10" s="865">
        <f t="shared" si="0"/>
        <v>124292.12299999998</v>
      </c>
      <c r="AH10" s="865">
        <f t="shared" si="0"/>
        <v>163448.90899999999</v>
      </c>
      <c r="AI10" s="865">
        <f t="shared" si="0"/>
        <v>203247.709</v>
      </c>
      <c r="AJ10" s="865">
        <f t="shared" si="0"/>
        <v>242548.177</v>
      </c>
      <c r="AK10" s="865">
        <f t="shared" si="0"/>
        <v>239400.05300000001</v>
      </c>
      <c r="AL10" s="865">
        <f t="shared" si="0"/>
        <v>105407.28199999999</v>
      </c>
      <c r="AM10" s="865">
        <f t="shared" si="0"/>
        <v>117561.01</v>
      </c>
      <c r="AN10" s="865">
        <f t="shared" si="0"/>
        <v>113414.36300000001</v>
      </c>
      <c r="AO10" s="865">
        <f t="shared" si="0"/>
        <v>113525.99400000001</v>
      </c>
      <c r="AP10" s="865">
        <f t="shared" si="0"/>
        <v>122023.36500000001</v>
      </c>
      <c r="AQ10" s="865">
        <f t="shared" si="0"/>
        <v>131517.91</v>
      </c>
      <c r="AR10" s="865">
        <f t="shared" si="0"/>
        <v>31759.063999999998</v>
      </c>
      <c r="AS10" s="865">
        <f t="shared" si="0"/>
        <v>47708.968000000008</v>
      </c>
      <c r="AT10" s="865">
        <f t="shared" si="0"/>
        <v>69914.362000000008</v>
      </c>
      <c r="AU10" s="865">
        <f t="shared" si="0"/>
        <v>409383.50099999999</v>
      </c>
      <c r="AV10" s="872">
        <f t="shared" si="0"/>
        <v>119214.5</v>
      </c>
    </row>
    <row r="11" spans="1:96" s="732" customFormat="1" x14ac:dyDescent="0.25">
      <c r="A11" s="916" t="s">
        <v>443</v>
      </c>
      <c r="B11" s="865">
        <v>148226.20199999999</v>
      </c>
      <c r="C11" s="865">
        <v>195597.883</v>
      </c>
      <c r="D11" s="865">
        <v>230025.351</v>
      </c>
      <c r="E11" s="865">
        <v>283445.65700000001</v>
      </c>
      <c r="F11" s="865">
        <v>332874.30300000001</v>
      </c>
      <c r="G11" s="865">
        <v>403927.80200000003</v>
      </c>
      <c r="H11" s="865">
        <v>44844.739000000001</v>
      </c>
      <c r="I11" s="865">
        <v>48557.421999999999</v>
      </c>
      <c r="J11" s="865">
        <v>57086.951999999997</v>
      </c>
      <c r="K11" s="865">
        <v>59115.695</v>
      </c>
      <c r="L11" s="865">
        <v>67635.305999999997</v>
      </c>
      <c r="M11" s="865">
        <v>81424.337</v>
      </c>
      <c r="N11" s="865">
        <v>29986.324000000001</v>
      </c>
      <c r="O11" s="865">
        <v>32617.233</v>
      </c>
      <c r="P11" s="865">
        <v>45940.983</v>
      </c>
      <c r="Q11" s="865">
        <v>53175.457999999999</v>
      </c>
      <c r="R11" s="865">
        <v>52069.324000000001</v>
      </c>
      <c r="S11" s="865">
        <v>61560.635999999999</v>
      </c>
      <c r="T11" s="865">
        <v>16816.701000000001</v>
      </c>
      <c r="U11" s="865">
        <v>24579.137999999999</v>
      </c>
      <c r="V11" s="865">
        <v>22107.954000000002</v>
      </c>
      <c r="W11" s="865">
        <v>23999.839</v>
      </c>
      <c r="X11" s="865">
        <v>26479.314999999999</v>
      </c>
      <c r="Y11" s="865">
        <v>33900.277000000002</v>
      </c>
      <c r="Z11" s="865">
        <v>1925.4970000000001</v>
      </c>
      <c r="AA11" s="865">
        <v>3124.174</v>
      </c>
      <c r="AB11" s="865">
        <v>7072.9179999999997</v>
      </c>
      <c r="AC11" s="865">
        <v>22098.366000000002</v>
      </c>
      <c r="AD11" s="865">
        <v>22191.828000000001</v>
      </c>
      <c r="AE11" s="865">
        <v>27666.749</v>
      </c>
      <c r="AF11" s="865">
        <v>26241.008000000002</v>
      </c>
      <c r="AG11" s="865">
        <v>34805.991999999998</v>
      </c>
      <c r="AH11" s="865">
        <v>48389.707000000002</v>
      </c>
      <c r="AI11" s="865">
        <v>44756.909</v>
      </c>
      <c r="AJ11" s="865">
        <v>53090.383000000002</v>
      </c>
      <c r="AK11" s="865">
        <v>59381.94</v>
      </c>
      <c r="AL11" s="865">
        <v>38196.881999999998</v>
      </c>
      <c r="AM11" s="865">
        <v>43990.411</v>
      </c>
      <c r="AN11" s="865">
        <v>44250.048999999999</v>
      </c>
      <c r="AO11" s="865">
        <v>47247.311999999998</v>
      </c>
      <c r="AP11" s="865">
        <v>53720.862000000001</v>
      </c>
      <c r="AQ11" s="865">
        <v>63581.425000000003</v>
      </c>
      <c r="AR11" s="865">
        <v>13060.57</v>
      </c>
      <c r="AS11" s="865">
        <v>18424.972000000002</v>
      </c>
      <c r="AT11" s="865">
        <v>42251.165999999997</v>
      </c>
      <c r="AU11" s="865">
        <f>(4063646+126932482)/1000</f>
        <v>130996.128</v>
      </c>
      <c r="AV11" s="872">
        <v>54937.938999999998</v>
      </c>
    </row>
    <row r="12" spans="1:96" s="732" customFormat="1" x14ac:dyDescent="0.25">
      <c r="A12" s="916" t="s">
        <v>444</v>
      </c>
      <c r="B12" s="865">
        <v>184622.913</v>
      </c>
      <c r="C12" s="865">
        <v>220228.372</v>
      </c>
      <c r="D12" s="865">
        <v>258421.15299999999</v>
      </c>
      <c r="E12" s="865">
        <v>279200.57900000003</v>
      </c>
      <c r="F12" s="865">
        <v>345373.92499999999</v>
      </c>
      <c r="G12" s="865">
        <v>421886.08600000001</v>
      </c>
      <c r="H12" s="865">
        <v>51231.874000000003</v>
      </c>
      <c r="I12" s="865">
        <v>47774.326000000001</v>
      </c>
      <c r="J12" s="865">
        <v>56855.718999999997</v>
      </c>
      <c r="K12" s="865">
        <v>60329.868000000002</v>
      </c>
      <c r="L12" s="865">
        <v>58500.03</v>
      </c>
      <c r="M12" s="865">
        <v>70769.236999999994</v>
      </c>
      <c r="N12" s="865">
        <v>50253.38</v>
      </c>
      <c r="O12" s="865">
        <v>46379.317000000003</v>
      </c>
      <c r="P12" s="865">
        <v>48943.368999999999</v>
      </c>
      <c r="Q12" s="865">
        <v>64051.449000000001</v>
      </c>
      <c r="R12" s="865">
        <v>71442.312000000005</v>
      </c>
      <c r="S12" s="865">
        <v>85268.379000000001</v>
      </c>
      <c r="T12" s="865">
        <v>33325.446000000004</v>
      </c>
      <c r="U12" s="865">
        <v>45031.088000000003</v>
      </c>
      <c r="V12" s="865">
        <v>49335.245999999999</v>
      </c>
      <c r="W12" s="865">
        <v>45812.908000000003</v>
      </c>
      <c r="X12" s="865">
        <v>51841.243000000002</v>
      </c>
      <c r="Y12" s="865">
        <v>57445.1</v>
      </c>
      <c r="Z12" s="865">
        <v>2694.058</v>
      </c>
      <c r="AA12" s="865">
        <v>4920.3689999999997</v>
      </c>
      <c r="AB12" s="865">
        <v>13770.647999999999</v>
      </c>
      <c r="AC12" s="865">
        <v>31340.513999999999</v>
      </c>
      <c r="AD12" s="865">
        <v>33716.605000000003</v>
      </c>
      <c r="AE12" s="865">
        <v>36503.364000000001</v>
      </c>
      <c r="AF12" s="865">
        <v>59594.851999999999</v>
      </c>
      <c r="AG12" s="865">
        <v>67581.653999999995</v>
      </c>
      <c r="AH12" s="865">
        <v>87258.027000000002</v>
      </c>
      <c r="AI12" s="865">
        <v>90221.909</v>
      </c>
      <c r="AJ12" s="865">
        <v>108120.71799999999</v>
      </c>
      <c r="AK12" s="865">
        <v>101707.046</v>
      </c>
      <c r="AL12" s="865">
        <v>51824.142999999996</v>
      </c>
      <c r="AM12" s="865">
        <v>53988.673999999999</v>
      </c>
      <c r="AN12" s="865">
        <v>51057.686999999998</v>
      </c>
      <c r="AO12" s="865">
        <v>48946.627999999997</v>
      </c>
      <c r="AP12" s="865">
        <v>44720.728999999999</v>
      </c>
      <c r="AQ12" s="865">
        <v>51828.557999999997</v>
      </c>
      <c r="AR12" s="865">
        <v>10145.581</v>
      </c>
      <c r="AS12" s="865">
        <v>12548.303</v>
      </c>
      <c r="AT12" s="865">
        <v>9274.82</v>
      </c>
      <c r="AU12" s="865">
        <v>125879.57399999999</v>
      </c>
      <c r="AV12" s="872">
        <v>28019.87</v>
      </c>
    </row>
    <row r="13" spans="1:96" s="732" customFormat="1" x14ac:dyDescent="0.25">
      <c r="A13" s="916" t="s">
        <v>445</v>
      </c>
      <c r="B13" s="865">
        <v>131769.647</v>
      </c>
      <c r="C13" s="865">
        <v>141796.08499999999</v>
      </c>
      <c r="D13" s="865">
        <v>167981.117</v>
      </c>
      <c r="E13" s="865">
        <v>207117.755</v>
      </c>
      <c r="F13" s="865">
        <v>241845.88699999999</v>
      </c>
      <c r="G13" s="865">
        <v>250742.21900000001</v>
      </c>
      <c r="H13" s="865">
        <v>47405.447999999997</v>
      </c>
      <c r="I13" s="865">
        <v>41134.961000000003</v>
      </c>
      <c r="J13" s="865">
        <v>42404.504999999997</v>
      </c>
      <c r="K13" s="865">
        <v>54890.860999999997</v>
      </c>
      <c r="L13" s="865">
        <v>88955.902000000002</v>
      </c>
      <c r="M13" s="865">
        <v>83897.869000000006</v>
      </c>
      <c r="N13" s="865">
        <v>46177.180999999997</v>
      </c>
      <c r="O13" s="865">
        <f>((40495192+274180))/1000</f>
        <v>40769.372000000003</v>
      </c>
      <c r="P13" s="865">
        <v>40412.006999999998</v>
      </c>
      <c r="Q13" s="865">
        <v>47481.692000000003</v>
      </c>
      <c r="R13" s="865">
        <v>58085.152000000002</v>
      </c>
      <c r="S13" s="865">
        <v>45149.322999999997</v>
      </c>
      <c r="T13" s="865">
        <v>16691.631000000001</v>
      </c>
      <c r="U13" s="865">
        <v>23855.144</v>
      </c>
      <c r="V13" s="865">
        <v>18530.046999999999</v>
      </c>
      <c r="W13" s="865">
        <v>20479.839</v>
      </c>
      <c r="X13" s="865">
        <v>43940.616000000002</v>
      </c>
      <c r="Y13" s="865">
        <v>47662.7</v>
      </c>
      <c r="Z13" s="865">
        <v>3715.7179999999998</v>
      </c>
      <c r="AA13" s="865">
        <v>3951.5720000000001</v>
      </c>
      <c r="AB13" s="865">
        <v>4641.1530000000002</v>
      </c>
      <c r="AC13" s="865">
        <v>5144.3779999999997</v>
      </c>
      <c r="AD13" s="865">
        <v>15122.075999999999</v>
      </c>
      <c r="AE13" s="865">
        <v>17695.436000000002</v>
      </c>
      <c r="AF13" s="865">
        <v>29357.388999999999</v>
      </c>
      <c r="AG13" s="865">
        <v>16307.798000000001</v>
      </c>
      <c r="AH13" s="865">
        <v>13731.808000000001</v>
      </c>
      <c r="AI13" s="865">
        <v>39646.561999999998</v>
      </c>
      <c r="AJ13" s="865">
        <v>14648.767</v>
      </c>
      <c r="AK13" s="865">
        <v>14530.41</v>
      </c>
      <c r="AL13" s="865">
        <v>14714.498</v>
      </c>
      <c r="AM13" s="865">
        <v>18038.670999999998</v>
      </c>
      <c r="AN13" s="865">
        <v>16452.472000000002</v>
      </c>
      <c r="AO13" s="865">
        <v>13507.369000000001</v>
      </c>
      <c r="AP13" s="865">
        <v>15197.635</v>
      </c>
      <c r="AQ13" s="865">
        <v>14751.252</v>
      </c>
      <c r="AR13" s="865">
        <v>7169.76</v>
      </c>
      <c r="AS13" s="865">
        <v>7077.2179999999998</v>
      </c>
      <c r="AT13" s="865">
        <v>7291.3410000000003</v>
      </c>
      <c r="AU13" s="865">
        <v>120427.68700000001</v>
      </c>
      <c r="AV13" s="872">
        <v>20756.911</v>
      </c>
      <c r="CR13" s="732" t="s">
        <v>172</v>
      </c>
    </row>
    <row r="14" spans="1:96" s="732" customFormat="1" x14ac:dyDescent="0.25">
      <c r="A14" s="916" t="s">
        <v>446</v>
      </c>
      <c r="B14" s="865">
        <v>1055.2619999999999</v>
      </c>
      <c r="C14" s="865">
        <v>2118.2689999999998</v>
      </c>
      <c r="D14" s="865">
        <v>5513.35</v>
      </c>
      <c r="E14" s="865">
        <v>5377.1850000000004</v>
      </c>
      <c r="F14" s="865">
        <v>4957.857</v>
      </c>
      <c r="G14" s="865">
        <v>7862.0389999999998</v>
      </c>
      <c r="H14" s="865">
        <v>391.11399999999998</v>
      </c>
      <c r="I14" s="865">
        <v>516.03200000000004</v>
      </c>
      <c r="J14" s="865">
        <v>592.596</v>
      </c>
      <c r="K14" s="865">
        <v>455.935</v>
      </c>
      <c r="L14" s="865">
        <v>2693.4110000000001</v>
      </c>
      <c r="M14" s="865">
        <v>2024.7270000000001</v>
      </c>
      <c r="N14" s="865">
        <v>100.092</v>
      </c>
      <c r="O14" s="865">
        <v>0</v>
      </c>
      <c r="P14" s="865">
        <v>1477.875</v>
      </c>
      <c r="Q14" s="865">
        <v>1247.3389999999999</v>
      </c>
      <c r="R14" s="865">
        <v>7203.3710000000001</v>
      </c>
      <c r="S14" s="865">
        <v>9433.6419999999998</v>
      </c>
      <c r="T14" s="865">
        <v>726.16700000000003</v>
      </c>
      <c r="U14" s="865">
        <v>891.82100000000003</v>
      </c>
      <c r="V14" s="865">
        <v>1359.4860000000001</v>
      </c>
      <c r="W14" s="865">
        <v>2035.3869999999999</v>
      </c>
      <c r="X14" s="865">
        <v>1342.347</v>
      </c>
      <c r="Y14" s="865">
        <v>1606.9880000000001</v>
      </c>
      <c r="Z14" s="865">
        <v>53.661000000000001</v>
      </c>
      <c r="AA14" s="865">
        <v>99.668000000000006</v>
      </c>
      <c r="AB14" s="865">
        <v>1786.99</v>
      </c>
      <c r="AC14" s="865">
        <v>3690.0259999999998</v>
      </c>
      <c r="AD14" s="865">
        <v>4918.75</v>
      </c>
      <c r="AE14" s="865">
        <v>3330.1509999999998</v>
      </c>
      <c r="AF14" s="865">
        <v>0</v>
      </c>
      <c r="AG14" s="865">
        <v>0</v>
      </c>
      <c r="AH14" s="865">
        <v>0</v>
      </c>
      <c r="AI14" s="865">
        <v>0</v>
      </c>
      <c r="AJ14" s="865">
        <v>0</v>
      </c>
      <c r="AK14" s="865">
        <v>0</v>
      </c>
      <c r="AL14" s="865">
        <v>429.42099999999999</v>
      </c>
      <c r="AM14" s="865">
        <v>428.262</v>
      </c>
      <c r="AN14" s="865">
        <v>840.74099999999999</v>
      </c>
      <c r="AO14" s="865">
        <v>3459.8910000000001</v>
      </c>
      <c r="AP14" s="865">
        <v>2540.8870000000002</v>
      </c>
      <c r="AQ14" s="865">
        <v>1010.0170000000001</v>
      </c>
      <c r="AR14" s="865">
        <v>50.334000000000003</v>
      </c>
      <c r="AS14" s="865">
        <v>34.954999999999998</v>
      </c>
      <c r="AT14" s="865">
        <v>0</v>
      </c>
      <c r="AU14" s="865">
        <v>2768.7530000000002</v>
      </c>
      <c r="AV14" s="872">
        <v>0</v>
      </c>
    </row>
    <row r="15" spans="1:96" s="732" customFormat="1" x14ac:dyDescent="0.25">
      <c r="A15" s="916" t="s">
        <v>447</v>
      </c>
      <c r="B15" s="865">
        <v>5672.6239999999998</v>
      </c>
      <c r="C15" s="865">
        <v>3307.614</v>
      </c>
      <c r="D15" s="865">
        <v>4870.558</v>
      </c>
      <c r="E15" s="865">
        <v>9738.0380000000005</v>
      </c>
      <c r="F15" s="865">
        <f>(3789484+2519081)/1000</f>
        <v>6308.5649999999996</v>
      </c>
      <c r="G15" s="865">
        <f>(3959300+1410900)/1000</f>
        <v>5370.2</v>
      </c>
      <c r="H15" s="865">
        <v>8964.4439999999995</v>
      </c>
      <c r="I15" s="865">
        <v>15479.102999999999</v>
      </c>
      <c r="J15" s="865">
        <f>(20360908+572000)/1000</f>
        <v>20932.907999999999</v>
      </c>
      <c r="K15" s="865">
        <f>(7218996+2245000)/1000</f>
        <v>9463.9959999999992</v>
      </c>
      <c r="L15" s="865">
        <f>(7337933+3229540)/1000</f>
        <v>10567.473</v>
      </c>
      <c r="M15" s="865">
        <f>(7169117+8498000)/1000</f>
        <v>15667.117</v>
      </c>
      <c r="N15" s="865">
        <v>10137.422</v>
      </c>
      <c r="O15" s="865">
        <v>9202.7019999999993</v>
      </c>
      <c r="P15" s="865">
        <v>12192.412</v>
      </c>
      <c r="Q15" s="865">
        <v>15790.311</v>
      </c>
      <c r="R15" s="865">
        <f>(16134765+4523725)/1000</f>
        <v>20658.490000000002</v>
      </c>
      <c r="S15" s="865">
        <f>(32046450+847798)/1000</f>
        <v>32894.248</v>
      </c>
      <c r="T15" s="865">
        <v>4023.857</v>
      </c>
      <c r="U15" s="865">
        <v>11263.522000000001</v>
      </c>
      <c r="V15" s="865">
        <v>5201.9049999999997</v>
      </c>
      <c r="W15" s="865">
        <f>(6043329+1494050)/1000</f>
        <v>7537.3789999999999</v>
      </c>
      <c r="X15" s="865">
        <f>(4861278+1164050)/1000</f>
        <v>6025.3280000000004</v>
      </c>
      <c r="Y15" s="865">
        <f>(4728026+825550)/1000</f>
        <v>5553.576</v>
      </c>
      <c r="Z15" s="865">
        <v>1026.396</v>
      </c>
      <c r="AA15" s="865">
        <v>2183.6379999999999</v>
      </c>
      <c r="AB15" s="865">
        <v>5358.2340000000004</v>
      </c>
      <c r="AC15" s="865">
        <v>10959.529</v>
      </c>
      <c r="AD15" s="865">
        <f>(1988287+3815631)/1000</f>
        <v>5803.9179999999997</v>
      </c>
      <c r="AE15" s="865">
        <f>(531677+3727502)/1000</f>
        <v>4259.1790000000001</v>
      </c>
      <c r="AF15" s="865">
        <v>15156.843999999999</v>
      </c>
      <c r="AG15" s="865">
        <v>5530.268</v>
      </c>
      <c r="AH15" s="865">
        <f>(11529220+2435146)/1000</f>
        <v>13964.366</v>
      </c>
      <c r="AI15" s="865">
        <f>(26478723+1986639)/1000</f>
        <v>28465.362000000001</v>
      </c>
      <c r="AJ15" s="865">
        <f>(65183796+1202046)/1000</f>
        <v>66385.842000000004</v>
      </c>
      <c r="AK15" s="865">
        <f>(61208489+2294303)/1000</f>
        <v>63502.792000000001</v>
      </c>
      <c r="AL15" s="865">
        <v>240.392</v>
      </c>
      <c r="AM15" s="865">
        <v>1113.125</v>
      </c>
      <c r="AN15" s="865">
        <v>787.346</v>
      </c>
      <c r="AO15" s="865">
        <v>360.52100000000002</v>
      </c>
      <c r="AP15" s="865">
        <f>(310398+5530027)/1000</f>
        <v>5840.4250000000002</v>
      </c>
      <c r="AQ15" s="865">
        <f>(269251+2500)/1000</f>
        <v>271.75099999999998</v>
      </c>
      <c r="AR15" s="865">
        <v>1327.3240000000001</v>
      </c>
      <c r="AS15" s="865">
        <v>9618.02</v>
      </c>
      <c r="AT15" s="865">
        <v>11060.378000000001</v>
      </c>
      <c r="AU15" s="865">
        <v>1178.99</v>
      </c>
      <c r="AV15" s="872">
        <f>(11985727+3443800)/1000</f>
        <v>15429.527</v>
      </c>
    </row>
    <row r="16" spans="1:96" s="732" customFormat="1" x14ac:dyDescent="0.25">
      <c r="A16" s="916" t="s">
        <v>448</v>
      </c>
      <c r="B16" s="865">
        <v>474.31099999999998</v>
      </c>
      <c r="C16" s="865">
        <v>951.62900000000002</v>
      </c>
      <c r="D16" s="865">
        <v>369.33600000000001</v>
      </c>
      <c r="E16" s="865">
        <v>597.73</v>
      </c>
      <c r="F16" s="865">
        <v>1208.2280000000001</v>
      </c>
      <c r="G16" s="865">
        <v>756.37199999999996</v>
      </c>
      <c r="H16" s="865">
        <v>220.483</v>
      </c>
      <c r="I16" s="865">
        <v>364.50400000000002</v>
      </c>
      <c r="J16" s="865">
        <v>189.42500000000001</v>
      </c>
      <c r="K16" s="865">
        <v>173.166</v>
      </c>
      <c r="L16" s="865">
        <v>204.77500000000001</v>
      </c>
      <c r="M16" s="865">
        <v>233.75299999999999</v>
      </c>
      <c r="N16" s="865">
        <v>89.058000000000007</v>
      </c>
      <c r="O16" s="865">
        <v>295.88900000000001</v>
      </c>
      <c r="P16" s="865">
        <v>328.81099999999998</v>
      </c>
      <c r="Q16" s="865">
        <v>440.38499999999999</v>
      </c>
      <c r="R16" s="865">
        <v>493.42399999999998</v>
      </c>
      <c r="S16" s="865">
        <v>501.86599999999999</v>
      </c>
      <c r="T16" s="865">
        <v>60.584000000000003</v>
      </c>
      <c r="U16" s="865">
        <v>222.37100000000001</v>
      </c>
      <c r="V16" s="865">
        <v>88.287000000000006</v>
      </c>
      <c r="W16" s="865">
        <v>49.658999999999999</v>
      </c>
      <c r="X16" s="865">
        <v>25.439</v>
      </c>
      <c r="Y16" s="865">
        <v>59.78</v>
      </c>
      <c r="Z16" s="865">
        <v>34.741999999999997</v>
      </c>
      <c r="AA16" s="865">
        <v>1.4999999999999999E-2</v>
      </c>
      <c r="AB16" s="865">
        <v>60.865000000000002</v>
      </c>
      <c r="AC16" s="865">
        <v>74.372</v>
      </c>
      <c r="AD16" s="865">
        <v>100.334</v>
      </c>
      <c r="AE16" s="865">
        <v>103.18899999999999</v>
      </c>
      <c r="AF16" s="865">
        <v>289.95</v>
      </c>
      <c r="AG16" s="865">
        <v>66.411000000000001</v>
      </c>
      <c r="AH16" s="865">
        <v>105.001</v>
      </c>
      <c r="AI16" s="865">
        <v>156.96700000000001</v>
      </c>
      <c r="AJ16" s="865">
        <v>302.46699999999998</v>
      </c>
      <c r="AK16" s="865">
        <v>277.86500000000001</v>
      </c>
      <c r="AL16" s="865">
        <v>1.946</v>
      </c>
      <c r="AM16" s="865">
        <v>1.867</v>
      </c>
      <c r="AN16" s="865">
        <v>26.068000000000001</v>
      </c>
      <c r="AO16" s="865">
        <v>4.2729999999999997</v>
      </c>
      <c r="AP16" s="865">
        <v>2.827</v>
      </c>
      <c r="AQ16" s="865">
        <v>74.906999999999996</v>
      </c>
      <c r="AR16" s="865">
        <v>5.4950000000000001</v>
      </c>
      <c r="AS16" s="865">
        <v>5.5</v>
      </c>
      <c r="AT16" s="865">
        <v>36.656999999999996</v>
      </c>
      <c r="AU16" s="865">
        <f>(20949999+7182370)/1000</f>
        <v>28132.368999999999</v>
      </c>
      <c r="AV16" s="872">
        <v>70.253</v>
      </c>
    </row>
    <row r="17" spans="1:48" s="732" customFormat="1" x14ac:dyDescent="0.25">
      <c r="A17" s="916" t="s">
        <v>449</v>
      </c>
      <c r="B17" s="865">
        <v>505502.82400000002</v>
      </c>
      <c r="C17" s="865">
        <v>628495.11100000003</v>
      </c>
      <c r="D17" s="865">
        <v>753730.60699999996</v>
      </c>
      <c r="E17" s="865">
        <v>897582.35</v>
      </c>
      <c r="F17" s="865">
        <v>1063334.017</v>
      </c>
      <c r="G17" s="865">
        <v>1252382.905</v>
      </c>
      <c r="H17" s="865">
        <v>163044.47500000001</v>
      </c>
      <c r="I17" s="865">
        <v>168927.30600000001</v>
      </c>
      <c r="J17" s="865">
        <v>204633.932</v>
      </c>
      <c r="K17" s="865">
        <v>201557.45600000001</v>
      </c>
      <c r="L17" s="865">
        <v>264010.49699999997</v>
      </c>
      <c r="M17" s="865">
        <v>287746.19400000002</v>
      </c>
      <c r="N17" s="865">
        <v>149155.51500000001</v>
      </c>
      <c r="O17" s="865">
        <v>140026.06400000001</v>
      </c>
      <c r="P17" s="865">
        <v>170081.71</v>
      </c>
      <c r="Q17" s="865">
        <v>215072.579</v>
      </c>
      <c r="R17" s="865">
        <v>242475.984</v>
      </c>
      <c r="S17" s="865">
        <v>274188.93199999997</v>
      </c>
      <c r="T17" s="865">
        <v>80659.273000000001</v>
      </c>
      <c r="U17" s="865">
        <v>117322.553</v>
      </c>
      <c r="V17" s="865">
        <v>111890.17200000001</v>
      </c>
      <c r="W17" s="865">
        <v>118107.95600000001</v>
      </c>
      <c r="X17" s="865">
        <v>149250.66200000001</v>
      </c>
      <c r="Y17" s="865">
        <v>166070.75</v>
      </c>
      <c r="Z17" s="865">
        <v>16904.789000000001</v>
      </c>
      <c r="AA17" s="865">
        <v>18298.32</v>
      </c>
      <c r="AB17" s="865">
        <v>42115.218000000001</v>
      </c>
      <c r="AC17" s="865">
        <v>84824.921000000002</v>
      </c>
      <c r="AD17" s="865">
        <v>94550.46</v>
      </c>
      <c r="AE17" s="865">
        <v>117569.891</v>
      </c>
      <c r="AF17" s="865">
        <v>132021.24299999999</v>
      </c>
      <c r="AG17" s="865">
        <v>135381.48000000001</v>
      </c>
      <c r="AH17" s="865">
        <v>191574.685</v>
      </c>
      <c r="AI17" s="865">
        <v>208725.51500000001</v>
      </c>
      <c r="AJ17" s="865">
        <v>259420.04399999999</v>
      </c>
      <c r="AK17" s="865">
        <v>262360.83199999999</v>
      </c>
      <c r="AL17" s="865">
        <v>122124.516</v>
      </c>
      <c r="AM17" s="865">
        <v>129559.863</v>
      </c>
      <c r="AN17" s="865">
        <v>129004.088</v>
      </c>
      <c r="AO17" s="865">
        <v>134774.554</v>
      </c>
      <c r="AP17" s="865">
        <v>146072.18100000001</v>
      </c>
      <c r="AQ17" s="865">
        <v>165415.75200000001</v>
      </c>
      <c r="AR17" s="865">
        <v>43136.006000000001</v>
      </c>
      <c r="AS17" s="865">
        <v>51969.222999999998</v>
      </c>
      <c r="AT17" s="865">
        <v>79262.991999999998</v>
      </c>
      <c r="AU17" s="865">
        <v>580597.52</v>
      </c>
      <c r="AV17" s="872">
        <v>574555.10600000003</v>
      </c>
    </row>
    <row r="18" spans="1:48" s="732" customFormat="1" x14ac:dyDescent="0.25">
      <c r="A18" s="916" t="s">
        <v>716</v>
      </c>
      <c r="B18" s="865"/>
      <c r="C18" s="865"/>
      <c r="D18" s="865"/>
      <c r="E18" s="865"/>
      <c r="F18" s="865"/>
      <c r="G18" s="865">
        <v>22279032</v>
      </c>
      <c r="H18" s="865"/>
      <c r="I18" s="865"/>
      <c r="J18" s="865"/>
      <c r="K18" s="865"/>
      <c r="L18" s="865"/>
      <c r="M18" s="865">
        <v>6250900</v>
      </c>
      <c r="N18" s="865"/>
      <c r="O18" s="865"/>
      <c r="P18" s="865"/>
      <c r="Q18" s="865"/>
      <c r="R18" s="865"/>
      <c r="S18" s="865">
        <v>5444860</v>
      </c>
      <c r="T18" s="865"/>
      <c r="U18" s="865"/>
      <c r="V18" s="865"/>
      <c r="W18" s="865"/>
      <c r="X18" s="865"/>
      <c r="Y18" s="865">
        <v>4009466</v>
      </c>
      <c r="Z18" s="865"/>
      <c r="AA18" s="865"/>
      <c r="AB18" s="865"/>
      <c r="AC18" s="865"/>
      <c r="AD18" s="865"/>
      <c r="AE18" s="865">
        <v>3491956</v>
      </c>
      <c r="AF18" s="865"/>
      <c r="AG18" s="865"/>
      <c r="AH18" s="865"/>
      <c r="AI18" s="865"/>
      <c r="AJ18" s="865"/>
      <c r="AK18" s="865"/>
      <c r="AL18" s="865"/>
      <c r="AM18" s="865"/>
      <c r="AN18" s="865"/>
      <c r="AO18" s="865"/>
      <c r="AP18" s="865"/>
      <c r="AQ18" s="865"/>
      <c r="AR18" s="865"/>
      <c r="AS18" s="865"/>
      <c r="AT18" s="865"/>
      <c r="AU18" s="865"/>
      <c r="AV18" s="872"/>
    </row>
    <row r="19" spans="1:48" s="732" customFormat="1" x14ac:dyDescent="0.25">
      <c r="A19" s="916" t="s">
        <v>717</v>
      </c>
      <c r="B19" s="865"/>
      <c r="C19" s="865"/>
      <c r="D19" s="865"/>
      <c r="E19" s="865"/>
      <c r="F19" s="865"/>
      <c r="G19" s="865">
        <v>802</v>
      </c>
      <c r="H19" s="865"/>
      <c r="I19" s="865"/>
      <c r="J19" s="865"/>
      <c r="K19" s="865"/>
      <c r="L19" s="865"/>
      <c r="M19" s="865">
        <v>340</v>
      </c>
      <c r="N19" s="865"/>
      <c r="O19" s="865"/>
      <c r="P19" s="865"/>
      <c r="Q19" s="865"/>
      <c r="R19" s="865"/>
      <c r="S19" s="865">
        <v>235</v>
      </c>
      <c r="T19" s="865"/>
      <c r="U19" s="865"/>
      <c r="V19" s="865"/>
      <c r="W19" s="865"/>
      <c r="X19" s="865"/>
      <c r="Y19" s="865">
        <v>188</v>
      </c>
      <c r="Z19" s="865"/>
      <c r="AA19" s="865"/>
      <c r="AB19" s="865"/>
      <c r="AC19" s="865"/>
      <c r="AD19" s="865"/>
      <c r="AE19" s="865">
        <v>192</v>
      </c>
      <c r="AF19" s="865"/>
      <c r="AG19" s="865"/>
      <c r="AH19" s="865"/>
      <c r="AI19" s="865"/>
      <c r="AJ19" s="865"/>
      <c r="AK19" s="865"/>
      <c r="AL19" s="865"/>
      <c r="AM19" s="865"/>
      <c r="AN19" s="865"/>
      <c r="AO19" s="865"/>
      <c r="AP19" s="865"/>
      <c r="AQ19" s="865"/>
      <c r="AR19" s="865"/>
      <c r="AS19" s="865"/>
      <c r="AT19" s="865"/>
      <c r="AU19" s="865"/>
      <c r="AV19" s="872"/>
    </row>
    <row r="20" spans="1:48" s="732" customFormat="1" x14ac:dyDescent="0.25">
      <c r="A20" s="916" t="s">
        <v>718</v>
      </c>
      <c r="B20" s="865"/>
      <c r="C20" s="865"/>
      <c r="D20" s="865"/>
      <c r="E20" s="865"/>
      <c r="F20" s="865"/>
      <c r="G20" s="865">
        <f>'[1]Assumptions Sheet'!N15</f>
        <v>11649</v>
      </c>
      <c r="H20" s="865"/>
      <c r="I20" s="865"/>
      <c r="J20" s="865"/>
      <c r="K20" s="865"/>
      <c r="L20" s="865"/>
      <c r="M20" s="865">
        <v>3447</v>
      </c>
      <c r="N20" s="865"/>
      <c r="O20" s="865"/>
      <c r="P20" s="865"/>
      <c r="Q20" s="865"/>
      <c r="R20" s="865"/>
      <c r="S20" s="865">
        <v>3095</v>
      </c>
      <c r="T20" s="865"/>
      <c r="U20" s="865"/>
      <c r="V20" s="865"/>
      <c r="W20" s="865"/>
      <c r="X20" s="865"/>
      <c r="Y20" s="865"/>
      <c r="Z20" s="865"/>
      <c r="AA20" s="865"/>
      <c r="AB20" s="865"/>
      <c r="AC20" s="865"/>
      <c r="AD20" s="865"/>
      <c r="AE20" s="865">
        <v>1619</v>
      </c>
      <c r="AF20" s="865"/>
      <c r="AG20" s="865"/>
      <c r="AH20" s="865"/>
      <c r="AI20" s="865"/>
      <c r="AJ20" s="865"/>
      <c r="AK20" s="865"/>
      <c r="AL20" s="865"/>
      <c r="AM20" s="865"/>
      <c r="AN20" s="865"/>
      <c r="AO20" s="865"/>
      <c r="AP20" s="865"/>
      <c r="AQ20" s="865"/>
      <c r="AR20" s="865"/>
      <c r="AS20" s="865"/>
      <c r="AT20" s="865"/>
      <c r="AU20" s="865"/>
      <c r="AV20" s="872"/>
    </row>
    <row r="21" spans="1:48" s="732" customFormat="1" x14ac:dyDescent="0.25">
      <c r="A21" s="916" t="s">
        <v>450</v>
      </c>
      <c r="B21" s="865"/>
      <c r="C21" s="865"/>
      <c r="D21" s="865"/>
      <c r="E21" s="865"/>
      <c r="F21" s="865"/>
      <c r="G21" s="865"/>
      <c r="H21" s="865"/>
      <c r="I21" s="865"/>
      <c r="J21" s="865"/>
      <c r="K21" s="865"/>
      <c r="L21" s="865"/>
      <c r="M21" s="865"/>
      <c r="N21" s="865"/>
      <c r="O21" s="865"/>
      <c r="P21" s="865"/>
      <c r="Q21" s="865"/>
      <c r="R21" s="865"/>
      <c r="S21" s="865"/>
      <c r="T21" s="865"/>
      <c r="U21" s="865"/>
      <c r="V21" s="865"/>
      <c r="W21" s="865"/>
      <c r="X21" s="865"/>
      <c r="Y21" s="865"/>
      <c r="Z21" s="865"/>
      <c r="AA21" s="865"/>
      <c r="AB21" s="865"/>
      <c r="AC21" s="865"/>
      <c r="AD21" s="865"/>
      <c r="AE21" s="865"/>
      <c r="AF21" s="865"/>
      <c r="AG21" s="865"/>
      <c r="AH21" s="865"/>
      <c r="AI21" s="865"/>
      <c r="AJ21" s="865"/>
      <c r="AK21" s="865"/>
      <c r="AL21" s="865"/>
      <c r="AM21" s="865"/>
      <c r="AN21" s="865"/>
      <c r="AO21" s="865"/>
      <c r="AP21" s="865"/>
      <c r="AQ21" s="865"/>
      <c r="AR21" s="865"/>
      <c r="AS21" s="865"/>
      <c r="AT21" s="865"/>
      <c r="AU21" s="865"/>
      <c r="AV21" s="872"/>
    </row>
    <row r="22" spans="1:48" s="732" customFormat="1" x14ac:dyDescent="0.25">
      <c r="A22" s="916" t="s">
        <v>451</v>
      </c>
      <c r="B22" s="865">
        <v>10027.379000000001</v>
      </c>
      <c r="C22" s="865">
        <v>10027.379000000001</v>
      </c>
      <c r="D22" s="865">
        <v>10629.022000000001</v>
      </c>
      <c r="E22" s="865">
        <v>11691.924000000001</v>
      </c>
      <c r="F22" s="865">
        <v>12861.116</v>
      </c>
      <c r="G22" s="865">
        <v>14147.227999999999</v>
      </c>
      <c r="H22" s="865">
        <v>10079.120999999999</v>
      </c>
      <c r="I22" s="865">
        <v>10000.079</v>
      </c>
      <c r="J22" s="865">
        <v>10000.079</v>
      </c>
      <c r="K22" s="865">
        <v>10000.079</v>
      </c>
      <c r="L22" s="865">
        <v>11007.991</v>
      </c>
      <c r="M22" s="865">
        <v>11007.991</v>
      </c>
      <c r="N22" s="865">
        <v>6976.03</v>
      </c>
      <c r="O22" s="865">
        <v>10225.566999999999</v>
      </c>
      <c r="P22" s="865">
        <v>11652.288</v>
      </c>
      <c r="Q22" s="865">
        <v>11652.288</v>
      </c>
      <c r="R22" s="865">
        <v>11652.288</v>
      </c>
      <c r="S22" s="865">
        <v>11652.288</v>
      </c>
      <c r="T22" s="865">
        <v>8935.2000000000007</v>
      </c>
      <c r="U22" s="865">
        <v>13106.861999999999</v>
      </c>
      <c r="V22" s="865">
        <v>13106.861999999999</v>
      </c>
      <c r="W22" s="865">
        <v>13106.861999999999</v>
      </c>
      <c r="X22" s="865">
        <v>14500.49</v>
      </c>
      <c r="Y22" s="865">
        <v>14500.49</v>
      </c>
      <c r="Z22" s="865">
        <v>10000</v>
      </c>
      <c r="AA22" s="865">
        <v>10000</v>
      </c>
      <c r="AB22" s="865">
        <v>10000</v>
      </c>
      <c r="AC22" s="865">
        <v>11200</v>
      </c>
      <c r="AD22" s="865">
        <v>11550</v>
      </c>
      <c r="AE22" s="865">
        <v>11550</v>
      </c>
      <c r="AF22" s="865">
        <v>250</v>
      </c>
      <c r="AG22" s="865">
        <v>250</v>
      </c>
      <c r="AH22" s="865">
        <v>250</v>
      </c>
      <c r="AI22" s="865">
        <v>250</v>
      </c>
      <c r="AJ22" s="865">
        <v>250</v>
      </c>
      <c r="AK22" s="865">
        <v>250</v>
      </c>
      <c r="AL22" s="865">
        <v>1800</v>
      </c>
      <c r="AM22" s="865">
        <v>1800</v>
      </c>
      <c r="AN22" s="865">
        <v>1800</v>
      </c>
      <c r="AO22" s="865">
        <v>1800</v>
      </c>
      <c r="AP22" s="865">
        <v>1800</v>
      </c>
      <c r="AQ22" s="865">
        <v>1800</v>
      </c>
      <c r="AR22" s="865">
        <v>1380</v>
      </c>
      <c r="AS22" s="865">
        <v>2880</v>
      </c>
      <c r="AT22" s="865">
        <v>2880</v>
      </c>
      <c r="AU22" s="865">
        <v>4680</v>
      </c>
      <c r="AV22" s="872">
        <v>9180</v>
      </c>
    </row>
    <row r="23" spans="1:48" s="732" customFormat="1" x14ac:dyDescent="0.25">
      <c r="A23" s="916" t="s">
        <v>23</v>
      </c>
      <c r="B23" s="865">
        <v>8587.3629999999994</v>
      </c>
      <c r="C23" s="865">
        <v>9724.0010000000002</v>
      </c>
      <c r="D23" s="865">
        <v>13368.808999999999</v>
      </c>
      <c r="E23" s="865">
        <v>15161.249</v>
      </c>
      <c r="F23" s="865">
        <v>18231.98</v>
      </c>
      <c r="G23" s="865">
        <v>20039.856</v>
      </c>
      <c r="H23" s="865">
        <v>523.17600000000004</v>
      </c>
      <c r="I23" s="865">
        <v>613.63599999999997</v>
      </c>
      <c r="J23" s="865">
        <v>926.26599999999996</v>
      </c>
      <c r="K23" s="865">
        <v>968.79899999999998</v>
      </c>
      <c r="L23" s="865">
        <v>1187.624</v>
      </c>
      <c r="M23" s="865">
        <v>1187.624</v>
      </c>
      <c r="N23" s="865">
        <v>233.58600000000001</v>
      </c>
      <c r="O23" s="865">
        <v>404.69400000000002</v>
      </c>
      <c r="P23" s="865">
        <v>725.101</v>
      </c>
      <c r="Q23" s="865">
        <v>1226.954</v>
      </c>
      <c r="R23" s="865">
        <v>1896.0730000000001</v>
      </c>
      <c r="S23" s="865">
        <v>2395.8589999999999</v>
      </c>
      <c r="T23" s="865">
        <v>159.34800000000001</v>
      </c>
      <c r="U23" s="865">
        <v>159.34800000000001</v>
      </c>
      <c r="V23" s="865">
        <v>159.34800000000001</v>
      </c>
      <c r="W23" s="865">
        <v>159.34800000000001</v>
      </c>
      <c r="X23" s="865">
        <v>179.38399999999999</v>
      </c>
      <c r="Y23" s="865">
        <v>312.613</v>
      </c>
      <c r="Z23" s="865">
        <v>10.461</v>
      </c>
      <c r="AA23" s="865">
        <v>26.443999999999999</v>
      </c>
      <c r="AB23" s="865">
        <v>26.443999999999999</v>
      </c>
      <c r="AC23" s="865">
        <v>26.443999999999999</v>
      </c>
      <c r="AD23" s="865">
        <v>26.443999999999999</v>
      </c>
      <c r="AE23" s="865">
        <v>36.473999999999997</v>
      </c>
      <c r="AF23" s="865">
        <v>0</v>
      </c>
      <c r="AG23" s="865">
        <v>0</v>
      </c>
      <c r="AH23" s="865">
        <v>4.5839999999999996</v>
      </c>
      <c r="AI23" s="865">
        <v>0</v>
      </c>
      <c r="AJ23" s="865">
        <v>0</v>
      </c>
      <c r="AK23" s="865">
        <v>0</v>
      </c>
      <c r="AL23" s="865">
        <v>-5.6000000000000001E-2</v>
      </c>
      <c r="AM23" s="865">
        <v>0.878</v>
      </c>
      <c r="AN23" s="865">
        <v>0</v>
      </c>
      <c r="AO23" s="865">
        <v>0</v>
      </c>
      <c r="AP23" s="865">
        <v>0</v>
      </c>
      <c r="AQ23" s="865">
        <v>0</v>
      </c>
      <c r="AR23" s="865">
        <v>0</v>
      </c>
      <c r="AS23" s="865">
        <v>0</v>
      </c>
      <c r="AT23" s="865">
        <v>0</v>
      </c>
      <c r="AU23" s="865">
        <v>0</v>
      </c>
      <c r="AV23" s="872">
        <v>0</v>
      </c>
    </row>
    <row r="24" spans="1:48" s="732" customFormat="1" x14ac:dyDescent="0.25">
      <c r="A24" s="916" t="s">
        <v>24</v>
      </c>
      <c r="B24" s="865">
        <v>6942.0420000000004</v>
      </c>
      <c r="C24" s="865">
        <v>11340.678</v>
      </c>
      <c r="D24" s="865">
        <v>10340.589</v>
      </c>
      <c r="E24" s="865">
        <v>13525.764999999999</v>
      </c>
      <c r="F24" s="865">
        <v>21117.202000000001</v>
      </c>
      <c r="G24" s="865">
        <v>33729.735999999997</v>
      </c>
      <c r="H24" s="865">
        <v>-171.453</v>
      </c>
      <c r="I24" s="865">
        <v>518.94200000000001</v>
      </c>
      <c r="J24" s="865">
        <v>1893.7360000000001</v>
      </c>
      <c r="K24" s="865">
        <v>2236.8249999999998</v>
      </c>
      <c r="L24" s="865">
        <v>3436.3409999999999</v>
      </c>
      <c r="M24" s="865">
        <v>5026.4560000000001</v>
      </c>
      <c r="N24" s="865">
        <v>753.13499999999999</v>
      </c>
      <c r="O24" s="865">
        <v>1416.2629999999999</v>
      </c>
      <c r="P24" s="865">
        <v>2677.047</v>
      </c>
      <c r="Q24" s="865">
        <v>4691.5990000000002</v>
      </c>
      <c r="R24" s="865">
        <v>7349.049</v>
      </c>
      <c r="S24" s="865">
        <v>9348.1929999999993</v>
      </c>
      <c r="T24" s="865">
        <v>0</v>
      </c>
      <c r="U24" s="865">
        <v>0</v>
      </c>
      <c r="V24" s="865">
        <v>0</v>
      </c>
      <c r="W24" s="865">
        <v>0</v>
      </c>
      <c r="X24" s="865">
        <v>-3133.85</v>
      </c>
      <c r="Y24" s="865">
        <v>-2600.71</v>
      </c>
      <c r="Z24" s="865">
        <v>4.1529999999999996</v>
      </c>
      <c r="AA24" s="865">
        <v>68.087000000000003</v>
      </c>
      <c r="AB24" s="865">
        <v>-194.065</v>
      </c>
      <c r="AC24" s="865">
        <v>-1289.202</v>
      </c>
      <c r="AD24" s="865">
        <v>0</v>
      </c>
      <c r="AE24" s="865">
        <v>-1357.9749999999999</v>
      </c>
      <c r="AF24" s="865">
        <v>3855.143</v>
      </c>
      <c r="AG24" s="865">
        <v>6041.8829999999998</v>
      </c>
      <c r="AH24" s="865">
        <v>8569.48</v>
      </c>
      <c r="AI24" s="865">
        <v>11211.311</v>
      </c>
      <c r="AJ24" s="865">
        <v>16485.715</v>
      </c>
      <c r="AK24" s="865">
        <v>21310.653999999999</v>
      </c>
      <c r="AL24" s="865">
        <v>6463.95</v>
      </c>
      <c r="AM24" s="865">
        <v>6626.9359999999997</v>
      </c>
      <c r="AN24" s="865">
        <v>7340.3249999999998</v>
      </c>
      <c r="AO24" s="865">
        <v>8586.7489999999998</v>
      </c>
      <c r="AP24" s="865">
        <v>11472.207</v>
      </c>
      <c r="AQ24" s="865">
        <v>13659.67</v>
      </c>
      <c r="AR24" s="865">
        <v>1436.604</v>
      </c>
      <c r="AS24" s="865">
        <v>1357.645</v>
      </c>
      <c r="AT24" s="865">
        <v>1742.2619999999999</v>
      </c>
      <c r="AU24" s="865">
        <v>2231.877</v>
      </c>
      <c r="AV24" s="872">
        <v>2794.4029999999998</v>
      </c>
    </row>
    <row r="25" spans="1:48" s="732" customFormat="1" x14ac:dyDescent="0.25">
      <c r="A25" s="916" t="s">
        <v>452</v>
      </c>
      <c r="B25" s="865">
        <v>0</v>
      </c>
      <c r="C25" s="865">
        <v>0</v>
      </c>
      <c r="D25" s="865">
        <v>0</v>
      </c>
      <c r="E25" s="865">
        <v>0</v>
      </c>
      <c r="F25" s="865">
        <v>0</v>
      </c>
      <c r="G25" s="865">
        <v>0</v>
      </c>
      <c r="H25" s="865">
        <v>0</v>
      </c>
      <c r="I25" s="865">
        <v>0</v>
      </c>
      <c r="J25" s="865">
        <v>0</v>
      </c>
      <c r="K25" s="865">
        <v>0</v>
      </c>
      <c r="L25" s="865">
        <v>0</v>
      </c>
      <c r="M25" s="865">
        <v>0</v>
      </c>
      <c r="N25" s="865">
        <v>1.7999999999999999E-2</v>
      </c>
      <c r="O25" s="865">
        <v>0</v>
      </c>
      <c r="P25" s="865">
        <v>0</v>
      </c>
      <c r="Q25" s="865">
        <v>0</v>
      </c>
      <c r="R25" s="865">
        <v>0</v>
      </c>
      <c r="S25" s="865">
        <v>0</v>
      </c>
      <c r="T25" s="865">
        <v>95.703999999999994</v>
      </c>
      <c r="U25" s="865">
        <v>0</v>
      </c>
      <c r="V25" s="865">
        <v>0</v>
      </c>
      <c r="W25" s="865">
        <v>0</v>
      </c>
      <c r="X25" s="865">
        <v>0</v>
      </c>
      <c r="Y25" s="865">
        <v>0</v>
      </c>
      <c r="Z25" s="865">
        <v>0</v>
      </c>
      <c r="AA25" s="865">
        <v>0</v>
      </c>
      <c r="AB25" s="865">
        <v>0</v>
      </c>
      <c r="AC25" s="865">
        <v>0</v>
      </c>
      <c r="AD25" s="865">
        <v>0</v>
      </c>
      <c r="AE25" s="865">
        <v>0</v>
      </c>
      <c r="AF25" s="865">
        <v>0</v>
      </c>
      <c r="AG25" s="865">
        <v>0</v>
      </c>
      <c r="AH25" s="865">
        <v>0</v>
      </c>
      <c r="AI25" s="865">
        <v>0</v>
      </c>
      <c r="AJ25" s="865">
        <v>0</v>
      </c>
      <c r="AK25" s="865">
        <v>0</v>
      </c>
      <c r="AL25" s="865">
        <v>0</v>
      </c>
      <c r="AM25" s="865">
        <v>0</v>
      </c>
      <c r="AN25" s="865">
        <v>0</v>
      </c>
      <c r="AO25" s="865">
        <v>0</v>
      </c>
      <c r="AP25" s="865">
        <v>0</v>
      </c>
      <c r="AQ25" s="865">
        <v>0</v>
      </c>
      <c r="AR25" s="865">
        <v>0</v>
      </c>
      <c r="AS25" s="865">
        <v>0</v>
      </c>
      <c r="AT25" s="865">
        <v>0</v>
      </c>
      <c r="AU25" s="865">
        <v>0</v>
      </c>
      <c r="AV25" s="872">
        <v>0</v>
      </c>
    </row>
    <row r="26" spans="1:48" s="732" customFormat="1" x14ac:dyDescent="0.25">
      <c r="A26" s="916" t="s">
        <v>453</v>
      </c>
      <c r="B26" s="865">
        <v>790.32600000000002</v>
      </c>
      <c r="C26" s="865">
        <v>2458.5169999999998</v>
      </c>
      <c r="D26" s="865">
        <v>738.97299999999996</v>
      </c>
      <c r="E26" s="865">
        <v>-45.883000000000003</v>
      </c>
      <c r="F26" s="865">
        <v>9400.8349999999991</v>
      </c>
      <c r="G26" s="865">
        <v>6373.3270000000002</v>
      </c>
      <c r="H26" s="865">
        <v>834.46799999999996</v>
      </c>
      <c r="I26" s="865">
        <v>1741.327</v>
      </c>
      <c r="J26" s="865">
        <v>1201.913</v>
      </c>
      <c r="K26" s="865">
        <v>1875.4949999999999</v>
      </c>
      <c r="L26" s="865">
        <v>4626.7730000000001</v>
      </c>
      <c r="M26" s="865">
        <v>3236.2640000000001</v>
      </c>
      <c r="N26" s="865">
        <v>12.898</v>
      </c>
      <c r="O26" s="865">
        <v>60.811</v>
      </c>
      <c r="P26" s="865">
        <v>-142.26499999999999</v>
      </c>
      <c r="Q26" s="865">
        <v>-820.66700000000003</v>
      </c>
      <c r="R26" s="865">
        <v>1265.2239999999999</v>
      </c>
      <c r="S26" s="865">
        <v>201.98400000000001</v>
      </c>
      <c r="T26" s="865">
        <v>-14.414999999999999</v>
      </c>
      <c r="U26" s="865">
        <v>404.66199999999998</v>
      </c>
      <c r="V26" s="865">
        <v>171.73400000000001</v>
      </c>
      <c r="W26" s="865">
        <v>353.21199999999999</v>
      </c>
      <c r="X26" s="865">
        <v>1185.54</v>
      </c>
      <c r="Y26" s="865">
        <v>733.16700000000003</v>
      </c>
      <c r="Z26" s="865">
        <v>-31.861999999999998</v>
      </c>
      <c r="AA26" s="865">
        <v>171.34200000000001</v>
      </c>
      <c r="AB26" s="865">
        <v>-201.6</v>
      </c>
      <c r="AC26" s="865">
        <v>132.27199999999999</v>
      </c>
      <c r="AD26" s="865">
        <v>422.32600000000002</v>
      </c>
      <c r="AE26" s="865">
        <v>419.46899999999999</v>
      </c>
      <c r="AF26" s="865">
        <v>198.74100000000001</v>
      </c>
      <c r="AG26" s="865">
        <v>1014.245</v>
      </c>
      <c r="AH26" s="865">
        <v>315.589</v>
      </c>
      <c r="AI26" s="865">
        <v>-111.03400000000001</v>
      </c>
      <c r="AJ26" s="865">
        <v>-28.352</v>
      </c>
      <c r="AK26" s="865">
        <v>-2.5819999999999999</v>
      </c>
      <c r="AL26" s="865">
        <v>1108.325</v>
      </c>
      <c r="AM26" s="865">
        <v>1709.8489999999999</v>
      </c>
      <c r="AN26" s="865">
        <v>1077.1369999999999</v>
      </c>
      <c r="AO26" s="865">
        <v>1932.828</v>
      </c>
      <c r="AP26" s="865">
        <v>1837.884</v>
      </c>
      <c r="AQ26" s="865">
        <v>1611.89</v>
      </c>
      <c r="AR26" s="865">
        <v>128.898</v>
      </c>
      <c r="AS26" s="865">
        <v>170.9</v>
      </c>
      <c r="AT26" s="865">
        <v>203.7</v>
      </c>
      <c r="AU26" s="865">
        <v>121.608</v>
      </c>
      <c r="AV26" s="872">
        <v>633.83100000000002</v>
      </c>
    </row>
    <row r="27" spans="1:48" s="732" customFormat="1" x14ac:dyDescent="0.25">
      <c r="A27" s="916" t="s">
        <v>99</v>
      </c>
      <c r="B27" s="865">
        <v>26347.11</v>
      </c>
      <c r="C27" s="865">
        <v>34772.563999999998</v>
      </c>
      <c r="D27" s="865">
        <v>35077.392999999996</v>
      </c>
      <c r="E27" s="865">
        <v>40333.055</v>
      </c>
      <c r="F27" s="865">
        <v>62780.946000000004</v>
      </c>
      <c r="G27" s="865">
        <v>61611.133000000002</v>
      </c>
      <c r="H27" s="865">
        <v>11186.27</v>
      </c>
      <c r="I27" s="865">
        <v>13066.334000000001</v>
      </c>
      <c r="J27" s="865">
        <v>14227.236000000001</v>
      </c>
      <c r="K27" s="865">
        <v>15275.812</v>
      </c>
      <c r="L27" s="865">
        <v>20453.516</v>
      </c>
      <c r="M27" s="865">
        <f>(SUM(M22:M26))/1000</f>
        <v>20.458334999999998</v>
      </c>
      <c r="N27" s="865">
        <v>7975.6670000000004</v>
      </c>
      <c r="O27" s="865">
        <v>12107.334999999999</v>
      </c>
      <c r="P27" s="865">
        <v>14912.171</v>
      </c>
      <c r="Q27" s="865">
        <v>16750.173999999999</v>
      </c>
      <c r="R27" s="865">
        <v>22162.633999999998</v>
      </c>
      <c r="S27" s="865">
        <f>(SUM(S22:S26))/1000</f>
        <v>23.598324000000002</v>
      </c>
      <c r="T27" s="865">
        <v>6273.2370000000001</v>
      </c>
      <c r="U27" s="865">
        <v>11389.503000000001</v>
      </c>
      <c r="V27" s="865">
        <v>10762.221</v>
      </c>
      <c r="W27" s="865">
        <v>10705.083000000001</v>
      </c>
      <c r="X27" s="865">
        <f>(SUM(X22:X26))/1000</f>
        <v>12.731563999999999</v>
      </c>
      <c r="Y27" s="865">
        <f>(SUM(Y22:Y26))/1000</f>
        <v>12.945559999999999</v>
      </c>
      <c r="Z27" s="865">
        <v>9978.5990000000002</v>
      </c>
      <c r="AA27" s="865">
        <v>10197.786</v>
      </c>
      <c r="AB27" s="865">
        <v>9824.8439999999991</v>
      </c>
      <c r="AC27" s="865">
        <v>11358.716</v>
      </c>
      <c r="AD27" s="865">
        <v>10466.800999999999</v>
      </c>
      <c r="AE27" s="865">
        <f>(SUM(AE22:AE26))/1000</f>
        <v>10.647967999999999</v>
      </c>
      <c r="AF27" s="865">
        <v>448.74099999999999</v>
      </c>
      <c r="AG27" s="865">
        <v>1264.2449999999999</v>
      </c>
      <c r="AH27" s="865">
        <v>570.173</v>
      </c>
      <c r="AI27" s="865">
        <v>138.96600000000001</v>
      </c>
      <c r="AJ27" s="865">
        <v>221.648</v>
      </c>
      <c r="AK27" s="865">
        <f>(SUM(AK22:AK26))/1000</f>
        <v>21.558071999999999</v>
      </c>
      <c r="AL27" s="865">
        <v>2908.2689999999998</v>
      </c>
      <c r="AM27" s="865">
        <v>3510.7269999999999</v>
      </c>
      <c r="AN27" s="865">
        <v>2877.1370000000002</v>
      </c>
      <c r="AO27" s="865">
        <v>3732.828</v>
      </c>
      <c r="AP27" s="865">
        <v>3637.884</v>
      </c>
      <c r="AQ27" s="865">
        <f>(SUM(AQ22:AQ26))/1000</f>
        <v>17.071560000000002</v>
      </c>
      <c r="AR27" s="865">
        <v>1508.8979999999999</v>
      </c>
      <c r="AS27" s="865">
        <v>3050.9</v>
      </c>
      <c r="AT27" s="865">
        <v>3083.7</v>
      </c>
      <c r="AU27" s="865">
        <f>(SUM(AU22:AU26))/1000</f>
        <v>7.0334850000000007</v>
      </c>
      <c r="AV27" s="872">
        <f>(SUM(AV22:AV26))/1000</f>
        <v>12.608233999999999</v>
      </c>
    </row>
    <row r="28" spans="1:48" s="732" customFormat="1" x14ac:dyDescent="0.25">
      <c r="A28" s="916" t="s">
        <v>454</v>
      </c>
      <c r="B28" s="865">
        <v>25556.784</v>
      </c>
      <c r="C28" s="865">
        <v>32314.046999999999</v>
      </c>
      <c r="D28" s="865">
        <v>34338.42</v>
      </c>
      <c r="E28" s="865">
        <v>40378.938000000002</v>
      </c>
      <c r="F28" s="865">
        <v>52210.298000000003</v>
      </c>
      <c r="G28" s="865">
        <f>(G27-G26)/1000</f>
        <v>55.237806000000006</v>
      </c>
      <c r="H28" s="865">
        <v>10430.843999999999</v>
      </c>
      <c r="I28" s="865">
        <v>11325.007</v>
      </c>
      <c r="J28" s="865">
        <v>12820.081</v>
      </c>
      <c r="K28" s="865">
        <v>13205.703</v>
      </c>
      <c r="L28" s="865">
        <v>15631.956</v>
      </c>
      <c r="M28" s="865">
        <f>(M27-M26)/1000</f>
        <v>-3.2158056650000004</v>
      </c>
      <c r="N28" s="865">
        <v>7962.7510000000002</v>
      </c>
      <c r="O28" s="865">
        <v>12046.523999999999</v>
      </c>
      <c r="P28" s="865">
        <v>15054.436</v>
      </c>
      <c r="Q28" s="865">
        <v>17570.841</v>
      </c>
      <c r="R28" s="865">
        <v>20897.41</v>
      </c>
      <c r="S28" s="865">
        <f>(S27-S26)/1000</f>
        <v>-0.17838567600000002</v>
      </c>
      <c r="T28" s="865">
        <v>6959.2380000000003</v>
      </c>
      <c r="U28" s="865">
        <v>10984.841</v>
      </c>
      <c r="V28" s="865">
        <v>10590.486999999999</v>
      </c>
      <c r="W28" s="865">
        <v>10351.870999999999</v>
      </c>
      <c r="X28" s="865">
        <f>(X27-X26)/1000</f>
        <v>-1.172808436</v>
      </c>
      <c r="Y28" s="865">
        <f>(Y27-Y26)/1000</f>
        <v>-0.72022143999999999</v>
      </c>
      <c r="Z28" s="865">
        <v>10014.614</v>
      </c>
      <c r="AA28" s="865">
        <v>10094.531000000001</v>
      </c>
      <c r="AB28" s="865">
        <v>9832.3790000000008</v>
      </c>
      <c r="AC28" s="865">
        <v>9937.2420000000002</v>
      </c>
      <c r="AD28" s="865">
        <v>10044.475</v>
      </c>
      <c r="AE28" s="865">
        <f>(AE27-AE26)/1000</f>
        <v>-0.40882103200000003</v>
      </c>
      <c r="AF28" s="865">
        <v>4105.143</v>
      </c>
      <c r="AG28" s="865">
        <v>6291.8829999999998</v>
      </c>
      <c r="AH28" s="865">
        <v>8824.0640000000003</v>
      </c>
      <c r="AI28" s="865">
        <v>11461.311</v>
      </c>
      <c r="AJ28" s="865">
        <v>16735.715</v>
      </c>
      <c r="AK28" s="865">
        <f>(AK27-AK26)/1000</f>
        <v>2.4140071999999999E-2</v>
      </c>
      <c r="AL28" s="865">
        <v>8263.8940000000002</v>
      </c>
      <c r="AM28" s="865">
        <v>8427.8140000000003</v>
      </c>
      <c r="AN28" s="865">
        <v>9140.3250000000007</v>
      </c>
      <c r="AO28" s="865">
        <v>10386.749</v>
      </c>
      <c r="AP28" s="865">
        <v>13272.207</v>
      </c>
      <c r="AQ28" s="865">
        <f>(AQ27-AQ26)/1000</f>
        <v>-1.5948184400000001</v>
      </c>
      <c r="AR28" s="865">
        <v>2816.6039999999998</v>
      </c>
      <c r="AS28" s="865">
        <v>4237.6450000000004</v>
      </c>
      <c r="AT28" s="865">
        <v>4622.2619999999997</v>
      </c>
      <c r="AU28" s="865">
        <f>(AU27-AU26)/1000</f>
        <v>-0.114574515</v>
      </c>
      <c r="AV28" s="872">
        <f>(AV27-AV26)/1000</f>
        <v>-0.62122276599999993</v>
      </c>
    </row>
    <row r="29" spans="1:48" s="732" customFormat="1" x14ac:dyDescent="0.25">
      <c r="A29" s="916" t="s">
        <v>455</v>
      </c>
      <c r="B29" s="865">
        <v>26347.11</v>
      </c>
      <c r="C29" s="865">
        <v>34772.563999999998</v>
      </c>
      <c r="D29" s="865">
        <v>35077.392999999996</v>
      </c>
      <c r="E29" s="865">
        <v>40333.055</v>
      </c>
      <c r="F29" s="865">
        <v>61611.133000000002</v>
      </c>
      <c r="G29" s="865">
        <f>(G28+G26)/1000</f>
        <v>6.4285648060000007</v>
      </c>
      <c r="H29" s="865">
        <v>11265.312</v>
      </c>
      <c r="I29" s="865">
        <v>13066.334000000001</v>
      </c>
      <c r="J29" s="865">
        <v>14021.994000000001</v>
      </c>
      <c r="K29" s="865">
        <v>15081.198</v>
      </c>
      <c r="L29" s="865">
        <v>20258.728999999999</v>
      </c>
      <c r="M29" s="865">
        <f>(M28+M26)/1000</f>
        <v>3.2330481943350002</v>
      </c>
      <c r="N29" s="865">
        <v>7975.6490000000003</v>
      </c>
      <c r="O29" s="865">
        <v>12107.334999999999</v>
      </c>
      <c r="P29" s="865">
        <v>14912.171</v>
      </c>
      <c r="Q29" s="865">
        <v>16750.173999999999</v>
      </c>
      <c r="R29" s="865">
        <v>22162.633999999998</v>
      </c>
      <c r="S29" s="865">
        <f>(S28+S26)/1000</f>
        <v>0.20180561432400002</v>
      </c>
      <c r="T29" s="865">
        <v>6944.8230000000003</v>
      </c>
      <c r="U29" s="865">
        <v>11389.503000000001</v>
      </c>
      <c r="V29" s="865">
        <v>10762.221</v>
      </c>
      <c r="W29" s="865">
        <v>10705.083000000001</v>
      </c>
      <c r="X29" s="865">
        <f>(X28+X26)/1000</f>
        <v>1.1843671915639999</v>
      </c>
      <c r="Y29" s="865">
        <f>(Y28+Y26)/1000</f>
        <v>0.73244677855999996</v>
      </c>
      <c r="Z29" s="865">
        <v>9982.7520000000004</v>
      </c>
      <c r="AA29" s="865">
        <v>10265.873</v>
      </c>
      <c r="AB29" s="865">
        <v>9630.7790000000005</v>
      </c>
      <c r="AC29" s="865">
        <v>10069.513999999999</v>
      </c>
      <c r="AD29" s="865">
        <v>10466.800999999999</v>
      </c>
      <c r="AE29" s="865">
        <f>(AE28+AE26)/1000</f>
        <v>0.41906017896800002</v>
      </c>
      <c r="AF29" s="865">
        <v>4303.884</v>
      </c>
      <c r="AG29" s="865">
        <v>7306.1279999999997</v>
      </c>
      <c r="AH29" s="865">
        <v>9139.6530000000002</v>
      </c>
      <c r="AI29" s="865">
        <v>11350.277</v>
      </c>
      <c r="AJ29" s="865">
        <v>16707.363000000001</v>
      </c>
      <c r="AK29" s="865">
        <f>(AK28+AK26)/1000</f>
        <v>-2.5578599280000002E-3</v>
      </c>
      <c r="AL29" s="865">
        <v>9372.2189999999991</v>
      </c>
      <c r="AM29" s="865">
        <v>10137.663</v>
      </c>
      <c r="AN29" s="865">
        <v>10217.462</v>
      </c>
      <c r="AO29" s="865">
        <v>12319.576999999999</v>
      </c>
      <c r="AP29" s="865">
        <v>15110.091</v>
      </c>
      <c r="AQ29" s="865">
        <f>(AQ28+AQ26)/1000</f>
        <v>1.6102951815600002</v>
      </c>
      <c r="AR29" s="865">
        <v>2945.502</v>
      </c>
      <c r="AS29" s="865">
        <v>4408.5450000000001</v>
      </c>
      <c r="AT29" s="865">
        <v>4825.9620000000004</v>
      </c>
      <c r="AU29" s="865">
        <f>(AU28+AU26)/1000</f>
        <v>0.121493425485</v>
      </c>
      <c r="AV29" s="872">
        <f>(AV28+AV26)/1000</f>
        <v>0.63320977723400007</v>
      </c>
    </row>
    <row r="30" spans="1:48" s="732" customFormat="1" ht="18" customHeight="1" x14ac:dyDescent="0.25">
      <c r="A30" s="915" t="s">
        <v>456</v>
      </c>
      <c r="B30" s="865"/>
      <c r="C30" s="865"/>
      <c r="D30" s="865"/>
      <c r="E30" s="865"/>
      <c r="F30" s="865"/>
      <c r="G30" s="865"/>
      <c r="H30" s="865"/>
      <c r="I30" s="865"/>
      <c r="J30" s="865"/>
      <c r="K30" s="865"/>
      <c r="L30" s="865"/>
      <c r="M30" s="865"/>
      <c r="N30" s="865"/>
      <c r="O30" s="865"/>
      <c r="P30" s="865"/>
      <c r="Q30" s="865"/>
      <c r="R30" s="865"/>
      <c r="S30" s="865"/>
      <c r="T30" s="865"/>
      <c r="U30" s="865"/>
      <c r="V30" s="865"/>
      <c r="W30" s="865"/>
      <c r="X30" s="865"/>
      <c r="Y30" s="865"/>
      <c r="Z30" s="865"/>
      <c r="AA30" s="865"/>
      <c r="AB30" s="865"/>
      <c r="AC30" s="865"/>
      <c r="AD30" s="865"/>
      <c r="AE30" s="865"/>
      <c r="AF30" s="865"/>
      <c r="AG30" s="865"/>
      <c r="AH30" s="865"/>
      <c r="AI30" s="865"/>
      <c r="AJ30" s="865"/>
      <c r="AK30" s="865"/>
      <c r="AL30" s="865"/>
      <c r="AM30" s="865"/>
      <c r="AN30" s="865"/>
      <c r="AO30" s="865"/>
      <c r="AP30" s="865"/>
      <c r="AQ30" s="865"/>
      <c r="AR30" s="865"/>
      <c r="AS30" s="865"/>
      <c r="AT30" s="865"/>
      <c r="AU30" s="865"/>
      <c r="AV30" s="872"/>
    </row>
    <row r="31" spans="1:48" s="732" customFormat="1" x14ac:dyDescent="0.25">
      <c r="A31" s="916" t="s">
        <v>457</v>
      </c>
      <c r="B31" s="865">
        <v>33113.741000000002</v>
      </c>
      <c r="C31" s="865">
        <v>31429.594000000001</v>
      </c>
      <c r="D31" s="865">
        <v>36434.663</v>
      </c>
      <c r="E31" s="865">
        <v>48629.139000000003</v>
      </c>
      <c r="F31" s="865">
        <v>94278.81</v>
      </c>
      <c r="G31" s="865">
        <v>83316.762000000002</v>
      </c>
      <c r="H31" s="865">
        <v>8834.16</v>
      </c>
      <c r="I31" s="865">
        <v>10127.616</v>
      </c>
      <c r="J31" s="865">
        <v>10323.727000000001</v>
      </c>
      <c r="K31" s="865">
        <v>12204.666999999999</v>
      </c>
      <c r="L31" s="865">
        <v>23624.544000000002</v>
      </c>
      <c r="M31" s="865">
        <v>20510.569</v>
      </c>
      <c r="N31" s="865">
        <v>8725.6460000000006</v>
      </c>
      <c r="O31" s="865">
        <v>9486.2890000000007</v>
      </c>
      <c r="P31" s="865">
        <v>10797.894</v>
      </c>
      <c r="Q31" s="865">
        <v>14901.468999999999</v>
      </c>
      <c r="R31" s="865">
        <v>26138.948</v>
      </c>
      <c r="S31" s="865">
        <v>20650.581999999999</v>
      </c>
      <c r="T31" s="865">
        <v>6269.0860000000002</v>
      </c>
      <c r="U31" s="865">
        <v>5158.0730000000003</v>
      </c>
      <c r="V31" s="865">
        <v>6717.57</v>
      </c>
      <c r="W31" s="865">
        <v>8031.61</v>
      </c>
      <c r="X31" s="865">
        <v>12923.325999999999</v>
      </c>
      <c r="Y31" s="865">
        <v>10804.14</v>
      </c>
      <c r="Z31" s="865">
        <v>1287.2170000000001</v>
      </c>
      <c r="AA31" s="865">
        <v>1526.778</v>
      </c>
      <c r="AB31" s="865">
        <v>2060.9270000000001</v>
      </c>
      <c r="AC31" s="865">
        <v>4208.875</v>
      </c>
      <c r="AD31" s="865">
        <v>9848.8189999999995</v>
      </c>
      <c r="AE31" s="865">
        <v>7483.5940000000001</v>
      </c>
      <c r="AF31" s="865">
        <v>8795.4069999999992</v>
      </c>
      <c r="AG31" s="865">
        <v>8135.2929999999997</v>
      </c>
      <c r="AH31" s="865">
        <v>9130.6890000000003</v>
      </c>
      <c r="AI31" s="865">
        <v>12350.047</v>
      </c>
      <c r="AJ31" s="865">
        <v>20242.98</v>
      </c>
      <c r="AK31" s="865">
        <v>17194.189999999999</v>
      </c>
      <c r="AL31" s="865">
        <v>7808.7790000000005</v>
      </c>
      <c r="AM31" s="865">
        <v>7332.9610000000002</v>
      </c>
      <c r="AN31" s="865">
        <v>7815.7730000000001</v>
      </c>
      <c r="AO31" s="865">
        <v>8632.5229999999992</v>
      </c>
      <c r="AP31" s="865">
        <v>13948.134</v>
      </c>
      <c r="AQ31" s="865">
        <v>10480.846</v>
      </c>
      <c r="AR31" s="865">
        <v>3049.7379999999998</v>
      </c>
      <c r="AS31" s="865">
        <v>3359.915</v>
      </c>
      <c r="AT31" s="865">
        <v>4910.8310000000001</v>
      </c>
      <c r="AU31" s="865">
        <v>35201.159</v>
      </c>
      <c r="AV31" s="872">
        <v>58398.995000000003</v>
      </c>
    </row>
    <row r="32" spans="1:48" s="732" customFormat="1" x14ac:dyDescent="0.25">
      <c r="A32" s="916" t="s">
        <v>458</v>
      </c>
      <c r="B32" s="865">
        <v>14897.148999999999</v>
      </c>
      <c r="C32" s="865">
        <v>12872.843999999999</v>
      </c>
      <c r="D32" s="865">
        <v>15681.641</v>
      </c>
      <c r="E32" s="865">
        <v>20453.359</v>
      </c>
      <c r="F32" s="865">
        <v>47746.059000000001</v>
      </c>
      <c r="G32" s="865">
        <v>33575.383000000002</v>
      </c>
      <c r="H32" s="865">
        <v>5118.8220000000001</v>
      </c>
      <c r="I32" s="865">
        <v>5791.2520000000004</v>
      </c>
      <c r="J32" s="865">
        <v>5231.3050000000003</v>
      </c>
      <c r="K32" s="865">
        <v>6145.5429999999997</v>
      </c>
      <c r="L32" s="865">
        <v>12832.859</v>
      </c>
      <c r="M32" s="865">
        <v>10562.93</v>
      </c>
      <c r="N32" s="865">
        <v>4091.2190000000001</v>
      </c>
      <c r="O32" s="865">
        <v>4273.598</v>
      </c>
      <c r="P32" s="865">
        <v>4370.4219999999996</v>
      </c>
      <c r="Q32" s="865">
        <v>6778.3329999999996</v>
      </c>
      <c r="R32" s="865">
        <v>15615.07</v>
      </c>
      <c r="S32" s="865">
        <v>11635.17</v>
      </c>
      <c r="T32" s="865">
        <v>3790.6179999999999</v>
      </c>
      <c r="U32" s="865">
        <v>2794.91</v>
      </c>
      <c r="V32" s="865">
        <v>3077.721</v>
      </c>
      <c r="W32" s="865">
        <v>3814.8319999999999</v>
      </c>
      <c r="X32" s="865">
        <v>7912.2150000000001</v>
      </c>
      <c r="Y32" s="865">
        <v>6184.02</v>
      </c>
      <c r="Z32" s="865">
        <v>379.61</v>
      </c>
      <c r="AA32" s="865">
        <v>576.54399999999998</v>
      </c>
      <c r="AB32" s="865">
        <v>1005.671</v>
      </c>
      <c r="AC32" s="865">
        <v>2304.9499999999998</v>
      </c>
      <c r="AD32" s="865">
        <v>5855.0609999999997</v>
      </c>
      <c r="AE32" s="865">
        <v>4107.7780000000002</v>
      </c>
      <c r="AF32" s="865">
        <v>5631.7420000000002</v>
      </c>
      <c r="AG32" s="865">
        <v>4181.616</v>
      </c>
      <c r="AH32" s="865">
        <v>4349.3469999999998</v>
      </c>
      <c r="AI32" s="865">
        <v>7048.4430000000002</v>
      </c>
      <c r="AJ32" s="865">
        <v>9783.5069999999996</v>
      </c>
      <c r="AK32" s="865">
        <v>7056.16</v>
      </c>
      <c r="AL32" s="865">
        <v>3725.0819999999999</v>
      </c>
      <c r="AM32" s="865">
        <v>3455.8809999999999</v>
      </c>
      <c r="AN32" s="865">
        <v>3238.288</v>
      </c>
      <c r="AO32" s="865">
        <v>2999.5010000000002</v>
      </c>
      <c r="AP32" s="865">
        <v>5181.299</v>
      </c>
      <c r="AQ32" s="865">
        <v>3667.4740000000002</v>
      </c>
      <c r="AR32" s="865">
        <v>1506.1579999999999</v>
      </c>
      <c r="AS32" s="865">
        <v>1952.029</v>
      </c>
      <c r="AT32" s="865">
        <v>2056.2359999999999</v>
      </c>
      <c r="AU32" s="865">
        <v>18924.859</v>
      </c>
      <c r="AV32" s="872">
        <v>37272.461000000003</v>
      </c>
    </row>
    <row r="33" spans="1:49" s="732" customFormat="1" x14ac:dyDescent="0.25">
      <c r="A33" s="916" t="s">
        <v>459</v>
      </c>
      <c r="B33" s="865">
        <f>(B31-B32)</f>
        <v>18216.592000000004</v>
      </c>
      <c r="C33" s="865">
        <f>(C31-C32)</f>
        <v>18556.75</v>
      </c>
      <c r="D33" s="865">
        <f t="shared" ref="D33:AV33" si="1">(D31-D32)</f>
        <v>20753.022000000001</v>
      </c>
      <c r="E33" s="865">
        <f t="shared" si="1"/>
        <v>28175.780000000002</v>
      </c>
      <c r="F33" s="865">
        <f t="shared" si="1"/>
        <v>46532.750999999997</v>
      </c>
      <c r="G33" s="865">
        <f t="shared" si="1"/>
        <v>49741.379000000001</v>
      </c>
      <c r="H33" s="865">
        <f t="shared" si="1"/>
        <v>3715.3379999999997</v>
      </c>
      <c r="I33" s="865">
        <f t="shared" si="1"/>
        <v>4336.3639999999996</v>
      </c>
      <c r="J33" s="865">
        <f t="shared" si="1"/>
        <v>5092.4220000000005</v>
      </c>
      <c r="K33" s="865">
        <f t="shared" si="1"/>
        <v>6059.1239999999998</v>
      </c>
      <c r="L33" s="865">
        <f t="shared" si="1"/>
        <v>10791.685000000001</v>
      </c>
      <c r="M33" s="865">
        <f t="shared" si="1"/>
        <v>9947.6389999999992</v>
      </c>
      <c r="N33" s="865">
        <f t="shared" si="1"/>
        <v>4634.4270000000006</v>
      </c>
      <c r="O33" s="865">
        <f t="shared" si="1"/>
        <v>5212.6910000000007</v>
      </c>
      <c r="P33" s="865">
        <f t="shared" si="1"/>
        <v>6427.4720000000007</v>
      </c>
      <c r="Q33" s="865">
        <f t="shared" si="1"/>
        <v>8123.1359999999995</v>
      </c>
      <c r="R33" s="865">
        <f t="shared" si="1"/>
        <v>10523.878000000001</v>
      </c>
      <c r="S33" s="865">
        <f t="shared" si="1"/>
        <v>9015.4119999999984</v>
      </c>
      <c r="T33" s="865">
        <f t="shared" si="1"/>
        <v>2478.4680000000003</v>
      </c>
      <c r="U33" s="865">
        <f t="shared" si="1"/>
        <v>2363.1630000000005</v>
      </c>
      <c r="V33" s="865">
        <f t="shared" si="1"/>
        <v>3639.8489999999997</v>
      </c>
      <c r="W33" s="865">
        <f t="shared" si="1"/>
        <v>4216.7780000000002</v>
      </c>
      <c r="X33" s="865">
        <f t="shared" si="1"/>
        <v>5011.110999999999</v>
      </c>
      <c r="Y33" s="865">
        <f t="shared" si="1"/>
        <v>4620.119999999999</v>
      </c>
      <c r="Z33" s="865">
        <f t="shared" si="1"/>
        <v>907.60700000000008</v>
      </c>
      <c r="AA33" s="865">
        <f t="shared" si="1"/>
        <v>950.23400000000004</v>
      </c>
      <c r="AB33" s="865">
        <f t="shared" si="1"/>
        <v>1055.2560000000001</v>
      </c>
      <c r="AC33" s="865">
        <f t="shared" si="1"/>
        <v>1903.9250000000002</v>
      </c>
      <c r="AD33" s="865">
        <f t="shared" si="1"/>
        <v>3993.7579999999998</v>
      </c>
      <c r="AE33" s="865">
        <f t="shared" si="1"/>
        <v>3375.8159999999998</v>
      </c>
      <c r="AF33" s="865">
        <f t="shared" si="1"/>
        <v>3163.6649999999991</v>
      </c>
      <c r="AG33" s="865">
        <f t="shared" si="1"/>
        <v>3953.6769999999997</v>
      </c>
      <c r="AH33" s="865">
        <f t="shared" si="1"/>
        <v>4781.3420000000006</v>
      </c>
      <c r="AI33" s="865">
        <f t="shared" si="1"/>
        <v>5301.6040000000003</v>
      </c>
      <c r="AJ33" s="865">
        <f t="shared" si="1"/>
        <v>10459.473</v>
      </c>
      <c r="AK33" s="865">
        <f t="shared" si="1"/>
        <v>10138.029999999999</v>
      </c>
      <c r="AL33" s="865">
        <f t="shared" si="1"/>
        <v>4083.6970000000006</v>
      </c>
      <c r="AM33" s="865">
        <f t="shared" si="1"/>
        <v>3877.0800000000004</v>
      </c>
      <c r="AN33" s="865">
        <f t="shared" si="1"/>
        <v>4577.4850000000006</v>
      </c>
      <c r="AO33" s="865">
        <f t="shared" si="1"/>
        <v>5633.021999999999</v>
      </c>
      <c r="AP33" s="865">
        <f t="shared" si="1"/>
        <v>8766.8349999999991</v>
      </c>
      <c r="AQ33" s="865">
        <f t="shared" si="1"/>
        <v>6813.3719999999994</v>
      </c>
      <c r="AR33" s="865">
        <f t="shared" si="1"/>
        <v>1543.58</v>
      </c>
      <c r="AS33" s="865">
        <f t="shared" si="1"/>
        <v>1407.886</v>
      </c>
      <c r="AT33" s="865">
        <f t="shared" si="1"/>
        <v>2854.5950000000003</v>
      </c>
      <c r="AU33" s="865">
        <f t="shared" si="1"/>
        <v>16276.3</v>
      </c>
      <c r="AV33" s="872">
        <f t="shared" si="1"/>
        <v>21126.534</v>
      </c>
    </row>
    <row r="34" spans="1:49" s="732" customFormat="1" x14ac:dyDescent="0.25">
      <c r="A34" s="916" t="s">
        <v>460</v>
      </c>
      <c r="B34" s="865">
        <v>9073.5789999999997</v>
      </c>
      <c r="C34" s="865">
        <v>8668.4950000000008</v>
      </c>
      <c r="D34" s="865">
        <v>9932.8439999999991</v>
      </c>
      <c r="E34" s="865">
        <v>15179.99</v>
      </c>
      <c r="F34" s="865">
        <v>26977.745999999999</v>
      </c>
      <c r="G34" s="865">
        <v>10673.540999999999</v>
      </c>
      <c r="H34" s="865">
        <v>-753.96600000000001</v>
      </c>
      <c r="I34" s="865">
        <v>-1209.8920000000001</v>
      </c>
      <c r="J34" s="865">
        <v>270.99200000000002</v>
      </c>
      <c r="K34" s="865">
        <v>513.72199999999998</v>
      </c>
      <c r="L34" s="865">
        <v>1847.8050000000001</v>
      </c>
      <c r="M34" s="865">
        <v>2690.7040000000002</v>
      </c>
      <c r="N34" s="865">
        <v>899.00800000000004</v>
      </c>
      <c r="O34" s="865">
        <v>1499.6110000000001</v>
      </c>
      <c r="P34" s="865">
        <v>2527.8209999999999</v>
      </c>
      <c r="Q34" s="865">
        <v>3670.5129999999999</v>
      </c>
      <c r="R34" s="865">
        <v>5688.0739999999996</v>
      </c>
      <c r="S34" s="865">
        <v>4097.0029999999997</v>
      </c>
      <c r="T34" s="865">
        <v>285.57400000000001</v>
      </c>
      <c r="U34" s="865">
        <v>-176.51400000000001</v>
      </c>
      <c r="V34" s="865">
        <v>-531.07299999999998</v>
      </c>
      <c r="W34" s="865">
        <v>-187.54499999999999</v>
      </c>
      <c r="X34" s="865">
        <v>7.57</v>
      </c>
      <c r="Y34" s="865">
        <v>1237.4269999999999</v>
      </c>
      <c r="Z34" s="865">
        <v>505.76</v>
      </c>
      <c r="AA34" s="865">
        <v>19.835999999999999</v>
      </c>
      <c r="AB34" s="865">
        <v>-351.03500000000003</v>
      </c>
      <c r="AC34" s="865">
        <v>111.07899999999999</v>
      </c>
      <c r="AD34" s="865">
        <v>33.869</v>
      </c>
      <c r="AE34" s="865">
        <v>354.91300000000001</v>
      </c>
      <c r="AF34" s="865">
        <v>3411.143</v>
      </c>
      <c r="AG34" s="865">
        <v>3476.84</v>
      </c>
      <c r="AH34" s="865">
        <v>3900.0650000000001</v>
      </c>
      <c r="AI34" s="865">
        <v>4345.0510000000004</v>
      </c>
      <c r="AJ34" s="865">
        <v>9017.1260000000002</v>
      </c>
      <c r="AK34" s="865">
        <v>7918.7560000000003</v>
      </c>
      <c r="AL34" s="865">
        <v>1921.251</v>
      </c>
      <c r="AM34" s="865">
        <v>1314.95</v>
      </c>
      <c r="AN34" s="865">
        <v>1304.0999999999999</v>
      </c>
      <c r="AO34" s="865">
        <v>2596.5419999999999</v>
      </c>
      <c r="AP34" s="865">
        <v>4967.4449999999997</v>
      </c>
      <c r="AQ34" s="865">
        <v>3598.6089999999999</v>
      </c>
      <c r="AR34">
        <v>968.43299999999999</v>
      </c>
      <c r="AS34">
        <v>9.6069999999999993</v>
      </c>
      <c r="AT34">
        <v>629.23199999999997</v>
      </c>
      <c r="AU34">
        <v>7380.0640000000003</v>
      </c>
      <c r="AV34">
        <v>10158.486999999999</v>
      </c>
      <c r="AW34"/>
    </row>
    <row r="35" spans="1:49" s="732" customFormat="1" x14ac:dyDescent="0.25">
      <c r="A35" s="916" t="s">
        <v>719</v>
      </c>
      <c r="B35" s="865"/>
      <c r="C35" s="865"/>
      <c r="D35" s="865"/>
      <c r="E35" s="865"/>
      <c r="F35" s="865"/>
      <c r="G35" s="865">
        <v>10414.876</v>
      </c>
      <c r="H35" s="865">
        <v>1000</v>
      </c>
      <c r="I35" s="865"/>
      <c r="J35" s="865"/>
      <c r="K35" s="865"/>
      <c r="L35" s="865"/>
      <c r="M35" s="865">
        <v>10392.807000000001</v>
      </c>
      <c r="N35" s="865"/>
      <c r="O35" s="865"/>
      <c r="P35" s="865"/>
      <c r="Q35" s="865"/>
      <c r="R35" s="865"/>
      <c r="S35" s="865">
        <v>5913.9970000000003</v>
      </c>
      <c r="T35" s="865"/>
      <c r="U35" s="865"/>
      <c r="V35" s="865"/>
      <c r="W35" s="865"/>
      <c r="X35" s="865">
        <v>1000</v>
      </c>
      <c r="Y35" s="865">
        <v>9547.4840000000004</v>
      </c>
      <c r="Z35" s="865"/>
      <c r="AA35" s="865"/>
      <c r="AB35" s="865"/>
      <c r="AC35" s="865"/>
      <c r="AD35" s="865"/>
      <c r="AE35" s="865">
        <v>789.60299999999995</v>
      </c>
      <c r="AF35" s="865"/>
      <c r="AG35" s="865"/>
      <c r="AH35" s="865"/>
      <c r="AI35" s="865"/>
      <c r="AJ35" s="865"/>
      <c r="AK35" s="865"/>
      <c r="AL35" s="865"/>
      <c r="AM35" s="865"/>
      <c r="AN35" s="865"/>
      <c r="AO35" s="865"/>
      <c r="AP35" s="865"/>
      <c r="AQ35" s="865"/>
      <c r="AR35" s="865"/>
      <c r="AS35" s="865"/>
      <c r="AT35" s="865"/>
      <c r="AU35" s="865"/>
      <c r="AV35" s="872"/>
    </row>
    <row r="36" spans="1:49" s="732" customFormat="1" ht="15.75" x14ac:dyDescent="0.25">
      <c r="A36" s="916" t="s">
        <v>720</v>
      </c>
      <c r="B36" s="865"/>
      <c r="C36" s="865"/>
      <c r="D36" s="865"/>
      <c r="E36" s="865"/>
      <c r="F36" s="865"/>
      <c r="G36" s="917">
        <v>14597.857</v>
      </c>
      <c r="H36" s="865"/>
      <c r="I36" s="865"/>
      <c r="J36" s="865"/>
      <c r="K36" s="865"/>
      <c r="L36" s="865"/>
      <c r="M36" s="865">
        <v>6531.9669999999996</v>
      </c>
      <c r="N36" s="865"/>
      <c r="O36" s="865"/>
      <c r="P36" s="865"/>
      <c r="Q36" s="865"/>
      <c r="R36" s="865"/>
      <c r="S36" s="865">
        <v>3029.6239999999998</v>
      </c>
      <c r="T36" s="865"/>
      <c r="U36" s="865"/>
      <c r="V36" s="865"/>
      <c r="W36" s="865"/>
      <c r="X36" s="865"/>
      <c r="Y36" s="865">
        <v>6313.76</v>
      </c>
      <c r="Z36" s="865"/>
      <c r="AA36" s="865"/>
      <c r="AB36" s="865"/>
      <c r="AC36" s="865"/>
      <c r="AD36" s="865"/>
      <c r="AE36" s="865">
        <v>141.267</v>
      </c>
      <c r="AF36" s="865"/>
      <c r="AG36" s="865"/>
      <c r="AH36" s="865"/>
      <c r="AI36" s="865"/>
      <c r="AJ36" s="865"/>
      <c r="AK36" s="865"/>
      <c r="AL36" s="865"/>
      <c r="AM36" s="865"/>
      <c r="AN36" s="865"/>
      <c r="AO36" s="865"/>
      <c r="AP36" s="865"/>
      <c r="AQ36" s="865"/>
      <c r="AR36" s="865"/>
      <c r="AS36" s="865"/>
      <c r="AT36" s="865"/>
      <c r="AU36" s="865"/>
      <c r="AV36" s="872"/>
    </row>
    <row r="37" spans="1:49" ht="15.75" thickBot="1" x14ac:dyDescent="0.3">
      <c r="A37" s="756" t="s">
        <v>603</v>
      </c>
      <c r="B37" s="770"/>
      <c r="C37" s="770"/>
      <c r="D37" s="770"/>
      <c r="E37" s="770"/>
      <c r="F37" s="770"/>
      <c r="G37" s="918">
        <f>G36/G35</f>
        <v>1.4016352187006356</v>
      </c>
      <c r="H37" s="770"/>
      <c r="I37" s="770"/>
      <c r="J37" s="770"/>
      <c r="K37" s="770"/>
      <c r="L37" s="770"/>
      <c r="M37" s="774">
        <f>M36/M35</f>
        <v>0.62850844819883589</v>
      </c>
      <c r="N37" s="770"/>
      <c r="O37" s="770"/>
      <c r="P37" s="770"/>
      <c r="Q37" s="770"/>
      <c r="R37" s="770"/>
      <c r="S37" s="774">
        <f>S36/S35</f>
        <v>0.51228027339208992</v>
      </c>
      <c r="T37" s="770"/>
      <c r="U37" s="770"/>
      <c r="V37" s="770"/>
      <c r="W37" s="770"/>
      <c r="X37" s="770"/>
      <c r="Y37" s="774">
        <f>Y36/Y35</f>
        <v>0.66130092493477866</v>
      </c>
      <c r="Z37" s="770"/>
      <c r="AA37" s="770"/>
      <c r="AB37" s="770"/>
      <c r="AC37" s="770"/>
      <c r="AD37" s="770"/>
      <c r="AE37" s="774">
        <f>AE36/AE35</f>
        <v>0.17890889472304436</v>
      </c>
      <c r="AF37" s="770"/>
      <c r="AG37" s="770"/>
      <c r="AH37" s="770"/>
      <c r="AI37" s="770"/>
      <c r="AJ37" s="770"/>
      <c r="AK37" s="770"/>
      <c r="AL37" s="770"/>
      <c r="AM37" s="770"/>
      <c r="AN37" s="770"/>
      <c r="AO37" s="770"/>
      <c r="AP37" s="770"/>
      <c r="AQ37" s="770"/>
      <c r="AR37" s="770"/>
      <c r="AS37" s="770"/>
      <c r="AT37" s="770"/>
      <c r="AU37" s="770"/>
      <c r="AV37" s="772"/>
    </row>
    <row r="38" spans="1:49" ht="15.75" thickBot="1" x14ac:dyDescent="0.3"/>
    <row r="39" spans="1:49" ht="15.75" x14ac:dyDescent="0.25">
      <c r="A39" s="920" t="s">
        <v>848</v>
      </c>
      <c r="B39" s="857"/>
      <c r="C39" s="857"/>
      <c r="D39" s="921">
        <v>2010</v>
      </c>
      <c r="E39" s="921">
        <v>2011</v>
      </c>
      <c r="F39" s="921">
        <v>2012</v>
      </c>
      <c r="G39" s="921">
        <v>2013</v>
      </c>
      <c r="H39" s="921">
        <v>2014</v>
      </c>
      <c r="I39" s="921">
        <v>2015</v>
      </c>
      <c r="J39" s="921">
        <v>2016</v>
      </c>
      <c r="K39" s="921">
        <v>2017</v>
      </c>
      <c r="L39" s="921">
        <v>2018</v>
      </c>
      <c r="M39" s="921">
        <v>2019</v>
      </c>
      <c r="N39" s="922">
        <v>2020</v>
      </c>
    </row>
    <row r="40" spans="1:49" ht="15.75" x14ac:dyDescent="0.25">
      <c r="A40" s="847" t="s">
        <v>721</v>
      </c>
      <c r="B40" s="766"/>
      <c r="C40" s="766"/>
      <c r="D40" s="766">
        <f>'[1]Assumptions Sheet'!E7</f>
        <v>5124309</v>
      </c>
      <c r="E40" s="766">
        <f>'[1]Assumptions Sheet'!F7</f>
        <v>5874689</v>
      </c>
      <c r="F40" s="766">
        <f>'[1]Assumptions Sheet'!G7</f>
        <v>6682648</v>
      </c>
      <c r="G40" s="766">
        <f>'[1]Assumptions Sheet'!H7</f>
        <v>7529370</v>
      </c>
      <c r="H40" s="766">
        <f>'[1]Assumptions Sheet'!I7</f>
        <v>8342172</v>
      </c>
      <c r="I40" s="766">
        <f>'[1]Assumptions Sheet'!J7</f>
        <v>9305012</v>
      </c>
      <c r="J40" s="766">
        <f>'[1]Assumptions Sheet'!K7</f>
        <v>11202886</v>
      </c>
      <c r="K40" s="766">
        <f>'[1]Assumptions Sheet'!L7</f>
        <v>12361806</v>
      </c>
      <c r="L40" s="766">
        <f>'[1]Assumptions Sheet'!M7</f>
        <v>13353916</v>
      </c>
      <c r="M40" s="766">
        <f>'[1]Assumptions Sheet'!N7</f>
        <v>14631875</v>
      </c>
      <c r="N40" s="768">
        <f>'[1]Assumptions Sheet'!O7</f>
        <v>16757034.487494035</v>
      </c>
    </row>
    <row r="41" spans="1:49" ht="15.75" x14ac:dyDescent="0.25">
      <c r="A41" s="847" t="s">
        <v>722</v>
      </c>
      <c r="B41" s="766"/>
      <c r="C41" s="766"/>
      <c r="D41" s="848">
        <f>'[1]Assumptions Sheet'!E9</f>
        <v>390060</v>
      </c>
      <c r="E41" s="848">
        <f>'[1]Assumptions Sheet'!F9</f>
        <v>521000.3</v>
      </c>
      <c r="F41" s="848">
        <f>'[1]Assumptions Sheet'!G9</f>
        <v>706469.9</v>
      </c>
      <c r="G41" s="848">
        <f>'[1]Assumptions Sheet'!H9</f>
        <v>867698.8</v>
      </c>
      <c r="H41" s="848">
        <f>'[1]Assumptions Sheet'!I9</f>
        <v>1069713.5</v>
      </c>
      <c r="I41" s="848">
        <f>'[1]Assumptions Sheet'!J9</f>
        <v>1375000</v>
      </c>
      <c r="J41" s="848">
        <f>'[1]Assumptions Sheet'!K9</f>
        <v>1573000</v>
      </c>
      <c r="K41" s="848">
        <f>'[1]Assumptions Sheet'!L9</f>
        <v>1885000</v>
      </c>
      <c r="L41" s="848">
        <f>'[1]Assumptions Sheet'!M9</f>
        <v>2203000</v>
      </c>
      <c r="M41" s="848">
        <f>'[1]Assumptions Sheet'!N9</f>
        <v>2652000</v>
      </c>
      <c r="N41" s="872">
        <f>'[1]Assumptions Sheet'!O9</f>
        <v>3100603.9453702858</v>
      </c>
    </row>
    <row r="42" spans="1:49" ht="15.75" x14ac:dyDescent="0.25">
      <c r="A42" s="847" t="s">
        <v>723</v>
      </c>
      <c r="B42" s="766"/>
      <c r="C42" s="766"/>
      <c r="D42" s="848">
        <f>D40-D41</f>
        <v>4734249</v>
      </c>
      <c r="E42" s="848">
        <f t="shared" ref="E42:N42" si="2">E40-E41</f>
        <v>5353688.7</v>
      </c>
      <c r="F42" s="848">
        <f t="shared" si="2"/>
        <v>5976178.0999999996</v>
      </c>
      <c r="G42" s="848">
        <f t="shared" si="2"/>
        <v>6661671.2000000002</v>
      </c>
      <c r="H42" s="848">
        <f t="shared" si="2"/>
        <v>7272458.5</v>
      </c>
      <c r="I42" s="848">
        <f t="shared" si="2"/>
        <v>7930012</v>
      </c>
      <c r="J42" s="848">
        <f t="shared" si="2"/>
        <v>9629886</v>
      </c>
      <c r="K42" s="848">
        <f t="shared" si="2"/>
        <v>10476806</v>
      </c>
      <c r="L42" s="848">
        <f t="shared" si="2"/>
        <v>11150916</v>
      </c>
      <c r="M42" s="848">
        <f t="shared" si="2"/>
        <v>11979875</v>
      </c>
      <c r="N42" s="849">
        <f t="shared" si="2"/>
        <v>13656430.54212375</v>
      </c>
    </row>
    <row r="43" spans="1:49" ht="15.75" x14ac:dyDescent="0.25">
      <c r="A43" s="748"/>
      <c r="B43" s="766"/>
      <c r="C43" s="766"/>
      <c r="D43" s="923">
        <v>2010</v>
      </c>
      <c r="E43" s="923">
        <v>2011</v>
      </c>
      <c r="F43" s="923">
        <v>2012</v>
      </c>
      <c r="G43" s="923">
        <v>2013</v>
      </c>
      <c r="H43" s="923">
        <v>2014</v>
      </c>
      <c r="I43" s="923">
        <v>2015</v>
      </c>
      <c r="J43" s="923">
        <v>2016</v>
      </c>
      <c r="K43" s="923">
        <v>2017</v>
      </c>
      <c r="L43" s="923">
        <v>2018</v>
      </c>
      <c r="M43" s="923">
        <v>2019</v>
      </c>
      <c r="N43" s="924">
        <v>2020</v>
      </c>
    </row>
    <row r="44" spans="1:49" ht="15.75" x14ac:dyDescent="0.25">
      <c r="A44" s="847" t="s">
        <v>724</v>
      </c>
      <c r="B44" s="766"/>
      <c r="C44" s="766"/>
      <c r="D44" s="766"/>
      <c r="E44" s="773">
        <f>E41/D41-1</f>
        <v>0.33569271394144495</v>
      </c>
      <c r="F44" s="773">
        <f t="shared" ref="F44:N45" si="3">F41/E41-1</f>
        <v>0.35598751094769043</v>
      </c>
      <c r="G44" s="773">
        <f t="shared" si="3"/>
        <v>0.22821764947098244</v>
      </c>
      <c r="H44" s="773">
        <f t="shared" si="3"/>
        <v>0.23281661793239761</v>
      </c>
      <c r="I44" s="773">
        <f t="shared" si="3"/>
        <v>0.28539090139556067</v>
      </c>
      <c r="J44" s="773">
        <f t="shared" si="3"/>
        <v>0.14399999999999991</v>
      </c>
      <c r="K44" s="773">
        <f t="shared" si="3"/>
        <v>0.19834710743801653</v>
      </c>
      <c r="L44" s="773">
        <f t="shared" si="3"/>
        <v>0.16870026525198933</v>
      </c>
      <c r="M44" s="773">
        <f t="shared" si="3"/>
        <v>0.20381298229686795</v>
      </c>
      <c r="N44" s="776">
        <f t="shared" si="3"/>
        <v>0.16915684214565818</v>
      </c>
    </row>
    <row r="45" spans="1:49" ht="15.75" x14ac:dyDescent="0.25">
      <c r="A45" s="847" t="s">
        <v>725</v>
      </c>
      <c r="B45" s="766"/>
      <c r="C45" s="766"/>
      <c r="D45" s="766"/>
      <c r="E45" s="773">
        <f>E42/D42-1</f>
        <v>0.13084223073184376</v>
      </c>
      <c r="F45" s="773">
        <f t="shared" si="3"/>
        <v>0.11627299136761526</v>
      </c>
      <c r="G45" s="773">
        <f t="shared" si="3"/>
        <v>0.11470426224412567</v>
      </c>
      <c r="H45" s="773">
        <f t="shared" si="3"/>
        <v>9.168679775129096E-2</v>
      </c>
      <c r="I45" s="773">
        <f t="shared" si="3"/>
        <v>9.0416947721324137E-2</v>
      </c>
      <c r="J45" s="773">
        <f t="shared" si="3"/>
        <v>0.21435957473960943</v>
      </c>
      <c r="K45" s="773">
        <f t="shared" si="3"/>
        <v>8.7947043194488428E-2</v>
      </c>
      <c r="L45" s="773">
        <f t="shared" si="3"/>
        <v>6.4343083187757832E-2</v>
      </c>
      <c r="M45" s="773">
        <f t="shared" si="3"/>
        <v>7.4339991441061848E-2</v>
      </c>
      <c r="N45" s="776">
        <f t="shared" si="3"/>
        <v>0.13994766574139961</v>
      </c>
    </row>
    <row r="46" spans="1:49" x14ac:dyDescent="0.25">
      <c r="A46" s="748"/>
      <c r="B46" s="889" t="s">
        <v>726</v>
      </c>
      <c r="C46" s="889" t="s">
        <v>727</v>
      </c>
      <c r="D46" s="766"/>
      <c r="E46" s="766"/>
      <c r="F46" s="766"/>
      <c r="G46" s="766"/>
      <c r="H46" s="766"/>
      <c r="I46" s="766"/>
      <c r="J46" s="766"/>
      <c r="K46" s="766"/>
      <c r="L46" s="766"/>
      <c r="M46" s="766"/>
      <c r="N46" s="768"/>
    </row>
    <row r="47" spans="1:49" ht="15.75" x14ac:dyDescent="0.25">
      <c r="A47" s="847" t="s">
        <v>728</v>
      </c>
      <c r="B47" s="848">
        <f>I41</f>
        <v>1375000</v>
      </c>
      <c r="C47" s="848">
        <f>I42</f>
        <v>7930012</v>
      </c>
      <c r="D47" s="766"/>
      <c r="E47" s="766"/>
      <c r="F47" s="848"/>
      <c r="G47" s="766"/>
      <c r="H47" s="773"/>
      <c r="I47" s="773"/>
      <c r="J47" s="773"/>
      <c r="K47" s="773"/>
      <c r="L47" s="773"/>
      <c r="M47" s="773"/>
      <c r="N47" s="776"/>
    </row>
    <row r="48" spans="1:49" ht="15.75" x14ac:dyDescent="0.25">
      <c r="A48" s="847" t="s">
        <v>729</v>
      </c>
      <c r="B48" s="848">
        <f>N41</f>
        <v>3100603.9453702858</v>
      </c>
      <c r="C48" s="848">
        <f>N42</f>
        <v>13656430.54212375</v>
      </c>
      <c r="D48" s="766"/>
      <c r="E48" s="766"/>
      <c r="F48" s="848"/>
      <c r="G48" s="766"/>
      <c r="H48" s="766"/>
      <c r="I48" s="923"/>
      <c r="J48" s="923"/>
      <c r="K48" s="923"/>
      <c r="L48" s="923"/>
      <c r="M48" s="923"/>
      <c r="N48" s="768"/>
    </row>
    <row r="49" spans="1:14" ht="15.75" x14ac:dyDescent="0.25">
      <c r="A49" s="847" t="s">
        <v>730</v>
      </c>
      <c r="B49" s="766">
        <v>5</v>
      </c>
      <c r="C49" s="848">
        <v>5</v>
      </c>
      <c r="D49" s="766"/>
      <c r="E49" s="766"/>
      <c r="F49" s="766"/>
      <c r="G49" s="766"/>
      <c r="H49" s="919"/>
      <c r="I49" s="865"/>
      <c r="J49" s="865"/>
      <c r="K49" s="865"/>
      <c r="L49" s="865"/>
      <c r="M49" s="865"/>
      <c r="N49" s="768"/>
    </row>
    <row r="50" spans="1:14" ht="16.5" thickBot="1" x14ac:dyDescent="0.3">
      <c r="A50" s="850" t="s">
        <v>731</v>
      </c>
      <c r="B50" s="851">
        <f>(((B48/B47)^(1/5))-1)</f>
        <v>0.1765996623731485</v>
      </c>
      <c r="C50" s="851">
        <f>(((C48/C47)^(1/5))-1)</f>
        <v>0.11484032988358051</v>
      </c>
      <c r="D50" s="851"/>
      <c r="E50" s="851"/>
      <c r="F50" s="851"/>
      <c r="G50" s="770"/>
      <c r="H50" s="770"/>
      <c r="I50" s="770"/>
      <c r="J50" s="770"/>
      <c r="K50" s="770"/>
      <c r="L50" s="770"/>
      <c r="M50" s="770"/>
      <c r="N50" s="772"/>
    </row>
    <row r="51" spans="1:14" ht="15.75" thickBot="1" x14ac:dyDescent="0.3">
      <c r="G51" s="766"/>
    </row>
    <row r="52" spans="1:14" x14ac:dyDescent="0.25">
      <c r="A52" s="863" t="s">
        <v>732</v>
      </c>
      <c r="B52" s="764"/>
    </row>
    <row r="53" spans="1:14" x14ac:dyDescent="0.25">
      <c r="A53" s="748" t="s">
        <v>733</v>
      </c>
      <c r="B53" s="860">
        <v>0.28000000000000003</v>
      </c>
    </row>
    <row r="54" spans="1:14" x14ac:dyDescent="0.25">
      <c r="A54" s="748" t="s">
        <v>734</v>
      </c>
      <c r="B54" s="882">
        <v>0.23499999999999999</v>
      </c>
    </row>
    <row r="55" spans="1:14" x14ac:dyDescent="0.25">
      <c r="A55" s="748" t="s">
        <v>735</v>
      </c>
      <c r="B55" s="860">
        <v>0.21</v>
      </c>
    </row>
    <row r="56" spans="1:14" x14ac:dyDescent="0.25">
      <c r="A56" s="748" t="s">
        <v>736</v>
      </c>
      <c r="B56" s="882">
        <v>0.123</v>
      </c>
    </row>
    <row r="57" spans="1:14" x14ac:dyDescent="0.25">
      <c r="A57" s="748" t="s">
        <v>737</v>
      </c>
      <c r="B57" s="860">
        <v>0.115</v>
      </c>
    </row>
    <row r="58" spans="1:14" x14ac:dyDescent="0.25">
      <c r="A58" s="748" t="s">
        <v>738</v>
      </c>
      <c r="B58" s="882">
        <v>6.9000000000000006E-2</v>
      </c>
      <c r="I58" s="853"/>
      <c r="J58" s="854"/>
    </row>
    <row r="59" spans="1:14" x14ac:dyDescent="0.25">
      <c r="A59" s="748" t="s">
        <v>739</v>
      </c>
      <c r="B59" s="882">
        <v>6.8500000000000005E-2</v>
      </c>
      <c r="G59" s="766"/>
      <c r="I59" s="853"/>
    </row>
    <row r="60" spans="1:14" ht="15.75" thickBot="1" x14ac:dyDescent="0.3">
      <c r="A60" s="756" t="s">
        <v>740</v>
      </c>
      <c r="B60" s="925">
        <v>4.8000000000000001E-2</v>
      </c>
      <c r="G60" s="766"/>
    </row>
    <row r="61" spans="1:14" x14ac:dyDescent="0.25">
      <c r="G61" s="766"/>
    </row>
    <row r="62" spans="1:14" x14ac:dyDescent="0.25">
      <c r="G62" s="766"/>
    </row>
    <row r="63" spans="1:14" ht="15.75" thickBot="1" x14ac:dyDescent="0.3">
      <c r="G63" s="766"/>
    </row>
    <row r="64" spans="1:14" x14ac:dyDescent="0.25">
      <c r="A64" s="863" t="s">
        <v>849</v>
      </c>
      <c r="B64" s="857" t="s">
        <v>741</v>
      </c>
      <c r="C64" s="764" t="s">
        <v>742</v>
      </c>
      <c r="G64" s="766"/>
    </row>
    <row r="65" spans="1:7" x14ac:dyDescent="0.25">
      <c r="A65" s="748" t="s">
        <v>743</v>
      </c>
      <c r="B65" s="859">
        <v>9.7000000000000003E-2</v>
      </c>
      <c r="C65" s="860">
        <v>0.23</v>
      </c>
      <c r="G65" s="766"/>
    </row>
    <row r="66" spans="1:7" x14ac:dyDescent="0.25">
      <c r="A66" s="748" t="s">
        <v>744</v>
      </c>
      <c r="B66" s="859">
        <v>9.1999999999999998E-2</v>
      </c>
      <c r="C66" s="860">
        <v>-3.5000000000000003E-2</v>
      </c>
      <c r="G66" s="766"/>
    </row>
    <row r="67" spans="1:7" x14ac:dyDescent="0.25">
      <c r="A67" s="748" t="s">
        <v>745</v>
      </c>
      <c r="B67" s="859">
        <v>9.0499999999999997E-2</v>
      </c>
      <c r="C67" s="860">
        <v>0.26500000000000001</v>
      </c>
      <c r="G67" s="766"/>
    </row>
    <row r="68" spans="1:7" x14ac:dyDescent="0.25">
      <c r="A68" s="748" t="s">
        <v>746</v>
      </c>
      <c r="B68" s="859">
        <v>8.7499999999999994E-2</v>
      </c>
      <c r="C68" s="860">
        <v>0.12</v>
      </c>
      <c r="G68" s="766"/>
    </row>
    <row r="69" spans="1:7" x14ac:dyDescent="0.25">
      <c r="A69" s="748" t="s">
        <v>747</v>
      </c>
      <c r="B69" s="859">
        <v>8.0500000000000002E-2</v>
      </c>
      <c r="C69" s="860">
        <v>0.375</v>
      </c>
      <c r="G69" s="766"/>
    </row>
    <row r="70" spans="1:7" ht="15.75" thickBot="1" x14ac:dyDescent="0.3">
      <c r="A70" s="756" t="s">
        <v>748</v>
      </c>
      <c r="B70" s="861">
        <v>6.0499999999999998E-2</v>
      </c>
      <c r="C70" s="862">
        <v>0.375</v>
      </c>
      <c r="G70" s="766"/>
    </row>
    <row r="71" spans="1:7" ht="15.75" thickBot="1" x14ac:dyDescent="0.3">
      <c r="G71" s="766"/>
    </row>
    <row r="72" spans="1:7" x14ac:dyDescent="0.25">
      <c r="A72" s="863" t="s">
        <v>850</v>
      </c>
      <c r="B72" s="857">
        <v>2015</v>
      </c>
      <c r="C72" s="857">
        <v>2016</v>
      </c>
      <c r="D72" s="857">
        <v>2017</v>
      </c>
      <c r="E72" s="857">
        <v>2018</v>
      </c>
      <c r="F72" s="857">
        <v>2019</v>
      </c>
      <c r="G72" s="957" t="s">
        <v>755</v>
      </c>
    </row>
    <row r="73" spans="1:7" x14ac:dyDescent="0.25">
      <c r="A73" s="748" t="s">
        <v>756</v>
      </c>
      <c r="B73" s="766">
        <v>431.9</v>
      </c>
      <c r="C73" s="766">
        <v>490</v>
      </c>
      <c r="D73" s="766">
        <v>534</v>
      </c>
      <c r="E73" s="766">
        <v>515</v>
      </c>
      <c r="F73" s="766">
        <v>597</v>
      </c>
      <c r="G73" s="768">
        <v>1070.0999999999999</v>
      </c>
    </row>
    <row r="74" spans="1:7" x14ac:dyDescent="0.25">
      <c r="A74" s="748" t="s">
        <v>757</v>
      </c>
      <c r="B74" s="779">
        <v>0.26800000000000002</v>
      </c>
      <c r="C74" s="779">
        <v>0.26400000000000001</v>
      </c>
      <c r="D74" s="779">
        <v>0.23499999999999999</v>
      </c>
      <c r="E74" s="779">
        <v>0.19400000000000001</v>
      </c>
      <c r="F74" s="779">
        <v>0.182</v>
      </c>
      <c r="G74" s="882">
        <v>0.28100000000000003</v>
      </c>
    </row>
    <row r="75" spans="1:7" x14ac:dyDescent="0.25">
      <c r="A75" s="748" t="s">
        <v>758</v>
      </c>
      <c r="B75" s="766">
        <v>645.29999999999995</v>
      </c>
      <c r="C75" s="766">
        <v>821</v>
      </c>
      <c r="D75" s="874">
        <v>1207</v>
      </c>
      <c r="E75" s="874">
        <v>1511</v>
      </c>
      <c r="F75" s="874">
        <v>1623</v>
      </c>
      <c r="G75" s="875">
        <v>1689.8</v>
      </c>
    </row>
    <row r="76" spans="1:7" ht="15.75" thickBot="1" x14ac:dyDescent="0.3">
      <c r="A76" s="756" t="s">
        <v>759</v>
      </c>
      <c r="B76" s="784">
        <v>0.40100000000000002</v>
      </c>
      <c r="C76" s="784">
        <v>0.443</v>
      </c>
      <c r="D76" s="784">
        <v>0.53100000000000003</v>
      </c>
      <c r="E76" s="784">
        <v>0.56799999999999995</v>
      </c>
      <c r="F76" s="784">
        <v>0.49399999999999999</v>
      </c>
      <c r="G76" s="925">
        <v>0.44400000000000001</v>
      </c>
    </row>
    <row r="77" spans="1:7" ht="27" thickBot="1" x14ac:dyDescent="0.45">
      <c r="A77" s="926"/>
      <c r="B77" s="926"/>
      <c r="C77" s="926"/>
      <c r="D77" s="926"/>
      <c r="E77" s="926"/>
      <c r="F77" s="926"/>
      <c r="G77" s="927"/>
    </row>
    <row r="78" spans="1:7" x14ac:dyDescent="0.25">
      <c r="A78" s="863" t="s">
        <v>760</v>
      </c>
      <c r="B78" s="857">
        <v>2015</v>
      </c>
      <c r="C78" s="857">
        <v>2016</v>
      </c>
      <c r="D78" s="857">
        <v>2017</v>
      </c>
      <c r="E78" s="857">
        <v>2018</v>
      </c>
      <c r="F78" s="857">
        <v>2019</v>
      </c>
      <c r="G78" s="858" t="s">
        <v>755</v>
      </c>
    </row>
    <row r="79" spans="1:7" x14ac:dyDescent="0.25">
      <c r="A79" s="748" t="s">
        <v>6</v>
      </c>
      <c r="B79" s="859">
        <v>0.26800000000000002</v>
      </c>
      <c r="C79" s="859">
        <v>0.26400000000000001</v>
      </c>
      <c r="D79" s="859">
        <v>0.23499999999999999</v>
      </c>
      <c r="E79" s="859">
        <v>0.19400000000000001</v>
      </c>
      <c r="F79" s="859">
        <v>0.182</v>
      </c>
      <c r="G79" s="860">
        <v>0.28100000000000003</v>
      </c>
    </row>
    <row r="80" spans="1:7" x14ac:dyDescent="0.25">
      <c r="A80" s="748" t="s">
        <v>536</v>
      </c>
      <c r="B80" s="859">
        <v>0.40100000000000002</v>
      </c>
      <c r="C80" s="859">
        <v>0.443</v>
      </c>
      <c r="D80" s="859">
        <v>0.53100000000000003</v>
      </c>
      <c r="E80" s="859">
        <v>0.56799999999999995</v>
      </c>
      <c r="F80" s="859">
        <v>0.49399999999999999</v>
      </c>
      <c r="G80" s="860">
        <v>0.44400000000000001</v>
      </c>
    </row>
    <row r="81" spans="1:7" ht="15.75" thickBot="1" x14ac:dyDescent="0.3">
      <c r="A81" s="756" t="s">
        <v>761</v>
      </c>
      <c r="B81" s="861">
        <f t="shared" ref="B81:G81" si="4">100%-(B79+B80)</f>
        <v>0.33099999999999996</v>
      </c>
      <c r="C81" s="861">
        <f t="shared" si="4"/>
        <v>0.29299999999999993</v>
      </c>
      <c r="D81" s="861">
        <f t="shared" si="4"/>
        <v>0.23399999999999999</v>
      </c>
      <c r="E81" s="861">
        <f t="shared" si="4"/>
        <v>0.23799999999999999</v>
      </c>
      <c r="F81" s="861">
        <f t="shared" si="4"/>
        <v>0.32400000000000007</v>
      </c>
      <c r="G81" s="862">
        <f t="shared" si="4"/>
        <v>0.27499999999999991</v>
      </c>
    </row>
    <row r="82" spans="1:7" ht="14.45" customHeight="1" x14ac:dyDescent="0.4">
      <c r="A82" s="928"/>
      <c r="B82" s="928"/>
      <c r="C82" s="928"/>
      <c r="D82" s="928"/>
      <c r="E82" s="928"/>
      <c r="F82" s="928"/>
      <c r="G82" s="928"/>
    </row>
    <row r="83" spans="1:7" ht="15" customHeight="1" thickBot="1" x14ac:dyDescent="0.45">
      <c r="A83" s="926"/>
      <c r="B83" s="926"/>
      <c r="C83" s="926"/>
      <c r="D83" s="926"/>
      <c r="E83" s="926"/>
      <c r="F83" s="926"/>
      <c r="G83" s="926"/>
    </row>
    <row r="84" spans="1:7" x14ac:dyDescent="0.25">
      <c r="A84" s="863" t="s">
        <v>762</v>
      </c>
      <c r="B84" s="763" t="s">
        <v>763</v>
      </c>
      <c r="C84" s="763" t="s">
        <v>764</v>
      </c>
      <c r="D84" s="763" t="s">
        <v>765</v>
      </c>
      <c r="E84" s="763" t="s">
        <v>766</v>
      </c>
      <c r="F84" s="763" t="s">
        <v>767</v>
      </c>
      <c r="G84" s="758" t="s">
        <v>768</v>
      </c>
    </row>
    <row r="85" spans="1:7" x14ac:dyDescent="0.25">
      <c r="A85" s="748" t="s">
        <v>769</v>
      </c>
      <c r="B85" s="766"/>
      <c r="C85" s="766"/>
      <c r="D85" s="766"/>
      <c r="E85" s="766"/>
      <c r="F85" s="766"/>
      <c r="G85" s="768"/>
    </row>
    <row r="86" spans="1:7" x14ac:dyDescent="0.25">
      <c r="A86" s="748" t="s">
        <v>728</v>
      </c>
      <c r="B86" s="864">
        <f>B10</f>
        <v>471820.95899999997</v>
      </c>
      <c r="C86" s="864">
        <f>H10</f>
        <v>153058.10200000001</v>
      </c>
      <c r="D86" s="864">
        <f>N10</f>
        <v>136743.45699999999</v>
      </c>
      <c r="E86" s="864">
        <f>T10</f>
        <v>71644.386000000013</v>
      </c>
      <c r="F86" s="864">
        <f>Z10</f>
        <v>9450.0720000000019</v>
      </c>
      <c r="G86" s="768"/>
    </row>
    <row r="87" spans="1:7" ht="15.75" x14ac:dyDescent="0.25">
      <c r="A87" s="847" t="s">
        <v>729</v>
      </c>
      <c r="B87" s="864">
        <f>G10</f>
        <v>1090544.7180000001</v>
      </c>
      <c r="C87" s="864">
        <f>M10</f>
        <v>254017.04</v>
      </c>
      <c r="D87" s="864">
        <f>S10</f>
        <v>234808.09400000001</v>
      </c>
      <c r="E87" s="864">
        <f>Y10</f>
        <v>146228.421</v>
      </c>
      <c r="F87" s="864">
        <f>AE10</f>
        <v>89558.067999999999</v>
      </c>
      <c r="G87" s="768"/>
    </row>
    <row r="88" spans="1:7" ht="15.75" x14ac:dyDescent="0.25">
      <c r="A88" s="847" t="s">
        <v>730</v>
      </c>
      <c r="B88" s="766">
        <v>4.75</v>
      </c>
      <c r="C88" s="766">
        <v>4.75</v>
      </c>
      <c r="D88" s="766">
        <v>4.75</v>
      </c>
      <c r="E88" s="766">
        <v>4.75</v>
      </c>
      <c r="F88" s="766">
        <v>4.75</v>
      </c>
      <c r="G88" s="768"/>
    </row>
    <row r="89" spans="1:7" ht="15.75" x14ac:dyDescent="0.25">
      <c r="A89" s="847" t="s">
        <v>731</v>
      </c>
      <c r="B89" s="880">
        <f>(((B87/B86)^(1/B88))-1)</f>
        <v>0.1928983035730234</v>
      </c>
      <c r="C89" s="773">
        <f>(C87/C86)^(1/C88)-1</f>
        <v>0.11254391742890935</v>
      </c>
      <c r="D89" s="773">
        <f>(D87/D86)^(1/D88)-1</f>
        <v>0.12055440992282795</v>
      </c>
      <c r="E89" s="773">
        <f>(E87/E86)^(1/E88)-1</f>
        <v>0.16206788745837253</v>
      </c>
      <c r="F89" s="773"/>
      <c r="G89" s="929">
        <f>AVERAGE(C89:F89)</f>
        <v>0.13172207160336993</v>
      </c>
    </row>
    <row r="90" spans="1:7" x14ac:dyDescent="0.25">
      <c r="A90" s="748"/>
      <c r="B90" s="766"/>
      <c r="C90" s="766"/>
      <c r="D90" s="766"/>
      <c r="E90" s="766"/>
      <c r="F90" s="766"/>
      <c r="G90" s="768"/>
    </row>
    <row r="91" spans="1:7" ht="15.75" x14ac:dyDescent="0.25">
      <c r="A91" s="847" t="s">
        <v>770</v>
      </c>
      <c r="B91" s="766"/>
      <c r="C91" s="766"/>
      <c r="D91" s="766"/>
      <c r="E91" s="766"/>
      <c r="F91" s="766"/>
      <c r="G91" s="768"/>
    </row>
    <row r="92" spans="1:7" ht="15.75" x14ac:dyDescent="0.25">
      <c r="A92" s="847" t="s">
        <v>728</v>
      </c>
      <c r="B92" s="864">
        <f>B8</f>
        <v>375909.76199999999</v>
      </c>
      <c r="C92" s="864">
        <f>H8</f>
        <v>174230.745</v>
      </c>
      <c r="D92" s="864">
        <f>N8</f>
        <v>157131.182</v>
      </c>
      <c r="E92" s="864">
        <f>T8</f>
        <v>86932.51</v>
      </c>
      <c r="F92" s="864">
        <f>Z8</f>
        <v>26887.541000000001</v>
      </c>
      <c r="G92" s="768"/>
    </row>
    <row r="93" spans="1:7" ht="15.75" x14ac:dyDescent="0.25">
      <c r="A93" s="847" t="s">
        <v>729</v>
      </c>
      <c r="B93" s="864">
        <f>G8</f>
        <v>1329141.9569999999</v>
      </c>
      <c r="C93" s="864">
        <f>M8</f>
        <v>308419.84899999999</v>
      </c>
      <c r="D93" s="864">
        <f>S8</f>
        <v>297787</v>
      </c>
      <c r="E93" s="864">
        <f>Y8</f>
        <v>179016.31</v>
      </c>
      <c r="F93" s="864">
        <f>AE8</f>
        <v>128217.859</v>
      </c>
      <c r="G93" s="768"/>
    </row>
    <row r="94" spans="1:7" ht="15.75" x14ac:dyDescent="0.25">
      <c r="A94" s="847" t="s">
        <v>730</v>
      </c>
      <c r="B94" s="766">
        <v>4.75</v>
      </c>
      <c r="C94" s="766">
        <v>4.75</v>
      </c>
      <c r="D94" s="766">
        <v>4.75</v>
      </c>
      <c r="E94" s="766">
        <v>4.75</v>
      </c>
      <c r="F94" s="766">
        <v>4.75</v>
      </c>
      <c r="G94" s="768"/>
    </row>
    <row r="95" spans="1:7" ht="15.75" x14ac:dyDescent="0.25">
      <c r="A95" s="847" t="s">
        <v>731</v>
      </c>
      <c r="B95" s="773">
        <f>(B93/B92)^(1/B94)-1</f>
        <v>0.30458117714653188</v>
      </c>
      <c r="C95" s="773">
        <f>(C93/C92)^(1/C94)-1</f>
        <v>0.12775358441051377</v>
      </c>
      <c r="D95" s="773">
        <f>(D93/D92)^(1/D94)-1</f>
        <v>0.1440664053909364</v>
      </c>
      <c r="E95" s="773">
        <f>(E93/E92)^(1/E94)-1</f>
        <v>0.16424475717246878</v>
      </c>
      <c r="F95" s="773">
        <f>(F93/F92)^(1/F94)-1</f>
        <v>0.38937830345337776</v>
      </c>
      <c r="G95" s="930">
        <f>AVERAGE(C95:F95)</f>
        <v>0.20636076260682418</v>
      </c>
    </row>
    <row r="96" spans="1:7" ht="15.75" x14ac:dyDescent="0.25">
      <c r="A96" s="847" t="s">
        <v>771</v>
      </c>
      <c r="B96" s="766"/>
      <c r="C96" s="766"/>
      <c r="D96" s="766"/>
      <c r="E96" s="766"/>
      <c r="F96" s="766"/>
      <c r="G96" s="768"/>
    </row>
    <row r="97" spans="1:7" ht="15.75" x14ac:dyDescent="0.25">
      <c r="A97" s="847" t="s">
        <v>728</v>
      </c>
      <c r="B97" s="766"/>
      <c r="C97" s="34">
        <v>7417.8360000000002</v>
      </c>
      <c r="D97" s="865">
        <v>7413.7359999999999</v>
      </c>
      <c r="E97" s="34">
        <v>3682.2820000000002</v>
      </c>
      <c r="F97" s="864">
        <v>2953.895</v>
      </c>
      <c r="G97" s="768"/>
    </row>
    <row r="98" spans="1:7" ht="15.75" x14ac:dyDescent="0.25">
      <c r="A98" s="847" t="s">
        <v>729</v>
      </c>
      <c r="B98" s="766"/>
      <c r="C98" s="864">
        <f>M33</f>
        <v>9947.6389999999992</v>
      </c>
      <c r="D98" s="864">
        <f>S33</f>
        <v>9015.4119999999984</v>
      </c>
      <c r="E98" s="864">
        <f>Y33</f>
        <v>4620.119999999999</v>
      </c>
      <c r="F98" s="864">
        <f>AE33</f>
        <v>3375.8159999999998</v>
      </c>
      <c r="G98" s="768"/>
    </row>
    <row r="99" spans="1:7" ht="15.75" x14ac:dyDescent="0.25">
      <c r="A99" s="847" t="s">
        <v>730</v>
      </c>
      <c r="B99" s="766"/>
      <c r="C99" s="766">
        <v>1</v>
      </c>
      <c r="D99" s="766">
        <v>1</v>
      </c>
      <c r="E99" s="766">
        <v>1</v>
      </c>
      <c r="F99" s="766">
        <v>1</v>
      </c>
      <c r="G99" s="768"/>
    </row>
    <row r="100" spans="1:7" ht="15.75" x14ac:dyDescent="0.25">
      <c r="A100" s="847" t="s">
        <v>731</v>
      </c>
      <c r="B100" s="859">
        <f>B193</f>
        <v>0.49964813212456316</v>
      </c>
      <c r="C100" s="773">
        <f>(C98/C97)^(1/C99)-1</f>
        <v>0.34104326383058337</v>
      </c>
      <c r="D100" s="773">
        <f>(D98/D97)^(1/D99)-1</f>
        <v>0.21604168262802981</v>
      </c>
      <c r="E100" s="773">
        <f>(E98/E97)^(1/E99)-1</f>
        <v>0.25468934752960215</v>
      </c>
      <c r="F100" s="773">
        <f>(F98/F97)^(1/F99)-1</f>
        <v>0.14283547654876005</v>
      </c>
      <c r="G100" s="930">
        <f>AVERAGE(C100:F100)</f>
        <v>0.23865244263424384</v>
      </c>
    </row>
    <row r="101" spans="1:7" ht="15.75" x14ac:dyDescent="0.25">
      <c r="A101" s="847"/>
      <c r="B101" s="859"/>
      <c r="C101" s="773"/>
      <c r="D101" s="773"/>
      <c r="E101" s="773"/>
      <c r="F101" s="773"/>
      <c r="G101" s="860"/>
    </row>
    <row r="102" spans="1:7" ht="15.75" x14ac:dyDescent="0.25">
      <c r="A102" s="847" t="s">
        <v>772</v>
      </c>
      <c r="B102" s="859"/>
      <c r="C102" s="773"/>
      <c r="D102" s="773"/>
      <c r="E102" s="773"/>
      <c r="F102" s="773"/>
      <c r="G102" s="860"/>
    </row>
    <row r="103" spans="1:7" ht="15.75" x14ac:dyDescent="0.25">
      <c r="A103" s="847" t="s">
        <v>728</v>
      </c>
      <c r="B103" s="859"/>
      <c r="C103" s="34">
        <v>998726</v>
      </c>
      <c r="D103" s="866">
        <v>2300.9639999999999</v>
      </c>
      <c r="E103" s="34">
        <v>100.182</v>
      </c>
      <c r="F103" s="867">
        <v>-273.923</v>
      </c>
      <c r="G103" s="868"/>
    </row>
    <row r="104" spans="1:7" ht="15.75" x14ac:dyDescent="0.25">
      <c r="A104" s="847" t="s">
        <v>729</v>
      </c>
      <c r="B104" s="859"/>
      <c r="C104" s="34">
        <v>1598935</v>
      </c>
      <c r="D104" s="867">
        <v>2498.9299999999998</v>
      </c>
      <c r="E104" s="34">
        <v>666.14700000000005</v>
      </c>
      <c r="F104" s="867">
        <v>182.77500000000001</v>
      </c>
      <c r="G104" s="868"/>
    </row>
    <row r="105" spans="1:7" ht="15.75" x14ac:dyDescent="0.25">
      <c r="A105" s="847" t="s">
        <v>730</v>
      </c>
      <c r="B105" s="859"/>
      <c r="C105" s="867">
        <v>1</v>
      </c>
      <c r="D105" s="867">
        <v>1</v>
      </c>
      <c r="E105" s="867">
        <v>1</v>
      </c>
      <c r="F105" s="867">
        <v>1</v>
      </c>
      <c r="G105" s="860"/>
    </row>
    <row r="106" spans="1:7" ht="15.75" x14ac:dyDescent="0.25">
      <c r="A106" s="847" t="s">
        <v>773</v>
      </c>
      <c r="B106" s="859"/>
      <c r="C106" s="773">
        <f>(C104/C103)^(1/C105)-1</f>
        <v>0.60097464169351755</v>
      </c>
      <c r="D106" s="773">
        <f>(D104/D103)^(1/D105)-1</f>
        <v>8.6036113559360361E-2</v>
      </c>
      <c r="E106" s="773">
        <f>(E104/E103)^(1/E105)-1</f>
        <v>5.64936814996706</v>
      </c>
      <c r="F106" s="773">
        <f>(F104/F103)^(1/F105)-1</f>
        <v>-1.6672495555320292</v>
      </c>
      <c r="G106" s="930">
        <f>AVERAGE(C106:F106)</f>
        <v>1.1672823374219772</v>
      </c>
    </row>
    <row r="107" spans="1:7" ht="15.75" x14ac:dyDescent="0.25">
      <c r="A107" s="847"/>
      <c r="B107" s="859"/>
      <c r="C107" s="773"/>
      <c r="D107" s="773"/>
      <c r="E107" s="773"/>
      <c r="F107" s="773"/>
      <c r="G107" s="860"/>
    </row>
    <row r="108" spans="1:7" ht="15.75" x14ac:dyDescent="0.25">
      <c r="A108" s="847"/>
      <c r="B108" s="859"/>
      <c r="C108" s="773"/>
      <c r="D108" s="773"/>
      <c r="E108" s="773"/>
      <c r="F108" s="773"/>
      <c r="G108" s="860"/>
    </row>
    <row r="109" spans="1:7" ht="15.75" x14ac:dyDescent="0.25">
      <c r="A109" s="847"/>
      <c r="B109" s="859"/>
      <c r="C109" s="773"/>
      <c r="D109" s="773"/>
      <c r="E109" s="773"/>
      <c r="F109" s="773"/>
      <c r="G109" s="860"/>
    </row>
    <row r="110" spans="1:7" ht="15.75" x14ac:dyDescent="0.25">
      <c r="A110" s="847" t="s">
        <v>540</v>
      </c>
      <c r="B110" s="864">
        <f>(G33)*1000</f>
        <v>49741379</v>
      </c>
      <c r="C110" s="869">
        <f>(M33)*1000</f>
        <v>9947639</v>
      </c>
      <c r="D110" s="869">
        <f>(S33)*1000</f>
        <v>9015411.9999999981</v>
      </c>
      <c r="E110" s="869">
        <f>(Y33)*1000</f>
        <v>4620119.9999999991</v>
      </c>
      <c r="F110" s="869">
        <f>(AE33)*1000</f>
        <v>3375816</v>
      </c>
      <c r="G110" s="868"/>
    </row>
    <row r="111" spans="1:7" ht="15.75" x14ac:dyDescent="0.25">
      <c r="A111" s="847" t="s">
        <v>312</v>
      </c>
      <c r="B111" s="773">
        <v>0.23139999999999999</v>
      </c>
      <c r="C111" s="773">
        <v>0.19370000000000001</v>
      </c>
      <c r="D111" s="773">
        <v>0.1678</v>
      </c>
      <c r="E111" s="773">
        <v>0.13650000000000001</v>
      </c>
      <c r="F111" s="773">
        <v>0.13639999999999999</v>
      </c>
      <c r="G111" s="930">
        <f>AVERAGE(C111:F111)</f>
        <v>0.15860000000000002</v>
      </c>
    </row>
    <row r="112" spans="1:7" ht="15.75" x14ac:dyDescent="0.25">
      <c r="A112" s="847" t="s">
        <v>537</v>
      </c>
      <c r="B112" s="773">
        <f>G7/G10</f>
        <v>0.4494651250055387</v>
      </c>
      <c r="C112" s="773">
        <f>M7/M10</f>
        <v>0.53003414259137893</v>
      </c>
      <c r="D112" s="773">
        <f>S7/S10</f>
        <v>0.79984040073167151</v>
      </c>
      <c r="E112" s="773">
        <f>Y7/Y10</f>
        <v>0.55533303611341056</v>
      </c>
      <c r="F112" s="773">
        <f>AE7/AE10</f>
        <v>0.86825155719080493</v>
      </c>
      <c r="G112" s="930">
        <f>AVERAGE(C112:F112)</f>
        <v>0.68836478415681646</v>
      </c>
    </row>
    <row r="113" spans="1:7" ht="15.75" x14ac:dyDescent="0.25">
      <c r="A113" s="847" t="s">
        <v>538</v>
      </c>
      <c r="B113" s="773">
        <f>G6/G10</f>
        <v>0.33645862837510893</v>
      </c>
      <c r="C113" s="773">
        <f>M6/M10</f>
        <v>0.23842672129397302</v>
      </c>
      <c r="D113" s="773">
        <f>S6/S10</f>
        <v>0.30215738644852674</v>
      </c>
      <c r="E113" s="773">
        <f>Y6/Y10</f>
        <v>0.29010887698773685</v>
      </c>
      <c r="F113" s="773">
        <f>AE6/AE10</f>
        <v>0.32021354011343789</v>
      </c>
      <c r="G113" s="930">
        <f t="shared" ref="G113:G117" si="5">AVERAGE(C113:F113)</f>
        <v>0.28772663121091863</v>
      </c>
    </row>
    <row r="114" spans="1:7" ht="15.75" x14ac:dyDescent="0.25">
      <c r="A114" s="847" t="s">
        <v>686</v>
      </c>
      <c r="B114" s="773">
        <f>G35/G7</f>
        <v>2.1247832078181168E-2</v>
      </c>
      <c r="C114" s="773">
        <f>M35/M7</f>
        <v>7.7190910801628057E-2</v>
      </c>
      <c r="D114" s="773">
        <f>S35/S7</f>
        <v>3.1489422764617248E-2</v>
      </c>
      <c r="E114" s="773">
        <f>Y35/Y7</f>
        <v>0.11757192769507051</v>
      </c>
      <c r="F114" s="773">
        <f>AE35/AE7</f>
        <v>1.015449903555774E-2</v>
      </c>
      <c r="G114" s="930">
        <f>AVERAGE(C114:F114)</f>
        <v>5.9101690074218387E-2</v>
      </c>
    </row>
    <row r="115" spans="1:7" x14ac:dyDescent="0.25">
      <c r="A115" s="748" t="s">
        <v>603</v>
      </c>
      <c r="B115" s="773">
        <f>G36/G35</f>
        <v>1.4016352187006356</v>
      </c>
      <c r="C115" s="773">
        <f>M36/M35</f>
        <v>0.62850844819883589</v>
      </c>
      <c r="D115" s="773">
        <f>S36/S35</f>
        <v>0.51228027339208992</v>
      </c>
      <c r="E115" s="773">
        <f>Y36/Y35</f>
        <v>0.66130092493477866</v>
      </c>
      <c r="F115" s="773">
        <f>AE36/AE35</f>
        <v>0.17890889472304436</v>
      </c>
      <c r="G115" s="929">
        <f t="shared" si="5"/>
        <v>0.49524963531218724</v>
      </c>
    </row>
    <row r="116" spans="1:7" ht="15.75" x14ac:dyDescent="0.25">
      <c r="A116" s="870" t="s">
        <v>774</v>
      </c>
      <c r="B116" s="767">
        <f>B110/B222</f>
        <v>4.3135560226149845E-2</v>
      </c>
      <c r="C116" s="767">
        <f>C110/C222</f>
        <v>3.9241946059632694E-2</v>
      </c>
      <c r="D116" s="767">
        <f>D110/D222</f>
        <v>3.4337216505242775E-2</v>
      </c>
      <c r="E116" s="767">
        <f>E110/E222</f>
        <v>3.1781015286401995E-2</v>
      </c>
      <c r="F116" s="767">
        <f>F110/F222</f>
        <v>3.1193955412962333E-2</v>
      </c>
      <c r="G116" s="929">
        <f>AVERAGE(C116:F116)</f>
        <v>3.4138533316059948E-2</v>
      </c>
    </row>
    <row r="117" spans="1:7" ht="15.75" x14ac:dyDescent="0.25">
      <c r="A117" s="870" t="s">
        <v>775</v>
      </c>
      <c r="B117" s="871">
        <f>G18/G19</f>
        <v>27779.341645885288</v>
      </c>
      <c r="C117" s="871">
        <f>M18/M19</f>
        <v>18385</v>
      </c>
      <c r="D117" s="871">
        <f>S18/S19</f>
        <v>23169.617021276597</v>
      </c>
      <c r="E117" s="871">
        <f>Y18/Y19</f>
        <v>21326.946808510638</v>
      </c>
      <c r="F117" s="871">
        <f>AE18/AE19</f>
        <v>18187.270833333332</v>
      </c>
      <c r="G117" s="931">
        <f t="shared" si="5"/>
        <v>20267.208665780141</v>
      </c>
    </row>
    <row r="118" spans="1:7" ht="15.75" x14ac:dyDescent="0.25">
      <c r="A118" s="870" t="s">
        <v>776</v>
      </c>
      <c r="B118" s="871">
        <f>G18/G20</f>
        <v>1912.527427246974</v>
      </c>
      <c r="C118" s="871">
        <f>M18/M20</f>
        <v>1813.4319698288366</v>
      </c>
      <c r="D118" s="871">
        <f>S18/S20</f>
        <v>1759.2439418416802</v>
      </c>
      <c r="E118" s="871"/>
      <c r="F118" s="871">
        <f>AE18/AE20</f>
        <v>2156.8597899938231</v>
      </c>
      <c r="G118" s="932">
        <f>AVERAGE(F118,D118,C118)</f>
        <v>1909.8452338881134</v>
      </c>
    </row>
    <row r="119" spans="1:7" ht="15.75" thickBot="1" x14ac:dyDescent="0.3">
      <c r="A119" s="756"/>
      <c r="B119" s="770"/>
      <c r="C119" s="770"/>
      <c r="D119" s="770"/>
      <c r="E119" s="770"/>
      <c r="F119" s="770"/>
      <c r="G119" s="772"/>
    </row>
    <row r="120" spans="1:7" ht="14.45" customHeight="1" x14ac:dyDescent="0.4">
      <c r="A120" s="933"/>
      <c r="B120" s="933"/>
      <c r="C120" s="933"/>
      <c r="D120" s="933"/>
      <c r="E120" s="933"/>
      <c r="F120" s="933"/>
      <c r="G120" s="933"/>
    </row>
    <row r="121" spans="1:7" ht="15" customHeight="1" thickBot="1" x14ac:dyDescent="0.45">
      <c r="A121" s="926"/>
      <c r="B121" s="926"/>
      <c r="C121" s="926"/>
      <c r="D121" s="926"/>
      <c r="E121" s="926"/>
      <c r="F121" s="926"/>
      <c r="G121" s="926"/>
    </row>
    <row r="122" spans="1:7" x14ac:dyDescent="0.25">
      <c r="A122" s="863" t="s">
        <v>777</v>
      </c>
      <c r="B122" s="762" t="s">
        <v>778</v>
      </c>
      <c r="C122" s="762" t="s">
        <v>779</v>
      </c>
      <c r="D122" s="762" t="s">
        <v>745</v>
      </c>
      <c r="E122" s="762" t="s">
        <v>780</v>
      </c>
      <c r="F122" s="762" t="s">
        <v>746</v>
      </c>
      <c r="G122" s="775" t="s">
        <v>768</v>
      </c>
    </row>
    <row r="123" spans="1:7" x14ac:dyDescent="0.25">
      <c r="A123" s="748"/>
      <c r="B123" s="873"/>
      <c r="C123" s="873"/>
      <c r="D123" s="873"/>
      <c r="E123" s="873"/>
      <c r="F123" s="873"/>
      <c r="G123" s="768"/>
    </row>
    <row r="124" spans="1:7" x14ac:dyDescent="0.25">
      <c r="A124" s="748" t="s">
        <v>6</v>
      </c>
      <c r="B124" s="874">
        <v>1783823469</v>
      </c>
      <c r="C124" s="874">
        <v>1371735137</v>
      </c>
      <c r="D124" s="874">
        <v>1133338708</v>
      </c>
      <c r="E124" s="874">
        <v>985832536</v>
      </c>
      <c r="F124" s="874">
        <v>788218610</v>
      </c>
      <c r="G124" s="875"/>
    </row>
    <row r="125" spans="1:7" x14ac:dyDescent="0.25">
      <c r="A125" s="748" t="s">
        <v>536</v>
      </c>
      <c r="B125" s="874">
        <v>1141027109</v>
      </c>
      <c r="C125" s="874">
        <v>893213205</v>
      </c>
      <c r="D125" s="874">
        <v>612537931</v>
      </c>
      <c r="E125" s="874">
        <v>523264691</v>
      </c>
      <c r="F125" s="874">
        <v>440377960</v>
      </c>
      <c r="G125" s="768"/>
    </row>
    <row r="126" spans="1:7" x14ac:dyDescent="0.25">
      <c r="A126" s="748" t="s">
        <v>441</v>
      </c>
      <c r="B126" s="874">
        <v>3553705866</v>
      </c>
      <c r="C126" s="874">
        <v>2792380193</v>
      </c>
      <c r="D126" s="874">
        <v>2130082736</v>
      </c>
      <c r="E126" s="874">
        <v>1796064575</v>
      </c>
      <c r="F126" s="874">
        <v>1441688012</v>
      </c>
      <c r="G126" s="768"/>
    </row>
    <row r="127" spans="1:7" x14ac:dyDescent="0.25">
      <c r="A127" s="748">
        <v>0</v>
      </c>
      <c r="B127" s="874">
        <v>0</v>
      </c>
      <c r="C127" s="874">
        <v>0</v>
      </c>
      <c r="D127" s="874">
        <v>0</v>
      </c>
      <c r="E127" s="874">
        <v>0</v>
      </c>
      <c r="F127" s="874">
        <v>0</v>
      </c>
      <c r="G127" s="768"/>
    </row>
    <row r="128" spans="1:7" x14ac:dyDescent="0.25">
      <c r="A128" s="748" t="s">
        <v>781</v>
      </c>
      <c r="B128" s="874">
        <v>2736067754</v>
      </c>
      <c r="C128" s="874">
        <v>2174983353</v>
      </c>
      <c r="D128" s="874">
        <v>1689148750.9999995</v>
      </c>
      <c r="E128" s="874">
        <v>1364405515</v>
      </c>
      <c r="F128" s="874">
        <v>1122372447</v>
      </c>
      <c r="G128" s="768"/>
    </row>
    <row r="129" spans="1:8" x14ac:dyDescent="0.25">
      <c r="A129" s="748" t="s">
        <v>782</v>
      </c>
      <c r="B129" s="876">
        <v>98784454</v>
      </c>
      <c r="C129" s="876">
        <v>31449052</v>
      </c>
      <c r="D129" s="876">
        <v>19655873</v>
      </c>
      <c r="E129" s="876">
        <v>20547093</v>
      </c>
      <c r="F129" s="876">
        <v>37185102</v>
      </c>
      <c r="G129" s="768"/>
    </row>
    <row r="130" spans="1:8" x14ac:dyDescent="0.25">
      <c r="A130" s="748" t="s">
        <v>783</v>
      </c>
      <c r="B130" s="876">
        <v>4290.3400999999994</v>
      </c>
      <c r="C130" s="876">
        <v>217498.33530000001</v>
      </c>
      <c r="D130" s="876">
        <f>((7777290-11996)/10000000)*1000</f>
        <v>776.52940000000001</v>
      </c>
      <c r="E130" s="876">
        <v>1658.6705999999999</v>
      </c>
      <c r="F130" s="876">
        <v>2144.3498</v>
      </c>
      <c r="G130" s="768"/>
    </row>
    <row r="131" spans="1:8" x14ac:dyDescent="0.25">
      <c r="A131" s="748" t="s">
        <v>784</v>
      </c>
      <c r="B131" s="876">
        <v>2527.2066999999997</v>
      </c>
      <c r="C131" s="876">
        <v>1106.9306000000001</v>
      </c>
      <c r="D131" s="876">
        <v>465.62279999999998</v>
      </c>
      <c r="E131" s="876">
        <v>1003.8047000000001</v>
      </c>
      <c r="F131" s="876">
        <v>1240.9995000000001</v>
      </c>
      <c r="G131" s="768"/>
      <c r="H131" s="877"/>
    </row>
    <row r="132" spans="1:8" x14ac:dyDescent="0.25">
      <c r="A132" s="748" t="s">
        <v>785</v>
      </c>
      <c r="B132" s="773">
        <v>0.17760000000000001</v>
      </c>
      <c r="C132" s="773">
        <v>0.2109</v>
      </c>
      <c r="D132" s="773">
        <v>0.21010000000000001</v>
      </c>
      <c r="E132" s="773">
        <v>0.2064</v>
      </c>
      <c r="F132" s="773">
        <v>0.2707</v>
      </c>
      <c r="G132" s="929">
        <f>AVERAGE(B132:F132)</f>
        <v>0.21514000000000003</v>
      </c>
    </row>
    <row r="133" spans="1:8" x14ac:dyDescent="0.25">
      <c r="A133" s="748" t="s">
        <v>716</v>
      </c>
      <c r="B133" s="874">
        <v>70284509</v>
      </c>
      <c r="C133" s="874">
        <v>15761532</v>
      </c>
      <c r="D133" s="874">
        <v>10815577.999999998</v>
      </c>
      <c r="E133" s="874">
        <v>9548587</v>
      </c>
      <c r="F133" s="874">
        <v>21817939</v>
      </c>
      <c r="G133" s="890"/>
    </row>
    <row r="134" spans="1:8" x14ac:dyDescent="0.25">
      <c r="A134" s="748" t="s">
        <v>786</v>
      </c>
      <c r="B134" s="874">
        <v>1669</v>
      </c>
      <c r="C134" s="878">
        <f>(((((1509+21)/10000000)*1000)*1000)*100)/10</f>
        <v>1530</v>
      </c>
      <c r="D134" s="874">
        <v>1363.0000000000002</v>
      </c>
      <c r="E134" s="874">
        <v>1410</v>
      </c>
      <c r="F134" s="874">
        <v>1385</v>
      </c>
      <c r="G134" s="934"/>
    </row>
    <row r="135" spans="1:8" x14ac:dyDescent="0.25">
      <c r="A135" s="748" t="s">
        <v>787</v>
      </c>
      <c r="B135" s="874">
        <v>21005</v>
      </c>
      <c r="C135" s="874">
        <v>16594</v>
      </c>
      <c r="D135" s="874">
        <v>13657</v>
      </c>
      <c r="E135" s="874">
        <v>13596.000000000002</v>
      </c>
      <c r="F135" s="874">
        <v>11665</v>
      </c>
      <c r="G135" s="934"/>
    </row>
    <row r="136" spans="1:8" x14ac:dyDescent="0.25">
      <c r="A136" s="748" t="s">
        <v>788</v>
      </c>
      <c r="B136" s="874">
        <v>81578087.999999985</v>
      </c>
      <c r="C136" s="874">
        <v>172700000</v>
      </c>
      <c r="D136" s="874">
        <v>87100000</v>
      </c>
      <c r="E136" s="879">
        <v>50210000</v>
      </c>
      <c r="F136" s="874">
        <v>14517074</v>
      </c>
      <c r="G136" s="935"/>
    </row>
    <row r="137" spans="1:8" x14ac:dyDescent="0.25">
      <c r="A137" s="748" t="s">
        <v>789</v>
      </c>
      <c r="B137" s="874">
        <v>71326910</v>
      </c>
      <c r="C137" s="874">
        <v>167799999.99999997</v>
      </c>
      <c r="D137" s="874">
        <v>79783000</v>
      </c>
      <c r="E137" s="879">
        <v>48649000</v>
      </c>
      <c r="F137" s="874">
        <v>15217703</v>
      </c>
      <c r="G137" s="890"/>
    </row>
    <row r="138" spans="1:8" x14ac:dyDescent="0.25">
      <c r="A138" s="748" t="s">
        <v>790</v>
      </c>
      <c r="B138" s="773">
        <f>B137/B136</f>
        <v>0.87433907497317187</v>
      </c>
      <c r="C138" s="773">
        <f>C137/C136</f>
        <v>0.97162709901563382</v>
      </c>
      <c r="D138" s="773">
        <f>D137/D136</f>
        <v>0.91599311136624573</v>
      </c>
      <c r="E138" s="773">
        <f>E137/E136</f>
        <v>0.96891057558255322</v>
      </c>
      <c r="F138" s="773">
        <f>F137/F136</f>
        <v>1.0482624115575907</v>
      </c>
      <c r="G138" s="890"/>
    </row>
    <row r="139" spans="1:8" x14ac:dyDescent="0.25">
      <c r="A139" s="748" t="s">
        <v>537</v>
      </c>
      <c r="B139" s="773">
        <f>B125/B128</f>
        <v>0.41703174467513571</v>
      </c>
      <c r="C139" s="773">
        <f>C125/C128</f>
        <v>0.41067588115926146</v>
      </c>
      <c r="D139" s="773">
        <f>D125/D128</f>
        <v>0.36263113632672611</v>
      </c>
      <c r="E139" s="773">
        <f>E125/E128</f>
        <v>0.38351112279108607</v>
      </c>
      <c r="F139" s="773">
        <f>F125/F128</f>
        <v>0.392363480747492</v>
      </c>
      <c r="G139" s="930">
        <f>AVERAGE(B139:F139)</f>
        <v>0.39324267313994027</v>
      </c>
    </row>
    <row r="140" spans="1:8" x14ac:dyDescent="0.25">
      <c r="A140" s="748" t="s">
        <v>538</v>
      </c>
      <c r="B140" s="773">
        <f>B124/B128</f>
        <v>0.65196611684492667</v>
      </c>
      <c r="C140" s="773">
        <f>C124/C128</f>
        <v>0.63068764876197192</v>
      </c>
      <c r="D140" s="773">
        <f>D124/D128</f>
        <v>0.67095257734349789</v>
      </c>
      <c r="E140" s="773">
        <f>E124/E128</f>
        <v>0.72253631721797895</v>
      </c>
      <c r="F140" s="773">
        <f>F124/F128</f>
        <v>0.70227900917100827</v>
      </c>
      <c r="G140" s="930">
        <f t="shared" ref="G140:G144" si="6">AVERAGE(B140:F140)</f>
        <v>0.67568433386787674</v>
      </c>
    </row>
    <row r="141" spans="1:8" x14ac:dyDescent="0.25">
      <c r="A141" s="748" t="s">
        <v>791</v>
      </c>
      <c r="B141" s="773">
        <f>B136/B125</f>
        <v>7.149531098476293E-2</v>
      </c>
      <c r="C141" s="773">
        <f>C136/C125</f>
        <v>0.19334689526897444</v>
      </c>
      <c r="D141" s="773">
        <f>D136/D125</f>
        <v>0.14219527574040144</v>
      </c>
      <c r="E141" s="773">
        <f>E136/E125</f>
        <v>9.5955261005753592E-2</v>
      </c>
      <c r="F141" s="880">
        <f>F136/F125</f>
        <v>3.2965033036621544E-2</v>
      </c>
      <c r="G141" s="930">
        <f>AVERAGE(B141:F141)</f>
        <v>0.10719155520730279</v>
      </c>
    </row>
    <row r="142" spans="1:8" x14ac:dyDescent="0.25">
      <c r="A142" s="748" t="s">
        <v>792</v>
      </c>
      <c r="B142" s="773">
        <f>B137/B136</f>
        <v>0.87433907497317187</v>
      </c>
      <c r="C142" s="773">
        <f>C137/C136</f>
        <v>0.97162709901563382</v>
      </c>
      <c r="D142" s="773">
        <f>D137/D136</f>
        <v>0.91599311136624573</v>
      </c>
      <c r="E142" s="773">
        <f>E137/E136</f>
        <v>0.96891057558255322</v>
      </c>
      <c r="F142" s="773">
        <f>F137/F136</f>
        <v>1.0482624115575907</v>
      </c>
      <c r="G142" s="930">
        <f t="shared" si="6"/>
        <v>0.95582645449903914</v>
      </c>
    </row>
    <row r="143" spans="1:8" x14ac:dyDescent="0.25">
      <c r="A143" s="748" t="s">
        <v>793</v>
      </c>
      <c r="B143" s="848">
        <f>B133/B134</f>
        <v>42111.748951467947</v>
      </c>
      <c r="C143" s="848">
        <f>C133/C134</f>
        <v>10301.654901960785</v>
      </c>
      <c r="D143" s="848">
        <f>D133/D134</f>
        <v>7935.1269258987504</v>
      </c>
      <c r="E143" s="848">
        <f>E133/E134</f>
        <v>6772.0475177304961</v>
      </c>
      <c r="F143" s="848">
        <f>F133/F134</f>
        <v>15753.024548736463</v>
      </c>
      <c r="G143" s="936">
        <f t="shared" si="6"/>
        <v>16574.720569158886</v>
      </c>
    </row>
    <row r="144" spans="1:8" x14ac:dyDescent="0.25">
      <c r="A144" s="748" t="s">
        <v>794</v>
      </c>
      <c r="B144" s="848">
        <f>B133/B135</f>
        <v>3346.0846941204477</v>
      </c>
      <c r="C144" s="848">
        <f>C133/C135</f>
        <v>949.83319272026029</v>
      </c>
      <c r="D144" s="848">
        <f>D133/D135</f>
        <v>791.94391154719176</v>
      </c>
      <c r="E144" s="848">
        <f>E133/E135</f>
        <v>702.30854663136211</v>
      </c>
      <c r="F144" s="848">
        <f>F133/F135</f>
        <v>1870.3762537505359</v>
      </c>
      <c r="G144" s="936">
        <f t="shared" si="6"/>
        <v>1532.1093197539594</v>
      </c>
    </row>
    <row r="145" spans="1:7" x14ac:dyDescent="0.25">
      <c r="A145" s="748" t="s">
        <v>658</v>
      </c>
      <c r="B145" s="881">
        <f>B129/B233</f>
        <v>3.2642134530953326E-2</v>
      </c>
      <c r="C145" s="881">
        <f>C129/C233</f>
        <v>1.3494975440481208E-2</v>
      </c>
      <c r="D145" s="881">
        <f>D129/D233</f>
        <v>1.0995102711237166E-2</v>
      </c>
      <c r="E145" s="881">
        <f>E129/E233</f>
        <v>1.425610745145685E-2</v>
      </c>
      <c r="F145" s="881">
        <f>F129/F233</f>
        <v>3.009390501125828E-2</v>
      </c>
      <c r="G145" s="937">
        <f>AVERAGE(B145:F145)</f>
        <v>2.0296445029077365E-2</v>
      </c>
    </row>
    <row r="146" spans="1:7" x14ac:dyDescent="0.25">
      <c r="A146" s="748" t="s">
        <v>785</v>
      </c>
      <c r="B146" s="773">
        <v>0.17760000000000001</v>
      </c>
      <c r="C146" s="773">
        <v>0.2109</v>
      </c>
      <c r="D146" s="773">
        <v>0.21010000000000001</v>
      </c>
      <c r="E146" s="773">
        <v>0.2064</v>
      </c>
      <c r="F146" s="773">
        <v>0.2707</v>
      </c>
      <c r="G146" s="929">
        <f>AVERAGE(B146:F146)</f>
        <v>0.21514000000000003</v>
      </c>
    </row>
    <row r="147" spans="1:7" x14ac:dyDescent="0.25">
      <c r="A147" s="748"/>
      <c r="B147" s="766"/>
      <c r="C147" s="766"/>
      <c r="D147" s="766"/>
      <c r="E147" s="766"/>
      <c r="F147" s="766"/>
      <c r="G147" s="890"/>
    </row>
    <row r="148" spans="1:7" x14ac:dyDescent="0.25">
      <c r="A148" s="748" t="s">
        <v>769</v>
      </c>
      <c r="B148" s="766"/>
      <c r="C148" s="766"/>
      <c r="D148" s="766"/>
      <c r="E148" s="766"/>
      <c r="F148" s="766"/>
      <c r="G148" s="890"/>
    </row>
    <row r="149" spans="1:7" ht="15.75" x14ac:dyDescent="0.25">
      <c r="A149" s="847" t="s">
        <v>728</v>
      </c>
      <c r="B149" s="874">
        <v>1634944470</v>
      </c>
      <c r="C149" s="874">
        <v>1431535397</v>
      </c>
      <c r="D149" s="874">
        <v>1119953064</v>
      </c>
      <c r="E149" s="874">
        <v>706239715</v>
      </c>
      <c r="F149" s="874">
        <v>734546015</v>
      </c>
      <c r="G149" s="890"/>
    </row>
    <row r="150" spans="1:7" ht="15.75" x14ac:dyDescent="0.25">
      <c r="A150" s="847" t="s">
        <v>729</v>
      </c>
      <c r="B150" s="874">
        <f>B128</f>
        <v>2736067754</v>
      </c>
      <c r="C150" s="874">
        <f>C128</f>
        <v>2174983353</v>
      </c>
      <c r="D150" s="874">
        <f>D128</f>
        <v>1689148750.9999995</v>
      </c>
      <c r="E150" s="874">
        <f>E128</f>
        <v>1364405515</v>
      </c>
      <c r="F150" s="874">
        <f>F128</f>
        <v>1122372447</v>
      </c>
      <c r="G150" s="890"/>
    </row>
    <row r="151" spans="1:7" ht="15.75" x14ac:dyDescent="0.25">
      <c r="A151" s="847" t="s">
        <v>730</v>
      </c>
      <c r="B151" s="766">
        <v>4.75</v>
      </c>
      <c r="C151" s="766">
        <v>4.75</v>
      </c>
      <c r="D151" s="766">
        <v>4.75</v>
      </c>
      <c r="E151" s="766">
        <v>4.75</v>
      </c>
      <c r="F151" s="766">
        <v>4.75</v>
      </c>
      <c r="G151" s="890"/>
    </row>
    <row r="152" spans="1:7" x14ac:dyDescent="0.25">
      <c r="A152" s="883" t="s">
        <v>731</v>
      </c>
      <c r="B152" s="773">
        <f>(B150/B149)^(1/B151)-1</f>
        <v>0.11449648572070781</v>
      </c>
      <c r="C152" s="773">
        <f>(C150/C149)^(1/C151)-1</f>
        <v>9.2050985170330835E-2</v>
      </c>
      <c r="D152" s="773">
        <f>(D150/D149)^(1/D151)-1</f>
        <v>9.0365812585818439E-2</v>
      </c>
      <c r="E152" s="773">
        <f>(E150/E149)^(1/E151)-1</f>
        <v>0.1487055015073655</v>
      </c>
      <c r="F152" s="773">
        <f>(F150/F149)^(1/F151)-1</f>
        <v>9.3356225274935589E-2</v>
      </c>
      <c r="G152" s="929">
        <f>AVERAGE(B152:F152)</f>
        <v>0.10779500205183164</v>
      </c>
    </row>
    <row r="153" spans="1:7" x14ac:dyDescent="0.25">
      <c r="A153" s="883"/>
      <c r="B153" s="773"/>
      <c r="C153" s="773"/>
      <c r="D153" s="773"/>
      <c r="E153" s="773"/>
      <c r="F153" s="773"/>
      <c r="G153" s="929"/>
    </row>
    <row r="154" spans="1:7" x14ac:dyDescent="0.25">
      <c r="A154" s="748"/>
      <c r="B154" s="766"/>
      <c r="C154" s="766"/>
      <c r="D154" s="766"/>
      <c r="E154" s="766"/>
      <c r="F154" s="766"/>
      <c r="G154" s="890"/>
    </row>
    <row r="155" spans="1:7" x14ac:dyDescent="0.25">
      <c r="A155" s="748" t="s">
        <v>770</v>
      </c>
      <c r="B155" s="766"/>
      <c r="C155" s="766"/>
      <c r="D155" s="766"/>
      <c r="E155" s="766"/>
      <c r="F155" s="766"/>
      <c r="G155" s="890"/>
    </row>
    <row r="156" spans="1:7" ht="15.75" x14ac:dyDescent="0.25">
      <c r="A156" s="847" t="s">
        <v>728</v>
      </c>
      <c r="B156" s="874">
        <v>2218422785</v>
      </c>
      <c r="C156" s="874">
        <v>1711874168</v>
      </c>
      <c r="D156" s="865">
        <v>1486186813</v>
      </c>
      <c r="E156" s="874">
        <v>1020980021</v>
      </c>
      <c r="F156" s="874">
        <v>992739247</v>
      </c>
      <c r="G156" s="890"/>
    </row>
    <row r="157" spans="1:7" ht="15.75" x14ac:dyDescent="0.25">
      <c r="A157" s="847" t="s">
        <v>729</v>
      </c>
      <c r="B157" s="874">
        <f>B126</f>
        <v>3553705866</v>
      </c>
      <c r="C157" s="874">
        <f>C126</f>
        <v>2792380193</v>
      </c>
      <c r="D157" s="874">
        <f>D126</f>
        <v>2130082736</v>
      </c>
      <c r="E157" s="874">
        <f>E126</f>
        <v>1796064575</v>
      </c>
      <c r="F157" s="874">
        <f>F126</f>
        <v>1441688012</v>
      </c>
      <c r="G157" s="890"/>
    </row>
    <row r="158" spans="1:7" ht="15.75" x14ac:dyDescent="0.25">
      <c r="A158" s="847" t="s">
        <v>730</v>
      </c>
      <c r="B158" s="766">
        <v>4.75</v>
      </c>
      <c r="C158" s="766">
        <v>4.75</v>
      </c>
      <c r="D158" s="766">
        <v>4.75</v>
      </c>
      <c r="E158" s="766">
        <v>4.75</v>
      </c>
      <c r="F158" s="766">
        <v>4.75</v>
      </c>
      <c r="G158" s="890"/>
    </row>
    <row r="159" spans="1:7" x14ac:dyDescent="0.25">
      <c r="A159" s="883" t="s">
        <v>731</v>
      </c>
      <c r="B159" s="773">
        <f>(B157/B156)^(1/B158)-1</f>
        <v>0.10428585130902612</v>
      </c>
      <c r="C159" s="773">
        <f>(C157/C156)^(1/C158)-1</f>
        <v>0.10850437800876067</v>
      </c>
      <c r="D159" s="773">
        <f>(D157/D156)^(1/D158)-1</f>
        <v>7.8723449949716695E-2</v>
      </c>
      <c r="E159" s="773">
        <f>(E157/E156)^(1/E158)-1</f>
        <v>0.12627150233218587</v>
      </c>
      <c r="F159" s="773">
        <f>(F157/F156)^(1/F158)-1</f>
        <v>8.1715025331518865E-2</v>
      </c>
      <c r="G159" s="930">
        <f>AVERAGE(B159:F159)</f>
        <v>9.9900041386241645E-2</v>
      </c>
    </row>
    <row r="160" spans="1:7" x14ac:dyDescent="0.25">
      <c r="A160" s="883"/>
      <c r="B160" s="773"/>
      <c r="C160" s="773"/>
      <c r="D160" s="773"/>
      <c r="E160" s="773"/>
      <c r="F160" s="773"/>
      <c r="G160" s="930"/>
    </row>
    <row r="161" spans="1:9" ht="15.75" x14ac:dyDescent="0.25">
      <c r="A161" s="870" t="s">
        <v>795</v>
      </c>
      <c r="B161" s="766"/>
      <c r="C161" s="766"/>
      <c r="D161" s="766"/>
      <c r="E161" s="766"/>
      <c r="F161" s="766"/>
      <c r="G161" s="890"/>
    </row>
    <row r="162" spans="1:9" ht="15.75" x14ac:dyDescent="0.25">
      <c r="A162" s="847" t="s">
        <v>728</v>
      </c>
      <c r="B162" s="874">
        <v>74058359</v>
      </c>
      <c r="C162" s="874">
        <v>54038772</v>
      </c>
      <c r="D162" s="874">
        <v>46457145</v>
      </c>
      <c r="E162" s="874">
        <v>46024616</v>
      </c>
      <c r="F162" s="874">
        <v>28778592</v>
      </c>
      <c r="G162" s="890"/>
    </row>
    <row r="163" spans="1:9" ht="15.75" x14ac:dyDescent="0.25">
      <c r="A163" s="847" t="s">
        <v>729</v>
      </c>
      <c r="B163" s="874">
        <f>B129</f>
        <v>98784454</v>
      </c>
      <c r="C163" s="874">
        <f>C129</f>
        <v>31449052</v>
      </c>
      <c r="D163" s="874">
        <f>D129</f>
        <v>19655873</v>
      </c>
      <c r="E163" s="874">
        <f>E129</f>
        <v>20547093</v>
      </c>
      <c r="F163" s="874">
        <f>F129</f>
        <v>37185102</v>
      </c>
      <c r="G163" s="929"/>
    </row>
    <row r="164" spans="1:9" ht="15.75" x14ac:dyDescent="0.25">
      <c r="A164" s="847" t="s">
        <v>730</v>
      </c>
      <c r="B164" s="766">
        <v>1</v>
      </c>
      <c r="C164" s="766">
        <v>1</v>
      </c>
      <c r="D164" s="766">
        <v>1</v>
      </c>
      <c r="E164" s="766">
        <v>1</v>
      </c>
      <c r="F164" s="766">
        <v>1</v>
      </c>
      <c r="G164" s="890"/>
    </row>
    <row r="165" spans="1:9" x14ac:dyDescent="0.25">
      <c r="A165" s="883" t="s">
        <v>731</v>
      </c>
      <c r="B165" s="773">
        <f>(B163/B162)^(1/B164)-1</f>
        <v>0.33387311484987126</v>
      </c>
      <c r="C165" s="773">
        <f>(C163/C162)^(1/C164)-1</f>
        <v>-0.41802800404124651</v>
      </c>
      <c r="D165" s="773">
        <f>(D163/D162)^(1/D164)-1</f>
        <v>-0.5769031222215657</v>
      </c>
      <c r="E165" s="773">
        <f>(E163/E162)^(1/E164)-1</f>
        <v>-0.5535629672608241</v>
      </c>
      <c r="F165" s="773">
        <f>(F163/F162)^(1/F164)-1</f>
        <v>0.29210984331686562</v>
      </c>
      <c r="G165" s="930">
        <f>AVERAGE(B165:F165)</f>
        <v>-0.18450222707137992</v>
      </c>
    </row>
    <row r="166" spans="1:9" x14ac:dyDescent="0.25">
      <c r="A166" s="748"/>
      <c r="B166" s="766">
        <v>1000</v>
      </c>
      <c r="C166" s="766"/>
      <c r="D166" s="766"/>
      <c r="E166" s="766"/>
      <c r="F166" s="766"/>
      <c r="G166" s="890"/>
    </row>
    <row r="167" spans="1:9" ht="15.75" x14ac:dyDescent="0.25">
      <c r="A167" s="870" t="s">
        <v>796</v>
      </c>
      <c r="B167" s="766"/>
      <c r="C167" s="766"/>
      <c r="D167" s="766"/>
      <c r="E167" s="766"/>
      <c r="F167" s="766"/>
      <c r="G167" s="890"/>
    </row>
    <row r="168" spans="1:9" ht="15.75" x14ac:dyDescent="0.25">
      <c r="A168" s="847" t="s">
        <v>728</v>
      </c>
      <c r="B168" s="874">
        <v>8824689</v>
      </c>
      <c r="C168" s="874">
        <v>16637654</v>
      </c>
      <c r="D168" s="874">
        <v>14220099</v>
      </c>
      <c r="E168" s="874">
        <v>16162806</v>
      </c>
      <c r="F168" s="874">
        <v>9637086</v>
      </c>
      <c r="G168" s="890"/>
    </row>
    <row r="169" spans="1:9" ht="15.75" x14ac:dyDescent="0.25">
      <c r="A169" s="847" t="s">
        <v>729</v>
      </c>
      <c r="B169" s="874">
        <f>(B131)*10000</f>
        <v>25272066.999999996</v>
      </c>
      <c r="C169" s="874">
        <f>(C131)*10000</f>
        <v>11069306.000000002</v>
      </c>
      <c r="D169" s="874">
        <f>(D131)*10000</f>
        <v>4656228</v>
      </c>
      <c r="E169" s="874">
        <f>(E131)*10000</f>
        <v>10038047.000000002</v>
      </c>
      <c r="F169" s="874">
        <f>(F131)*10000</f>
        <v>12409995.000000002</v>
      </c>
      <c r="G169" s="890"/>
    </row>
    <row r="170" spans="1:9" ht="15.75" x14ac:dyDescent="0.25">
      <c r="A170" s="847" t="s">
        <v>730</v>
      </c>
      <c r="B170" s="766">
        <v>1</v>
      </c>
      <c r="C170" s="766">
        <v>1</v>
      </c>
      <c r="D170" s="766">
        <v>1</v>
      </c>
      <c r="E170" s="766">
        <v>1</v>
      </c>
      <c r="F170" s="766">
        <v>1</v>
      </c>
      <c r="G170" s="890"/>
    </row>
    <row r="171" spans="1:9" ht="15.75" x14ac:dyDescent="0.25">
      <c r="A171" s="884" t="s">
        <v>731</v>
      </c>
      <c r="B171" s="885">
        <f>(B169/B168)^(1/B170)-1</f>
        <v>1.863791233889375</v>
      </c>
      <c r="C171" s="885">
        <f>(C169/C168)^(1/C170)-1</f>
        <v>-0.33468348362094791</v>
      </c>
      <c r="D171" s="885">
        <f>(D169/D168)^(1/D170)-1</f>
        <v>-0.67256008555214697</v>
      </c>
      <c r="E171" s="885">
        <f>(E169/E168)^(1/E170)-1</f>
        <v>-0.37894156497330955</v>
      </c>
      <c r="F171" s="885">
        <f>(F169/F168)^(1/F170)-1</f>
        <v>0.28773313841964288</v>
      </c>
      <c r="G171" s="930">
        <f>AVERAGE(B171:F171)</f>
        <v>0.15306784763252271</v>
      </c>
    </row>
    <row r="172" spans="1:9" ht="16.5" thickBot="1" x14ac:dyDescent="0.3">
      <c r="A172" s="886"/>
      <c r="B172" s="887"/>
      <c r="C172" s="887"/>
      <c r="D172" s="887"/>
      <c r="E172" s="887"/>
      <c r="F172" s="887"/>
      <c r="G172" s="938"/>
    </row>
    <row r="173" spans="1:9" ht="15.75" x14ac:dyDescent="0.25">
      <c r="A173" s="888"/>
      <c r="B173" s="885"/>
      <c r="C173" s="885"/>
      <c r="D173" s="885"/>
      <c r="E173" s="885"/>
      <c r="F173" s="885"/>
      <c r="G173" s="859"/>
    </row>
    <row r="174" spans="1:9" ht="27" thickBot="1" x14ac:dyDescent="0.45">
      <c r="A174" s="926"/>
      <c r="B174" s="926"/>
      <c r="C174" s="926"/>
      <c r="D174" s="926"/>
      <c r="E174" s="926"/>
      <c r="F174" s="926"/>
      <c r="G174" s="927"/>
    </row>
    <row r="175" spans="1:9" x14ac:dyDescent="0.25">
      <c r="A175" s="744" t="s">
        <v>797</v>
      </c>
      <c r="B175" s="763">
        <v>2015</v>
      </c>
      <c r="C175" s="763">
        <v>2016</v>
      </c>
      <c r="D175" s="763">
        <v>2017</v>
      </c>
      <c r="E175" s="763">
        <v>2018</v>
      </c>
      <c r="F175" s="763">
        <v>2019</v>
      </c>
      <c r="G175" s="758" t="s">
        <v>798</v>
      </c>
      <c r="H175" s="766"/>
      <c r="I175" s="766"/>
    </row>
    <row r="176" spans="1:9" x14ac:dyDescent="0.25">
      <c r="A176" s="748" t="s">
        <v>769</v>
      </c>
      <c r="B176" s="865">
        <f>[1]MEBL!J21</f>
        <v>471820.95899999997</v>
      </c>
      <c r="C176" s="865">
        <f>[1]MEBL!K21</f>
        <v>563999.85199999996</v>
      </c>
      <c r="D176" s="865">
        <f>[1]MEBL!L21</f>
        <v>673180.31</v>
      </c>
      <c r="E176" s="865">
        <f>[1]MEBL!M21</f>
        <v>785444.59199999995</v>
      </c>
      <c r="F176" s="865">
        <f>[1]MEBL!N21</f>
        <v>932568.76500000001</v>
      </c>
      <c r="G176" s="872">
        <v>1090526.0060000001</v>
      </c>
    </row>
    <row r="177" spans="1:7" ht="15.75" x14ac:dyDescent="0.25">
      <c r="A177" s="847" t="s">
        <v>728</v>
      </c>
      <c r="B177" s="864">
        <f>B176</f>
        <v>471820.95899999997</v>
      </c>
      <c r="C177" s="766"/>
      <c r="D177" s="766"/>
      <c r="E177" s="766"/>
      <c r="F177" s="766"/>
      <c r="G177" s="768"/>
    </row>
    <row r="178" spans="1:7" ht="15.75" x14ac:dyDescent="0.25">
      <c r="A178" s="847" t="s">
        <v>729</v>
      </c>
      <c r="B178" s="864">
        <f>G176</f>
        <v>1090526.0060000001</v>
      </c>
      <c r="C178" s="766"/>
      <c r="D178" s="766"/>
      <c r="E178" s="766"/>
      <c r="F178" s="766"/>
      <c r="G178" s="768"/>
    </row>
    <row r="179" spans="1:7" ht="15.75" x14ac:dyDescent="0.25">
      <c r="A179" s="847" t="s">
        <v>730</v>
      </c>
      <c r="B179" s="766">
        <v>4.75</v>
      </c>
      <c r="C179" s="766"/>
      <c r="D179" s="766"/>
      <c r="E179" s="766"/>
      <c r="F179" s="766"/>
      <c r="G179" s="768"/>
    </row>
    <row r="180" spans="1:7" x14ac:dyDescent="0.25">
      <c r="A180" s="883" t="s">
        <v>731</v>
      </c>
      <c r="B180" s="773">
        <f>(B178/B177)^(1/B179)-1</f>
        <v>0.19289399444414701</v>
      </c>
      <c r="C180" s="766"/>
      <c r="D180" s="766"/>
      <c r="E180" s="766"/>
      <c r="F180" s="766"/>
      <c r="G180" s="768"/>
    </row>
    <row r="181" spans="1:7" x14ac:dyDescent="0.25">
      <c r="A181" s="748"/>
      <c r="B181" s="766"/>
      <c r="C181" s="766"/>
      <c r="D181" s="766"/>
      <c r="E181" s="766"/>
      <c r="F181" s="766"/>
      <c r="G181" s="768"/>
    </row>
    <row r="182" spans="1:7" x14ac:dyDescent="0.25">
      <c r="A182" s="748"/>
      <c r="B182" s="889">
        <v>2015</v>
      </c>
      <c r="C182" s="889">
        <v>2016</v>
      </c>
      <c r="D182" s="889">
        <v>2017</v>
      </c>
      <c r="E182" s="889">
        <v>2018</v>
      </c>
      <c r="F182" s="889">
        <v>2019</v>
      </c>
      <c r="G182" s="890" t="s">
        <v>798</v>
      </c>
    </row>
    <row r="183" spans="1:7" x14ac:dyDescent="0.25">
      <c r="A183" s="748" t="s">
        <v>770</v>
      </c>
      <c r="B183" s="865">
        <f>[1]MEBL!J16</f>
        <v>531849.93400000001</v>
      </c>
      <c r="C183" s="865">
        <f>[1]MEBL!K16</f>
        <v>663267.67500000005</v>
      </c>
      <c r="D183" s="865">
        <f>[1]MEBL!L16</f>
        <v>785967.32900000003</v>
      </c>
      <c r="E183" s="865">
        <f>[1]MEBL!M16</f>
        <v>941751.40700000001</v>
      </c>
      <c r="F183" s="865">
        <f>[1]MEBL!N16</f>
        <v>1126114.963</v>
      </c>
      <c r="G183" s="872">
        <v>1329141.9569999999</v>
      </c>
    </row>
    <row r="184" spans="1:7" ht="15.75" x14ac:dyDescent="0.25">
      <c r="A184" s="847" t="s">
        <v>728</v>
      </c>
      <c r="B184" s="766">
        <f>B183</f>
        <v>531849.93400000001</v>
      </c>
      <c r="C184" s="766"/>
      <c r="D184" s="766"/>
      <c r="E184" s="766"/>
      <c r="F184" s="766"/>
      <c r="G184" s="768"/>
    </row>
    <row r="185" spans="1:7" ht="15.75" x14ac:dyDescent="0.25">
      <c r="A185" s="847" t="s">
        <v>729</v>
      </c>
      <c r="B185" s="864">
        <f>G183</f>
        <v>1329141.9569999999</v>
      </c>
      <c r="C185" s="766"/>
      <c r="D185" s="766"/>
      <c r="E185" s="766"/>
      <c r="F185" s="766"/>
      <c r="G185" s="768"/>
    </row>
    <row r="186" spans="1:7" ht="15.75" x14ac:dyDescent="0.25">
      <c r="A186" s="847" t="s">
        <v>730</v>
      </c>
      <c r="B186" s="766">
        <v>4.75</v>
      </c>
      <c r="C186" s="766"/>
      <c r="D186" s="766"/>
      <c r="E186" s="766"/>
      <c r="F186" s="766"/>
      <c r="G186" s="768"/>
    </row>
    <row r="187" spans="1:7" x14ac:dyDescent="0.25">
      <c r="A187" s="883" t="s">
        <v>731</v>
      </c>
      <c r="B187" s="773">
        <f>(B185/B184)^(1/B186)-1</f>
        <v>0.21267279078223744</v>
      </c>
      <c r="C187" s="766"/>
      <c r="D187" s="766"/>
      <c r="E187" s="766"/>
      <c r="F187" s="766"/>
      <c r="G187" s="768"/>
    </row>
    <row r="188" spans="1:7" x14ac:dyDescent="0.25">
      <c r="A188" s="748"/>
      <c r="B188" s="889" t="s">
        <v>799</v>
      </c>
      <c r="C188" s="889" t="s">
        <v>800</v>
      </c>
      <c r="D188" s="766"/>
      <c r="E188" s="766"/>
      <c r="F188" s="766"/>
      <c r="G188" s="768"/>
    </row>
    <row r="189" spans="1:7" ht="15.75" x14ac:dyDescent="0.25">
      <c r="A189" s="847" t="s">
        <v>801</v>
      </c>
      <c r="B189" s="865">
        <v>33168700</v>
      </c>
      <c r="C189" s="865">
        <v>49741379</v>
      </c>
      <c r="D189" s="865"/>
      <c r="E189" s="865"/>
      <c r="F189" s="865"/>
      <c r="G189" s="872"/>
    </row>
    <row r="190" spans="1:7" ht="15.75" x14ac:dyDescent="0.25">
      <c r="A190" s="847" t="s">
        <v>728</v>
      </c>
      <c r="B190" s="864">
        <f>B189</f>
        <v>33168700</v>
      </c>
      <c r="C190" s="766"/>
      <c r="D190" s="766"/>
      <c r="E190" s="766"/>
      <c r="F190" s="766"/>
      <c r="G190" s="768"/>
    </row>
    <row r="191" spans="1:7" ht="15.75" x14ac:dyDescent="0.25">
      <c r="A191" s="847" t="s">
        <v>729</v>
      </c>
      <c r="B191" s="864">
        <f>C189</f>
        <v>49741379</v>
      </c>
      <c r="C191" s="766"/>
      <c r="D191" s="766"/>
      <c r="E191" s="766"/>
      <c r="F191" s="766"/>
      <c r="G191" s="768"/>
    </row>
    <row r="192" spans="1:7" ht="15.75" x14ac:dyDescent="0.25">
      <c r="A192" s="847" t="s">
        <v>730</v>
      </c>
      <c r="B192" s="766">
        <v>1</v>
      </c>
      <c r="C192" s="766"/>
      <c r="D192" s="766"/>
      <c r="E192" s="766"/>
      <c r="F192" s="766"/>
      <c r="G192" s="768"/>
    </row>
    <row r="193" spans="1:14" x14ac:dyDescent="0.25">
      <c r="A193" s="883" t="s">
        <v>731</v>
      </c>
      <c r="B193" s="773">
        <f>(B191/B190)^(1/B192)-1</f>
        <v>0.49964813212456316</v>
      </c>
      <c r="C193" s="766"/>
      <c r="D193" s="766"/>
      <c r="E193" s="766"/>
      <c r="F193" s="766"/>
      <c r="G193" s="768"/>
    </row>
    <row r="194" spans="1:14" x14ac:dyDescent="0.25">
      <c r="A194" s="547"/>
      <c r="B194" s="547"/>
      <c r="C194" s="547"/>
      <c r="D194" s="547"/>
      <c r="E194" s="547"/>
      <c r="F194" s="766"/>
      <c r="G194" s="768"/>
      <c r="H194" s="891"/>
      <c r="J194" s="547"/>
      <c r="K194" s="547"/>
      <c r="L194" s="547"/>
      <c r="M194" s="547"/>
      <c r="N194" s="547"/>
    </row>
    <row r="195" spans="1:14" x14ac:dyDescent="0.25">
      <c r="A195" s="748"/>
      <c r="B195" s="889" t="s">
        <v>799</v>
      </c>
      <c r="C195" s="889" t="s">
        <v>800</v>
      </c>
      <c r="D195" s="766"/>
      <c r="E195" s="766"/>
      <c r="F195" s="766"/>
      <c r="G195" s="768"/>
      <c r="H195" s="891"/>
    </row>
    <row r="196" spans="1:14" ht="15.75" x14ac:dyDescent="0.25">
      <c r="A196" s="847" t="s">
        <v>796</v>
      </c>
      <c r="B196" s="766">
        <v>10892512</v>
      </c>
      <c r="C196" s="865">
        <v>18460220</v>
      </c>
      <c r="D196" s="865">
        <f>[1]MEBL!L69</f>
        <v>5779.9929999999995</v>
      </c>
      <c r="E196" s="865">
        <f>[1]MEBL!M69</f>
        <v>9133.91</v>
      </c>
      <c r="F196" s="865">
        <f>[1]MEBL!N69</f>
        <v>15779.638999999996</v>
      </c>
      <c r="G196" s="872">
        <v>18460.22</v>
      </c>
      <c r="N196" s="891">
        <f>J194</f>
        <v>0</v>
      </c>
    </row>
    <row r="197" spans="1:14" ht="15.75" x14ac:dyDescent="0.25">
      <c r="A197" s="847" t="s">
        <v>728</v>
      </c>
      <c r="B197" s="864">
        <f>B196</f>
        <v>10892512</v>
      </c>
      <c r="C197" s="766"/>
      <c r="D197" s="766"/>
      <c r="E197" s="766"/>
      <c r="F197" s="766"/>
      <c r="G197" s="768"/>
      <c r="H197" s="892"/>
      <c r="N197" s="891">
        <f>N194</f>
        <v>0</v>
      </c>
    </row>
    <row r="198" spans="1:14" ht="15.75" x14ac:dyDescent="0.25">
      <c r="A198" s="847" t="s">
        <v>729</v>
      </c>
      <c r="B198" s="864">
        <f>C196</f>
        <v>18460220</v>
      </c>
      <c r="C198" s="766"/>
      <c r="D198" s="766"/>
      <c r="E198" s="766"/>
      <c r="F198" s="766"/>
      <c r="G198" s="768"/>
    </row>
    <row r="199" spans="1:14" ht="15.75" x14ac:dyDescent="0.25">
      <c r="A199" s="847" t="s">
        <v>730</v>
      </c>
      <c r="B199" s="766">
        <v>1</v>
      </c>
      <c r="C199" s="766"/>
      <c r="D199" s="766">
        <v>5.75</v>
      </c>
      <c r="E199" s="766">
        <v>5.75</v>
      </c>
      <c r="F199" s="766">
        <v>5.75</v>
      </c>
      <c r="G199" s="768">
        <v>5.75</v>
      </c>
      <c r="N199" s="892"/>
    </row>
    <row r="200" spans="1:14" x14ac:dyDescent="0.25">
      <c r="A200" s="883" t="s">
        <v>731</v>
      </c>
      <c r="B200" s="773">
        <f>(B198/B197)^(1/B199)-1</f>
        <v>0.69476242027550672</v>
      </c>
      <c r="C200" s="766"/>
      <c r="D200" s="766"/>
      <c r="E200" s="766"/>
      <c r="F200" s="766"/>
      <c r="G200" s="768"/>
    </row>
    <row r="201" spans="1:14" x14ac:dyDescent="0.25">
      <c r="A201" s="748" t="s">
        <v>802</v>
      </c>
      <c r="B201" s="859">
        <f>B112</f>
        <v>0.4494651250055387</v>
      </c>
      <c r="C201" s="766"/>
      <c r="D201" s="766"/>
      <c r="E201" s="766"/>
      <c r="F201" s="766"/>
      <c r="G201" s="768"/>
    </row>
    <row r="202" spans="1:14" x14ac:dyDescent="0.25">
      <c r="A202" s="748" t="s">
        <v>803</v>
      </c>
      <c r="B202" s="859">
        <f>B113</f>
        <v>0.33645862837510893</v>
      </c>
      <c r="C202" s="766"/>
      <c r="D202" s="766"/>
      <c r="E202" s="766"/>
      <c r="F202" s="766"/>
      <c r="G202" s="768"/>
    </row>
    <row r="203" spans="1:14" x14ac:dyDescent="0.25">
      <c r="A203" s="748" t="s">
        <v>804</v>
      </c>
      <c r="B203" s="859">
        <f>B114</f>
        <v>2.1247832078181168E-2</v>
      </c>
      <c r="C203" s="766"/>
      <c r="D203" s="766"/>
      <c r="E203" s="766"/>
      <c r="F203" s="766"/>
      <c r="G203" s="768"/>
    </row>
    <row r="204" spans="1:14" x14ac:dyDescent="0.25">
      <c r="A204" s="748" t="s">
        <v>790</v>
      </c>
      <c r="B204" s="859">
        <f>B115</f>
        <v>1.4016352187006356</v>
      </c>
      <c r="C204" s="766"/>
      <c r="D204" s="766"/>
      <c r="E204" s="766"/>
      <c r="F204" s="766"/>
      <c r="G204" s="768"/>
    </row>
    <row r="205" spans="1:14" x14ac:dyDescent="0.25">
      <c r="A205" s="748" t="s">
        <v>805</v>
      </c>
      <c r="B205" s="848">
        <f>B117</f>
        <v>27779.341645885288</v>
      </c>
      <c r="C205" s="766"/>
      <c r="D205" s="766"/>
      <c r="E205" s="766"/>
      <c r="F205" s="766"/>
      <c r="G205" s="768"/>
    </row>
    <row r="206" spans="1:14" x14ac:dyDescent="0.25">
      <c r="A206" s="748" t="s">
        <v>776</v>
      </c>
      <c r="B206" s="848">
        <f>B118</f>
        <v>1912.527427246974</v>
      </c>
      <c r="C206" s="766"/>
      <c r="D206" s="766"/>
      <c r="E206" s="766"/>
      <c r="F206" s="766"/>
      <c r="G206" s="768"/>
    </row>
    <row r="207" spans="1:14" x14ac:dyDescent="0.25">
      <c r="A207" s="748" t="s">
        <v>774</v>
      </c>
      <c r="B207" s="859">
        <f>B116</f>
        <v>4.3135560226149845E-2</v>
      </c>
      <c r="C207" s="766"/>
      <c r="D207" s="766"/>
      <c r="E207" s="766"/>
      <c r="F207" s="766"/>
      <c r="G207" s="768"/>
    </row>
    <row r="208" spans="1:14" ht="15.75" thickBot="1" x14ac:dyDescent="0.3">
      <c r="A208" s="756" t="s">
        <v>312</v>
      </c>
      <c r="B208" s="861">
        <f>B111</f>
        <v>0.23139999999999999</v>
      </c>
      <c r="C208" s="770"/>
      <c r="D208" s="770"/>
      <c r="E208" s="770"/>
      <c r="F208" s="770"/>
      <c r="G208" s="772"/>
    </row>
    <row r="209" spans="1:7" x14ac:dyDescent="0.25">
      <c r="A209" s="1008"/>
      <c r="B209" s="1009"/>
      <c r="C209" s="1009"/>
      <c r="D209" s="1009"/>
      <c r="E209" s="1009"/>
      <c r="F209" s="1009"/>
      <c r="G209" s="1010"/>
    </row>
    <row r="210" spans="1:7" ht="15.75" thickBot="1" x14ac:dyDescent="0.3">
      <c r="A210" s="1011"/>
      <c r="B210" s="1012"/>
      <c r="C210" s="1012"/>
      <c r="D210" s="1012"/>
      <c r="E210" s="1012"/>
      <c r="F210" s="1012"/>
      <c r="G210" s="1013"/>
    </row>
    <row r="211" spans="1:7" x14ac:dyDescent="0.25">
      <c r="A211" s="863" t="s">
        <v>863</v>
      </c>
      <c r="B211" s="857" t="s">
        <v>807</v>
      </c>
      <c r="C211" s="857" t="s">
        <v>764</v>
      </c>
      <c r="D211" s="893" t="s">
        <v>765</v>
      </c>
      <c r="E211" s="893" t="s">
        <v>808</v>
      </c>
      <c r="F211" s="893" t="s">
        <v>809</v>
      </c>
      <c r="G211" s="764"/>
    </row>
    <row r="212" spans="1:7" x14ac:dyDescent="0.25">
      <c r="A212" s="748" t="s">
        <v>810</v>
      </c>
      <c r="B212" s="874"/>
      <c r="C212" s="874"/>
      <c r="D212" s="766"/>
      <c r="E212" s="766"/>
      <c r="F212" s="766"/>
      <c r="G212" s="768"/>
    </row>
    <row r="213" spans="1:7" x14ac:dyDescent="0.25">
      <c r="A213" s="748" t="s">
        <v>4</v>
      </c>
      <c r="B213" s="874">
        <v>17869753</v>
      </c>
      <c r="C213" s="874">
        <v>27471950</v>
      </c>
      <c r="D213" s="766">
        <v>3796924</v>
      </c>
      <c r="E213" s="874">
        <v>8488429</v>
      </c>
      <c r="F213" s="844">
        <v>954769</v>
      </c>
      <c r="G213" s="768"/>
    </row>
    <row r="214" spans="1:7" x14ac:dyDescent="0.25">
      <c r="A214" s="748" t="s">
        <v>811</v>
      </c>
      <c r="B214" s="874">
        <v>282652839</v>
      </c>
      <c r="C214" s="874">
        <v>30820944</v>
      </c>
      <c r="D214" s="766"/>
      <c r="E214" s="874">
        <v>13257516</v>
      </c>
      <c r="F214" s="766">
        <v>828790</v>
      </c>
      <c r="G214" s="768"/>
    </row>
    <row r="215" spans="1:7" x14ac:dyDescent="0.25">
      <c r="A215" s="748" t="s">
        <v>6</v>
      </c>
      <c r="B215" s="874">
        <v>362456496</v>
      </c>
      <c r="C215" s="874">
        <v>60564450</v>
      </c>
      <c r="D215" s="766">
        <v>70948920</v>
      </c>
      <c r="E215" s="874">
        <v>42422163</v>
      </c>
      <c r="F215" s="844">
        <v>28677706</v>
      </c>
      <c r="G215" s="768"/>
    </row>
    <row r="216" spans="1:7" x14ac:dyDescent="0.25">
      <c r="A216" s="748" t="s">
        <v>812</v>
      </c>
      <c r="B216" s="874">
        <v>490161818</v>
      </c>
      <c r="C216" s="874">
        <v>134637704</v>
      </c>
      <c r="D216" s="874">
        <v>187809276</v>
      </c>
      <c r="E216" s="874">
        <v>81205473</v>
      </c>
      <c r="F216" s="844">
        <v>77758932</v>
      </c>
      <c r="G216" s="768"/>
    </row>
    <row r="217" spans="1:7" x14ac:dyDescent="0.25">
      <c r="A217" s="748" t="s">
        <v>8</v>
      </c>
      <c r="B217" s="874"/>
      <c r="C217" s="874"/>
      <c r="D217" s="766"/>
      <c r="E217" s="766"/>
      <c r="F217" s="766"/>
      <c r="G217" s="768"/>
    </row>
    <row r="218" spans="1:7" x14ac:dyDescent="0.25">
      <c r="A218" s="748" t="s">
        <v>98</v>
      </c>
      <c r="B218" s="874"/>
      <c r="C218" s="874"/>
      <c r="D218" s="398"/>
      <c r="E218" s="874"/>
      <c r="F218" s="844"/>
      <c r="G218" s="768"/>
    </row>
    <row r="219" spans="1:7" x14ac:dyDescent="0.25">
      <c r="A219" s="748" t="s">
        <v>10</v>
      </c>
      <c r="B219" s="874"/>
      <c r="C219" s="874"/>
      <c r="D219" s="766"/>
      <c r="E219" s="766"/>
      <c r="F219" s="766"/>
      <c r="G219" s="768"/>
    </row>
    <row r="220" spans="1:7" x14ac:dyDescent="0.25">
      <c r="A220" s="748" t="s">
        <v>11</v>
      </c>
      <c r="B220" s="874"/>
      <c r="C220" s="874"/>
      <c r="D220" s="398"/>
      <c r="E220" s="874"/>
      <c r="F220" s="844"/>
      <c r="G220" s="768"/>
    </row>
    <row r="221" spans="1:7" x14ac:dyDescent="0.25">
      <c r="A221" s="748" t="s">
        <v>813</v>
      </c>
      <c r="B221" s="874"/>
      <c r="C221" s="874"/>
      <c r="D221" s="766"/>
      <c r="E221" s="766"/>
      <c r="F221" s="766"/>
      <c r="G221" s="768"/>
    </row>
    <row r="222" spans="1:7" x14ac:dyDescent="0.25">
      <c r="A222" s="894" t="s">
        <v>806</v>
      </c>
      <c r="B222" s="874">
        <f>B213+B214+B215+B216-B217+B218-B219+B220+B221</f>
        <v>1153140906</v>
      </c>
      <c r="C222" s="874">
        <f>C213+C214+C215+C216-C217+C218-C219+C220+C221</f>
        <v>253495048</v>
      </c>
      <c r="D222" s="874">
        <f>D213+D214+D215+D216-D217+D218-D219+D220+D221</f>
        <v>262555120</v>
      </c>
      <c r="E222" s="874">
        <f>E213+E214+E215+E216-E217+E218-E219+E220+E221</f>
        <v>145373581</v>
      </c>
      <c r="F222" s="874">
        <f>F213+F214+F215+F216-F217+F218-F219+F220+F221</f>
        <v>108220197</v>
      </c>
      <c r="G222" s="768"/>
    </row>
    <row r="223" spans="1:7" x14ac:dyDescent="0.25">
      <c r="A223" s="748"/>
      <c r="B223" s="766"/>
      <c r="C223" s="766"/>
      <c r="D223" s="766"/>
      <c r="E223" s="766"/>
      <c r="F223" s="766"/>
      <c r="G223" s="768"/>
    </row>
    <row r="224" spans="1:7" x14ac:dyDescent="0.25">
      <c r="A224" s="748"/>
      <c r="B224" s="766" t="s">
        <v>747</v>
      </c>
      <c r="C224" s="766" t="s">
        <v>779</v>
      </c>
      <c r="D224" s="766" t="s">
        <v>745</v>
      </c>
      <c r="E224" s="398" t="s">
        <v>570</v>
      </c>
      <c r="F224" s="398" t="s">
        <v>814</v>
      </c>
      <c r="G224" s="768"/>
    </row>
    <row r="225" spans="1:8" x14ac:dyDescent="0.25">
      <c r="A225" s="748" t="s">
        <v>806</v>
      </c>
      <c r="B225" s="766"/>
      <c r="C225" s="766"/>
      <c r="D225" s="766"/>
      <c r="E225" s="766"/>
      <c r="F225" s="766"/>
      <c r="G225" s="768"/>
    </row>
    <row r="226" spans="1:8" x14ac:dyDescent="0.25">
      <c r="A226" s="748" t="s">
        <v>4</v>
      </c>
      <c r="B226" s="874">
        <v>37350430</v>
      </c>
      <c r="C226" s="874">
        <v>15197248</v>
      </c>
      <c r="D226" s="874">
        <v>29391318</v>
      </c>
      <c r="E226" s="874">
        <v>29692845</v>
      </c>
      <c r="F226" s="874">
        <v>187172</v>
      </c>
      <c r="G226" s="768"/>
    </row>
    <row r="227" spans="1:8" x14ac:dyDescent="0.25">
      <c r="A227" s="748" t="s">
        <v>811</v>
      </c>
      <c r="B227" s="874">
        <v>64085582</v>
      </c>
      <c r="C227" s="874">
        <v>50281178</v>
      </c>
      <c r="D227" s="874">
        <v>12425484</v>
      </c>
      <c r="E227" s="874">
        <v>2139762</v>
      </c>
      <c r="F227" s="874">
        <v>4876057</v>
      </c>
      <c r="G227" s="768"/>
    </row>
    <row r="228" spans="1:8" ht="15.75" thickBot="1" x14ac:dyDescent="0.3">
      <c r="A228" s="748" t="s">
        <v>6</v>
      </c>
      <c r="B228" s="874">
        <v>1783823469</v>
      </c>
      <c r="C228" s="874">
        <v>1371735137</v>
      </c>
      <c r="D228" s="874">
        <v>1133338708</v>
      </c>
      <c r="E228" s="874">
        <v>964411589</v>
      </c>
      <c r="F228" s="874">
        <v>790143366</v>
      </c>
      <c r="G228" s="772"/>
    </row>
    <row r="229" spans="1:8" x14ac:dyDescent="0.25">
      <c r="A229" s="748" t="s">
        <v>812</v>
      </c>
      <c r="B229" s="874">
        <v>1141027109</v>
      </c>
      <c r="C229" s="874">
        <v>893213205</v>
      </c>
      <c r="D229" s="874">
        <v>612537931</v>
      </c>
      <c r="E229" s="874">
        <v>445039343</v>
      </c>
      <c r="F229" s="874">
        <v>440429059</v>
      </c>
      <c r="G229" s="768"/>
    </row>
    <row r="230" spans="1:8" x14ac:dyDescent="0.25">
      <c r="A230" s="748" t="s">
        <v>98</v>
      </c>
      <c r="B230" s="874"/>
      <c r="C230" s="874"/>
      <c r="D230" s="874"/>
      <c r="E230" s="874"/>
      <c r="F230" s="874"/>
      <c r="G230" s="768"/>
    </row>
    <row r="231" spans="1:8" x14ac:dyDescent="0.25">
      <c r="A231" s="748" t="s">
        <v>11</v>
      </c>
      <c r="B231" s="874"/>
      <c r="C231" s="874"/>
      <c r="D231" s="874"/>
      <c r="E231" s="874"/>
      <c r="F231" s="874"/>
      <c r="G231" s="768"/>
    </row>
    <row r="232" spans="1:8" x14ac:dyDescent="0.25">
      <c r="A232" s="748" t="s">
        <v>813</v>
      </c>
      <c r="B232" s="766"/>
      <c r="C232" s="874"/>
      <c r="D232" s="874"/>
      <c r="E232" s="766"/>
      <c r="F232" s="766"/>
      <c r="G232" s="768"/>
    </row>
    <row r="233" spans="1:8" ht="15.75" thickBot="1" x14ac:dyDescent="0.3">
      <c r="A233" s="895" t="s">
        <v>806</v>
      </c>
      <c r="B233" s="896">
        <f>SUM(B226:B232)</f>
        <v>3026286590</v>
      </c>
      <c r="C233" s="896">
        <f>SUM(C226:C232)</f>
        <v>2330426768</v>
      </c>
      <c r="D233" s="896">
        <f>SUM(D226:D232)</f>
        <v>1787693441</v>
      </c>
      <c r="E233" s="896">
        <f>SUM(E226:E232)</f>
        <v>1441283539</v>
      </c>
      <c r="F233" s="896">
        <f>SUM(F226:F232)</f>
        <v>1235635654</v>
      </c>
      <c r="G233" s="772"/>
    </row>
    <row r="236" spans="1:8" ht="15.75" thickBot="1" x14ac:dyDescent="0.3"/>
    <row r="237" spans="1:8" ht="15.75" thickBot="1" x14ac:dyDescent="0.3">
      <c r="A237" s="897" t="s">
        <v>815</v>
      </c>
      <c r="B237" s="898" t="s">
        <v>492</v>
      </c>
      <c r="C237" s="898" t="s">
        <v>816</v>
      </c>
      <c r="D237" s="899" t="s">
        <v>817</v>
      </c>
    </row>
    <row r="238" spans="1:8" x14ac:dyDescent="0.25">
      <c r="A238" s="900" t="s">
        <v>818</v>
      </c>
      <c r="B238" s="901">
        <f>B180</f>
        <v>0.19289399444414701</v>
      </c>
      <c r="C238" s="901">
        <f>G152</f>
        <v>0.10779500205183164</v>
      </c>
      <c r="D238" s="902">
        <f>G89</f>
        <v>0.13172207160336993</v>
      </c>
      <c r="F238" s="846"/>
      <c r="G238" s="845"/>
      <c r="H238" s="846"/>
    </row>
    <row r="239" spans="1:8" x14ac:dyDescent="0.25">
      <c r="A239" s="900" t="s">
        <v>819</v>
      </c>
      <c r="B239" s="901">
        <f>B187</f>
        <v>0.21267279078223744</v>
      </c>
      <c r="C239" s="901">
        <f>G159</f>
        <v>9.9900041386241645E-2</v>
      </c>
      <c r="D239" s="902">
        <f>G95</f>
        <v>0.20636076260682418</v>
      </c>
    </row>
    <row r="240" spans="1:8" x14ac:dyDescent="0.25">
      <c r="A240" s="900" t="s">
        <v>820</v>
      </c>
      <c r="B240" s="901">
        <f>B193</f>
        <v>0.49964813212456316</v>
      </c>
      <c r="C240" s="901">
        <f>G165</f>
        <v>-0.18450222707137992</v>
      </c>
      <c r="D240" s="902">
        <f>G100</f>
        <v>0.23865244263424384</v>
      </c>
    </row>
    <row r="241" spans="1:4" x14ac:dyDescent="0.25">
      <c r="A241" s="900" t="s">
        <v>821</v>
      </c>
      <c r="B241" s="901">
        <f>B200</f>
        <v>0.69476242027550672</v>
      </c>
      <c r="C241" s="901">
        <f>G171</f>
        <v>0.15306784763252271</v>
      </c>
      <c r="D241" s="902">
        <f>G106</f>
        <v>1.1672823374219772</v>
      </c>
    </row>
    <row r="242" spans="1:4" x14ac:dyDescent="0.25">
      <c r="A242" s="900" t="s">
        <v>802</v>
      </c>
      <c r="B242" s="901">
        <f>B201</f>
        <v>0.4494651250055387</v>
      </c>
      <c r="C242" s="901">
        <f t="shared" ref="C242:C249" si="7">G139</f>
        <v>0.39324267313994027</v>
      </c>
      <c r="D242" s="902">
        <f>G112</f>
        <v>0.68836478415681646</v>
      </c>
    </row>
    <row r="243" spans="1:4" x14ac:dyDescent="0.25">
      <c r="A243" s="900" t="s">
        <v>803</v>
      </c>
      <c r="B243" s="901">
        <f t="shared" ref="B243:B249" si="8">B202</f>
        <v>0.33645862837510893</v>
      </c>
      <c r="C243" s="901">
        <f t="shared" si="7"/>
        <v>0.67568433386787674</v>
      </c>
      <c r="D243" s="902">
        <f>G113</f>
        <v>0.28772663121091863</v>
      </c>
    </row>
    <row r="244" spans="1:4" x14ac:dyDescent="0.25">
      <c r="A244" s="900" t="s">
        <v>804</v>
      </c>
      <c r="B244" s="779">
        <f t="shared" si="8"/>
        <v>2.1247832078181168E-2</v>
      </c>
      <c r="C244" s="779">
        <f t="shared" si="7"/>
        <v>0.10719155520730279</v>
      </c>
      <c r="D244" s="882">
        <f>G114</f>
        <v>5.9101690074218387E-2</v>
      </c>
    </row>
    <row r="245" spans="1:4" x14ac:dyDescent="0.25">
      <c r="A245" s="900" t="s">
        <v>790</v>
      </c>
      <c r="B245" s="901">
        <f t="shared" si="8"/>
        <v>1.4016352187006356</v>
      </c>
      <c r="C245" s="901">
        <f t="shared" si="7"/>
        <v>0.95582645449903914</v>
      </c>
      <c r="D245" s="902">
        <f>G115</f>
        <v>0.49524963531218724</v>
      </c>
    </row>
    <row r="246" spans="1:4" x14ac:dyDescent="0.25">
      <c r="A246" s="900" t="s">
        <v>822</v>
      </c>
      <c r="B246" s="865">
        <f t="shared" si="8"/>
        <v>27779.341645885288</v>
      </c>
      <c r="C246" s="865">
        <f t="shared" si="7"/>
        <v>16574.720569158886</v>
      </c>
      <c r="D246" s="872">
        <f>G117</f>
        <v>20267.208665780141</v>
      </c>
    </row>
    <row r="247" spans="1:4" x14ac:dyDescent="0.25">
      <c r="A247" s="900" t="s">
        <v>823</v>
      </c>
      <c r="B247" s="865">
        <f t="shared" si="8"/>
        <v>1912.527427246974</v>
      </c>
      <c r="C247" s="865">
        <f t="shared" si="7"/>
        <v>1532.1093197539594</v>
      </c>
      <c r="D247" s="872">
        <f>G118</f>
        <v>1909.8452338881134</v>
      </c>
    </row>
    <row r="248" spans="1:4" x14ac:dyDescent="0.25">
      <c r="A248" s="900" t="s">
        <v>774</v>
      </c>
      <c r="B248" s="779">
        <f t="shared" si="8"/>
        <v>4.3135560226149845E-2</v>
      </c>
      <c r="C248" s="881">
        <f t="shared" si="7"/>
        <v>2.0296445029077365E-2</v>
      </c>
      <c r="D248" s="882">
        <f>G116</f>
        <v>3.4138533316059948E-2</v>
      </c>
    </row>
    <row r="249" spans="1:4" ht="15.75" thickBot="1" x14ac:dyDescent="0.3">
      <c r="A249" s="903" t="s">
        <v>312</v>
      </c>
      <c r="B249" s="904">
        <f t="shared" si="8"/>
        <v>0.23139999999999999</v>
      </c>
      <c r="C249" s="771">
        <f t="shared" si="7"/>
        <v>0.21514000000000003</v>
      </c>
      <c r="D249" s="905">
        <f>G111</f>
        <v>0.15860000000000002</v>
      </c>
    </row>
    <row r="253" spans="1:4" ht="15.75" thickBot="1" x14ac:dyDescent="0.3"/>
    <row r="254" spans="1:4" x14ac:dyDescent="0.25">
      <c r="A254" s="744"/>
      <c r="B254" s="764" t="s">
        <v>774</v>
      </c>
    </row>
    <row r="255" spans="1:4" x14ac:dyDescent="0.25">
      <c r="A255" s="748" t="s">
        <v>572</v>
      </c>
      <c r="B255" s="780">
        <v>1.0654130458207386E-2</v>
      </c>
    </row>
    <row r="256" spans="1:4" x14ac:dyDescent="0.25">
      <c r="A256" s="748" t="s">
        <v>779</v>
      </c>
      <c r="B256" s="780">
        <v>1.2757222172844132E-2</v>
      </c>
    </row>
    <row r="257" spans="1:3" x14ac:dyDescent="0.25">
      <c r="A257" s="748" t="s">
        <v>570</v>
      </c>
      <c r="B257" s="780">
        <v>1.3793539241798405E-2</v>
      </c>
    </row>
    <row r="258" spans="1:3" x14ac:dyDescent="0.25">
      <c r="A258" s="748" t="s">
        <v>824</v>
      </c>
      <c r="B258" s="780">
        <v>2.9347536189662859E-2</v>
      </c>
    </row>
    <row r="259" spans="1:3" x14ac:dyDescent="0.25">
      <c r="A259" s="748" t="s">
        <v>809</v>
      </c>
      <c r="B259" s="780">
        <v>2.9552537242866217E-2</v>
      </c>
    </row>
    <row r="260" spans="1:3" x14ac:dyDescent="0.25">
      <c r="A260" s="748" t="s">
        <v>825</v>
      </c>
      <c r="B260" s="780">
        <v>2.9717035944419979E-2</v>
      </c>
    </row>
    <row r="261" spans="1:3" x14ac:dyDescent="0.25">
      <c r="A261" s="748" t="s">
        <v>747</v>
      </c>
      <c r="B261" s="780">
        <v>3.1464430945657026E-2</v>
      </c>
    </row>
    <row r="262" spans="1:3" x14ac:dyDescent="0.25">
      <c r="A262" s="748" t="s">
        <v>431</v>
      </c>
      <c r="B262" s="780">
        <v>3.3082569862084639E-2</v>
      </c>
    </row>
    <row r="263" spans="1:3" x14ac:dyDescent="0.25">
      <c r="A263" s="748" t="s">
        <v>826</v>
      </c>
      <c r="B263" s="780">
        <v>3.6687704270853064E-2</v>
      </c>
    </row>
    <row r="264" spans="1:3" ht="15.75" thickBot="1" x14ac:dyDescent="0.3">
      <c r="A264" s="756" t="s">
        <v>748</v>
      </c>
      <c r="B264" s="905">
        <f>'[1]Industry Data'!B270</f>
        <v>4.3135560226149845E-2</v>
      </c>
    </row>
    <row r="265" spans="1:3" x14ac:dyDescent="0.25">
      <c r="B265" s="906"/>
    </row>
    <row r="266" spans="1:3" x14ac:dyDescent="0.25">
      <c r="B266" s="906"/>
    </row>
    <row r="267" spans="1:3" x14ac:dyDescent="0.25">
      <c r="B267" s="906"/>
    </row>
    <row r="268" spans="1:3" x14ac:dyDescent="0.25">
      <c r="B268" s="906"/>
    </row>
    <row r="270" spans="1:3" ht="15.75" thickBot="1" x14ac:dyDescent="0.3"/>
    <row r="271" spans="1:3" x14ac:dyDescent="0.25">
      <c r="A271" s="863" t="s">
        <v>864</v>
      </c>
      <c r="B271" s="857" t="s">
        <v>827</v>
      </c>
      <c r="C271" s="764" t="s">
        <v>790</v>
      </c>
    </row>
    <row r="272" spans="1:3" x14ac:dyDescent="0.25">
      <c r="A272" s="748" t="s">
        <v>748</v>
      </c>
      <c r="B272" s="859">
        <f>B244</f>
        <v>2.1247832078181168E-2</v>
      </c>
      <c r="C272" s="860">
        <f>B245</f>
        <v>1.4016352187006356</v>
      </c>
    </row>
    <row r="273" spans="1:6" x14ac:dyDescent="0.25">
      <c r="A273" s="748" t="s">
        <v>747</v>
      </c>
      <c r="B273" s="773">
        <v>7.149531098476293E-2</v>
      </c>
      <c r="C273" s="776">
        <v>0.87433907497317187</v>
      </c>
    </row>
    <row r="274" spans="1:6" x14ac:dyDescent="0.25">
      <c r="A274" s="748" t="s">
        <v>779</v>
      </c>
      <c r="B274" s="773">
        <v>0.19334689526897444</v>
      </c>
      <c r="C274" s="776">
        <v>0.97162709901563382</v>
      </c>
    </row>
    <row r="275" spans="1:6" x14ac:dyDescent="0.25">
      <c r="A275" s="748" t="s">
        <v>572</v>
      </c>
      <c r="B275" s="773">
        <v>0.14219527574040144</v>
      </c>
      <c r="C275" s="776">
        <v>0.91599311136624573</v>
      </c>
    </row>
    <row r="276" spans="1:6" x14ac:dyDescent="0.25">
      <c r="A276" s="748" t="s">
        <v>570</v>
      </c>
      <c r="B276" s="773">
        <v>9.5955261005753592E-2</v>
      </c>
      <c r="C276" s="776">
        <v>0.96891057558255322</v>
      </c>
    </row>
    <row r="277" spans="1:6" x14ac:dyDescent="0.25">
      <c r="A277" s="748" t="s">
        <v>824</v>
      </c>
      <c r="B277" s="773">
        <v>3.2965033036621544E-2</v>
      </c>
      <c r="C277" s="776">
        <v>1.0482624115575907</v>
      </c>
    </row>
    <row r="278" spans="1:6" x14ac:dyDescent="0.25">
      <c r="A278" s="748" t="s">
        <v>826</v>
      </c>
      <c r="B278" s="773">
        <v>7.7190910801628057E-2</v>
      </c>
      <c r="C278" s="776">
        <v>0.62850844819883589</v>
      </c>
      <c r="D278" s="773"/>
      <c r="E278" s="773"/>
      <c r="F278" s="773"/>
    </row>
    <row r="279" spans="1:6" x14ac:dyDescent="0.25">
      <c r="A279" s="748" t="s">
        <v>431</v>
      </c>
      <c r="B279" s="773">
        <v>3.1489422764617248E-2</v>
      </c>
      <c r="C279" s="776">
        <v>0.51228027339208992</v>
      </c>
    </row>
    <row r="280" spans="1:6" x14ac:dyDescent="0.25">
      <c r="A280" s="748" t="s">
        <v>825</v>
      </c>
      <c r="B280" s="773">
        <v>0.11757192769507051</v>
      </c>
      <c r="C280" s="776">
        <v>0.66130092493477866</v>
      </c>
    </row>
    <row r="281" spans="1:6" ht="15.75" thickBot="1" x14ac:dyDescent="0.3">
      <c r="A281" s="756" t="s">
        <v>809</v>
      </c>
      <c r="B281" s="774">
        <v>1.015449903555774E-2</v>
      </c>
      <c r="C281" s="777">
        <v>0.17890889472304436</v>
      </c>
    </row>
    <row r="283" spans="1:6" ht="15.75" thickBot="1" x14ac:dyDescent="0.3"/>
    <row r="284" spans="1:6" x14ac:dyDescent="0.25">
      <c r="A284" s="863" t="s">
        <v>828</v>
      </c>
      <c r="B284" s="758" t="s">
        <v>828</v>
      </c>
    </row>
    <row r="285" spans="1:6" x14ac:dyDescent="0.25">
      <c r="A285" s="748" t="s">
        <v>748</v>
      </c>
      <c r="B285" s="860">
        <f>B238</f>
        <v>0.19289399444414701</v>
      </c>
    </row>
    <row r="286" spans="1:6" x14ac:dyDescent="0.25">
      <c r="A286" s="748" t="s">
        <v>747</v>
      </c>
      <c r="B286" s="776">
        <v>9.3682096478851618E-2</v>
      </c>
      <c r="C286" s="773"/>
      <c r="D286" s="773"/>
    </row>
    <row r="287" spans="1:6" x14ac:dyDescent="0.25">
      <c r="A287" s="748" t="s">
        <v>779</v>
      </c>
      <c r="B287" s="776">
        <v>7.5454331935718599E-2</v>
      </c>
    </row>
    <row r="288" spans="1:6" x14ac:dyDescent="0.25">
      <c r="A288" s="748" t="s">
        <v>572</v>
      </c>
      <c r="B288" s="776">
        <v>7.4083205464816393E-2</v>
      </c>
    </row>
    <row r="289" spans="1:2" x14ac:dyDescent="0.25">
      <c r="A289" s="748" t="s">
        <v>570</v>
      </c>
      <c r="B289" s="776">
        <v>0.12134079574148648</v>
      </c>
    </row>
    <row r="290" spans="1:2" x14ac:dyDescent="0.25">
      <c r="A290" s="748" t="s">
        <v>824</v>
      </c>
      <c r="B290" s="776">
        <v>7.6516076666135246E-2</v>
      </c>
    </row>
    <row r="291" spans="1:2" x14ac:dyDescent="0.25">
      <c r="A291" s="748" t="s">
        <v>826</v>
      </c>
      <c r="B291" s="776">
        <v>9.2098988273253912E-2</v>
      </c>
    </row>
    <row r="292" spans="1:2" x14ac:dyDescent="0.25">
      <c r="A292" s="748" t="s">
        <v>431</v>
      </c>
      <c r="B292" s="776">
        <v>9.8590690493826738E-2</v>
      </c>
    </row>
    <row r="293" spans="1:2" ht="15.75" thickBot="1" x14ac:dyDescent="0.3">
      <c r="A293" s="756" t="s">
        <v>825</v>
      </c>
      <c r="B293" s="777">
        <v>0.13210547673355033</v>
      </c>
    </row>
    <row r="298" spans="1:2" x14ac:dyDescent="0.25">
      <c r="A298" t="s">
        <v>829</v>
      </c>
    </row>
    <row r="299" spans="1:2" x14ac:dyDescent="0.25">
      <c r="B299" t="s">
        <v>830</v>
      </c>
    </row>
    <row r="300" spans="1:2" x14ac:dyDescent="0.25">
      <c r="A300" t="s">
        <v>831</v>
      </c>
      <c r="B300" s="732">
        <v>1070.0999999999999</v>
      </c>
    </row>
    <row r="301" spans="1:2" x14ac:dyDescent="0.25">
      <c r="A301" t="s">
        <v>832</v>
      </c>
      <c r="B301" s="34">
        <v>10020</v>
      </c>
    </row>
    <row r="311" spans="1:2" x14ac:dyDescent="0.25">
      <c r="B311" t="s">
        <v>833</v>
      </c>
    </row>
    <row r="312" spans="1:2" x14ac:dyDescent="0.25">
      <c r="A312" t="s">
        <v>492</v>
      </c>
      <c r="B312" s="891">
        <f>G10</f>
        <v>1090544.7180000001</v>
      </c>
    </row>
    <row r="313" spans="1:2" x14ac:dyDescent="0.25">
      <c r="A313" t="s">
        <v>764</v>
      </c>
      <c r="B313" s="891">
        <f>M10</f>
        <v>254017.04</v>
      </c>
    </row>
    <row r="314" spans="1:2" x14ac:dyDescent="0.25">
      <c r="A314" t="s">
        <v>431</v>
      </c>
      <c r="B314" s="891">
        <f>S10</f>
        <v>234808.09400000001</v>
      </c>
    </row>
    <row r="315" spans="1:2" x14ac:dyDescent="0.25">
      <c r="A315" t="s">
        <v>834</v>
      </c>
      <c r="B315" s="891">
        <f>Y10</f>
        <v>146228.421</v>
      </c>
    </row>
    <row r="316" spans="1:2" x14ac:dyDescent="0.25">
      <c r="A316" t="s">
        <v>767</v>
      </c>
      <c r="B316" s="891">
        <f>AE10</f>
        <v>89558.067999999999</v>
      </c>
    </row>
    <row r="317" spans="1:2" x14ac:dyDescent="0.25">
      <c r="A317" t="s">
        <v>835</v>
      </c>
      <c r="B317" s="891">
        <f>AK10</f>
        <v>239400.05300000001</v>
      </c>
    </row>
    <row r="318" spans="1:2" x14ac:dyDescent="0.25">
      <c r="A318" t="s">
        <v>836</v>
      </c>
      <c r="B318" s="891">
        <f>AQ10</f>
        <v>131517.91</v>
      </c>
    </row>
    <row r="319" spans="1:2" x14ac:dyDescent="0.25">
      <c r="A319" t="s">
        <v>837</v>
      </c>
      <c r="B319" s="907">
        <f>B320-SUM(B312:B318)</f>
        <v>847925.69599999953</v>
      </c>
    </row>
    <row r="320" spans="1:2" x14ac:dyDescent="0.25">
      <c r="B320" s="34">
        <v>3034000</v>
      </c>
    </row>
    <row r="323" spans="1:3" ht="15.75" thickBot="1" x14ac:dyDescent="0.3"/>
    <row r="324" spans="1:3" x14ac:dyDescent="0.25">
      <c r="A324" s="744"/>
      <c r="B324" s="758" t="s">
        <v>838</v>
      </c>
    </row>
    <row r="325" spans="1:3" x14ac:dyDescent="0.25">
      <c r="A325" s="748" t="s">
        <v>569</v>
      </c>
      <c r="B325" s="872">
        <v>2736.0677540000001</v>
      </c>
    </row>
    <row r="326" spans="1:3" x14ac:dyDescent="0.25">
      <c r="A326" s="748" t="s">
        <v>779</v>
      </c>
      <c r="B326" s="872">
        <v>2339.2600000000002</v>
      </c>
    </row>
    <row r="327" spans="1:3" x14ac:dyDescent="0.25">
      <c r="A327" s="748" t="s">
        <v>572</v>
      </c>
      <c r="B327" s="872">
        <v>1580.95091</v>
      </c>
    </row>
    <row r="328" spans="1:3" x14ac:dyDescent="0.25">
      <c r="A328" s="748" t="s">
        <v>570</v>
      </c>
      <c r="B328" s="872">
        <v>1274.8697259999999</v>
      </c>
    </row>
    <row r="329" spans="1:3" x14ac:dyDescent="0.25">
      <c r="A329" s="748" t="s">
        <v>574</v>
      </c>
      <c r="B329" s="872">
        <v>1122.372447</v>
      </c>
    </row>
    <row r="330" spans="1:3" x14ac:dyDescent="0.25">
      <c r="A330" s="748" t="s">
        <v>492</v>
      </c>
      <c r="B330" s="872">
        <v>1090.5447180000001</v>
      </c>
    </row>
    <row r="331" spans="1:3" ht="15.75" thickBot="1" x14ac:dyDescent="0.3">
      <c r="A331" s="756" t="s">
        <v>159</v>
      </c>
      <c r="B331" s="908">
        <v>6339.3934449999979</v>
      </c>
    </row>
    <row r="334" spans="1:3" ht="15.75" thickBot="1" x14ac:dyDescent="0.3"/>
    <row r="335" spans="1:3" ht="45" x14ac:dyDescent="0.25">
      <c r="A335" s="909"/>
      <c r="B335" s="910" t="s">
        <v>839</v>
      </c>
      <c r="C335" s="911"/>
    </row>
    <row r="336" spans="1:3" x14ac:dyDescent="0.25">
      <c r="A336" s="748" t="s">
        <v>733</v>
      </c>
      <c r="B336" s="860">
        <v>0.21290000000000001</v>
      </c>
    </row>
    <row r="337" spans="1:31" x14ac:dyDescent="0.25">
      <c r="A337" s="748" t="s">
        <v>736</v>
      </c>
      <c r="B337" s="860">
        <v>0.50049999999999994</v>
      </c>
    </row>
    <row r="338" spans="1:31" x14ac:dyDescent="0.25">
      <c r="A338" s="748" t="s">
        <v>738</v>
      </c>
      <c r="B338" s="860">
        <v>0.73650000000000004</v>
      </c>
    </row>
    <row r="339" spans="1:31" x14ac:dyDescent="0.25">
      <c r="A339" s="748" t="s">
        <v>840</v>
      </c>
      <c r="B339" s="860">
        <v>0.79879999999999995</v>
      </c>
    </row>
    <row r="340" spans="1:31" x14ac:dyDescent="0.25">
      <c r="A340" s="748" t="s">
        <v>841</v>
      </c>
      <c r="B340" s="860">
        <v>0.80230000000000001</v>
      </c>
    </row>
    <row r="341" spans="1:31" x14ac:dyDescent="0.25">
      <c r="A341" s="748" t="s">
        <v>842</v>
      </c>
      <c r="B341" s="860">
        <v>0.85340000000000005</v>
      </c>
    </row>
    <row r="342" spans="1:31" ht="15.75" thickBot="1" x14ac:dyDescent="0.3">
      <c r="A342" s="756" t="s">
        <v>843</v>
      </c>
      <c r="B342" s="862">
        <v>0.98240000000000005</v>
      </c>
    </row>
    <row r="345" spans="1:31" x14ac:dyDescent="0.25">
      <c r="S345">
        <v>2.14</v>
      </c>
      <c r="AE345">
        <v>0.158</v>
      </c>
    </row>
    <row r="347" spans="1:31" s="661" customFormat="1" ht="15.75" x14ac:dyDescent="0.25">
      <c r="A347" s="664" t="s">
        <v>579</v>
      </c>
    </row>
    <row r="348" spans="1:31" s="661" customFormat="1" ht="15.75" x14ac:dyDescent="0.25">
      <c r="B348" s="665">
        <v>2008</v>
      </c>
      <c r="C348" s="665">
        <v>2009</v>
      </c>
      <c r="D348" s="665">
        <v>2010</v>
      </c>
      <c r="E348" s="665">
        <v>2011</v>
      </c>
      <c r="F348" s="665">
        <v>2012</v>
      </c>
      <c r="G348" s="665">
        <v>2013</v>
      </c>
      <c r="H348" s="665">
        <v>2014</v>
      </c>
      <c r="I348" s="665">
        <v>2015</v>
      </c>
      <c r="J348" s="665">
        <v>2016</v>
      </c>
      <c r="K348" s="665">
        <v>2017</v>
      </c>
      <c r="L348" s="665">
        <v>2018</v>
      </c>
      <c r="M348" s="665">
        <v>2019</v>
      </c>
      <c r="N348" s="665">
        <v>2020</v>
      </c>
    </row>
    <row r="349" spans="1:31" s="661" customFormat="1" ht="15.75" x14ac:dyDescent="0.25">
      <c r="A349" s="661" t="s">
        <v>569</v>
      </c>
      <c r="B349" s="660">
        <v>1.7011605760853259</v>
      </c>
      <c r="C349" s="660">
        <v>0.90144293918153917</v>
      </c>
      <c r="D349" s="660">
        <v>0.88793469236604461</v>
      </c>
      <c r="E349" s="660">
        <v>0.94002015143175621</v>
      </c>
      <c r="F349" s="660">
        <v>0.85997884795756641</v>
      </c>
      <c r="G349" s="660">
        <v>0.97836325828567106</v>
      </c>
      <c r="H349" s="660">
        <v>1.4561796852858586</v>
      </c>
      <c r="I349" s="660">
        <v>1.60247556587539</v>
      </c>
      <c r="J349" s="660">
        <v>1.5805965249267888</v>
      </c>
      <c r="K349" s="660">
        <v>1.6574188822014604</v>
      </c>
      <c r="L349" s="660">
        <v>1.0535194747082883</v>
      </c>
      <c r="M349" s="660">
        <v>0.72662236106038902</v>
      </c>
      <c r="N349" s="660">
        <v>0.69629730565214298</v>
      </c>
    </row>
    <row r="350" spans="1:31" s="661" customFormat="1" ht="15.75" x14ac:dyDescent="0.25">
      <c r="A350" s="661" t="s">
        <v>570</v>
      </c>
      <c r="B350" s="660">
        <v>2.737563313953872</v>
      </c>
      <c r="C350" s="660">
        <v>1.4261851623749129</v>
      </c>
      <c r="D350" s="660">
        <v>1.652327925358489</v>
      </c>
      <c r="E350" s="660">
        <v>1.5082886526973367</v>
      </c>
      <c r="F350" s="660">
        <v>1.3662243759251351</v>
      </c>
      <c r="G350" s="660">
        <v>1.9179748145209745</v>
      </c>
      <c r="H350" s="660">
        <v>2.3116607708736234</v>
      </c>
      <c r="I350" s="660">
        <v>2.0776748169570629</v>
      </c>
      <c r="J350" s="660">
        <v>1.6665849530529573</v>
      </c>
      <c r="K350" s="660">
        <v>1.6117842514723613</v>
      </c>
      <c r="L350" s="660">
        <v>1.3545190343815798</v>
      </c>
      <c r="M350" s="660">
        <v>1.1864008091818317</v>
      </c>
      <c r="N350" s="660">
        <v>1.1510093210998029</v>
      </c>
    </row>
    <row r="351" spans="1:31" s="661" customFormat="1" ht="15.75" x14ac:dyDescent="0.25">
      <c r="A351" s="661" t="s">
        <v>572</v>
      </c>
      <c r="B351" s="660">
        <v>1.5562417097013084</v>
      </c>
      <c r="C351" s="660">
        <v>0.66282474406482905</v>
      </c>
      <c r="D351" s="660">
        <v>0.76471341504022927</v>
      </c>
      <c r="E351" s="660">
        <v>0.7227737105198615</v>
      </c>
      <c r="F351" s="660">
        <v>0.7716492754830947</v>
      </c>
      <c r="G351" s="660">
        <v>0.95527170982699416</v>
      </c>
      <c r="H351" s="660">
        <v>1.3343271032776285</v>
      </c>
      <c r="I351" s="660">
        <v>1.2424554970130373</v>
      </c>
      <c r="J351" s="660">
        <v>1.3405223952819267</v>
      </c>
      <c r="K351" s="660">
        <v>1.5321909695988432</v>
      </c>
      <c r="L351" s="660">
        <v>1.092671930710253</v>
      </c>
      <c r="M351" s="660">
        <v>0.87590561616222817</v>
      </c>
      <c r="N351" s="660">
        <v>0.75991002533860785</v>
      </c>
    </row>
    <row r="352" spans="1:31" s="661" customFormat="1" ht="15.75" x14ac:dyDescent="0.25">
      <c r="A352" s="661" t="s">
        <v>574</v>
      </c>
      <c r="B352" s="660">
        <v>1.7169873122703274</v>
      </c>
      <c r="C352" s="660">
        <v>0.76060194427418126</v>
      </c>
      <c r="D352" s="660">
        <v>0.94556666468627182</v>
      </c>
      <c r="E352" s="660">
        <v>0.8983100466062397</v>
      </c>
      <c r="F352" s="660">
        <v>0.83242645842440333</v>
      </c>
      <c r="G352" s="660">
        <v>0.87803481497139346</v>
      </c>
      <c r="H352" s="660">
        <v>1.3062658818360036</v>
      </c>
      <c r="I352" s="660">
        <v>1.1261905400856731</v>
      </c>
      <c r="J352" s="660">
        <v>0.99187770208092851</v>
      </c>
      <c r="K352" s="660">
        <v>0.94511979657158729</v>
      </c>
      <c r="L352" s="660">
        <v>0.93255336704806469</v>
      </c>
      <c r="M352" s="660">
        <v>0.85846410655810679</v>
      </c>
      <c r="N352" s="660">
        <v>0.68730488811479118</v>
      </c>
    </row>
    <row r="353" spans="1:14" s="661" customFormat="1" ht="15.75" x14ac:dyDescent="0.25">
      <c r="A353" s="661" t="s">
        <v>575</v>
      </c>
      <c r="B353" s="660">
        <v>2.2890651718524233</v>
      </c>
      <c r="C353" s="660">
        <v>0.83286651579470861</v>
      </c>
      <c r="D353" s="660">
        <v>0.61101533588443291</v>
      </c>
      <c r="E353" s="660">
        <v>0.55190053072238565</v>
      </c>
      <c r="F353" s="660">
        <v>0.67106798183649674</v>
      </c>
      <c r="G353" s="660">
        <v>0.64395408463887993</v>
      </c>
      <c r="H353" s="660">
        <v>0.80163192862986499</v>
      </c>
      <c r="I353" s="660">
        <v>0.72683403703357785</v>
      </c>
      <c r="J353" s="660">
        <v>0.63711314433896549</v>
      </c>
      <c r="K353" s="660">
        <v>0.79129302702299242</v>
      </c>
      <c r="L353" s="660">
        <v>0.93164096984480738</v>
      </c>
      <c r="M353" s="660">
        <v>0.82531921484336057</v>
      </c>
      <c r="N353" s="660">
        <v>0.66590386567056337</v>
      </c>
    </row>
    <row r="354" spans="1:14" s="661" customFormat="1" ht="15.75" x14ac:dyDescent="0.25">
      <c r="A354" s="661" t="s">
        <v>492</v>
      </c>
      <c r="B354" s="660">
        <v>1.6125132430648892</v>
      </c>
      <c r="C354" s="660">
        <v>0.6918319223312579</v>
      </c>
      <c r="D354" s="660">
        <v>0.74695397835987276</v>
      </c>
      <c r="E354" s="660">
        <v>0.84287329010702972</v>
      </c>
      <c r="F354" s="660">
        <v>1.1570721427249662</v>
      </c>
      <c r="G354" s="660">
        <v>1.2297571273702947</v>
      </c>
      <c r="H354" s="660">
        <v>1.3405079092375962</v>
      </c>
      <c r="I354" s="660">
        <v>1.3215124053482112</v>
      </c>
      <c r="J354" s="660">
        <v>1.2356124098581178</v>
      </c>
      <c r="K354" s="660">
        <v>1.450764462808187</v>
      </c>
      <c r="L354" s="660">
        <v>1.3726534240729971</v>
      </c>
      <c r="M354" s="660">
        <v>1.3834280077300585</v>
      </c>
      <c r="N354" s="660">
        <v>1.3158563655208986</v>
      </c>
    </row>
    <row r="355" spans="1:14" s="661" customFormat="1" ht="15.75" x14ac:dyDescent="0.25">
      <c r="G355" s="662"/>
    </row>
    <row r="356" spans="1:14" s="661" customFormat="1" ht="15.75" x14ac:dyDescent="0.25">
      <c r="A356" s="664" t="s">
        <v>580</v>
      </c>
    </row>
    <row r="357" spans="1:14" s="661" customFormat="1" ht="15.75" x14ac:dyDescent="0.25">
      <c r="G357" s="662"/>
    </row>
    <row r="358" spans="1:14" s="661" customFormat="1" ht="15.75" x14ac:dyDescent="0.25">
      <c r="B358" s="665">
        <v>2008</v>
      </c>
      <c r="C358" s="665">
        <v>2009</v>
      </c>
      <c r="D358" s="665">
        <v>2010</v>
      </c>
      <c r="E358" s="665">
        <v>2011</v>
      </c>
      <c r="F358" s="665">
        <v>2012</v>
      </c>
      <c r="G358" s="665">
        <v>2013</v>
      </c>
      <c r="H358" s="665">
        <v>2014</v>
      </c>
      <c r="I358" s="665">
        <v>2015</v>
      </c>
      <c r="J358" s="665">
        <v>2016</v>
      </c>
      <c r="K358" s="665">
        <v>2017</v>
      </c>
      <c r="L358" s="665">
        <v>2018</v>
      </c>
      <c r="M358" s="665">
        <v>2019</v>
      </c>
      <c r="N358" s="665">
        <v>2020</v>
      </c>
    </row>
    <row r="359" spans="1:14" s="661" customFormat="1" ht="15.75" x14ac:dyDescent="0.25">
      <c r="A359" s="661" t="s">
        <v>569</v>
      </c>
      <c r="B359" s="660">
        <v>10.128915553132641</v>
      </c>
      <c r="C359" s="660">
        <v>4.6853251911725016</v>
      </c>
      <c r="D359" s="660">
        <v>4.7253767716279711</v>
      </c>
      <c r="E359" s="660">
        <v>5.5925026093634358</v>
      </c>
      <c r="F359" s="660">
        <v>4.8642400206216845</v>
      </c>
      <c r="G359" s="660">
        <v>5.0983828123522414</v>
      </c>
      <c r="H359" s="660">
        <v>7.8888123790968381</v>
      </c>
      <c r="I359" s="660">
        <v>9.1452765498101609</v>
      </c>
      <c r="J359" s="660">
        <v>8.8417994709493346</v>
      </c>
      <c r="K359" s="660">
        <v>13.527398193028784</v>
      </c>
      <c r="L359" s="660">
        <v>11.504914662735304</v>
      </c>
      <c r="M359" s="660">
        <v>6.0052207712854129</v>
      </c>
      <c r="N359" s="660">
        <v>5.748402449988391</v>
      </c>
    </row>
    <row r="360" spans="1:14" s="661" customFormat="1" ht="15.75" x14ac:dyDescent="0.25">
      <c r="A360" s="661" t="s">
        <v>570</v>
      </c>
      <c r="B360" s="660">
        <v>12.9285575305181</v>
      </c>
      <c r="C360" s="660">
        <v>6.8387927238159261</v>
      </c>
      <c r="D360" s="660">
        <v>8.1171103220385099</v>
      </c>
      <c r="E360" s="660">
        <v>7.7830492788033414</v>
      </c>
      <c r="F360" s="660">
        <v>7.3625634189200202</v>
      </c>
      <c r="G360" s="660">
        <v>10.748279966160466</v>
      </c>
      <c r="H360" s="660">
        <v>14.165503413183785</v>
      </c>
      <c r="I360" s="660">
        <v>14.1740451960848</v>
      </c>
      <c r="J360" s="660">
        <v>12.081005584145112</v>
      </c>
      <c r="K360" s="660">
        <v>11.724029850565319</v>
      </c>
      <c r="L360" s="660">
        <v>9.2152014908155699</v>
      </c>
      <c r="M360" s="660">
        <v>7.4546839142957984</v>
      </c>
      <c r="N360" s="660">
        <v>7.0105394160670613</v>
      </c>
    </row>
    <row r="361" spans="1:14" s="661" customFormat="1" ht="15.75" x14ac:dyDescent="0.25">
      <c r="A361" s="661" t="s">
        <v>572</v>
      </c>
      <c r="B361" s="660">
        <v>10.512345042813608</v>
      </c>
      <c r="C361" s="660">
        <v>4.0346518950769799</v>
      </c>
      <c r="D361" s="660">
        <v>4.1502536977345796</v>
      </c>
      <c r="E361" s="660">
        <v>3.8832386658542744</v>
      </c>
      <c r="F361" s="660">
        <v>4.3266114351723548</v>
      </c>
      <c r="G361" s="660">
        <v>5.4382358234413744</v>
      </c>
      <c r="H361" s="660">
        <v>7.6557927585002545</v>
      </c>
      <c r="I361" s="660">
        <v>7.5831445842933682</v>
      </c>
      <c r="J361" s="660">
        <v>11.209073152321048</v>
      </c>
      <c r="K361" s="660">
        <v>15.445954361059581</v>
      </c>
      <c r="L361" s="660">
        <v>10.92899027745343</v>
      </c>
      <c r="M361" s="660">
        <v>8.5665743617665306</v>
      </c>
      <c r="N361" s="660">
        <v>6.9768617166332803</v>
      </c>
    </row>
    <row r="362" spans="1:14" s="661" customFormat="1" ht="15.75" x14ac:dyDescent="0.25">
      <c r="A362" s="661" t="s">
        <v>574</v>
      </c>
      <c r="B362" s="660">
        <v>5.8068346653686733</v>
      </c>
      <c r="C362" s="660">
        <v>2.9327909975235205</v>
      </c>
      <c r="D362" s="660">
        <v>4.1048960613274907</v>
      </c>
      <c r="E362" s="660">
        <v>4.0133261865975838</v>
      </c>
      <c r="F362" s="660">
        <v>4.1203464942910317</v>
      </c>
      <c r="G362" s="660">
        <v>4.9531428778017004</v>
      </c>
      <c r="H362" s="660">
        <v>8.3833891036943839</v>
      </c>
      <c r="I362" s="660">
        <v>8.3714741463754461</v>
      </c>
      <c r="J362" s="660">
        <v>8.1164999528544772</v>
      </c>
      <c r="K362" s="660">
        <v>7.7720739162674022</v>
      </c>
      <c r="L362" s="660">
        <v>7.2217245705206805</v>
      </c>
      <c r="M362" s="660">
        <v>6.6695084921102943</v>
      </c>
      <c r="N362" s="660">
        <v>5.5906199159955499</v>
      </c>
    </row>
    <row r="363" spans="1:14" s="661" customFormat="1" ht="15.75" x14ac:dyDescent="0.25">
      <c r="A363" s="661" t="s">
        <v>575</v>
      </c>
      <c r="B363" s="660">
        <v>54.751151565608133</v>
      </c>
      <c r="C363" s="660">
        <v>10.028029175134479</v>
      </c>
      <c r="D363" s="660">
        <v>4.2667436816769158</v>
      </c>
      <c r="E363" s="660">
        <v>3.7041809879628511</v>
      </c>
      <c r="F363" s="660">
        <v>4.9758294614613998</v>
      </c>
      <c r="G363" s="660">
        <v>4.8444470113359923</v>
      </c>
      <c r="H363" s="660">
        <v>5.9726758506855537</v>
      </c>
      <c r="I363" s="660">
        <v>5.6251948710846813</v>
      </c>
      <c r="J363" s="660">
        <v>4.6936176814483366</v>
      </c>
      <c r="K363" s="660">
        <v>5.4790072167028159</v>
      </c>
      <c r="L363" s="660">
        <v>7.0196564252778035</v>
      </c>
      <c r="M363" s="660">
        <v>7.080757489387433</v>
      </c>
      <c r="N363" s="660">
        <v>5.9249846461779834</v>
      </c>
    </row>
    <row r="364" spans="1:14" s="661" customFormat="1" ht="15.75" x14ac:dyDescent="0.25">
      <c r="A364" s="661" t="s">
        <v>492</v>
      </c>
      <c r="B364" s="660">
        <v>10.695997825181175</v>
      </c>
      <c r="C364" s="660">
        <v>3.633937326386099</v>
      </c>
      <c r="D364" s="660">
        <v>3.3230867642437865</v>
      </c>
      <c r="E364" s="660">
        <v>4.0042313105989509</v>
      </c>
      <c r="F364" s="660">
        <v>5.8118473152976318</v>
      </c>
      <c r="G364" s="660">
        <v>7.017237543180797</v>
      </c>
      <c r="H364" s="660">
        <v>7.8337903131765296</v>
      </c>
      <c r="I364" s="660">
        <v>8.1952500527116658</v>
      </c>
      <c r="J364" s="660">
        <v>6.9768922332715011</v>
      </c>
      <c r="K364" s="660">
        <v>6.3040088817475262</v>
      </c>
      <c r="L364" s="660">
        <v>4.8402578943620602</v>
      </c>
      <c r="M364" s="660">
        <v>5.5238602077169752</v>
      </c>
      <c r="N364" s="660">
        <v>6.5523997953656163</v>
      </c>
    </row>
    <row r="365" spans="1:14" s="661" customFormat="1" ht="15.75" x14ac:dyDescent="0.25">
      <c r="G365" s="662"/>
    </row>
    <row r="366" spans="1:14" s="661" customFormat="1" ht="15.75" x14ac:dyDescent="0.25">
      <c r="G366" s="662"/>
    </row>
    <row r="367" spans="1:14" s="661" customFormat="1" ht="15.75" x14ac:dyDescent="0.25">
      <c r="A367" s="664" t="s">
        <v>581</v>
      </c>
    </row>
    <row r="368" spans="1:14" s="661" customFormat="1" ht="15.75" x14ac:dyDescent="0.25">
      <c r="B368" s="664">
        <v>2008</v>
      </c>
      <c r="C368" s="664">
        <v>2009</v>
      </c>
      <c r="D368" s="664">
        <v>2010</v>
      </c>
      <c r="E368" s="664">
        <v>2011</v>
      </c>
      <c r="F368" s="664">
        <v>2012</v>
      </c>
      <c r="G368" s="664">
        <v>2013</v>
      </c>
      <c r="H368" s="664">
        <v>2014</v>
      </c>
      <c r="I368" s="664">
        <v>2015</v>
      </c>
      <c r="J368" s="664">
        <v>2016</v>
      </c>
      <c r="K368" s="664">
        <v>2017</v>
      </c>
      <c r="L368" s="664">
        <v>2018</v>
      </c>
      <c r="M368" s="664">
        <v>2019</v>
      </c>
      <c r="N368" s="664">
        <v>2020</v>
      </c>
    </row>
    <row r="369" spans="1:14" s="661" customFormat="1" ht="15.75" x14ac:dyDescent="0.25">
      <c r="A369" s="661" t="s">
        <v>569</v>
      </c>
      <c r="B369" s="663">
        <v>7.73454123581645E-2</v>
      </c>
      <c r="C369" s="663">
        <v>0.23350148209806143</v>
      </c>
      <c r="D369" s="663">
        <v>0.25486858980792904</v>
      </c>
      <c r="E369" s="663">
        <v>0.3195484539026372</v>
      </c>
      <c r="F369" s="663">
        <v>2.2630210155917485E-2</v>
      </c>
      <c r="G369" s="663">
        <v>1.4700297312850052E-2</v>
      </c>
      <c r="H369" s="663">
        <v>0.38772004951032546</v>
      </c>
      <c r="I369" s="663">
        <v>9.8761873239364695E-2</v>
      </c>
      <c r="J369" s="663">
        <v>-2.958060429555831E-2</v>
      </c>
      <c r="K369" s="663">
        <v>-0.7506551557089064</v>
      </c>
      <c r="L369" s="663">
        <v>3.2089071318383438</v>
      </c>
      <c r="M369" s="663">
        <v>-0.57117753762064072</v>
      </c>
      <c r="N369" s="663">
        <v>1.0323506908777769</v>
      </c>
    </row>
    <row r="370" spans="1:14" s="661" customFormat="1" ht="15.75" x14ac:dyDescent="0.25">
      <c r="A370" s="661" t="s">
        <v>570</v>
      </c>
      <c r="B370" s="663">
        <v>-6.8930588167454676E-2</v>
      </c>
      <c r="C370" s="663">
        <v>2.2344485197548947E-2</v>
      </c>
      <c r="D370" s="663">
        <v>7.703108563501404E-2</v>
      </c>
      <c r="E370" s="663">
        <v>0.14237624825703565</v>
      </c>
      <c r="F370" s="663">
        <v>8.3591812025911594E-2</v>
      </c>
      <c r="G370" s="663">
        <v>4.7382510662544952E-2</v>
      </c>
      <c r="H370" s="663">
        <v>0.12710749912983244</v>
      </c>
      <c r="I370" s="663">
        <v>1.0298152706726738E-2</v>
      </c>
      <c r="J370" s="663">
        <v>-0.11427321646919009</v>
      </c>
      <c r="K370" s="663">
        <v>-4.5261284885660391E-3</v>
      </c>
      <c r="L370" s="663">
        <v>-7.3364967842037943E-2</v>
      </c>
      <c r="M370" s="663">
        <v>0.17278201230204493</v>
      </c>
      <c r="N370" s="663">
        <v>0.23358467329564059</v>
      </c>
    </row>
    <row r="371" spans="1:14" s="661" customFormat="1" ht="15.75" x14ac:dyDescent="0.25">
      <c r="A371" s="661" t="s">
        <v>572</v>
      </c>
      <c r="B371" s="663">
        <v>-8.5729194464306713E-2</v>
      </c>
      <c r="C371" s="663">
        <v>0.12346582434721864</v>
      </c>
      <c r="D371" s="663">
        <v>0.16157048433634591</v>
      </c>
      <c r="E371" s="663">
        <v>0.3478708910549706</v>
      </c>
      <c r="F371" s="663">
        <v>0.28969509082057332</v>
      </c>
      <c r="G371" s="663">
        <v>6.6484004555344978E-3</v>
      </c>
      <c r="H371" s="663">
        <v>0.22619004223533001</v>
      </c>
      <c r="I371" s="663">
        <v>0.10600187654581572</v>
      </c>
      <c r="J371" s="663">
        <v>6.2259225549195607E-2</v>
      </c>
      <c r="K371" s="663">
        <v>-6.6013640546413566E-2</v>
      </c>
      <c r="L371" s="663">
        <v>-0.40332113529929103</v>
      </c>
      <c r="M371" s="663">
        <v>0.23329316683126744</v>
      </c>
      <c r="N371" s="663">
        <v>1.6234816207077118E-2</v>
      </c>
    </row>
    <row r="372" spans="1:14" s="661" customFormat="1" ht="15.75" x14ac:dyDescent="0.25">
      <c r="A372" s="661" t="s">
        <v>574</v>
      </c>
      <c r="B372" s="663">
        <v>2.3952998570498707E-2</v>
      </c>
      <c r="C372" s="663">
        <v>1.0468013464890698</v>
      </c>
      <c r="D372" s="663">
        <v>0.20885243327727032</v>
      </c>
      <c r="E372" s="663">
        <v>-3.8891531517754485E-2</v>
      </c>
      <c r="F372" s="663">
        <v>0.15515904421659044</v>
      </c>
      <c r="G372" s="663">
        <v>0.24778740445989111</v>
      </c>
      <c r="H372" s="663">
        <v>2.8331194077050537E-2</v>
      </c>
      <c r="I372" s="663">
        <v>7.3851138008151906E-3</v>
      </c>
      <c r="J372" s="663">
        <v>-4.0102176607389906E-2</v>
      </c>
      <c r="K372" s="663">
        <v>-8.2063747314395141E-2</v>
      </c>
      <c r="L372" s="663">
        <v>-3.4235612913648628E-2</v>
      </c>
      <c r="M372" s="663">
        <v>0.11179914512304712</v>
      </c>
      <c r="N372" s="663">
        <v>0.17522747342516931</v>
      </c>
    </row>
    <row r="373" spans="1:14" s="661" customFormat="1" ht="15.75" x14ac:dyDescent="0.25">
      <c r="A373" s="661" t="s">
        <v>575</v>
      </c>
      <c r="B373" s="663">
        <v>-0.58429239522092469</v>
      </c>
      <c r="C373" s="663">
        <v>-0.31064122465917743</v>
      </c>
      <c r="D373" s="663">
        <v>7.9614507795125355E-2</v>
      </c>
      <c r="E373" s="663">
        <v>2.6172469053706391</v>
      </c>
      <c r="F373" s="663">
        <v>0.30058576187580632</v>
      </c>
      <c r="G373" s="663">
        <v>2.6300662339740599E-2</v>
      </c>
      <c r="H373" s="663">
        <v>0.20635507223131144</v>
      </c>
      <c r="I373" s="663">
        <v>0.33006497595400286</v>
      </c>
      <c r="J373" s="663">
        <v>5.1593258698030997E-2</v>
      </c>
      <c r="K373" s="663">
        <v>7.9231726455721407E-2</v>
      </c>
      <c r="L373" s="663">
        <v>0.27997093570858556</v>
      </c>
      <c r="M373" s="663">
        <v>0.19708097509414957</v>
      </c>
      <c r="N373" s="663">
        <v>-0.14735431531705578</v>
      </c>
    </row>
    <row r="374" spans="1:14" s="661" customFormat="1" ht="15.75" x14ac:dyDescent="0.25">
      <c r="A374" s="661" t="s">
        <v>492</v>
      </c>
      <c r="B374" s="663">
        <v>-0.79691961812722878</v>
      </c>
      <c r="C374" s="663">
        <v>6.4033974656919863</v>
      </c>
      <c r="D374" s="663">
        <v>0.1578117326228603</v>
      </c>
      <c r="E374" s="663">
        <v>0.80286785466834165</v>
      </c>
      <c r="F374" s="663">
        <v>6.5779963816934517E-2</v>
      </c>
      <c r="G374" s="663">
        <v>0.12786618230412006</v>
      </c>
      <c r="H374" s="663">
        <v>0.15502890373846712</v>
      </c>
      <c r="I374" s="663">
        <v>6.2699914181047811E-2</v>
      </c>
      <c r="J374" s="663">
        <v>0.27287872454767848</v>
      </c>
      <c r="K374" s="663">
        <v>-9.113523493824971E-2</v>
      </c>
      <c r="L374" s="663">
        <v>0.59432977984206503</v>
      </c>
      <c r="M374" s="663">
        <v>0.73976968128531162</v>
      </c>
      <c r="N374" s="663">
        <v>0.4397170028242452</v>
      </c>
    </row>
    <row r="377" spans="1:14" ht="15.75" x14ac:dyDescent="0.25">
      <c r="A377" s="664" t="s">
        <v>591</v>
      </c>
    </row>
    <row r="378" spans="1:14" ht="15.75" x14ac:dyDescent="0.25">
      <c r="B378" s="664">
        <v>2008</v>
      </c>
      <c r="C378" s="664">
        <v>2009</v>
      </c>
      <c r="D378" s="664">
        <v>2010</v>
      </c>
      <c r="E378" s="664">
        <v>2011</v>
      </c>
      <c r="F378" s="664">
        <v>2012</v>
      </c>
      <c r="G378" s="664">
        <v>2013</v>
      </c>
      <c r="H378" s="664">
        <v>2014</v>
      </c>
      <c r="I378" s="664">
        <v>2015</v>
      </c>
      <c r="J378" s="664">
        <v>2016</v>
      </c>
      <c r="K378" s="664">
        <v>2017</v>
      </c>
      <c r="L378" s="664">
        <v>2018</v>
      </c>
      <c r="M378" s="664">
        <v>2019</v>
      </c>
      <c r="N378" s="664">
        <v>2020</v>
      </c>
    </row>
    <row r="379" spans="1:14" ht="15.75" x14ac:dyDescent="0.25">
      <c r="A379" s="661" t="s">
        <v>569</v>
      </c>
      <c r="B379" s="668">
        <f>B359/(B369*100)</f>
        <v>1.3095690157069082</v>
      </c>
      <c r="C379" s="668">
        <f t="shared" ref="C379:N379" si="9">C359/(C369*100)</f>
        <v>0.20065505148292162</v>
      </c>
      <c r="D379" s="668">
        <f t="shared" si="9"/>
        <v>0.18540443823183753</v>
      </c>
      <c r="E379" s="668">
        <f t="shared" si="9"/>
        <v>0.17501266368409368</v>
      </c>
      <c r="F379" s="668">
        <f t="shared" si="9"/>
        <v>2.1494453595914811</v>
      </c>
      <c r="G379" s="669">
        <f t="shared" si="9"/>
        <v>3.4682174814896864</v>
      </c>
      <c r="H379" s="668">
        <f t="shared" si="9"/>
        <v>0.20346671236269792</v>
      </c>
      <c r="I379" s="668">
        <f t="shared" si="9"/>
        <v>0.92599261737828387</v>
      </c>
      <c r="J379" s="668">
        <f t="shared" si="9"/>
        <v>-2.9890530235979593</v>
      </c>
      <c r="K379" s="668">
        <f t="shared" si="9"/>
        <v>-0.18020789026958367</v>
      </c>
      <c r="L379" s="668">
        <f t="shared" si="9"/>
        <v>3.5853062086419057E-2</v>
      </c>
      <c r="M379" s="668">
        <f t="shared" si="9"/>
        <v>-0.10513755138728693</v>
      </c>
      <c r="N379" s="668">
        <f t="shared" si="9"/>
        <v>5.5682652230325883E-2</v>
      </c>
    </row>
    <row r="380" spans="1:14" ht="15.75" x14ac:dyDescent="0.25">
      <c r="A380" s="661" t="s">
        <v>570</v>
      </c>
      <c r="B380" s="668">
        <f t="shared" ref="B380:N383" si="10">B360/(B370*100)</f>
        <v>-1.8755907753333623</v>
      </c>
      <c r="C380" s="668">
        <f t="shared" si="10"/>
        <v>3.060617715446897</v>
      </c>
      <c r="D380" s="668">
        <f t="shared" si="10"/>
        <v>1.0537447648730689</v>
      </c>
      <c r="E380" s="668">
        <f t="shared" si="10"/>
        <v>0.54665362896431946</v>
      </c>
      <c r="F380" s="668">
        <f t="shared" si="10"/>
        <v>0.88077566934878626</v>
      </c>
      <c r="G380" s="669">
        <f t="shared" si="10"/>
        <v>2.2684065947262675</v>
      </c>
      <c r="H380" s="668">
        <f t="shared" si="10"/>
        <v>1.1144506429722609</v>
      </c>
      <c r="I380" s="668">
        <f t="shared" si="10"/>
        <v>13.763677428114205</v>
      </c>
      <c r="J380" s="668">
        <f t="shared" si="10"/>
        <v>-1.057203600058142</v>
      </c>
      <c r="K380" s="668">
        <f t="shared" si="10"/>
        <v>-25.902998291327137</v>
      </c>
      <c r="L380" s="668">
        <f t="shared" si="10"/>
        <v>-1.2560765392355673</v>
      </c>
      <c r="M380" s="668">
        <f t="shared" si="10"/>
        <v>0.43145023113077663</v>
      </c>
      <c r="N380" s="668">
        <f t="shared" si="10"/>
        <v>0.30012839957157839</v>
      </c>
    </row>
    <row r="381" spans="1:14" ht="15.75" x14ac:dyDescent="0.25">
      <c r="A381" s="661" t="s">
        <v>572</v>
      </c>
      <c r="B381" s="668">
        <f t="shared" si="10"/>
        <v>-1.2262269706955449</v>
      </c>
      <c r="C381" s="668">
        <f t="shared" si="10"/>
        <v>0.32678289044022973</v>
      </c>
      <c r="D381" s="668">
        <f t="shared" si="10"/>
        <v>0.25686954611678187</v>
      </c>
      <c r="E381" s="668">
        <f t="shared" si="10"/>
        <v>0.11162873254723243</v>
      </c>
      <c r="F381" s="668">
        <f t="shared" si="10"/>
        <v>0.14935052654558451</v>
      </c>
      <c r="G381" s="669">
        <f t="shared" si="10"/>
        <v>8.1797657343493579</v>
      </c>
      <c r="H381" s="668">
        <f t="shared" si="10"/>
        <v>0.33846727658042097</v>
      </c>
      <c r="I381" s="668">
        <f t="shared" si="10"/>
        <v>0.71537833398787154</v>
      </c>
      <c r="J381" s="668">
        <f t="shared" si="10"/>
        <v>1.8003875013613737</v>
      </c>
      <c r="K381" s="668">
        <f t="shared" si="10"/>
        <v>-2.3398125346835972</v>
      </c>
      <c r="L381" s="668">
        <f t="shared" si="10"/>
        <v>-0.27097489620382514</v>
      </c>
      <c r="M381" s="668">
        <f t="shared" si="10"/>
        <v>0.3672021121802691</v>
      </c>
      <c r="N381" s="668">
        <f t="shared" si="10"/>
        <v>4.2974688642252143</v>
      </c>
    </row>
    <row r="382" spans="1:14" ht="15.75" x14ac:dyDescent="0.25">
      <c r="A382" s="661" t="s">
        <v>574</v>
      </c>
      <c r="B382" s="668">
        <f t="shared" si="10"/>
        <v>2.4242621015811188</v>
      </c>
      <c r="C382" s="668">
        <f t="shared" si="10"/>
        <v>2.8016691107247669E-2</v>
      </c>
      <c r="D382" s="668">
        <f t="shared" si="10"/>
        <v>0.19654528304575095</v>
      </c>
      <c r="E382" s="668">
        <f t="shared" si="10"/>
        <v>-1.0319280393381909</v>
      </c>
      <c r="F382" s="668">
        <f t="shared" si="10"/>
        <v>0.2655563209411973</v>
      </c>
      <c r="G382" s="669">
        <f t="shared" si="10"/>
        <v>0.19989486102403789</v>
      </c>
      <c r="H382" s="668">
        <f t="shared" si="10"/>
        <v>2.9590666319586165</v>
      </c>
      <c r="I382" s="668">
        <f t="shared" si="10"/>
        <v>11.335606156064079</v>
      </c>
      <c r="J382" s="668">
        <f t="shared" si="10"/>
        <v>-2.0239549669128918</v>
      </c>
      <c r="K382" s="668">
        <f t="shared" si="10"/>
        <v>-0.94707762813849361</v>
      </c>
      <c r="L382" s="668">
        <f t="shared" si="10"/>
        <v>-2.1094188057143306</v>
      </c>
      <c r="M382" s="668">
        <f t="shared" si="10"/>
        <v>0.59656167180614617</v>
      </c>
      <c r="N382" s="668">
        <f t="shared" si="10"/>
        <v>0.31904927958588741</v>
      </c>
    </row>
    <row r="383" spans="1:14" ht="15.75" x14ac:dyDescent="0.25">
      <c r="A383" s="661" t="s">
        <v>575</v>
      </c>
      <c r="B383" s="668">
        <f t="shared" si="10"/>
        <v>-0.93705055916235869</v>
      </c>
      <c r="C383" s="668">
        <f t="shared" si="10"/>
        <v>-0.32281707574829499</v>
      </c>
      <c r="D383" s="668">
        <f t="shared" si="10"/>
        <v>0.53592539850358278</v>
      </c>
      <c r="E383" s="668">
        <f t="shared" si="10"/>
        <v>1.4152967304543577E-2</v>
      </c>
      <c r="F383" s="668">
        <f t="shared" si="10"/>
        <v>0.16553776301344819</v>
      </c>
      <c r="G383" s="669">
        <f t="shared" si="10"/>
        <v>1.8419486736712245</v>
      </c>
      <c r="H383" s="668">
        <f t="shared" si="10"/>
        <v>0.28943683264497366</v>
      </c>
      <c r="I383" s="668">
        <f t="shared" si="10"/>
        <v>0.17042689412367693</v>
      </c>
      <c r="J383" s="668">
        <f t="shared" si="10"/>
        <v>0.90973468237769284</v>
      </c>
      <c r="K383" s="668">
        <f t="shared" si="10"/>
        <v>0.69151682814393234</v>
      </c>
      <c r="L383" s="668">
        <f t="shared" si="10"/>
        <v>0.25072804102010005</v>
      </c>
      <c r="M383" s="668">
        <f t="shared" si="10"/>
        <v>0.35928163466843072</v>
      </c>
      <c r="N383" s="668">
        <f t="shared" si="10"/>
        <v>-0.40209101670551384</v>
      </c>
    </row>
    <row r="387" spans="1:13" x14ac:dyDescent="0.25">
      <c r="B387" s="855">
        <v>2014</v>
      </c>
      <c r="C387" s="855">
        <v>2015</v>
      </c>
      <c r="D387" s="855">
        <v>2016</v>
      </c>
      <c r="E387" s="855">
        <v>2017</v>
      </c>
      <c r="F387" s="855">
        <v>2018</v>
      </c>
      <c r="G387" s="855">
        <v>2019</v>
      </c>
      <c r="H387" s="856" t="s">
        <v>477</v>
      </c>
      <c r="I387" s="856" t="s">
        <v>749</v>
      </c>
      <c r="J387" s="856" t="s">
        <v>750</v>
      </c>
      <c r="K387" s="856" t="s">
        <v>751</v>
      </c>
      <c r="L387" s="856" t="s">
        <v>752</v>
      </c>
      <c r="M387" s="856" t="s">
        <v>753</v>
      </c>
    </row>
    <row r="388" spans="1:13" x14ac:dyDescent="0.25">
      <c r="A388" t="s">
        <v>754</v>
      </c>
      <c r="B388" s="852">
        <f>'[1]Assumptions Sheet'!I26</f>
        <v>9.9351851851851858E-2</v>
      </c>
      <c r="C388" s="852">
        <f>'[1]Assumptions Sheet'!J26</f>
        <v>7.252380952380949E-2</v>
      </c>
      <c r="D388" s="852">
        <f>'[1]Assumptions Sheet'!K26</f>
        <v>5.8125000000000003E-2</v>
      </c>
      <c r="E388" s="852">
        <f>'[1]Assumptions Sheet'!L26</f>
        <v>5.7500000000000002E-2</v>
      </c>
      <c r="F388" s="852">
        <f>'[1]Assumptions Sheet'!M26</f>
        <v>7.0916666666666656E-2</v>
      </c>
      <c r="G388" s="852">
        <f>'[1]Assumptions Sheet'!N26</f>
        <v>0.12020833333333333</v>
      </c>
      <c r="H388" s="852">
        <f>'[1]Assumptions Sheet'!O26</f>
        <v>0.09</v>
      </c>
      <c r="I388" s="852">
        <f>'[1]Assumptions Sheet'!P26</f>
        <v>0.08</v>
      </c>
      <c r="J388" s="852">
        <f>'[1]Assumptions Sheet'!Q26</f>
        <v>0.08</v>
      </c>
      <c r="K388" s="852">
        <f>'[1]Assumptions Sheet'!R26</f>
        <v>0.08</v>
      </c>
      <c r="L388" s="852">
        <f>'[1]Assumptions Sheet'!S26</f>
        <v>0.08</v>
      </c>
      <c r="M388" s="852">
        <f>'[1]Assumptions Sheet'!T26</f>
        <v>0.08</v>
      </c>
    </row>
  </sheetData>
  <mergeCells count="9">
    <mergeCell ref="A209:G210"/>
    <mergeCell ref="AR2:AV2"/>
    <mergeCell ref="AF2:AK2"/>
    <mergeCell ref="AL2:AQ2"/>
    <mergeCell ref="B2:G2"/>
    <mergeCell ref="H2:M2"/>
    <mergeCell ref="N2:S2"/>
    <mergeCell ref="T2:Y2"/>
    <mergeCell ref="Z2:AE2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BT223"/>
  <sheetViews>
    <sheetView showGridLines="0" zoomScale="85" zoomScaleNormal="85" workbookViewId="0">
      <pane xSplit="4" ySplit="3" topLeftCell="E4" activePane="bottomRight" state="frozen"/>
      <selection pane="topRight" activeCell="E1" sqref="E1"/>
      <selection pane="bottomLeft" activeCell="A4" sqref="A4"/>
      <selection pane="bottomRight" activeCell="J88" sqref="J88"/>
    </sheetView>
  </sheetViews>
  <sheetFormatPr defaultColWidth="8.7109375" defaultRowHeight="15" x14ac:dyDescent="0.25"/>
  <cols>
    <col min="1" max="1" width="2.28515625" style="12" customWidth="1"/>
    <col min="2" max="2" width="49.7109375" style="12" customWidth="1"/>
    <col min="3" max="3" width="9.7109375" style="12" customWidth="1"/>
    <col min="4" max="4" width="5.28515625" style="12" customWidth="1"/>
    <col min="5" max="19" width="12.5703125" style="12" customWidth="1"/>
    <col min="20" max="20" width="13.5703125" style="12" bestFit="1" customWidth="1"/>
    <col min="21" max="21" width="4.42578125" style="25" customWidth="1"/>
    <col min="22" max="24" width="12.5703125" style="22" customWidth="1"/>
    <col min="25" max="25" width="12.5703125" style="41" customWidth="1"/>
    <col min="26" max="28" width="12.5703125" style="22" customWidth="1"/>
    <col min="29" max="29" width="12.5703125" style="43" customWidth="1"/>
    <col min="30" max="32" width="12.5703125" style="22" customWidth="1"/>
    <col min="33" max="33" width="12.5703125" style="43" customWidth="1"/>
    <col min="34" max="35" width="2.5703125" style="12" customWidth="1"/>
    <col min="36" max="36" width="17.5703125" style="12" customWidth="1"/>
    <col min="37" max="37" width="22.5703125" style="12" customWidth="1"/>
    <col min="38" max="38" width="17.5703125" style="12" customWidth="1"/>
    <col min="39" max="41" width="12.5703125" style="12" customWidth="1"/>
    <col min="42" max="44" width="8.7109375" style="12"/>
    <col min="45" max="45" width="10" style="12" bestFit="1" customWidth="1"/>
    <col min="46" max="46" width="9.5703125" style="12" bestFit="1" customWidth="1"/>
    <col min="47" max="48" width="18.5703125" style="12" customWidth="1"/>
    <col min="49" max="16384" width="8.7109375" style="12"/>
  </cols>
  <sheetData>
    <row r="1" spans="2:72" x14ac:dyDescent="0.25">
      <c r="U1" s="33"/>
    </row>
    <row r="2" spans="2:72" x14ac:dyDescent="0.25">
      <c r="U2" s="33"/>
    </row>
    <row r="3" spans="2:72" x14ac:dyDescent="0.25">
      <c r="B3" s="538" t="s">
        <v>525</v>
      </c>
      <c r="C3" s="539"/>
      <c r="D3" s="539"/>
      <c r="E3" s="540">
        <v>2010</v>
      </c>
      <c r="F3" s="540">
        <f>E3+1</f>
        <v>2011</v>
      </c>
      <c r="G3" s="540">
        <f t="shared" ref="G3:N3" si="0">F3+1</f>
        <v>2012</v>
      </c>
      <c r="H3" s="540">
        <f t="shared" si="0"/>
        <v>2013</v>
      </c>
      <c r="I3" s="540">
        <f t="shared" si="0"/>
        <v>2014</v>
      </c>
      <c r="J3" s="540">
        <f t="shared" si="0"/>
        <v>2015</v>
      </c>
      <c r="K3" s="540">
        <f t="shared" si="0"/>
        <v>2016</v>
      </c>
      <c r="L3" s="540">
        <f t="shared" si="0"/>
        <v>2017</v>
      </c>
      <c r="M3" s="540">
        <f t="shared" si="0"/>
        <v>2018</v>
      </c>
      <c r="N3" s="540">
        <f t="shared" si="0"/>
        <v>2019</v>
      </c>
      <c r="O3" s="541" t="s">
        <v>477</v>
      </c>
      <c r="P3" s="541" t="s">
        <v>478</v>
      </c>
      <c r="Q3" s="541" t="s">
        <v>479</v>
      </c>
      <c r="R3" s="541" t="s">
        <v>480</v>
      </c>
      <c r="S3" s="541" t="s">
        <v>481</v>
      </c>
      <c r="T3" s="541" t="s">
        <v>482</v>
      </c>
      <c r="U3" s="33"/>
      <c r="V3" s="544">
        <v>43190</v>
      </c>
      <c r="W3" s="544">
        <f>EOMONTH(V3,3)</f>
        <v>43281</v>
      </c>
      <c r="X3" s="544">
        <f t="shared" ref="X3:AG3" si="1">EOMONTH(W3,3)</f>
        <v>43373</v>
      </c>
      <c r="Y3" s="600">
        <f t="shared" si="1"/>
        <v>43465</v>
      </c>
      <c r="Z3" s="544">
        <f t="shared" si="1"/>
        <v>43555</v>
      </c>
      <c r="AA3" s="544">
        <f t="shared" si="1"/>
        <v>43646</v>
      </c>
      <c r="AB3" s="544">
        <f t="shared" si="1"/>
        <v>43738</v>
      </c>
      <c r="AC3" s="623">
        <f t="shared" si="1"/>
        <v>43830</v>
      </c>
      <c r="AD3" s="544">
        <f t="shared" si="1"/>
        <v>43921</v>
      </c>
      <c r="AE3" s="544">
        <f t="shared" si="1"/>
        <v>44012</v>
      </c>
      <c r="AF3" s="544">
        <f t="shared" si="1"/>
        <v>44104</v>
      </c>
      <c r="AG3" s="627">
        <f t="shared" si="1"/>
        <v>44196</v>
      </c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  <c r="AS3" s="31"/>
      <c r="AT3" s="31"/>
      <c r="AU3" s="31"/>
      <c r="AV3" s="31"/>
      <c r="AW3" s="31"/>
      <c r="AX3" s="31"/>
      <c r="AY3" s="31"/>
      <c r="AZ3" s="31"/>
      <c r="BA3" s="31"/>
      <c r="BB3" s="31"/>
      <c r="BC3" s="31"/>
      <c r="BD3" s="31"/>
      <c r="BE3" s="31"/>
      <c r="BF3" s="31"/>
      <c r="BG3" s="31"/>
      <c r="BH3" s="31"/>
      <c r="BI3" s="31"/>
      <c r="BJ3" s="31"/>
      <c r="BK3" s="31"/>
      <c r="BL3" s="31"/>
      <c r="BM3" s="31"/>
      <c r="BN3" s="31"/>
      <c r="BO3" s="31"/>
      <c r="BP3" s="31"/>
      <c r="BQ3" s="31"/>
      <c r="BR3" s="31"/>
      <c r="BS3" s="31"/>
      <c r="BT3" s="31"/>
    </row>
    <row r="4" spans="2:72" x14ac:dyDescent="0.25">
      <c r="B4" s="371"/>
      <c r="C4" s="372"/>
      <c r="D4" s="372"/>
      <c r="E4" s="537"/>
      <c r="F4" s="537"/>
      <c r="G4" s="537"/>
      <c r="H4" s="537"/>
      <c r="I4" s="537"/>
      <c r="J4" s="537"/>
      <c r="K4" s="537"/>
      <c r="L4" s="537"/>
      <c r="M4" s="537"/>
      <c r="N4" s="537"/>
      <c r="O4" s="815">
        <f>(O11/K11)^(1/4)-1</f>
        <v>0.18567782105671582</v>
      </c>
      <c r="P4" s="537"/>
      <c r="Q4" s="537"/>
      <c r="R4" s="537"/>
      <c r="S4" s="815">
        <f>(T11/P11)^(1/4)-1</f>
        <v>0.12964686447720797</v>
      </c>
      <c r="T4" s="537"/>
      <c r="U4" s="33"/>
      <c r="V4" s="543"/>
      <c r="W4" s="543"/>
      <c r="X4" s="543"/>
      <c r="Y4" s="601"/>
      <c r="Z4" s="543"/>
      <c r="AA4" s="543"/>
      <c r="AB4" s="543"/>
      <c r="AC4" s="624"/>
      <c r="AD4" s="543"/>
      <c r="AE4" s="543"/>
      <c r="AF4" s="543"/>
      <c r="AG4" s="624"/>
      <c r="AH4" s="31"/>
      <c r="AI4" s="31"/>
      <c r="AJ4" s="31"/>
      <c r="AK4" s="31"/>
      <c r="AL4" s="31"/>
      <c r="AM4" s="31"/>
      <c r="AN4" s="31"/>
      <c r="AO4" s="31"/>
      <c r="AP4" s="31"/>
      <c r="AQ4" s="31"/>
      <c r="AR4" s="31"/>
      <c r="AS4" s="31"/>
      <c r="AT4" s="31"/>
      <c r="AU4" s="31"/>
      <c r="AV4" s="31"/>
      <c r="AW4" s="31"/>
      <c r="AX4" s="31"/>
      <c r="AY4" s="31"/>
      <c r="AZ4" s="31"/>
      <c r="BA4" s="31"/>
      <c r="BB4" s="31"/>
      <c r="BC4" s="31"/>
      <c r="BD4" s="31"/>
      <c r="BE4" s="31"/>
      <c r="BF4" s="31"/>
      <c r="BG4" s="31"/>
      <c r="BH4" s="31"/>
      <c r="BI4" s="31"/>
      <c r="BJ4" s="31"/>
      <c r="BK4" s="31"/>
      <c r="BL4" s="31"/>
      <c r="BM4" s="31"/>
      <c r="BN4" s="31"/>
      <c r="BO4" s="31"/>
      <c r="BP4" s="31"/>
      <c r="BQ4" s="31"/>
      <c r="BR4" s="31"/>
      <c r="BS4" s="31"/>
      <c r="BT4" s="31"/>
    </row>
    <row r="5" spans="2:72" s="13" customFormat="1" x14ac:dyDescent="0.25">
      <c r="B5" s="15" t="s">
        <v>356</v>
      </c>
      <c r="C5" s="14"/>
      <c r="D5" s="14"/>
      <c r="E5" s="16">
        <v>6295663</v>
      </c>
      <c r="F5" s="16">
        <v>7074570</v>
      </c>
      <c r="G5" s="373">
        <v>8254209.8573558433</v>
      </c>
      <c r="H5" s="373">
        <v>9384151.5974385124</v>
      </c>
      <c r="I5" s="373">
        <v>10409436.14829796</v>
      </c>
      <c r="J5" s="373">
        <v>11761875.565937903</v>
      </c>
      <c r="K5" s="373">
        <v>13470709.852455242</v>
      </c>
      <c r="L5" s="373">
        <v>14917262.837872861</v>
      </c>
      <c r="M5" s="373">
        <v>16574425.590473168</v>
      </c>
      <c r="N5" s="373">
        <v>18715780.87569936</v>
      </c>
      <c r="O5" s="545">
        <f>AG5</f>
        <v>21700046.923499998</v>
      </c>
      <c r="P5" s="546">
        <f>O5*(1+P6)</f>
        <v>23826651.522002999</v>
      </c>
      <c r="Q5" s="546">
        <f t="shared" ref="Q5:T5" si="2">P5*(1+Q6)</f>
        <v>26519063.143989336</v>
      </c>
      <c r="R5" s="546">
        <f t="shared" si="2"/>
        <v>29436160.089828167</v>
      </c>
      <c r="S5" s="546">
        <f t="shared" si="2"/>
        <v>32821318.500158407</v>
      </c>
      <c r="T5" s="546">
        <f t="shared" si="2"/>
        <v>36595770.127676621</v>
      </c>
      <c r="U5" s="33"/>
      <c r="V5" s="20">
        <v>15283302</v>
      </c>
      <c r="W5" s="20">
        <v>15997162</v>
      </c>
      <c r="X5" s="20">
        <v>16019591</v>
      </c>
      <c r="Y5" s="40">
        <v>16574426</v>
      </c>
      <c r="Z5" s="20">
        <v>16810064</v>
      </c>
      <c r="AA5" s="20">
        <v>17798494</v>
      </c>
      <c r="AB5" s="20">
        <v>17903667</v>
      </c>
      <c r="AC5" s="375">
        <v>18715781</v>
      </c>
      <c r="AD5" s="20">
        <v>19318460</v>
      </c>
      <c r="AE5" s="20">
        <v>20907798</v>
      </c>
      <c r="AF5" s="20">
        <v>21155298</v>
      </c>
      <c r="AG5" s="581">
        <f>AF5*(1+AG6)</f>
        <v>21700046.923499998</v>
      </c>
      <c r="AJ5" s="12"/>
      <c r="AK5" s="12"/>
      <c r="AL5" s="12"/>
    </row>
    <row r="6" spans="2:72" s="557" customFormat="1" x14ac:dyDescent="0.25">
      <c r="B6" s="552" t="s">
        <v>488</v>
      </c>
      <c r="C6" s="553"/>
      <c r="D6" s="553"/>
      <c r="E6" s="554"/>
      <c r="F6" s="550">
        <f>F5/E5-1</f>
        <v>0.12372120299323508</v>
      </c>
      <c r="G6" s="550">
        <f t="shared" ref="G6:O6" si="3">G5/F5-1</f>
        <v>0.1667436829879192</v>
      </c>
      <c r="H6" s="550">
        <f t="shared" si="3"/>
        <v>0.13689278072760747</v>
      </c>
      <c r="I6" s="550">
        <f t="shared" si="3"/>
        <v>0.10925703194514758</v>
      </c>
      <c r="J6" s="550">
        <f t="shared" si="3"/>
        <v>0.12992436846457611</v>
      </c>
      <c r="K6" s="550">
        <f t="shared" si="3"/>
        <v>0.14528586677673072</v>
      </c>
      <c r="L6" s="550">
        <f t="shared" si="3"/>
        <v>0.10738505997543712</v>
      </c>
      <c r="M6" s="550">
        <f t="shared" si="3"/>
        <v>0.11109026975062752</v>
      </c>
      <c r="N6" s="550">
        <f t="shared" si="3"/>
        <v>0.12919634973395544</v>
      </c>
      <c r="O6" s="551">
        <f t="shared" si="3"/>
        <v>0.15945185870793233</v>
      </c>
      <c r="P6" s="551">
        <f>SUM(P31:P32)</f>
        <v>9.799999999999999E-2</v>
      </c>
      <c r="Q6" s="551">
        <f t="shared" ref="Q6:T6" si="4">SUM(Q31:Q32)</f>
        <v>0.11299999999999999</v>
      </c>
      <c r="R6" s="551">
        <f t="shared" si="4"/>
        <v>0.11</v>
      </c>
      <c r="S6" s="551">
        <f t="shared" si="4"/>
        <v>0.115</v>
      </c>
      <c r="T6" s="551">
        <f t="shared" si="4"/>
        <v>0.115</v>
      </c>
      <c r="U6" s="555"/>
      <c r="V6" s="551"/>
      <c r="W6" s="550">
        <f t="shared" ref="W6" si="5">W5/V5-1</f>
        <v>4.6708492706615257E-2</v>
      </c>
      <c r="X6" s="550">
        <f t="shared" ref="X6" si="6">X5/W5-1</f>
        <v>1.4020611906035985E-3</v>
      </c>
      <c r="Y6" s="634">
        <f t="shared" ref="Y6" si="7">Y5/X5-1</f>
        <v>3.4634779377326286E-2</v>
      </c>
      <c r="Z6" s="550">
        <f t="shared" ref="Z6" si="8">Z5/Y5-1</f>
        <v>1.4216962928308874E-2</v>
      </c>
      <c r="AA6" s="550">
        <f t="shared" ref="AA6" si="9">AA5/Z5-1</f>
        <v>5.8799895110452916E-2</v>
      </c>
      <c r="AB6" s="550">
        <f t="shared" ref="AB6" si="10">AB5/AA5-1</f>
        <v>5.9090954549301244E-3</v>
      </c>
      <c r="AC6" s="635">
        <f t="shared" ref="AC6" si="11">AC5/AB5-1</f>
        <v>4.5360204699964601E-2</v>
      </c>
      <c r="AD6" s="550">
        <f t="shared" ref="AD6" si="12">AD5/AC5-1</f>
        <v>3.2201648437754304E-2</v>
      </c>
      <c r="AE6" s="550">
        <f t="shared" ref="AE6" si="13">AE5/AD5-1</f>
        <v>8.2270429423463298E-2</v>
      </c>
      <c r="AF6" s="550">
        <f t="shared" ref="AF6" si="14">AF5/AE5-1</f>
        <v>1.1837688502634336E-2</v>
      </c>
      <c r="AG6" s="635">
        <f>(AG31+AG32)/4</f>
        <v>2.5749999999999999E-2</v>
      </c>
      <c r="AS6" s="402" t="s">
        <v>402</v>
      </c>
      <c r="AT6" s="402" t="s">
        <v>492</v>
      </c>
    </row>
    <row r="7" spans="2:72" ht="19.5" x14ac:dyDescent="0.3">
      <c r="B7" s="12" t="s">
        <v>352</v>
      </c>
      <c r="E7" s="373">
        <v>5124309</v>
      </c>
      <c r="F7" s="373">
        <v>5874689</v>
      </c>
      <c r="G7" s="373">
        <v>6682648</v>
      </c>
      <c r="H7" s="373">
        <v>7529370</v>
      </c>
      <c r="I7" s="373">
        <v>8342172</v>
      </c>
      <c r="J7" s="373">
        <v>9305012</v>
      </c>
      <c r="K7" s="373">
        <v>11202886</v>
      </c>
      <c r="L7" s="373">
        <v>12361806</v>
      </c>
      <c r="M7" s="373">
        <v>13353916</v>
      </c>
      <c r="N7" s="373">
        <v>14631875</v>
      </c>
      <c r="O7" s="545">
        <f>AG7</f>
        <v>16757034.487494035</v>
      </c>
      <c r="P7" s="547">
        <f>O7*(1+P8)</f>
        <v>18322561.188690867</v>
      </c>
      <c r="Q7" s="547">
        <f t="shared" ref="Q7:T7" si="15">P7*(1+Q8)</f>
        <v>20326600.667686619</v>
      </c>
      <c r="R7" s="547">
        <f t="shared" si="15"/>
        <v>22484989.239783313</v>
      </c>
      <c r="S7" s="547">
        <f t="shared" si="15"/>
        <v>24992115.882616591</v>
      </c>
      <c r="T7" s="547">
        <f t="shared" si="15"/>
        <v>27778792.759438105</v>
      </c>
      <c r="U7" s="33"/>
      <c r="V7" s="22">
        <v>12571277</v>
      </c>
      <c r="W7" s="22">
        <v>13062787</v>
      </c>
      <c r="X7" s="22">
        <v>13031815</v>
      </c>
      <c r="Y7" s="41">
        <v>13353916</v>
      </c>
      <c r="Z7" s="22">
        <v>13456273</v>
      </c>
      <c r="AA7" s="22">
        <v>14458307</v>
      </c>
      <c r="AB7" s="22">
        <v>14025990</v>
      </c>
      <c r="AC7" s="43">
        <v>14631875</v>
      </c>
      <c r="AD7" s="22">
        <v>15126310</v>
      </c>
      <c r="AE7" s="22">
        <v>16229036</v>
      </c>
      <c r="AF7" s="22">
        <v>16483459</v>
      </c>
      <c r="AG7" s="581">
        <f>AF7*(1+AG8)</f>
        <v>16757034.487494035</v>
      </c>
      <c r="AJ7" s="1023" t="s">
        <v>415</v>
      </c>
      <c r="AK7" s="1023"/>
      <c r="AL7" s="378"/>
      <c r="AM7" s="1025" t="s">
        <v>547</v>
      </c>
      <c r="AN7" s="1025"/>
      <c r="AS7" s="379">
        <v>44173</v>
      </c>
      <c r="AT7" s="380">
        <v>42101.78</v>
      </c>
      <c r="AU7" s="1024"/>
      <c r="AV7" s="1024"/>
    </row>
    <row r="8" spans="2:72" s="557" customFormat="1" x14ac:dyDescent="0.25">
      <c r="B8" s="552" t="s">
        <v>488</v>
      </c>
      <c r="E8" s="554"/>
      <c r="F8" s="550">
        <f>F7/E7-1</f>
        <v>0.1464353535276659</v>
      </c>
      <c r="G8" s="550">
        <f t="shared" ref="G8:O8" si="16">G7/F7-1</f>
        <v>0.13753221659904047</v>
      </c>
      <c r="H8" s="550">
        <f t="shared" si="16"/>
        <v>0.12670456381961159</v>
      </c>
      <c r="I8" s="550">
        <f t="shared" si="16"/>
        <v>0.10795086441495094</v>
      </c>
      <c r="J8" s="550">
        <f t="shared" si="16"/>
        <v>0.11541838264662974</v>
      </c>
      <c r="K8" s="550">
        <f t="shared" si="16"/>
        <v>0.20396255265441887</v>
      </c>
      <c r="L8" s="550">
        <f t="shared" si="16"/>
        <v>0.10344834357860999</v>
      </c>
      <c r="M8" s="550">
        <f t="shared" si="16"/>
        <v>8.0256072615926932E-2</v>
      </c>
      <c r="N8" s="550">
        <f t="shared" si="16"/>
        <v>9.5699194153984424E-2</v>
      </c>
      <c r="O8" s="550">
        <f t="shared" si="16"/>
        <v>0.14524177437915742</v>
      </c>
      <c r="P8" s="550">
        <f>$AK$41+$AK$42*P6</f>
        <v>9.3425045008124874E-2</v>
      </c>
      <c r="Q8" s="550">
        <f>$AK$41+$AK$42*Q6</f>
        <v>0.1093755102443153</v>
      </c>
      <c r="R8" s="550">
        <f>$AK$41+$AK$42*R6</f>
        <v>0.10618541719707722</v>
      </c>
      <c r="S8" s="550">
        <f>$AK$41+$AK$42*S6</f>
        <v>0.11150223894247403</v>
      </c>
      <c r="T8" s="550">
        <f>$AK$41+$AK$42*T6</f>
        <v>0.11150223894247403</v>
      </c>
      <c r="U8" s="555"/>
      <c r="V8" s="551"/>
      <c r="W8" s="550">
        <f t="shared" ref="W8" si="17">W7/V7-1</f>
        <v>3.9097857759398558E-2</v>
      </c>
      <c r="X8" s="550">
        <f t="shared" ref="X8" si="18">X7/W7-1</f>
        <v>-2.3710101068018519E-3</v>
      </c>
      <c r="Y8" s="634">
        <f t="shared" ref="Y8" si="19">Y7/X7-1</f>
        <v>2.4716511092276905E-2</v>
      </c>
      <c r="Z8" s="550">
        <f t="shared" ref="Z8" si="20">Z7/Y7-1</f>
        <v>7.6649426280650523E-3</v>
      </c>
      <c r="AA8" s="550">
        <f t="shared" ref="AA8" si="21">AA7/Z7-1</f>
        <v>7.4465938674103782E-2</v>
      </c>
      <c r="AB8" s="550">
        <f t="shared" ref="AB8" si="22">AB7/AA7-1</f>
        <v>-2.9900942067421887E-2</v>
      </c>
      <c r="AC8" s="635">
        <f t="shared" ref="AC8" si="23">AC7/AB7-1</f>
        <v>4.3197307284548181E-2</v>
      </c>
      <c r="AD8" s="550">
        <f t="shared" ref="AD8" si="24">AD7/AC7-1</f>
        <v>3.3791636410234416E-2</v>
      </c>
      <c r="AE8" s="550">
        <f t="shared" ref="AE8" si="25">AE7/AD7-1</f>
        <v>7.2901190045688624E-2</v>
      </c>
      <c r="AF8" s="550">
        <f t="shared" ref="AF8" si="26">AF7/AE7-1</f>
        <v>1.5677024809113815E-2</v>
      </c>
      <c r="AG8" s="635">
        <f>$AK$41+$AK$42*AG6</f>
        <v>1.6596970787141004E-2</v>
      </c>
      <c r="AJ8" s="580" t="s">
        <v>356</v>
      </c>
      <c r="AK8" s="580" t="s">
        <v>352</v>
      </c>
      <c r="AL8" s="568"/>
      <c r="AM8" s="649" t="s">
        <v>548</v>
      </c>
      <c r="AN8" s="649" t="s">
        <v>539</v>
      </c>
      <c r="AS8" s="578">
        <v>44172</v>
      </c>
      <c r="AT8" s="579">
        <v>42115.31</v>
      </c>
      <c r="AU8" s="568"/>
      <c r="AV8" s="568"/>
    </row>
    <row r="9" spans="2:72" x14ac:dyDescent="0.25">
      <c r="B9" s="12" t="s">
        <v>353</v>
      </c>
      <c r="E9" s="373">
        <v>390060</v>
      </c>
      <c r="F9" s="373">
        <v>521000.3</v>
      </c>
      <c r="G9" s="373">
        <v>706469.9</v>
      </c>
      <c r="H9" s="373">
        <v>867698.8</v>
      </c>
      <c r="I9" s="373">
        <v>1069713.5</v>
      </c>
      <c r="J9" s="373">
        <v>1375000</v>
      </c>
      <c r="K9" s="373">
        <v>1573000</v>
      </c>
      <c r="L9" s="373">
        <v>1885000</v>
      </c>
      <c r="M9" s="373">
        <v>2203000</v>
      </c>
      <c r="N9" s="373">
        <v>2652000</v>
      </c>
      <c r="O9" s="545">
        <f>AG9</f>
        <v>3100603.9453702858</v>
      </c>
      <c r="P9" s="547">
        <f>P7*P17</f>
        <v>3445245.6920849476</v>
      </c>
      <c r="Q9" s="547">
        <f>Q7*Q17</f>
        <v>3883050.9995768275</v>
      </c>
      <c r="R9" s="547">
        <f>R7*R17</f>
        <v>4362829.3576837713</v>
      </c>
      <c r="S9" s="547">
        <f>S7*S17</f>
        <v>4924270.9468373181</v>
      </c>
      <c r="T9" s="547">
        <f>T7*T17</f>
        <v>5556674.560847369</v>
      </c>
      <c r="U9" s="33"/>
      <c r="V9" s="22">
        <v>1916000</v>
      </c>
      <c r="W9" s="22">
        <v>2033000</v>
      </c>
      <c r="X9" s="22">
        <v>2005000</v>
      </c>
      <c r="Y9" s="41">
        <v>2203000</v>
      </c>
      <c r="Z9" s="21">
        <v>2199000</v>
      </c>
      <c r="AA9" s="21">
        <v>2415000</v>
      </c>
      <c r="AB9" s="21">
        <v>2407000</v>
      </c>
      <c r="AC9" s="43">
        <v>2652000</v>
      </c>
      <c r="AD9" s="21">
        <v>2691600</v>
      </c>
      <c r="AE9" s="21">
        <v>2946000</v>
      </c>
      <c r="AF9" s="21">
        <v>3033500</v>
      </c>
      <c r="AG9" s="581">
        <f>AG7*AG17</f>
        <v>3100603.9453702858</v>
      </c>
      <c r="AJ9" s="27">
        <v>0.12372120299323508</v>
      </c>
      <c r="AK9" s="27">
        <v>0.1464353535276659</v>
      </c>
      <c r="AL9" s="37"/>
      <c r="AM9" s="645" t="s">
        <v>549</v>
      </c>
      <c r="AN9" s="646">
        <v>0.13250000000000001</v>
      </c>
      <c r="AS9" s="379">
        <v>44169</v>
      </c>
      <c r="AT9" s="380">
        <v>42207</v>
      </c>
      <c r="AU9" s="382"/>
      <c r="AV9" s="382"/>
    </row>
    <row r="10" spans="2:72" s="557" customFormat="1" x14ac:dyDescent="0.25">
      <c r="B10" s="552" t="s">
        <v>488</v>
      </c>
      <c r="E10" s="554"/>
      <c r="F10" s="550">
        <f>F9/E9-1</f>
        <v>0.33569271394144495</v>
      </c>
      <c r="G10" s="550">
        <f t="shared" ref="G10:O10" si="27">G9/F9-1</f>
        <v>0.35598751094769043</v>
      </c>
      <c r="H10" s="550">
        <f t="shared" si="27"/>
        <v>0.22821764947098244</v>
      </c>
      <c r="I10" s="550">
        <f t="shared" si="27"/>
        <v>0.23281661793239761</v>
      </c>
      <c r="J10" s="550">
        <f t="shared" si="27"/>
        <v>0.28539090139556067</v>
      </c>
      <c r="K10" s="550">
        <f t="shared" si="27"/>
        <v>0.14399999999999991</v>
      </c>
      <c r="L10" s="550">
        <f t="shared" si="27"/>
        <v>0.19834710743801653</v>
      </c>
      <c r="M10" s="550">
        <f t="shared" si="27"/>
        <v>0.16870026525198933</v>
      </c>
      <c r="N10" s="550">
        <f t="shared" si="27"/>
        <v>0.20381298229686795</v>
      </c>
      <c r="O10" s="550">
        <f t="shared" si="27"/>
        <v>0.16915684214565818</v>
      </c>
      <c r="P10" s="550">
        <f t="shared" ref="P10" si="28">P9/O9-1</f>
        <v>0.11115310203654638</v>
      </c>
      <c r="Q10" s="550">
        <f t="shared" ref="Q10" si="29">Q9/P9-1</f>
        <v>0.12707520642074588</v>
      </c>
      <c r="R10" s="550">
        <f t="shared" ref="R10" si="30">R9/Q9-1</f>
        <v>0.12355705813784823</v>
      </c>
      <c r="S10" s="550">
        <f t="shared" ref="S10" si="31">S9/R9-1</f>
        <v>0.12868749683384739</v>
      </c>
      <c r="T10" s="550">
        <f t="shared" ref="T10" si="32">T9/S9-1</f>
        <v>0.1284258361973809</v>
      </c>
      <c r="U10" s="555"/>
      <c r="V10" s="551"/>
      <c r="W10" s="550">
        <f>W9/V9-1</f>
        <v>6.1064718162839204E-2</v>
      </c>
      <c r="X10" s="550">
        <f t="shared" ref="X10:AG10" si="33">X9/W9-1</f>
        <v>-1.37727496310871E-2</v>
      </c>
      <c r="Y10" s="634">
        <f t="shared" si="33"/>
        <v>9.8753117206982655E-2</v>
      </c>
      <c r="Z10" s="550">
        <f t="shared" si="33"/>
        <v>-1.8157058556513839E-3</v>
      </c>
      <c r="AA10" s="550">
        <f t="shared" si="33"/>
        <v>9.8226466575716209E-2</v>
      </c>
      <c r="AB10" s="550">
        <f t="shared" si="33"/>
        <v>-3.3126293995858758E-3</v>
      </c>
      <c r="AC10" s="635">
        <f t="shared" si="33"/>
        <v>0.10178645616950566</v>
      </c>
      <c r="AD10" s="550">
        <f t="shared" si="33"/>
        <v>1.4932126696832526E-2</v>
      </c>
      <c r="AE10" s="550">
        <f t="shared" si="33"/>
        <v>9.4516272848863103E-2</v>
      </c>
      <c r="AF10" s="550">
        <f t="shared" si="33"/>
        <v>2.9701289884589199E-2</v>
      </c>
      <c r="AG10" s="635">
        <f t="shared" si="33"/>
        <v>2.2120964354799932E-2</v>
      </c>
      <c r="AJ10" s="383">
        <v>0.1667436829879192</v>
      </c>
      <c r="AK10" s="383">
        <v>0.13753221659904047</v>
      </c>
      <c r="AL10" s="561"/>
      <c r="AM10" s="645" t="s">
        <v>550</v>
      </c>
      <c r="AN10" s="646">
        <v>0.13250000000000001</v>
      </c>
      <c r="AS10" s="578">
        <v>44168</v>
      </c>
      <c r="AT10" s="579">
        <v>42047.72</v>
      </c>
      <c r="AU10" s="561"/>
      <c r="AV10" s="561"/>
    </row>
    <row r="11" spans="2:72" x14ac:dyDescent="0.25">
      <c r="B11" s="12" t="s">
        <v>357</v>
      </c>
      <c r="E11" s="373">
        <f>MEBL!D21</f>
        <v>131067.996</v>
      </c>
      <c r="F11" s="373">
        <f>MEBL!E21</f>
        <v>170022.486</v>
      </c>
      <c r="G11" s="373">
        <f>MEBL!F21</f>
        <v>230425.986</v>
      </c>
      <c r="H11" s="373">
        <f>MEBL!G21</f>
        <v>289810.51899999997</v>
      </c>
      <c r="I11" s="373">
        <f>MEBL!H21</f>
        <v>380421.56900000002</v>
      </c>
      <c r="J11" s="373">
        <f>MEBL!I21</f>
        <v>471820.95899999997</v>
      </c>
      <c r="K11" s="373">
        <f>MEBL!J21</f>
        <v>563999.85199999996</v>
      </c>
      <c r="L11" s="373">
        <f>MEBL!K21</f>
        <v>673180.31</v>
      </c>
      <c r="M11" s="373">
        <f>MEBL!L21</f>
        <v>785444.59199999995</v>
      </c>
      <c r="N11" s="373">
        <f>MEBL!M21</f>
        <v>932568.76500000001</v>
      </c>
      <c r="O11" s="545">
        <f>AG11</f>
        <v>1114668.6188341936</v>
      </c>
      <c r="P11" s="547">
        <f>P9*P19</f>
        <v>1239120.5587432168</v>
      </c>
      <c r="Q11" s="547">
        <f>Q9*Q19</f>
        <v>1397438.9317465252</v>
      </c>
      <c r="R11" s="547">
        <f>R9*R19</f>
        <v>1572498.88260092</v>
      </c>
      <c r="S11" s="547">
        <f>S9*S19</f>
        <v>1778690.6473306878</v>
      </c>
      <c r="T11" s="547">
        <f>T9*T19</f>
        <v>2017829.037294917</v>
      </c>
      <c r="U11" s="33"/>
      <c r="V11" s="22">
        <f>MEBL!U21</f>
        <v>669558.73699999996</v>
      </c>
      <c r="W11" s="22">
        <f>MEBL!V21</f>
        <v>707296.51100000006</v>
      </c>
      <c r="X11" s="22">
        <f>MEBL!W21</f>
        <v>711237.34</v>
      </c>
      <c r="Y11" s="41">
        <f>MEBL!X21</f>
        <v>785476.94400000002</v>
      </c>
      <c r="Z11" s="21">
        <f>MEBL!Y21</f>
        <v>769481.96</v>
      </c>
      <c r="AA11" s="21">
        <f>MEBL!Z21</f>
        <v>841801.30500000005</v>
      </c>
      <c r="AB11" s="21">
        <f>MEBL!AA21</f>
        <v>838926.35499999998</v>
      </c>
      <c r="AC11" s="43">
        <f>MEBL!AB21</f>
        <v>932579.11399999994</v>
      </c>
      <c r="AD11" s="21">
        <f>MEBL!AC21</f>
        <v>928389.326</v>
      </c>
      <c r="AE11" s="21">
        <f>MEBL!AD21</f>
        <v>1045419.553</v>
      </c>
      <c r="AF11" s="21">
        <f>MEBL!AE21</f>
        <v>1090544.7180000001</v>
      </c>
      <c r="AG11" s="581">
        <f>AG9*AG19</f>
        <v>1114668.6188341936</v>
      </c>
      <c r="AJ11" s="383">
        <v>0.13689278072760747</v>
      </c>
      <c r="AK11" s="383">
        <v>0.12670456381961159</v>
      </c>
      <c r="AL11" s="382"/>
      <c r="AM11" s="645" t="s">
        <v>551</v>
      </c>
      <c r="AN11" s="646">
        <v>0.125</v>
      </c>
      <c r="AS11" s="379">
        <v>44167</v>
      </c>
      <c r="AT11" s="380">
        <v>42027.38</v>
      </c>
      <c r="AU11" s="382"/>
      <c r="AV11" s="382"/>
    </row>
    <row r="12" spans="2:72" s="557" customFormat="1" x14ac:dyDescent="0.25">
      <c r="B12" s="552" t="s">
        <v>488</v>
      </c>
      <c r="E12" s="554"/>
      <c r="F12" s="550">
        <f>F11/E11-1</f>
        <v>0.29720825211976232</v>
      </c>
      <c r="G12" s="550">
        <f t="shared" ref="G12:O12" si="34">G11/F11-1</f>
        <v>0.35526771441278648</v>
      </c>
      <c r="H12" s="550">
        <f t="shared" si="34"/>
        <v>0.25771630201465201</v>
      </c>
      <c r="I12" s="550">
        <f t="shared" si="34"/>
        <v>0.31265618070957624</v>
      </c>
      <c r="J12" s="550">
        <f t="shared" si="34"/>
        <v>0.24025817000928229</v>
      </c>
      <c r="K12" s="550">
        <f t="shared" si="34"/>
        <v>0.19536837277294405</v>
      </c>
      <c r="L12" s="550">
        <f t="shared" si="34"/>
        <v>0.19358242313865026</v>
      </c>
      <c r="M12" s="550">
        <f t="shared" si="34"/>
        <v>0.16676703155503736</v>
      </c>
      <c r="N12" s="550">
        <f t="shared" si="34"/>
        <v>0.18731324207780675</v>
      </c>
      <c r="O12" s="550">
        <f t="shared" si="34"/>
        <v>0.19526694509674414</v>
      </c>
      <c r="P12" s="550">
        <f t="shared" ref="P12" si="35">P11/O11-1</f>
        <v>0.11164927208517339</v>
      </c>
      <c r="Q12" s="550">
        <f t="shared" ref="Q12" si="36">Q11/P11-1</f>
        <v>0.12776672284727764</v>
      </c>
      <c r="R12" s="550">
        <f t="shared" ref="R12" si="37">R11/Q11-1</f>
        <v>0.12527198640129789</v>
      </c>
      <c r="S12" s="550">
        <f t="shared" ref="S12" si="38">S11/R11-1</f>
        <v>0.13112363195370014</v>
      </c>
      <c r="T12" s="550">
        <f t="shared" ref="T12" si="39">T11/S11-1</f>
        <v>0.13444630763821031</v>
      </c>
      <c r="U12" s="555"/>
      <c r="V12" s="633"/>
      <c r="W12" s="630">
        <f>W11/V11-1</f>
        <v>5.6362156020973719E-2</v>
      </c>
      <c r="X12" s="630">
        <f t="shared" ref="X12:AG12" si="40">X11/W11-1</f>
        <v>5.5716788344228885E-3</v>
      </c>
      <c r="Y12" s="631">
        <f t="shared" si="40"/>
        <v>0.10438091453409926</v>
      </c>
      <c r="Z12" s="630">
        <f t="shared" si="40"/>
        <v>-2.0363403562867699E-2</v>
      </c>
      <c r="AA12" s="630">
        <f t="shared" si="40"/>
        <v>9.3984458063188558E-2</v>
      </c>
      <c r="AB12" s="630">
        <f t="shared" si="40"/>
        <v>-3.4152358554493389E-3</v>
      </c>
      <c r="AC12" s="632">
        <f t="shared" si="40"/>
        <v>0.11163406470881454</v>
      </c>
      <c r="AD12" s="630">
        <f t="shared" si="40"/>
        <v>-4.4926890781729067E-3</v>
      </c>
      <c r="AE12" s="630">
        <f t="shared" si="40"/>
        <v>0.12605727330389405</v>
      </c>
      <c r="AF12" s="630">
        <f t="shared" si="40"/>
        <v>4.3164646070093404E-2</v>
      </c>
      <c r="AG12" s="632">
        <f t="shared" si="40"/>
        <v>2.2120964354799932E-2</v>
      </c>
      <c r="AJ12" s="383">
        <v>0.10925703194514758</v>
      </c>
      <c r="AK12" s="383">
        <v>0.10795086441495094</v>
      </c>
      <c r="AL12" s="561"/>
      <c r="AM12" s="645" t="s">
        <v>552</v>
      </c>
      <c r="AN12" s="646">
        <v>0.1</v>
      </c>
      <c r="AS12" s="578">
        <v>44166</v>
      </c>
      <c r="AT12" s="579">
        <v>41665.269999999997</v>
      </c>
      <c r="AU12" s="561"/>
      <c r="AV12" s="561"/>
    </row>
    <row r="13" spans="2:72" x14ac:dyDescent="0.25">
      <c r="B13" s="12" t="s">
        <v>324</v>
      </c>
      <c r="E13" s="373">
        <v>222</v>
      </c>
      <c r="F13" s="373">
        <v>275</v>
      </c>
      <c r="G13" s="373">
        <v>310</v>
      </c>
      <c r="H13" s="373">
        <v>351</v>
      </c>
      <c r="I13" s="373">
        <v>428</v>
      </c>
      <c r="J13" s="373">
        <v>551</v>
      </c>
      <c r="K13" s="373">
        <v>571</v>
      </c>
      <c r="L13" s="373">
        <v>601</v>
      </c>
      <c r="M13" s="373">
        <v>660</v>
      </c>
      <c r="N13" s="373">
        <v>760</v>
      </c>
      <c r="O13" s="545">
        <f>AG13</f>
        <v>802</v>
      </c>
      <c r="P13" s="547">
        <f>O13*(1+P14)</f>
        <v>826.06000000000006</v>
      </c>
      <c r="Q13" s="547">
        <f t="shared" ref="Q13:T13" si="41">P13*(1+Q14)</f>
        <v>850.84180000000003</v>
      </c>
      <c r="R13" s="547">
        <f t="shared" si="41"/>
        <v>876.36705400000005</v>
      </c>
      <c r="S13" s="547">
        <f t="shared" si="41"/>
        <v>902.65806562000012</v>
      </c>
      <c r="T13" s="547">
        <f t="shared" si="41"/>
        <v>929.73780758860016</v>
      </c>
      <c r="U13" s="33"/>
      <c r="V13" s="22">
        <v>615.75</v>
      </c>
      <c r="W13" s="22">
        <v>630.5</v>
      </c>
      <c r="X13" s="22">
        <v>645.25</v>
      </c>
      <c r="Y13" s="41">
        <v>660</v>
      </c>
      <c r="Z13" s="22">
        <v>685</v>
      </c>
      <c r="AA13" s="22">
        <v>710</v>
      </c>
      <c r="AB13" s="22">
        <v>735</v>
      </c>
      <c r="AC13" s="43">
        <v>760</v>
      </c>
      <c r="AD13" s="22">
        <v>770.5</v>
      </c>
      <c r="AE13" s="22">
        <v>781</v>
      </c>
      <c r="AF13" s="22">
        <v>791.5</v>
      </c>
      <c r="AG13" s="581">
        <v>802</v>
      </c>
      <c r="AJ13" s="383">
        <v>0.12992436846457611</v>
      </c>
      <c r="AK13" s="383">
        <v>0.11541838264662974</v>
      </c>
      <c r="AL13" s="382"/>
      <c r="AM13" s="645" t="s">
        <v>553</v>
      </c>
      <c r="AN13" s="646">
        <v>0.09</v>
      </c>
      <c r="AS13" s="379">
        <v>44165</v>
      </c>
      <c r="AT13" s="380">
        <v>41068.82</v>
      </c>
      <c r="AU13" s="382"/>
      <c r="AV13" s="382"/>
    </row>
    <row r="14" spans="2:72" s="557" customFormat="1" x14ac:dyDescent="0.25">
      <c r="B14" s="552" t="s">
        <v>488</v>
      </c>
      <c r="C14" s="565"/>
      <c r="D14" s="565"/>
      <c r="E14" s="566"/>
      <c r="F14" s="551">
        <f>F13/E13-1</f>
        <v>0.23873873873873874</v>
      </c>
      <c r="G14" s="551">
        <f t="shared" ref="G14:O14" si="42">G13/F13-1</f>
        <v>0.1272727272727272</v>
      </c>
      <c r="H14" s="551">
        <f t="shared" si="42"/>
        <v>0.13225806451612909</v>
      </c>
      <c r="I14" s="551">
        <f t="shared" si="42"/>
        <v>0.21937321937321941</v>
      </c>
      <c r="J14" s="551">
        <f t="shared" si="42"/>
        <v>0.28738317757009346</v>
      </c>
      <c r="K14" s="551">
        <f t="shared" si="42"/>
        <v>3.6297640653357499E-2</v>
      </c>
      <c r="L14" s="551">
        <f t="shared" si="42"/>
        <v>5.2539404553415103E-2</v>
      </c>
      <c r="M14" s="551">
        <f t="shared" si="42"/>
        <v>9.8169717138103074E-2</v>
      </c>
      <c r="N14" s="551">
        <f t="shared" si="42"/>
        <v>0.1515151515151516</v>
      </c>
      <c r="O14" s="550">
        <f t="shared" si="42"/>
        <v>5.5263157894736903E-2</v>
      </c>
      <c r="P14" s="562">
        <v>0.03</v>
      </c>
      <c r="Q14" s="562">
        <v>0.03</v>
      </c>
      <c r="R14" s="562">
        <v>0.03</v>
      </c>
      <c r="S14" s="562">
        <v>0.03</v>
      </c>
      <c r="T14" s="562">
        <v>0.03</v>
      </c>
      <c r="U14" s="555"/>
      <c r="V14" s="567"/>
      <c r="W14" s="556">
        <f>W13/V13-1</f>
        <v>2.3954526999593995E-2</v>
      </c>
      <c r="X14" s="556">
        <f t="shared" ref="X14:AG14" si="43">X13/W13-1</f>
        <v>2.3394131641554239E-2</v>
      </c>
      <c r="Y14" s="558">
        <f t="shared" si="43"/>
        <v>2.2859356838434763E-2</v>
      </c>
      <c r="Z14" s="559">
        <f t="shared" si="43"/>
        <v>3.7878787878787845E-2</v>
      </c>
      <c r="AA14" s="559">
        <f t="shared" si="43"/>
        <v>3.649635036496357E-2</v>
      </c>
      <c r="AB14" s="559">
        <f t="shared" si="43"/>
        <v>3.5211267605633756E-2</v>
      </c>
      <c r="AC14" s="560">
        <f t="shared" si="43"/>
        <v>3.4013605442176909E-2</v>
      </c>
      <c r="AD14" s="559">
        <f t="shared" si="43"/>
        <v>1.3815789473684115E-2</v>
      </c>
      <c r="AE14" s="559">
        <f t="shared" si="43"/>
        <v>1.3627514600908608E-2</v>
      </c>
      <c r="AF14" s="559">
        <f t="shared" si="43"/>
        <v>1.3444302176696565E-2</v>
      </c>
      <c r="AG14" s="560">
        <f t="shared" si="43"/>
        <v>1.3265950726468745E-2</v>
      </c>
      <c r="AJ14" s="383">
        <v>0.14528586677673072</v>
      </c>
      <c r="AK14" s="383">
        <v>0.20396255265441887</v>
      </c>
      <c r="AL14" s="561"/>
      <c r="AM14" s="645" t="s">
        <v>437</v>
      </c>
      <c r="AN14" s="646">
        <v>0.08</v>
      </c>
      <c r="AS14" s="578">
        <v>44162</v>
      </c>
      <c r="AT14" s="579">
        <v>40807.089999999997</v>
      </c>
      <c r="AU14" s="561"/>
      <c r="AV14" s="561"/>
    </row>
    <row r="15" spans="2:72" x14ac:dyDescent="0.25">
      <c r="B15" s="386" t="s">
        <v>465</v>
      </c>
      <c r="C15" s="384"/>
      <c r="D15" s="384"/>
      <c r="E15" s="385">
        <v>4364</v>
      </c>
      <c r="F15" s="387">
        <v>4900</v>
      </c>
      <c r="G15" s="387">
        <v>5953</v>
      </c>
      <c r="H15" s="387">
        <v>6248</v>
      </c>
      <c r="I15" s="387">
        <v>7429</v>
      </c>
      <c r="J15" s="387">
        <v>8581</v>
      </c>
      <c r="K15" s="387">
        <v>9168</v>
      </c>
      <c r="L15" s="387">
        <v>9551</v>
      </c>
      <c r="M15" s="387">
        <v>10069</v>
      </c>
      <c r="N15" s="387">
        <v>11649</v>
      </c>
      <c r="O15" s="548">
        <f>AG15</f>
        <v>11823.20409549446</v>
      </c>
      <c r="P15" s="549">
        <f>O89*(P13-O13)+O15</f>
        <v>12177.900218359295</v>
      </c>
      <c r="Q15" s="549">
        <f>P89*(Q13-P13)+P15</f>
        <v>12543.237224910074</v>
      </c>
      <c r="R15" s="549">
        <f>Q89*(R13-Q13)+Q15</f>
        <v>12919.534341657376</v>
      </c>
      <c r="S15" s="549">
        <f>R89*(S13-R13)+R15</f>
        <v>13307.120371907098</v>
      </c>
      <c r="T15" s="549">
        <f>S89*(T13-S13)+S15</f>
        <v>13706.333983064313</v>
      </c>
      <c r="U15" s="33"/>
      <c r="V15" s="388">
        <f>$M$15</f>
        <v>10069</v>
      </c>
      <c r="W15" s="388">
        <f t="shared" ref="W15:Y15" si="44">$M$15</f>
        <v>10069</v>
      </c>
      <c r="X15" s="388">
        <f t="shared" si="44"/>
        <v>10069</v>
      </c>
      <c r="Y15" s="389">
        <f t="shared" si="44"/>
        <v>10069</v>
      </c>
      <c r="Z15" s="39">
        <f>$N$15</f>
        <v>11649</v>
      </c>
      <c r="AA15" s="39">
        <f t="shared" ref="AA15:AC15" si="45">$N$15</f>
        <v>11649</v>
      </c>
      <c r="AB15" s="39">
        <f t="shared" si="45"/>
        <v>11649</v>
      </c>
      <c r="AC15" s="390">
        <f t="shared" si="45"/>
        <v>11649</v>
      </c>
      <c r="AD15" s="39">
        <f>AD90*(AD13-AC13)+AC15</f>
        <v>11689.464819597664</v>
      </c>
      <c r="AE15" s="39">
        <f>AE90*(AE13-AD13)+AD15</f>
        <v>11734.288754936973</v>
      </c>
      <c r="AF15" s="39">
        <f>AF90*(AF13-AE13)+AE15</f>
        <v>11778.159651967928</v>
      </c>
      <c r="AG15" s="581">
        <f>AG90*(AG13-AF13)+AF15</f>
        <v>11823.20409549446</v>
      </c>
      <c r="AJ15" s="383">
        <v>0.10738505997543712</v>
      </c>
      <c r="AK15" s="383">
        <v>0.10344834357860999</v>
      </c>
      <c r="AL15" s="382"/>
      <c r="AM15" s="645" t="s">
        <v>554</v>
      </c>
      <c r="AN15" s="646">
        <v>7.0000000000000007E-2</v>
      </c>
      <c r="AS15" s="379">
        <v>44161</v>
      </c>
      <c r="AT15" s="380">
        <v>41031.03</v>
      </c>
      <c r="AU15" s="382"/>
      <c r="AV15" s="382"/>
    </row>
    <row r="16" spans="2:72" s="557" customFormat="1" x14ac:dyDescent="0.25">
      <c r="B16" s="552" t="s">
        <v>488</v>
      </c>
      <c r="C16" s="565"/>
      <c r="D16" s="565"/>
      <c r="E16" s="566"/>
      <c r="F16" s="551">
        <f>F15/E15-1</f>
        <v>0.12282309807516034</v>
      </c>
      <c r="G16" s="551">
        <f t="shared" ref="G16:O16" si="46">G15/F15-1</f>
        <v>0.21489795918367349</v>
      </c>
      <c r="H16" s="551">
        <f t="shared" si="46"/>
        <v>4.9554846295985167E-2</v>
      </c>
      <c r="I16" s="551">
        <f t="shared" si="46"/>
        <v>0.18902048655569792</v>
      </c>
      <c r="J16" s="551">
        <f t="shared" si="46"/>
        <v>0.15506797684748963</v>
      </c>
      <c r="K16" s="551">
        <f t="shared" si="46"/>
        <v>6.8406945577438538E-2</v>
      </c>
      <c r="L16" s="551">
        <f t="shared" si="46"/>
        <v>4.1775741710296632E-2</v>
      </c>
      <c r="M16" s="551">
        <f t="shared" si="46"/>
        <v>5.4235158622133905E-2</v>
      </c>
      <c r="N16" s="551">
        <f t="shared" si="46"/>
        <v>0.15691727083126428</v>
      </c>
      <c r="O16" s="551">
        <f t="shared" si="46"/>
        <v>1.4954424885780693E-2</v>
      </c>
      <c r="P16" s="551">
        <f t="shared" ref="P16" si="47">P15/O15-1</f>
        <v>3.0000000000000027E-2</v>
      </c>
      <c r="Q16" s="551">
        <f t="shared" ref="Q16" si="48">Q15/P15-1</f>
        <v>3.0000000000000027E-2</v>
      </c>
      <c r="R16" s="551">
        <f t="shared" ref="R16" si="49">R15/Q15-1</f>
        <v>3.0000000000000027E-2</v>
      </c>
      <c r="S16" s="551">
        <f t="shared" ref="S16" si="50">S15/R15-1</f>
        <v>3.0000000000000027E-2</v>
      </c>
      <c r="T16" s="551">
        <f t="shared" ref="T16" si="51">T15/S15-1</f>
        <v>3.0000000000000027E-2</v>
      </c>
      <c r="U16" s="555"/>
      <c r="V16" s="567"/>
      <c r="W16" s="556"/>
      <c r="X16" s="556"/>
      <c r="Y16" s="558"/>
      <c r="Z16" s="559"/>
      <c r="AA16" s="559"/>
      <c r="AB16" s="559"/>
      <c r="AC16" s="560"/>
      <c r="AD16" s="559"/>
      <c r="AE16" s="559"/>
      <c r="AF16" s="559"/>
      <c r="AG16" s="560"/>
      <c r="AJ16" s="383">
        <v>0.11109026975062752</v>
      </c>
      <c r="AK16" s="383">
        <v>8.0256072615926932E-2</v>
      </c>
      <c r="AL16" s="561"/>
      <c r="AM16" s="645" t="s">
        <v>555</v>
      </c>
      <c r="AN16" s="646">
        <v>7.0000000000000007E-2</v>
      </c>
      <c r="AS16" s="578">
        <v>44160</v>
      </c>
      <c r="AT16" s="579">
        <v>40377.53</v>
      </c>
      <c r="AU16" s="561"/>
      <c r="AV16" s="561"/>
    </row>
    <row r="17" spans="1:55" s="31" customFormat="1" x14ac:dyDescent="0.25">
      <c r="A17" s="12"/>
      <c r="B17" s="12" t="s">
        <v>428</v>
      </c>
      <c r="C17" s="12"/>
      <c r="D17" s="12"/>
      <c r="E17" s="391">
        <f t="shared" ref="E17:O17" si="52">E9/E7</f>
        <v>7.6119531433408869E-2</v>
      </c>
      <c r="F17" s="391">
        <f t="shared" si="52"/>
        <v>8.8685596803507377E-2</v>
      </c>
      <c r="G17" s="391">
        <f t="shared" si="52"/>
        <v>0.1057170600636155</v>
      </c>
      <c r="H17" s="391">
        <f t="shared" si="52"/>
        <v>0.115241886107337</v>
      </c>
      <c r="I17" s="391">
        <f t="shared" si="52"/>
        <v>0.12822961454163256</v>
      </c>
      <c r="J17" s="391">
        <f t="shared" si="52"/>
        <v>0.14776982555207882</v>
      </c>
      <c r="K17" s="391">
        <f t="shared" si="52"/>
        <v>0.14041024785934625</v>
      </c>
      <c r="L17" s="391">
        <f t="shared" si="52"/>
        <v>0.15248580992130115</v>
      </c>
      <c r="M17" s="391">
        <f t="shared" si="52"/>
        <v>0.16497033529340757</v>
      </c>
      <c r="N17" s="391">
        <f t="shared" si="52"/>
        <v>0.18124813122036648</v>
      </c>
      <c r="O17" s="403">
        <f t="shared" si="52"/>
        <v>0.1850329751176619</v>
      </c>
      <c r="P17" s="404">
        <f>O17+0.3%</f>
        <v>0.1880329751176619</v>
      </c>
      <c r="Q17" s="404">
        <f t="shared" ref="Q17:T17" si="53">P17+0.3%</f>
        <v>0.1910329751176619</v>
      </c>
      <c r="R17" s="404">
        <f t="shared" si="53"/>
        <v>0.1940329751176619</v>
      </c>
      <c r="S17" s="404">
        <f t="shared" si="53"/>
        <v>0.19703297511766191</v>
      </c>
      <c r="T17" s="404">
        <f t="shared" si="53"/>
        <v>0.20003297511766191</v>
      </c>
      <c r="U17" s="33"/>
      <c r="V17" s="48">
        <f t="shared" ref="V17:AF17" si="54">V9/V7</f>
        <v>0.15241092849994475</v>
      </c>
      <c r="W17" s="48">
        <f t="shared" si="54"/>
        <v>0.15563294417952309</v>
      </c>
      <c r="X17" s="48">
        <f t="shared" si="54"/>
        <v>0.15385424056434197</v>
      </c>
      <c r="Y17" s="392">
        <f t="shared" si="54"/>
        <v>0.16497033529340757</v>
      </c>
      <c r="Z17" s="23">
        <f t="shared" si="54"/>
        <v>0.16341820651230843</v>
      </c>
      <c r="AA17" s="23">
        <f t="shared" si="54"/>
        <v>0.16703200450785835</v>
      </c>
      <c r="AB17" s="23">
        <f t="shared" si="54"/>
        <v>0.17160998974047464</v>
      </c>
      <c r="AC17" s="393">
        <f t="shared" si="54"/>
        <v>0.18124813122036648</v>
      </c>
      <c r="AD17" s="23">
        <f t="shared" si="54"/>
        <v>0.17794161299087485</v>
      </c>
      <c r="AE17" s="23">
        <f t="shared" si="54"/>
        <v>0.18152649362537615</v>
      </c>
      <c r="AF17" s="23">
        <f t="shared" si="54"/>
        <v>0.1840329751176619</v>
      </c>
      <c r="AG17" s="405">
        <f>AF17+AG18</f>
        <v>0.1850329751176619</v>
      </c>
      <c r="AH17" s="12"/>
      <c r="AI17" s="12"/>
      <c r="AJ17" s="383">
        <v>0.12919634973395544</v>
      </c>
      <c r="AK17" s="383">
        <v>9.5699194153984424E-2</v>
      </c>
      <c r="AL17" s="382"/>
      <c r="AM17" s="645" t="s">
        <v>556</v>
      </c>
      <c r="AN17" s="646">
        <v>7.0000000000000007E-2</v>
      </c>
      <c r="AO17" s="12"/>
      <c r="AP17" s="12"/>
      <c r="AQ17" s="12"/>
      <c r="AR17" s="12"/>
      <c r="AS17" s="379">
        <v>44159</v>
      </c>
      <c r="AT17" s="380">
        <v>39863.360000000001</v>
      </c>
      <c r="AU17" s="382"/>
      <c r="AV17" s="382"/>
      <c r="AW17" s="12"/>
      <c r="AX17" s="12"/>
      <c r="AY17" s="12"/>
      <c r="AZ17" s="12"/>
      <c r="BA17" s="12"/>
      <c r="BB17" s="12"/>
      <c r="BC17" s="12"/>
    </row>
    <row r="18" spans="1:55" s="555" customFormat="1" x14ac:dyDescent="0.25">
      <c r="A18" s="557"/>
      <c r="B18" s="552" t="s">
        <v>488</v>
      </c>
      <c r="C18" s="557"/>
      <c r="D18" s="557"/>
      <c r="E18" s="551"/>
      <c r="F18" s="550">
        <f>F17-E17</f>
        <v>1.2566065370098509E-2</v>
      </c>
      <c r="G18" s="550">
        <f t="shared" ref="G18:O18" si="55">G17-F17</f>
        <v>1.7031463260108126E-2</v>
      </c>
      <c r="H18" s="550">
        <f t="shared" si="55"/>
        <v>9.5248260437214988E-3</v>
      </c>
      <c r="I18" s="550">
        <f t="shared" si="55"/>
        <v>1.2987728434295562E-2</v>
      </c>
      <c r="J18" s="550">
        <f t="shared" si="55"/>
        <v>1.9540211010446257E-2</v>
      </c>
      <c r="K18" s="550">
        <f t="shared" si="55"/>
        <v>-7.3595776927325718E-3</v>
      </c>
      <c r="L18" s="550">
        <f t="shared" si="55"/>
        <v>1.2075562061954898E-2</v>
      </c>
      <c r="M18" s="550">
        <f t="shared" si="55"/>
        <v>1.2484525372106425E-2</v>
      </c>
      <c r="N18" s="550">
        <f t="shared" si="55"/>
        <v>1.627779592695891E-2</v>
      </c>
      <c r="O18" s="550">
        <f t="shared" si="55"/>
        <v>3.7848438972954146E-3</v>
      </c>
      <c r="P18" s="550">
        <f t="shared" ref="P18" si="56">P17-O17</f>
        <v>3.0000000000000027E-3</v>
      </c>
      <c r="Q18" s="550">
        <f t="shared" ref="Q18" si="57">Q17-P17</f>
        <v>3.0000000000000027E-3</v>
      </c>
      <c r="R18" s="550">
        <f t="shared" ref="R18" si="58">R17-Q17</f>
        <v>3.0000000000000027E-3</v>
      </c>
      <c r="S18" s="550">
        <f t="shared" ref="S18" si="59">S17-R17</f>
        <v>3.0000000000000027E-3</v>
      </c>
      <c r="T18" s="550">
        <f t="shared" ref="T18" si="60">T17-S17</f>
        <v>3.0000000000000027E-3</v>
      </c>
      <c r="V18" s="562">
        <f t="shared" ref="V18" si="61">V17-U17</f>
        <v>0.15241092849994475</v>
      </c>
      <c r="W18" s="562">
        <f t="shared" ref="W18" si="62">W17-V17</f>
        <v>3.2220156795783328E-3</v>
      </c>
      <c r="X18" s="562">
        <f t="shared" ref="X18" si="63">X17-W17</f>
        <v>-1.7787036151811209E-3</v>
      </c>
      <c r="Y18" s="563">
        <f t="shared" ref="Y18" si="64">Y17-X17</f>
        <v>1.1116094729065606E-2</v>
      </c>
      <c r="Z18" s="562">
        <f t="shared" ref="Z18" si="65">Z17-Y17</f>
        <v>-1.5521287810991435E-3</v>
      </c>
      <c r="AA18" s="562">
        <f t="shared" ref="AA18" si="66">AA17-Z17</f>
        <v>3.6137979955499222E-3</v>
      </c>
      <c r="AB18" s="562">
        <f t="shared" ref="AB18" si="67">AB17-AA17</f>
        <v>4.577985232616294E-3</v>
      </c>
      <c r="AC18" s="564">
        <f t="shared" ref="AC18" si="68">AC17-AB17</f>
        <v>9.6381414798918374E-3</v>
      </c>
      <c r="AD18" s="562">
        <f t="shared" ref="AD18" si="69">AD17-AC17</f>
        <v>-3.3065182294916284E-3</v>
      </c>
      <c r="AE18" s="562">
        <f t="shared" ref="AE18" si="70">AE17-AD17</f>
        <v>3.5848806345012973E-3</v>
      </c>
      <c r="AF18" s="562">
        <f t="shared" ref="AF18" si="71">AF17-AE17</f>
        <v>2.5064814922857448E-3</v>
      </c>
      <c r="AG18" s="564">
        <v>1E-3</v>
      </c>
      <c r="AH18" s="557"/>
      <c r="AI18" s="557"/>
      <c r="AJ18" s="383">
        <v>0.12335256670946837</v>
      </c>
      <c r="AK18" s="383">
        <v>0.13888192729913285</v>
      </c>
      <c r="AL18" s="561"/>
      <c r="AM18" s="645" t="s">
        <v>557</v>
      </c>
      <c r="AN18" s="646">
        <v>7.0000000000000007E-2</v>
      </c>
      <c r="AO18" s="557"/>
      <c r="AP18" s="557"/>
      <c r="AQ18" s="557"/>
      <c r="AR18" s="557"/>
      <c r="AS18" s="578">
        <v>44158</v>
      </c>
      <c r="AT18" s="579">
        <v>39632.519999999997</v>
      </c>
      <c r="AU18" s="561"/>
      <c r="AV18" s="561"/>
      <c r="AW18" s="557"/>
      <c r="AX18" s="557"/>
      <c r="AY18" s="557"/>
      <c r="AZ18" s="557"/>
      <c r="BA18" s="557"/>
      <c r="BB18" s="557"/>
      <c r="BC18" s="557"/>
    </row>
    <row r="19" spans="1:55" s="31" customFormat="1" x14ac:dyDescent="0.25">
      <c r="A19" s="12"/>
      <c r="B19" s="12" t="s">
        <v>429</v>
      </c>
      <c r="C19" s="12"/>
      <c r="D19" s="12"/>
      <c r="E19" s="391">
        <f t="shared" ref="E19:O19" si="72">E11/E9</f>
        <v>0.33602008921704352</v>
      </c>
      <c r="F19" s="391">
        <f t="shared" si="72"/>
        <v>0.32633855681081181</v>
      </c>
      <c r="G19" s="391">
        <f t="shared" si="72"/>
        <v>0.32616532707196727</v>
      </c>
      <c r="H19" s="391">
        <f t="shared" si="72"/>
        <v>0.33399898559269642</v>
      </c>
      <c r="I19" s="391">
        <f t="shared" si="72"/>
        <v>0.35562939889979889</v>
      </c>
      <c r="J19" s="391">
        <f t="shared" si="72"/>
        <v>0.34314251563636361</v>
      </c>
      <c r="K19" s="391">
        <f t="shared" si="72"/>
        <v>0.3585504462809917</v>
      </c>
      <c r="L19" s="391">
        <f t="shared" si="72"/>
        <v>0.35712483289124669</v>
      </c>
      <c r="M19" s="391">
        <f t="shared" si="72"/>
        <v>0.35653408624602811</v>
      </c>
      <c r="N19" s="391">
        <f t="shared" si="72"/>
        <v>0.35164734728506786</v>
      </c>
      <c r="O19" s="403">
        <f t="shared" si="72"/>
        <v>0.3595004839294545</v>
      </c>
      <c r="P19" s="404">
        <f>GEOMEAN(K19:O19)+0.3%</f>
        <v>0.3596610138980661</v>
      </c>
      <c r="Q19" s="404">
        <f t="shared" ref="Q19:T19" si="73">GEOMEAN(L19:P19)+0.3%</f>
        <v>0.3598816837324097</v>
      </c>
      <c r="R19" s="404">
        <f t="shared" si="73"/>
        <v>0.36043098495966863</v>
      </c>
      <c r="S19" s="404">
        <f t="shared" si="73"/>
        <v>0.3612089315420543</v>
      </c>
      <c r="T19" s="404">
        <f t="shared" si="73"/>
        <v>0.36313608349725035</v>
      </c>
      <c r="U19" s="33"/>
      <c r="V19" s="48">
        <f t="shared" ref="V19:AF19" si="74">V11/V9</f>
        <v>0.34945654331941545</v>
      </c>
      <c r="W19" s="48">
        <f t="shared" si="74"/>
        <v>0.34790777717658633</v>
      </c>
      <c r="X19" s="48">
        <f t="shared" si="74"/>
        <v>0.35473184039900246</v>
      </c>
      <c r="Y19" s="392">
        <f t="shared" si="74"/>
        <v>0.35654877167498866</v>
      </c>
      <c r="Z19" s="23">
        <f t="shared" si="74"/>
        <v>0.34992358344702135</v>
      </c>
      <c r="AA19" s="23">
        <f t="shared" si="74"/>
        <v>0.34857196894409942</v>
      </c>
      <c r="AB19" s="23">
        <f t="shared" si="74"/>
        <v>0.34853608433734939</v>
      </c>
      <c r="AC19" s="393">
        <f t="shared" si="74"/>
        <v>0.3516512496229261</v>
      </c>
      <c r="AD19" s="23">
        <f t="shared" si="74"/>
        <v>0.34492098603061377</v>
      </c>
      <c r="AE19" s="23">
        <f t="shared" si="74"/>
        <v>0.35486067651052272</v>
      </c>
      <c r="AF19" s="23">
        <f t="shared" si="74"/>
        <v>0.35950048392945444</v>
      </c>
      <c r="AG19" s="405">
        <f>AF19</f>
        <v>0.35950048392945444</v>
      </c>
      <c r="AH19" s="12"/>
      <c r="AI19" s="12"/>
      <c r="AJ19" s="382"/>
      <c r="AK19" s="382"/>
      <c r="AL19" s="382"/>
      <c r="AM19" s="645" t="s">
        <v>558</v>
      </c>
      <c r="AN19" s="646">
        <v>7.0000000000000007E-2</v>
      </c>
      <c r="AO19" s="12"/>
      <c r="AP19" s="12"/>
      <c r="AQ19" s="12"/>
      <c r="AR19" s="12"/>
      <c r="AS19" s="379">
        <v>44155</v>
      </c>
      <c r="AT19" s="380">
        <v>40187.18</v>
      </c>
      <c r="AU19" s="382"/>
      <c r="AV19" s="382"/>
      <c r="AW19" s="12"/>
      <c r="AX19" s="12"/>
      <c r="AY19" s="12"/>
      <c r="AZ19" s="12"/>
      <c r="BA19" s="12"/>
      <c r="BB19" s="12"/>
      <c r="BC19" s="12"/>
    </row>
    <row r="20" spans="1:55" s="555" customFormat="1" x14ac:dyDescent="0.25">
      <c r="B20" s="589" t="s">
        <v>488</v>
      </c>
      <c r="C20" s="557"/>
      <c r="D20" s="557"/>
      <c r="E20" s="551"/>
      <c r="F20" s="551">
        <f>F19-E19</f>
        <v>-9.6815324062317076E-3</v>
      </c>
      <c r="G20" s="551">
        <f t="shared" ref="G20:T20" si="75">G19-F19</f>
        <v>-1.7322973884453807E-4</v>
      </c>
      <c r="H20" s="551">
        <f t="shared" si="75"/>
        <v>7.8336585207291476E-3</v>
      </c>
      <c r="I20" s="551">
        <f t="shared" si="75"/>
        <v>2.163041330710247E-2</v>
      </c>
      <c r="J20" s="551">
        <f t="shared" si="75"/>
        <v>-1.2486883263435278E-2</v>
      </c>
      <c r="K20" s="551">
        <f t="shared" si="75"/>
        <v>1.5407930644628087E-2</v>
      </c>
      <c r="L20" s="551">
        <f t="shared" si="75"/>
        <v>-1.4256133897450063E-3</v>
      </c>
      <c r="M20" s="551">
        <f t="shared" si="75"/>
        <v>-5.9074664521857612E-4</v>
      </c>
      <c r="N20" s="551">
        <f t="shared" si="75"/>
        <v>-4.8867389609602574E-3</v>
      </c>
      <c r="O20" s="551">
        <f t="shared" si="75"/>
        <v>7.8531366443866379E-3</v>
      </c>
      <c r="P20" s="556">
        <f t="shared" si="75"/>
        <v>1.6052996861160018E-4</v>
      </c>
      <c r="Q20" s="556">
        <f t="shared" si="75"/>
        <v>2.2066983434360088E-4</v>
      </c>
      <c r="R20" s="556">
        <f t="shared" si="75"/>
        <v>5.4930122725893593E-4</v>
      </c>
      <c r="S20" s="556">
        <f t="shared" si="75"/>
        <v>7.7794658238566905E-4</v>
      </c>
      <c r="T20" s="556">
        <f t="shared" si="75"/>
        <v>1.9271519551960492E-3</v>
      </c>
      <c r="V20" s="556"/>
      <c r="W20" s="556"/>
      <c r="X20" s="556"/>
      <c r="Y20" s="558"/>
      <c r="Z20" s="559"/>
      <c r="AA20" s="559"/>
      <c r="AB20" s="559"/>
      <c r="AC20" s="560"/>
      <c r="AD20" s="559"/>
      <c r="AE20" s="559"/>
      <c r="AF20" s="559"/>
      <c r="AG20" s="560"/>
      <c r="AH20" s="557"/>
      <c r="AI20" s="557"/>
      <c r="AJ20" s="561"/>
      <c r="AK20" s="561"/>
      <c r="AL20" s="561"/>
      <c r="AM20" s="645" t="s">
        <v>559</v>
      </c>
      <c r="AN20" s="646">
        <v>7.0000000000000007E-2</v>
      </c>
      <c r="AO20" s="557"/>
      <c r="AP20" s="557"/>
      <c r="AQ20" s="557"/>
      <c r="AR20" s="557"/>
      <c r="AS20" s="379">
        <v>44154</v>
      </c>
      <c r="AT20" s="380">
        <v>40540.699999999997</v>
      </c>
      <c r="AU20" s="561"/>
      <c r="AV20" s="561"/>
      <c r="AW20" s="557"/>
      <c r="AX20" s="557"/>
      <c r="AY20" s="557"/>
      <c r="AZ20" s="557"/>
      <c r="BA20" s="557"/>
      <c r="BB20" s="557"/>
      <c r="BC20" s="557"/>
    </row>
    <row r="21" spans="1:55" s="31" customFormat="1" ht="15.75" x14ac:dyDescent="0.25">
      <c r="B21" s="590"/>
      <c r="C21" s="590"/>
      <c r="D21" s="590"/>
      <c r="E21" s="591"/>
      <c r="F21" s="592"/>
      <c r="G21" s="591"/>
      <c r="H21" s="591"/>
      <c r="I21" s="591"/>
      <c r="J21" s="591"/>
      <c r="K21" s="591"/>
      <c r="L21" s="591"/>
      <c r="M21" s="591"/>
      <c r="N21" s="591"/>
      <c r="O21" s="593"/>
      <c r="P21" s="594"/>
      <c r="Q21" s="594"/>
      <c r="R21" s="594"/>
      <c r="S21" s="594"/>
      <c r="T21" s="594"/>
      <c r="U21" s="595"/>
      <c r="V21" s="596"/>
      <c r="W21" s="596"/>
      <c r="X21" s="596"/>
      <c r="Y21" s="597"/>
      <c r="Z21" s="596"/>
      <c r="AA21" s="596"/>
      <c r="AB21" s="596"/>
      <c r="AC21" s="598"/>
      <c r="AD21" s="596"/>
      <c r="AE21" s="596"/>
      <c r="AF21" s="596"/>
      <c r="AG21" s="599"/>
      <c r="AJ21" s="382"/>
      <c r="AK21" s="382"/>
      <c r="AL21" s="382"/>
      <c r="AM21" s="647" t="s">
        <v>560</v>
      </c>
      <c r="AN21" s="648">
        <f>AVERAGE(AN9:AN20)</f>
        <v>9.0000000000000024E-2</v>
      </c>
      <c r="AS21" s="379">
        <v>44153</v>
      </c>
      <c r="AT21" s="380">
        <v>40514.67</v>
      </c>
      <c r="AU21" s="382"/>
      <c r="AV21" s="382"/>
    </row>
    <row r="22" spans="1:55" s="31" customFormat="1" x14ac:dyDescent="0.25">
      <c r="E22" s="573"/>
      <c r="F22" s="574"/>
      <c r="G22" s="573"/>
      <c r="H22" s="573"/>
      <c r="I22" s="573"/>
      <c r="J22" s="573"/>
      <c r="K22" s="573"/>
      <c r="L22" s="573"/>
      <c r="M22" s="573"/>
      <c r="N22" s="573"/>
      <c r="O22" s="583"/>
      <c r="P22" s="575"/>
      <c r="Q22" s="575"/>
      <c r="R22" s="575"/>
      <c r="S22" s="575"/>
      <c r="T22" s="575"/>
      <c r="U22" s="33"/>
      <c r="V22" s="21"/>
      <c r="W22" s="21"/>
      <c r="X22" s="21"/>
      <c r="Y22" s="41"/>
      <c r="Z22" s="21"/>
      <c r="AA22" s="21"/>
      <c r="AB22" s="21"/>
      <c r="AC22" s="43"/>
      <c r="AD22" s="21"/>
      <c r="AE22" s="21"/>
      <c r="AF22" s="21"/>
      <c r="AG22" s="628"/>
      <c r="AJ22" s="382"/>
      <c r="AK22" s="382"/>
      <c r="AL22" s="382"/>
      <c r="AS22" s="379"/>
      <c r="AT22" s="380"/>
      <c r="AU22" s="382"/>
      <c r="AV22" s="382"/>
    </row>
    <row r="23" spans="1:55" s="31" customFormat="1" x14ac:dyDescent="0.25">
      <c r="B23" s="585" t="s">
        <v>526</v>
      </c>
      <c r="C23" s="585"/>
      <c r="D23" s="585"/>
      <c r="E23" s="573"/>
      <c r="F23" s="574"/>
      <c r="G23" s="573"/>
      <c r="H23" s="573"/>
      <c r="I23" s="573"/>
      <c r="J23" s="573"/>
      <c r="K23" s="573"/>
      <c r="L23" s="573"/>
      <c r="M23" s="573"/>
      <c r="N23" s="573"/>
      <c r="O23" s="583"/>
      <c r="P23" s="575"/>
      <c r="Q23" s="575"/>
      <c r="R23" s="575"/>
      <c r="S23" s="575"/>
      <c r="T23" s="575"/>
      <c r="U23" s="33"/>
      <c r="V23" s="21"/>
      <c r="W23" s="21"/>
      <c r="X23" s="21"/>
      <c r="Y23" s="41"/>
      <c r="Z23" s="21"/>
      <c r="AA23" s="21"/>
      <c r="AB23" s="21"/>
      <c r="AC23" s="43"/>
      <c r="AD23" s="21"/>
      <c r="AE23" s="21"/>
      <c r="AF23" s="21"/>
      <c r="AG23" s="628"/>
      <c r="AJ23" s="382"/>
      <c r="AK23" s="382"/>
      <c r="AL23" s="382"/>
      <c r="AS23" s="379"/>
      <c r="AT23" s="380"/>
      <c r="AU23" s="382"/>
      <c r="AV23" s="382"/>
    </row>
    <row r="24" spans="1:55" s="31" customFormat="1" x14ac:dyDescent="0.25">
      <c r="A24" s="12"/>
      <c r="B24" s="12"/>
      <c r="C24" s="12"/>
      <c r="D24" s="12"/>
      <c r="E24" s="373"/>
      <c r="F24" s="373"/>
      <c r="G24" s="373"/>
      <c r="H24" s="373"/>
      <c r="I24" s="373"/>
      <c r="J24" s="373"/>
      <c r="K24" s="373"/>
      <c r="L24" s="373"/>
      <c r="M24" s="373"/>
      <c r="N24" s="373"/>
      <c r="O24" s="374"/>
      <c r="P24" s="377"/>
      <c r="Q24" s="377"/>
      <c r="R24" s="377"/>
      <c r="S24" s="377"/>
      <c r="T24" s="377"/>
      <c r="U24" s="33"/>
      <c r="V24" s="22"/>
      <c r="W24" s="22"/>
      <c r="X24" s="22"/>
      <c r="Y24" s="41"/>
      <c r="Z24" s="21"/>
      <c r="AA24" s="21"/>
      <c r="AB24" s="21"/>
      <c r="AC24" s="43"/>
      <c r="AD24" s="21"/>
      <c r="AE24" s="21"/>
      <c r="AF24" s="21"/>
      <c r="AG24" s="628"/>
      <c r="AJ24" s="398" t="s">
        <v>407</v>
      </c>
      <c r="AK24" s="398"/>
      <c r="AL24" s="382"/>
      <c r="AS24" s="379">
        <v>44152</v>
      </c>
      <c r="AT24" s="380">
        <v>40652.67</v>
      </c>
    </row>
    <row r="25" spans="1:55" s="31" customFormat="1" x14ac:dyDescent="0.25">
      <c r="A25" s="12"/>
      <c r="B25" s="394" t="s">
        <v>358</v>
      </c>
      <c r="C25" s="12"/>
      <c r="D25" s="12"/>
      <c r="E25" s="395" t="s">
        <v>148</v>
      </c>
      <c r="F25" s="395" t="s">
        <v>148</v>
      </c>
      <c r="G25" s="395" t="s">
        <v>148</v>
      </c>
      <c r="H25" s="395" t="s">
        <v>148</v>
      </c>
      <c r="I25" s="395">
        <v>0.10078518139367815</v>
      </c>
      <c r="J25" s="395">
        <v>8.1941215025558248E-2</v>
      </c>
      <c r="K25" s="395">
        <v>6.2551930195663658E-2</v>
      </c>
      <c r="L25" s="395">
        <v>6.1600000000000002E-2</v>
      </c>
      <c r="M25" s="395">
        <v>7.4916666666666659E-2</v>
      </c>
      <c r="N25" s="395">
        <v>0.12420833333333334</v>
      </c>
      <c r="O25" s="569">
        <f>O26+O27</f>
        <v>9.5000000000000001E-2</v>
      </c>
      <c r="P25" s="569">
        <f t="shared" ref="P25:T25" si="76">P26+P27</f>
        <v>8.5000000000000006E-2</v>
      </c>
      <c r="Q25" s="569">
        <f t="shared" si="76"/>
        <v>9.0000000000000011E-2</v>
      </c>
      <c r="R25" s="569">
        <f t="shared" si="76"/>
        <v>9.0000000000000011E-2</v>
      </c>
      <c r="S25" s="569">
        <f t="shared" si="76"/>
        <v>9.0000000000000011E-2</v>
      </c>
      <c r="T25" s="569">
        <f t="shared" si="76"/>
        <v>9.0000000000000011E-2</v>
      </c>
      <c r="U25" s="33"/>
      <c r="V25" s="48">
        <f>$M25</f>
        <v>7.4916666666666659E-2</v>
      </c>
      <c r="W25" s="48">
        <f t="shared" ref="W25:Y25" si="77">$M25</f>
        <v>7.4916666666666659E-2</v>
      </c>
      <c r="X25" s="48">
        <f t="shared" si="77"/>
        <v>7.4916666666666659E-2</v>
      </c>
      <c r="Y25" s="392">
        <f t="shared" si="77"/>
        <v>7.4916666666666659E-2</v>
      </c>
      <c r="Z25" s="397">
        <f>$N25</f>
        <v>0.12420833333333334</v>
      </c>
      <c r="AA25" s="23">
        <f t="shared" ref="AA25:AC25" si="78">$N25</f>
        <v>0.12420833333333334</v>
      </c>
      <c r="AB25" s="23">
        <f t="shared" si="78"/>
        <v>0.12420833333333334</v>
      </c>
      <c r="AC25" s="393">
        <f t="shared" si="78"/>
        <v>0.12420833333333334</v>
      </c>
      <c r="AD25" s="23">
        <f>AD26+AD27</f>
        <v>0.13500000000000001</v>
      </c>
      <c r="AE25" s="23">
        <f t="shared" ref="AE25:AG25" si="79">AE26+AE27</f>
        <v>9.5000000000000015E-2</v>
      </c>
      <c r="AF25" s="23">
        <f t="shared" si="79"/>
        <v>7.5000000000000011E-2</v>
      </c>
      <c r="AG25" s="671">
        <f t="shared" si="79"/>
        <v>7.5000000000000011E-2</v>
      </c>
      <c r="AJ25" s="398"/>
      <c r="AK25" s="398"/>
      <c r="AL25" s="382"/>
      <c r="AS25" s="379">
        <v>44151</v>
      </c>
      <c r="AT25" s="380">
        <v>40504.75</v>
      </c>
    </row>
    <row r="26" spans="1:55" s="31" customFormat="1" x14ac:dyDescent="0.25">
      <c r="A26" s="12"/>
      <c r="B26" s="394" t="s">
        <v>359</v>
      </c>
      <c r="C26" s="12"/>
      <c r="D26" s="12"/>
      <c r="E26" s="395" t="s">
        <v>148</v>
      </c>
      <c r="F26" s="395" t="s">
        <v>148</v>
      </c>
      <c r="G26" s="395" t="s">
        <v>148</v>
      </c>
      <c r="H26" s="395" t="s">
        <v>148</v>
      </c>
      <c r="I26" s="395">
        <v>9.9351851851851858E-2</v>
      </c>
      <c r="J26" s="395">
        <v>7.252380952380949E-2</v>
      </c>
      <c r="K26" s="395">
        <v>5.8125000000000003E-2</v>
      </c>
      <c r="L26" s="395">
        <v>5.7500000000000002E-2</v>
      </c>
      <c r="M26" s="395">
        <v>7.0916666666666656E-2</v>
      </c>
      <c r="N26" s="395">
        <v>0.12020833333333333</v>
      </c>
      <c r="O26" s="569">
        <v>0.09</v>
      </c>
      <c r="P26" s="569">
        <v>0.08</v>
      </c>
      <c r="Q26" s="569">
        <v>8.5000000000000006E-2</v>
      </c>
      <c r="R26" s="569">
        <v>8.5000000000000006E-2</v>
      </c>
      <c r="S26" s="569">
        <v>8.5000000000000006E-2</v>
      </c>
      <c r="T26" s="569">
        <v>8.5000000000000006E-2</v>
      </c>
      <c r="U26" s="33"/>
      <c r="V26" s="48">
        <f t="shared" ref="V26:Y28" si="80">$M26</f>
        <v>7.0916666666666656E-2</v>
      </c>
      <c r="W26" s="48">
        <f t="shared" si="80"/>
        <v>7.0916666666666656E-2</v>
      </c>
      <c r="X26" s="48">
        <f t="shared" si="80"/>
        <v>7.0916666666666656E-2</v>
      </c>
      <c r="Y26" s="392">
        <f t="shared" si="80"/>
        <v>7.0916666666666656E-2</v>
      </c>
      <c r="Z26" s="397">
        <f t="shared" ref="Z26:AC28" si="81">$N26</f>
        <v>0.12020833333333333</v>
      </c>
      <c r="AA26" s="23">
        <f t="shared" si="81"/>
        <v>0.12020833333333333</v>
      </c>
      <c r="AB26" s="23">
        <f t="shared" si="81"/>
        <v>0.12020833333333333</v>
      </c>
      <c r="AC26" s="393">
        <f t="shared" si="81"/>
        <v>0.12020833333333333</v>
      </c>
      <c r="AD26" s="23">
        <f>AVERAGE(AN9:AN11)</f>
        <v>0.13</v>
      </c>
      <c r="AE26" s="23">
        <f>AVERAGE(AN12:AN14)</f>
        <v>9.0000000000000011E-2</v>
      </c>
      <c r="AF26" s="23">
        <v>7.0000000000000007E-2</v>
      </c>
      <c r="AG26" s="405">
        <v>7.0000000000000007E-2</v>
      </c>
      <c r="AJ26" s="38" t="s">
        <v>408</v>
      </c>
      <c r="AK26" s="38"/>
      <c r="AL26" s="398"/>
      <c r="AM26" s="398"/>
      <c r="AN26" s="398"/>
      <c r="AO26" s="398"/>
      <c r="AP26" s="398"/>
      <c r="AQ26" s="398"/>
      <c r="AR26" s="398"/>
      <c r="AS26" s="379">
        <v>44148</v>
      </c>
      <c r="AT26" s="380">
        <v>40569.35</v>
      </c>
      <c r="AU26" s="398"/>
      <c r="AV26" s="398"/>
      <c r="AW26" s="398"/>
      <c r="AX26" s="398"/>
      <c r="AY26" s="398"/>
      <c r="AZ26" s="398"/>
      <c r="BA26" s="398"/>
      <c r="BB26" s="398"/>
      <c r="BC26" s="398"/>
    </row>
    <row r="27" spans="1:55" s="31" customFormat="1" x14ac:dyDescent="0.25">
      <c r="A27" s="12"/>
      <c r="B27" s="399" t="s">
        <v>542</v>
      </c>
      <c r="C27" s="12"/>
      <c r="D27" s="12"/>
      <c r="E27" s="395" t="e">
        <f>E25-E26</f>
        <v>#VALUE!</v>
      </c>
      <c r="F27" s="395" t="e">
        <f t="shared" ref="F27:N27" si="82">F25-F26</f>
        <v>#VALUE!</v>
      </c>
      <c r="G27" s="395" t="e">
        <f t="shared" si="82"/>
        <v>#VALUE!</v>
      </c>
      <c r="H27" s="395" t="e">
        <f t="shared" si="82"/>
        <v>#VALUE!</v>
      </c>
      <c r="I27" s="395">
        <f t="shared" si="82"/>
        <v>1.4333295418262892E-3</v>
      </c>
      <c r="J27" s="395">
        <f t="shared" si="82"/>
        <v>9.4174055017487573E-3</v>
      </c>
      <c r="K27" s="395">
        <f t="shared" si="82"/>
        <v>4.4269301956636545E-3</v>
      </c>
      <c r="L27" s="395">
        <f t="shared" si="82"/>
        <v>4.0999999999999995E-3</v>
      </c>
      <c r="M27" s="395">
        <f t="shared" si="82"/>
        <v>4.0000000000000036E-3</v>
      </c>
      <c r="N27" s="395">
        <f t="shared" si="82"/>
        <v>4.0000000000000036E-3</v>
      </c>
      <c r="O27" s="569">
        <v>5.0000000000000001E-3</v>
      </c>
      <c r="P27" s="569">
        <v>5.0000000000000001E-3</v>
      </c>
      <c r="Q27" s="569">
        <v>5.0000000000000001E-3</v>
      </c>
      <c r="R27" s="569">
        <v>5.0000000000000001E-3</v>
      </c>
      <c r="S27" s="569">
        <v>5.0000000000000001E-3</v>
      </c>
      <c r="T27" s="569">
        <v>5.0000000000000001E-3</v>
      </c>
      <c r="U27" s="33"/>
      <c r="V27" s="48">
        <f t="shared" si="80"/>
        <v>4.0000000000000036E-3</v>
      </c>
      <c r="W27" s="48">
        <f t="shared" si="80"/>
        <v>4.0000000000000036E-3</v>
      </c>
      <c r="X27" s="48">
        <f t="shared" si="80"/>
        <v>4.0000000000000036E-3</v>
      </c>
      <c r="Y27" s="392">
        <f t="shared" si="80"/>
        <v>4.0000000000000036E-3</v>
      </c>
      <c r="Z27" s="397">
        <f t="shared" si="81"/>
        <v>4.0000000000000036E-3</v>
      </c>
      <c r="AA27" s="23">
        <f t="shared" si="81"/>
        <v>4.0000000000000036E-3</v>
      </c>
      <c r="AB27" s="23">
        <f t="shared" si="81"/>
        <v>4.0000000000000036E-3</v>
      </c>
      <c r="AC27" s="393">
        <f t="shared" si="81"/>
        <v>4.0000000000000036E-3</v>
      </c>
      <c r="AD27" s="23">
        <f t="shared" ref="AD27:AG28" si="83">$O27</f>
        <v>5.0000000000000001E-3</v>
      </c>
      <c r="AE27" s="23">
        <f t="shared" si="83"/>
        <v>5.0000000000000001E-3</v>
      </c>
      <c r="AF27" s="23">
        <f t="shared" si="83"/>
        <v>5.0000000000000001E-3</v>
      </c>
      <c r="AG27" s="405">
        <f t="shared" si="83"/>
        <v>5.0000000000000001E-3</v>
      </c>
      <c r="AJ27" s="28" t="s">
        <v>409</v>
      </c>
      <c r="AK27" s="28">
        <v>0.56035493436473027</v>
      </c>
      <c r="AL27" s="398"/>
      <c r="AM27" s="398"/>
      <c r="AN27" s="398"/>
      <c r="AO27" s="398"/>
      <c r="AP27" s="398"/>
      <c r="AQ27" s="398"/>
      <c r="AR27" s="398"/>
      <c r="AS27" s="379">
        <v>44147</v>
      </c>
      <c r="AT27" s="380">
        <v>40564.550000000003</v>
      </c>
      <c r="AU27" s="398"/>
      <c r="AV27" s="398"/>
      <c r="AW27" s="398"/>
      <c r="AX27" s="398"/>
      <c r="AY27" s="398"/>
      <c r="AZ27" s="398"/>
      <c r="BA27" s="398"/>
      <c r="BB27" s="398"/>
      <c r="BC27" s="398"/>
    </row>
    <row r="28" spans="1:55" s="31" customFormat="1" x14ac:dyDescent="0.25">
      <c r="A28" s="12"/>
      <c r="B28" s="394" t="s">
        <v>360</v>
      </c>
      <c r="C28" s="12"/>
      <c r="D28" s="12"/>
      <c r="E28" s="395" t="s">
        <v>148</v>
      </c>
      <c r="F28" s="395" t="s">
        <v>148</v>
      </c>
      <c r="G28" s="395" t="s">
        <v>148</v>
      </c>
      <c r="H28" s="395" t="s">
        <v>148</v>
      </c>
      <c r="I28" s="395">
        <v>3.288049700754617E-3</v>
      </c>
      <c r="J28" s="395">
        <v>4.8224549485416752E-3</v>
      </c>
      <c r="K28" s="395">
        <v>1.0513934426229507E-2</v>
      </c>
      <c r="L28" s="395">
        <v>1.4874999999999999E-2</v>
      </c>
      <c r="M28" s="395">
        <v>1.9375000000000003E-2</v>
      </c>
      <c r="N28" s="395">
        <v>0.02</v>
      </c>
      <c r="O28" s="569">
        <f>GEOMEAN(I28:N28)</f>
        <v>9.9338305975907489E-3</v>
      </c>
      <c r="P28" s="569">
        <f t="shared" ref="P28" si="84">GEOMEAN(J28:O28)</f>
        <v>1.1943908811791203E-2</v>
      </c>
      <c r="Q28" s="569">
        <f t="shared" ref="Q28" si="85">GEOMEAN(K28:P28)</f>
        <v>1.3892898484473939E-2</v>
      </c>
      <c r="R28" s="569">
        <f t="shared" ref="R28" si="86">GEOMEAN(L28:Q28)</f>
        <v>1.4553388694319599E-2</v>
      </c>
      <c r="S28" s="569">
        <f t="shared" ref="S28" si="87">GEOMEAN(M28:R28)</f>
        <v>1.4500466949049934E-2</v>
      </c>
      <c r="T28" s="569">
        <f t="shared" ref="T28" si="88">GEOMEAN(N28:S28)</f>
        <v>1.381673306354734E-2</v>
      </c>
      <c r="U28" s="33"/>
      <c r="V28" s="48">
        <f t="shared" si="80"/>
        <v>1.9375000000000003E-2</v>
      </c>
      <c r="W28" s="48">
        <f t="shared" si="80"/>
        <v>1.9375000000000003E-2</v>
      </c>
      <c r="X28" s="48">
        <f t="shared" si="80"/>
        <v>1.9375000000000003E-2</v>
      </c>
      <c r="Y28" s="392">
        <f t="shared" si="80"/>
        <v>1.9375000000000003E-2</v>
      </c>
      <c r="Z28" s="397">
        <f t="shared" si="81"/>
        <v>0.02</v>
      </c>
      <c r="AA28" s="23">
        <f t="shared" si="81"/>
        <v>0.02</v>
      </c>
      <c r="AB28" s="23">
        <f t="shared" si="81"/>
        <v>0.02</v>
      </c>
      <c r="AC28" s="393">
        <f t="shared" si="81"/>
        <v>0.02</v>
      </c>
      <c r="AD28" s="23">
        <f t="shared" si="83"/>
        <v>9.9338305975907489E-3</v>
      </c>
      <c r="AE28" s="23">
        <f t="shared" si="83"/>
        <v>9.9338305975907489E-3</v>
      </c>
      <c r="AF28" s="23">
        <f t="shared" si="83"/>
        <v>9.9338305975907489E-3</v>
      </c>
      <c r="AG28" s="405">
        <f t="shared" si="83"/>
        <v>9.9338305975907489E-3</v>
      </c>
      <c r="AJ28" s="28" t="s">
        <v>410</v>
      </c>
      <c r="AK28" s="28">
        <v>0.31399765246690114</v>
      </c>
      <c r="AL28" s="398"/>
      <c r="AM28" s="398"/>
      <c r="AN28" s="398"/>
      <c r="AO28" s="398"/>
      <c r="AP28" s="398"/>
      <c r="AQ28" s="398"/>
      <c r="AR28" s="398"/>
      <c r="AS28" s="379">
        <v>44146</v>
      </c>
      <c r="AT28" s="380">
        <v>41197.32</v>
      </c>
      <c r="AU28" s="38"/>
      <c r="AV28" s="38"/>
      <c r="AW28" s="398"/>
      <c r="AX28" s="398"/>
      <c r="AY28" s="398"/>
      <c r="AZ28" s="398"/>
      <c r="BA28" s="398"/>
      <c r="BB28" s="398"/>
      <c r="BC28" s="398"/>
    </row>
    <row r="29" spans="1:55" s="31" customFormat="1" x14ac:dyDescent="0.25">
      <c r="B29" s="603"/>
      <c r="C29" s="590"/>
      <c r="D29" s="590"/>
      <c r="E29" s="604"/>
      <c r="F29" s="604"/>
      <c r="G29" s="604"/>
      <c r="H29" s="604"/>
      <c r="I29" s="604"/>
      <c r="J29" s="604"/>
      <c r="K29" s="604"/>
      <c r="L29" s="604"/>
      <c r="M29" s="604"/>
      <c r="N29" s="604"/>
      <c r="O29" s="605"/>
      <c r="P29" s="605"/>
      <c r="Q29" s="605"/>
      <c r="R29" s="605"/>
      <c r="S29" s="605"/>
      <c r="T29" s="605"/>
      <c r="U29" s="595"/>
      <c r="V29" s="596"/>
      <c r="W29" s="596"/>
      <c r="X29" s="596"/>
      <c r="Y29" s="597"/>
      <c r="Z29" s="596"/>
      <c r="AA29" s="596"/>
      <c r="AB29" s="596"/>
      <c r="AC29" s="598"/>
      <c r="AD29" s="596"/>
      <c r="AE29" s="596"/>
      <c r="AF29" s="596"/>
      <c r="AG29" s="629"/>
      <c r="AJ29" s="28" t="s">
        <v>411</v>
      </c>
      <c r="AK29" s="28">
        <v>0.22824735902526377</v>
      </c>
      <c r="AL29" s="398"/>
      <c r="AM29" s="398"/>
      <c r="AN29" s="398"/>
      <c r="AO29" s="398"/>
      <c r="AP29" s="398"/>
      <c r="AQ29" s="398"/>
      <c r="AR29" s="398"/>
      <c r="AS29" s="379">
        <v>44145</v>
      </c>
      <c r="AT29" s="380">
        <v>41153.050000000003</v>
      </c>
      <c r="AU29" s="28"/>
      <c r="AV29" s="28"/>
      <c r="AW29" s="398"/>
      <c r="AX29" s="398"/>
      <c r="AY29" s="398"/>
      <c r="AZ29" s="398"/>
      <c r="BA29" s="398"/>
      <c r="BB29" s="398"/>
      <c r="BC29" s="398"/>
    </row>
    <row r="30" spans="1:55" s="31" customFormat="1" x14ac:dyDescent="0.25">
      <c r="B30" s="394"/>
      <c r="C30" s="12"/>
      <c r="D30" s="12"/>
      <c r="E30" s="395"/>
      <c r="F30" s="395"/>
      <c r="G30" s="395"/>
      <c r="H30" s="395"/>
      <c r="I30" s="395"/>
      <c r="J30" s="395"/>
      <c r="K30" s="395"/>
      <c r="L30" s="395"/>
      <c r="M30" s="395"/>
      <c r="N30" s="395"/>
      <c r="O30" s="396"/>
      <c r="P30" s="396"/>
      <c r="Q30" s="396"/>
      <c r="R30" s="396"/>
      <c r="S30" s="396"/>
      <c r="T30" s="396"/>
      <c r="U30" s="33"/>
      <c r="V30" s="22"/>
      <c r="W30" s="22"/>
      <c r="X30" s="22"/>
      <c r="Y30" s="41"/>
      <c r="Z30" s="21"/>
      <c r="AA30" s="21"/>
      <c r="AB30" s="21"/>
      <c r="AC30" s="43"/>
      <c r="AD30" s="21"/>
      <c r="AE30" s="21"/>
      <c r="AF30" s="21"/>
      <c r="AG30" s="581"/>
      <c r="AJ30" s="28" t="s">
        <v>412</v>
      </c>
      <c r="AK30" s="28">
        <v>3.0362524066538301E-2</v>
      </c>
      <c r="AL30" s="398"/>
      <c r="AM30" s="398"/>
      <c r="AN30" s="398"/>
      <c r="AO30" s="398"/>
      <c r="AP30" s="398"/>
      <c r="AQ30" s="398"/>
      <c r="AR30" s="398"/>
      <c r="AS30" s="379">
        <v>44144</v>
      </c>
      <c r="AT30" s="380">
        <v>40784.04</v>
      </c>
      <c r="AU30" s="28"/>
      <c r="AV30" s="28"/>
      <c r="AW30" s="398"/>
      <c r="AX30" s="398"/>
      <c r="AY30" s="398"/>
      <c r="AZ30" s="398"/>
      <c r="BA30" s="398"/>
      <c r="BB30" s="398"/>
      <c r="BC30" s="398"/>
    </row>
    <row r="31" spans="1:55" s="31" customFormat="1" x14ac:dyDescent="0.25">
      <c r="B31" s="12" t="s">
        <v>354</v>
      </c>
      <c r="C31" s="12"/>
      <c r="D31" s="12"/>
      <c r="E31" s="401">
        <v>0.12939000000000001</v>
      </c>
      <c r="F31" s="391">
        <v>0.119160927116277</v>
      </c>
      <c r="G31" s="391">
        <v>9.6823518605567996E-2</v>
      </c>
      <c r="H31" s="391">
        <v>7.6921561189956994E-2</v>
      </c>
      <c r="I31" s="391">
        <v>7.1893840284702498E-2</v>
      </c>
      <c r="J31" s="391">
        <v>2.5293281725422601E-2</v>
      </c>
      <c r="K31" s="391">
        <v>3.7651191635658401E-2</v>
      </c>
      <c r="L31" s="391">
        <v>4.0853736803260397E-2</v>
      </c>
      <c r="M31" s="391">
        <v>5.0780572586891698E-2</v>
      </c>
      <c r="N31" s="391">
        <v>0.10578361800455501</v>
      </c>
      <c r="O31" s="403">
        <v>0.107</v>
      </c>
      <c r="P31" s="570">
        <v>8.7999999999999995E-2</v>
      </c>
      <c r="Q31" s="403">
        <v>7.2999999999999995E-2</v>
      </c>
      <c r="R31" s="403">
        <v>6.5000000000000002E-2</v>
      </c>
      <c r="S31" s="403">
        <v>6.5000000000000002E-2</v>
      </c>
      <c r="T31" s="403">
        <v>6.5000000000000002E-2</v>
      </c>
      <c r="U31" s="33"/>
      <c r="V31" s="48">
        <f>$M31</f>
        <v>5.0780572586891698E-2</v>
      </c>
      <c r="W31" s="48">
        <f t="shared" ref="W31:Y31" si="89">$M31</f>
        <v>5.0780572586891698E-2</v>
      </c>
      <c r="X31" s="48">
        <f t="shared" si="89"/>
        <v>5.0780572586891698E-2</v>
      </c>
      <c r="Y31" s="392">
        <f t="shared" si="89"/>
        <v>5.0780572586891698E-2</v>
      </c>
      <c r="Z31" s="48">
        <f>$N31</f>
        <v>0.10578361800455501</v>
      </c>
      <c r="AA31" s="48">
        <f t="shared" ref="AA31:AC31" si="90">$N31</f>
        <v>0.10578361800455501</v>
      </c>
      <c r="AB31" s="48">
        <f t="shared" si="90"/>
        <v>0.10578361800455501</v>
      </c>
      <c r="AC31" s="393">
        <f t="shared" si="90"/>
        <v>0.10578361800455501</v>
      </c>
      <c r="AD31" s="48">
        <f>$O31</f>
        <v>0.107</v>
      </c>
      <c r="AE31" s="48">
        <f t="shared" ref="AE31:AG31" si="91">$O31</f>
        <v>0.107</v>
      </c>
      <c r="AF31" s="48">
        <f t="shared" si="91"/>
        <v>0.107</v>
      </c>
      <c r="AG31" s="405">
        <f t="shared" si="91"/>
        <v>0.107</v>
      </c>
      <c r="AJ31" s="28" t="s">
        <v>413</v>
      </c>
      <c r="AK31" s="28">
        <v>10</v>
      </c>
      <c r="AL31" s="398"/>
      <c r="AM31" s="398"/>
      <c r="AN31" s="398"/>
      <c r="AO31" s="398"/>
      <c r="AP31" s="398"/>
      <c r="AQ31" s="398"/>
      <c r="AR31" s="398"/>
      <c r="AS31" s="379">
        <v>44141</v>
      </c>
      <c r="AT31" s="380">
        <v>40731.61</v>
      </c>
      <c r="AU31" s="28"/>
      <c r="AV31" s="28"/>
      <c r="AW31" s="398"/>
      <c r="AX31" s="398"/>
      <c r="AY31" s="398"/>
      <c r="AZ31" s="398"/>
      <c r="BA31" s="398"/>
      <c r="BB31" s="398"/>
      <c r="BC31" s="398"/>
    </row>
    <row r="32" spans="1:55" s="31" customFormat="1" x14ac:dyDescent="0.25">
      <c r="B32" s="12" t="s">
        <v>355</v>
      </c>
      <c r="C32" s="12"/>
      <c r="D32" s="12"/>
      <c r="E32" s="401">
        <v>1.6070000000000001E-2</v>
      </c>
      <c r="F32" s="391">
        <v>2.7484059174005E-2</v>
      </c>
      <c r="G32" s="391">
        <v>3.5070334200968903E-2</v>
      </c>
      <c r="H32" s="391">
        <v>4.3964566334977202E-2</v>
      </c>
      <c r="I32" s="391">
        <v>4.6747079814372497E-2</v>
      </c>
      <c r="J32" s="391">
        <v>4.7311474753290103E-2</v>
      </c>
      <c r="K32" s="391">
        <v>5.5267358447444799E-2</v>
      </c>
      <c r="L32" s="391">
        <v>5.5542774372940598E-2</v>
      </c>
      <c r="M32" s="391">
        <v>5.8364174975440102E-2</v>
      </c>
      <c r="N32" s="391">
        <v>9.8882943984708004E-3</v>
      </c>
      <c r="O32" s="403">
        <v>-4.0000000000000001E-3</v>
      </c>
      <c r="P32" s="570">
        <v>0.01</v>
      </c>
      <c r="Q32" s="403">
        <v>0.04</v>
      </c>
      <c r="R32" s="403">
        <v>4.4999999999999998E-2</v>
      </c>
      <c r="S32" s="403">
        <v>0.05</v>
      </c>
      <c r="T32" s="403">
        <v>0.05</v>
      </c>
      <c r="U32" s="33"/>
      <c r="V32" s="48">
        <f t="shared" ref="V32:Y32" si="92">$M32</f>
        <v>5.8364174975440102E-2</v>
      </c>
      <c r="W32" s="48">
        <f t="shared" si="92"/>
        <v>5.8364174975440102E-2</v>
      </c>
      <c r="X32" s="48">
        <f t="shared" si="92"/>
        <v>5.8364174975440102E-2</v>
      </c>
      <c r="Y32" s="392">
        <f t="shared" si="92"/>
        <v>5.8364174975440102E-2</v>
      </c>
      <c r="Z32" s="48">
        <f t="shared" ref="Z32:AC32" si="93">$N32</f>
        <v>9.8882943984708004E-3</v>
      </c>
      <c r="AA32" s="48">
        <f t="shared" si="93"/>
        <v>9.8882943984708004E-3</v>
      </c>
      <c r="AB32" s="48">
        <f t="shared" si="93"/>
        <v>9.8882943984708004E-3</v>
      </c>
      <c r="AC32" s="393">
        <f t="shared" si="93"/>
        <v>9.8882943984708004E-3</v>
      </c>
      <c r="AD32" s="48">
        <f t="shared" ref="AD32:AG32" si="94">$O32</f>
        <v>-4.0000000000000001E-3</v>
      </c>
      <c r="AE32" s="48">
        <f t="shared" si="94"/>
        <v>-4.0000000000000001E-3</v>
      </c>
      <c r="AF32" s="48">
        <f t="shared" si="94"/>
        <v>-4.0000000000000001E-3</v>
      </c>
      <c r="AG32" s="405">
        <f t="shared" si="94"/>
        <v>-4.0000000000000001E-3</v>
      </c>
      <c r="AJ32" s="398"/>
      <c r="AK32" s="398"/>
      <c r="AL32" s="398"/>
      <c r="AM32" s="398"/>
      <c r="AN32" s="398"/>
      <c r="AO32" s="398"/>
      <c r="AP32" s="398"/>
      <c r="AQ32" s="398"/>
      <c r="AR32" s="398"/>
      <c r="AS32" s="379">
        <v>44140</v>
      </c>
      <c r="AT32" s="380">
        <v>41071.300000000003</v>
      </c>
      <c r="AU32" s="28"/>
      <c r="AV32" s="28"/>
      <c r="AW32" s="398"/>
      <c r="AX32" s="398"/>
      <c r="AY32" s="398"/>
      <c r="AZ32" s="398"/>
      <c r="BA32" s="398"/>
      <c r="BB32" s="398"/>
      <c r="BC32" s="398"/>
    </row>
    <row r="33" spans="1:55" s="31" customFormat="1" x14ac:dyDescent="0.25">
      <c r="B33" s="394" t="s">
        <v>633</v>
      </c>
      <c r="C33" s="12"/>
      <c r="D33" s="12"/>
      <c r="E33" s="401"/>
      <c r="F33" s="391"/>
      <c r="G33" s="391"/>
      <c r="H33" s="391"/>
      <c r="I33" s="391"/>
      <c r="J33" s="391"/>
      <c r="K33" s="391"/>
      <c r="L33" s="391"/>
      <c r="M33" s="391"/>
      <c r="N33" s="391"/>
      <c r="O33" s="403">
        <f>SUM(O31:O32)</f>
        <v>0.10299999999999999</v>
      </c>
      <c r="P33" s="570">
        <f t="shared" ref="P33:T33" si="95">SUM(P31:P32)</f>
        <v>9.799999999999999E-2</v>
      </c>
      <c r="Q33" s="403">
        <f t="shared" si="95"/>
        <v>0.11299999999999999</v>
      </c>
      <c r="R33" s="403">
        <f t="shared" si="95"/>
        <v>0.11</v>
      </c>
      <c r="S33" s="403">
        <f t="shared" si="95"/>
        <v>0.115</v>
      </c>
      <c r="T33" s="403">
        <f t="shared" si="95"/>
        <v>0.115</v>
      </c>
      <c r="U33" s="33"/>
      <c r="V33" s="48"/>
      <c r="W33" s="48"/>
      <c r="X33" s="48"/>
      <c r="Y33" s="392"/>
      <c r="Z33" s="48"/>
      <c r="AA33" s="48"/>
      <c r="AB33" s="48"/>
      <c r="AC33" s="393"/>
      <c r="AD33" s="48"/>
      <c r="AE33" s="48"/>
      <c r="AF33" s="48"/>
      <c r="AG33" s="405"/>
      <c r="AJ33" s="398"/>
      <c r="AK33" s="398"/>
      <c r="AL33" s="398"/>
      <c r="AM33" s="398"/>
      <c r="AN33" s="398"/>
      <c r="AO33" s="398"/>
      <c r="AP33" s="398"/>
      <c r="AQ33" s="398"/>
      <c r="AR33" s="398"/>
      <c r="AS33" s="379"/>
      <c r="AT33" s="380"/>
      <c r="AU33" s="28"/>
      <c r="AV33" s="28"/>
      <c r="AW33" s="398"/>
      <c r="AX33" s="398"/>
      <c r="AY33" s="398"/>
      <c r="AZ33" s="398"/>
      <c r="BA33" s="398"/>
      <c r="BB33" s="398"/>
      <c r="BC33" s="398"/>
    </row>
    <row r="34" spans="1:55" s="31" customFormat="1" x14ac:dyDescent="0.25">
      <c r="B34" s="590"/>
      <c r="C34" s="607"/>
      <c r="D34" s="590"/>
      <c r="E34" s="592"/>
      <c r="F34" s="592"/>
      <c r="G34" s="592"/>
      <c r="H34" s="592"/>
      <c r="I34" s="592"/>
      <c r="J34" s="592"/>
      <c r="K34" s="592"/>
      <c r="L34" s="592"/>
      <c r="M34" s="592"/>
      <c r="N34" s="592"/>
      <c r="O34" s="608"/>
      <c r="P34" s="608"/>
      <c r="Q34" s="608"/>
      <c r="R34" s="608"/>
      <c r="S34" s="608"/>
      <c r="T34" s="608"/>
      <c r="U34" s="595"/>
      <c r="V34" s="609"/>
      <c r="W34" s="609"/>
      <c r="X34" s="609"/>
      <c r="Y34" s="610"/>
      <c r="Z34" s="609"/>
      <c r="AA34" s="609"/>
      <c r="AB34" s="609"/>
      <c r="AC34" s="611"/>
      <c r="AD34" s="609"/>
      <c r="AE34" s="609"/>
      <c r="AF34" s="609"/>
      <c r="AG34" s="614"/>
      <c r="AJ34" s="398" t="s">
        <v>414</v>
      </c>
      <c r="AK34" s="398"/>
      <c r="AL34" s="398"/>
      <c r="AM34" s="398"/>
      <c r="AN34" s="398"/>
      <c r="AO34" s="398"/>
      <c r="AP34" s="398"/>
      <c r="AQ34" s="398"/>
      <c r="AR34" s="398"/>
      <c r="AS34" s="379">
        <v>44139</v>
      </c>
      <c r="AT34" s="380">
        <v>40281.96</v>
      </c>
      <c r="AU34" s="28"/>
      <c r="AV34" s="28"/>
      <c r="AW34" s="398"/>
      <c r="AX34" s="398"/>
      <c r="AY34" s="398"/>
      <c r="AZ34" s="398"/>
      <c r="BA34" s="398"/>
      <c r="BB34" s="398"/>
      <c r="BC34" s="398"/>
    </row>
    <row r="35" spans="1:55" s="31" customFormat="1" x14ac:dyDescent="0.25">
      <c r="B35" s="12"/>
      <c r="C35" s="402"/>
      <c r="D35" s="12"/>
      <c r="E35" s="391"/>
      <c r="F35" s="391"/>
      <c r="G35" s="391"/>
      <c r="H35" s="391"/>
      <c r="I35" s="391"/>
      <c r="J35" s="391"/>
      <c r="K35" s="391"/>
      <c r="L35" s="391"/>
      <c r="M35" s="391"/>
      <c r="N35" s="391"/>
      <c r="O35" s="403"/>
      <c r="P35" s="404"/>
      <c r="Q35" s="404"/>
      <c r="R35" s="404"/>
      <c r="S35" s="404"/>
      <c r="T35" s="404"/>
      <c r="U35" s="33"/>
      <c r="V35" s="48"/>
      <c r="W35" s="48"/>
      <c r="X35" s="48"/>
      <c r="Y35" s="392"/>
      <c r="Z35" s="48"/>
      <c r="AA35" s="48"/>
      <c r="AB35" s="48"/>
      <c r="AC35" s="393"/>
      <c r="AD35" s="48"/>
      <c r="AE35" s="48"/>
      <c r="AF35" s="48"/>
      <c r="AG35" s="405"/>
      <c r="AJ35" s="32"/>
      <c r="AK35" s="32" t="s">
        <v>418</v>
      </c>
      <c r="AL35" s="32" t="s">
        <v>419</v>
      </c>
      <c r="AM35" s="32" t="s">
        <v>420</v>
      </c>
      <c r="AN35" s="32" t="s">
        <v>421</v>
      </c>
      <c r="AO35" s="32" t="s">
        <v>422</v>
      </c>
      <c r="AP35" s="398"/>
      <c r="AQ35" s="398"/>
      <c r="AR35" s="398"/>
      <c r="AS35" s="379">
        <v>44138</v>
      </c>
      <c r="AT35" s="380">
        <v>40480.879999999997</v>
      </c>
      <c r="AU35" s="398"/>
      <c r="AV35" s="398"/>
      <c r="AW35" s="398"/>
      <c r="AX35" s="398"/>
      <c r="AY35" s="398"/>
      <c r="AZ35" s="398"/>
      <c r="BA35" s="398"/>
      <c r="BB35" s="398"/>
      <c r="BC35" s="398"/>
    </row>
    <row r="36" spans="1:55" s="31" customFormat="1" x14ac:dyDescent="0.25">
      <c r="A36" s="621"/>
      <c r="B36" s="586" t="s">
        <v>527</v>
      </c>
      <c r="C36" s="586"/>
      <c r="D36" s="586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33"/>
      <c r="V36" s="22"/>
      <c r="W36" s="22"/>
      <c r="X36" s="22"/>
      <c r="Y36" s="41"/>
      <c r="Z36" s="22"/>
      <c r="AA36" s="22"/>
      <c r="AB36" s="22"/>
      <c r="AC36" s="43"/>
      <c r="AD36" s="22"/>
      <c r="AE36" s="22"/>
      <c r="AF36" s="22"/>
      <c r="AG36" s="581"/>
      <c r="AJ36" s="28" t="s">
        <v>415</v>
      </c>
      <c r="AK36" s="28">
        <v>1</v>
      </c>
      <c r="AL36" s="28">
        <v>3.3757208831183974E-3</v>
      </c>
      <c r="AM36" s="28">
        <v>3.3757208831183974E-3</v>
      </c>
      <c r="AN36" s="28">
        <v>3.6617676729072843</v>
      </c>
      <c r="AO36" s="28">
        <v>9.2022754749001762E-2</v>
      </c>
      <c r="AP36" s="398"/>
      <c r="AQ36" s="398"/>
      <c r="AR36" s="398"/>
      <c r="AS36" s="379">
        <v>44137</v>
      </c>
      <c r="AT36" s="380">
        <v>39112.18</v>
      </c>
      <c r="AU36" s="398"/>
      <c r="AV36" s="577">
        <f>Assumptions!AT7/Assumptions!AT57-1</f>
        <v>3.5028709154970361E-2</v>
      </c>
      <c r="AW36" s="398"/>
      <c r="AX36" s="398"/>
      <c r="AY36" s="398"/>
      <c r="AZ36" s="398"/>
      <c r="BA36" s="398"/>
      <c r="BB36" s="398"/>
      <c r="BC36" s="398"/>
    </row>
    <row r="37" spans="1:55" s="31" customFormat="1" x14ac:dyDescent="0.25">
      <c r="B37" s="17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33"/>
      <c r="V37" s="22"/>
      <c r="W37" s="22"/>
      <c r="X37" s="22"/>
      <c r="Y37" s="41"/>
      <c r="Z37" s="22"/>
      <c r="AA37" s="22"/>
      <c r="AB37" s="22"/>
      <c r="AC37" s="43"/>
      <c r="AD37" s="22"/>
      <c r="AE37" s="22"/>
      <c r="AF37" s="22"/>
      <c r="AG37" s="581"/>
      <c r="AH37" s="12"/>
      <c r="AI37" s="12"/>
      <c r="AJ37" s="28" t="s">
        <v>416</v>
      </c>
      <c r="AK37" s="28">
        <v>8</v>
      </c>
      <c r="AL37" s="28">
        <v>7.3750629415289407E-3</v>
      </c>
      <c r="AM37" s="28">
        <v>9.2188286769111759E-4</v>
      </c>
      <c r="AN37" s="28"/>
      <c r="AO37" s="28"/>
      <c r="AP37" s="376"/>
      <c r="AQ37" s="376"/>
      <c r="AR37" s="376"/>
      <c r="AS37" s="379">
        <v>44133</v>
      </c>
      <c r="AT37" s="380">
        <v>39888</v>
      </c>
      <c r="AU37" s="32"/>
      <c r="AV37" s="32"/>
      <c r="AW37" s="32"/>
      <c r="AX37" s="32"/>
      <c r="AY37" s="32"/>
      <c r="AZ37" s="32"/>
      <c r="BA37" s="398"/>
      <c r="BB37" s="398"/>
      <c r="BC37" s="398"/>
    </row>
    <row r="38" spans="1:55" s="31" customFormat="1" ht="15.75" thickBot="1" x14ac:dyDescent="0.3">
      <c r="B38" s="24" t="s">
        <v>2</v>
      </c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33"/>
      <c r="V38" s="22"/>
      <c r="W38" s="22"/>
      <c r="X38" s="22"/>
      <c r="Y38" s="41"/>
      <c r="Z38" s="22"/>
      <c r="AA38" s="22"/>
      <c r="AB38" s="22"/>
      <c r="AC38" s="43"/>
      <c r="AD38" s="22"/>
      <c r="AE38" s="22"/>
      <c r="AF38" s="22"/>
      <c r="AG38" s="581"/>
      <c r="AH38" s="12"/>
      <c r="AI38" s="12"/>
      <c r="AJ38" s="29" t="s">
        <v>99</v>
      </c>
      <c r="AK38" s="29">
        <v>9</v>
      </c>
      <c r="AL38" s="29">
        <v>1.0750783824647338E-2</v>
      </c>
      <c r="AM38" s="29"/>
      <c r="AN38" s="29"/>
      <c r="AO38" s="29"/>
      <c r="AP38" s="376"/>
      <c r="AQ38" s="376"/>
      <c r="AR38" s="376"/>
      <c r="AS38" s="379">
        <v>44132</v>
      </c>
      <c r="AT38" s="380">
        <v>41186.86</v>
      </c>
      <c r="AU38" s="28"/>
      <c r="AV38" s="28"/>
      <c r="AW38" s="28"/>
      <c r="AX38" s="28"/>
      <c r="AY38" s="28"/>
      <c r="AZ38" s="28"/>
      <c r="BA38" s="398"/>
      <c r="BB38" s="398"/>
      <c r="BC38" s="398"/>
    </row>
    <row r="39" spans="1:55" s="31" customFormat="1" ht="15.75" thickBot="1" x14ac:dyDescent="0.3">
      <c r="B39" s="12" t="s">
        <v>361</v>
      </c>
      <c r="C39" s="12"/>
      <c r="D39" s="12"/>
      <c r="E39" s="48">
        <f>MEBL!D7/MEBL!D$21</f>
        <v>9.7513896527417723E-2</v>
      </c>
      <c r="F39" s="48">
        <f>MEBL!E7/MEBL!E$21</f>
        <v>9.7876436179153384E-2</v>
      </c>
      <c r="G39" s="48">
        <f>MEBL!F7/MEBL!F$21</f>
        <v>8.3000191653731278E-2</v>
      </c>
      <c r="H39" s="48">
        <f>MEBL!G7/MEBL!G$21</f>
        <v>9.8625219328219077E-2</v>
      </c>
      <c r="I39" s="48">
        <f>MEBL!H7/MEBL!H$21</f>
        <v>7.8146893926511293E-2</v>
      </c>
      <c r="J39" s="48">
        <f>MEBL!I7/MEBL!I$21</f>
        <v>9.2589434968275749E-2</v>
      </c>
      <c r="K39" s="48">
        <f>MEBL!J7/MEBL!J$21</f>
        <v>9.9356485292127344E-2</v>
      </c>
      <c r="L39" s="48">
        <f>MEBL!K7/MEBL!K$21</f>
        <v>9.5897648878054673E-2</v>
      </c>
      <c r="M39" s="48">
        <f>MEBL!L7/MEBL!L$21</f>
        <v>8.278421248586304E-2</v>
      </c>
      <c r="N39" s="48">
        <f>MEBL!M7/MEBL!M$21</f>
        <v>9.886013821189904E-2</v>
      </c>
      <c r="O39" s="404">
        <f>MEBL!N7/MEBL!N$21</f>
        <v>8.5344450633294947E-2</v>
      </c>
      <c r="P39" s="404">
        <f ca="1">MEBL!O7/MEBL!O$21</f>
        <v>8.9379258970748054E-2</v>
      </c>
      <c r="Q39" s="404">
        <f ca="1">MEBL!P7/MEBL!P$21</f>
        <v>8.6724458537167204E-2</v>
      </c>
      <c r="R39" s="404">
        <f ca="1">MEBL!Q7/MEBL!Q$21</f>
        <v>9.3555084477413022E-2</v>
      </c>
      <c r="S39" s="404">
        <f ca="1">MEBL!R7/MEBL!R$21</f>
        <v>9.694141244215318E-2</v>
      </c>
      <c r="T39" s="404">
        <f ca="1">MEBL!S7/MEBL!S$21</f>
        <v>9.8800783178240578E-2</v>
      </c>
      <c r="U39" s="33"/>
      <c r="V39" s="48">
        <f>MEBL!U7/MEBL!U$21</f>
        <v>8.1457483841331765E-2</v>
      </c>
      <c r="W39" s="48">
        <f>MEBL!V7/MEBL!V$21</f>
        <v>9.007502936770459E-2</v>
      </c>
      <c r="X39" s="48">
        <f>MEBL!W7/MEBL!W$21</f>
        <v>8.1322255943423905E-2</v>
      </c>
      <c r="Y39" s="392">
        <f>MEBL!X7/MEBL!X$21</f>
        <v>8.2780330468872426E-2</v>
      </c>
      <c r="Z39" s="48">
        <f>MEBL!Y7/MEBL!Y$21</f>
        <v>8.9781032683339312E-2</v>
      </c>
      <c r="AA39" s="48">
        <f>MEBL!Z7/MEBL!Z$21</f>
        <v>0.11444286012362502</v>
      </c>
      <c r="AB39" s="48">
        <f>MEBL!AA7/MEBL!AA$21</f>
        <v>7.8808881859480984E-2</v>
      </c>
      <c r="AC39" s="393">
        <f>MEBL!AB7/MEBL!AB$21</f>
        <v>9.885848783870578E-2</v>
      </c>
      <c r="AD39" s="48">
        <f>MEBL!AC7/MEBL!AC$21</f>
        <v>9.7136577806798269E-2</v>
      </c>
      <c r="AE39" s="48">
        <f>MEBL!AD7/MEBL!AD$21</f>
        <v>9.8041478854949266E-2</v>
      </c>
      <c r="AF39" s="48">
        <f>MEBL!AE7/MEBL!AE$21</f>
        <v>9.1727238093871538E-2</v>
      </c>
      <c r="AG39" s="405">
        <f>GEOMEAN(V39:AF39)</f>
        <v>9.0788236338418205E-2</v>
      </c>
      <c r="AH39" s="12"/>
      <c r="AI39" s="12"/>
      <c r="AJ39" s="376"/>
      <c r="AK39" s="376"/>
      <c r="AL39" s="376"/>
      <c r="AM39" s="376"/>
      <c r="AN39" s="376"/>
      <c r="AO39" s="376"/>
      <c r="AP39" s="376"/>
      <c r="AQ39" s="376"/>
      <c r="AR39" s="376"/>
      <c r="AS39" s="379">
        <v>44131</v>
      </c>
      <c r="AT39" s="380">
        <v>41381.83</v>
      </c>
      <c r="AU39" s="28"/>
      <c r="AV39" s="28"/>
      <c r="AW39" s="28"/>
      <c r="AX39" s="28"/>
      <c r="AY39" s="28"/>
      <c r="AZ39" s="28"/>
      <c r="BA39" s="398"/>
      <c r="BB39" s="398"/>
      <c r="BC39" s="398"/>
    </row>
    <row r="40" spans="1:55" s="31" customFormat="1" x14ac:dyDescent="0.25">
      <c r="B40" s="12" t="s">
        <v>374</v>
      </c>
      <c r="C40" s="12"/>
      <c r="D40" s="12"/>
      <c r="E40" s="48">
        <f>MEBL!D8/MEBL!D$21</f>
        <v>7.5973977659656897E-2</v>
      </c>
      <c r="F40" s="48">
        <f>MEBL!E8/MEBL!E$21</f>
        <v>1.3850567977226258E-2</v>
      </c>
      <c r="G40" s="48">
        <f>MEBL!F8/MEBL!F$21</f>
        <v>1.6713175743989221E-2</v>
      </c>
      <c r="H40" s="48">
        <f>MEBL!G8/MEBL!G$21</f>
        <v>1.2263992391525307E-2</v>
      </c>
      <c r="I40" s="48">
        <f>MEBL!H8/MEBL!H$21</f>
        <v>1.4460476083047751E-2</v>
      </c>
      <c r="J40" s="48">
        <f>MEBL!I8/MEBL!I$21</f>
        <v>2.3684958853216184E-2</v>
      </c>
      <c r="K40" s="48">
        <f>MEBL!J8/MEBL!J$21</f>
        <v>2.1396911643161213E-2</v>
      </c>
      <c r="L40" s="48">
        <f>MEBL!K8/MEBL!K$21</f>
        <v>7.3384350769261208E-3</v>
      </c>
      <c r="M40" s="48">
        <f>MEBL!L8/MEBL!L$21</f>
        <v>1.0538166643841379E-2</v>
      </c>
      <c r="N40" s="48">
        <f>MEBL!M8/MEBL!M$21</f>
        <v>1.6529433086899494E-2</v>
      </c>
      <c r="O40" s="404">
        <f>MEBL!N8/MEBL!N$21</f>
        <v>1.4438325283509886E-2</v>
      </c>
      <c r="P40" s="404">
        <f t="shared" ref="P40:T45" si="96">GEOMEAN(L40:O40)</f>
        <v>1.165563193611923E-2</v>
      </c>
      <c r="Q40" s="404">
        <f t="shared" si="96"/>
        <v>1.3084855074321113E-2</v>
      </c>
      <c r="R40" s="404">
        <f t="shared" si="96"/>
        <v>1.3812423336220665E-2</v>
      </c>
      <c r="S40" s="404">
        <f t="shared" si="96"/>
        <v>1.3206047681661502E-2</v>
      </c>
      <c r="T40" s="404">
        <f t="shared" si="96"/>
        <v>1.2914775786326682E-2</v>
      </c>
      <c r="U40" s="33"/>
      <c r="V40" s="48">
        <f>MEBL!U8/MEBL!U$21</f>
        <v>6.1733687749638017E-3</v>
      </c>
      <c r="W40" s="48">
        <f>MEBL!V8/MEBL!V$21</f>
        <v>8.7639453943241623E-3</v>
      </c>
      <c r="X40" s="48">
        <f>MEBL!W8/MEBL!W$21</f>
        <v>6.5782148052013125E-3</v>
      </c>
      <c r="Y40" s="392">
        <f>MEBL!X8/MEBL!X$21</f>
        <v>1.0509776337878097E-2</v>
      </c>
      <c r="Z40" s="48">
        <f>MEBL!Y8/MEBL!Y$21</f>
        <v>1.0906965252310788E-2</v>
      </c>
      <c r="AA40" s="48">
        <f>MEBL!Z8/MEBL!Z$21</f>
        <v>1.5688462255353714E-2</v>
      </c>
      <c r="AB40" s="48">
        <f>MEBL!AA8/MEBL!AA$21</f>
        <v>1.0224665072061063E-2</v>
      </c>
      <c r="AC40" s="393">
        <f>MEBL!AB8/MEBL!AB$21</f>
        <v>1.6483569886168392E-2</v>
      </c>
      <c r="AD40" s="48">
        <f>MEBL!AC8/MEBL!AC$21</f>
        <v>4.2992092737610815E-3</v>
      </c>
      <c r="AE40" s="48">
        <f>MEBL!AD8/MEBL!AD$21</f>
        <v>1.8354143027971469E-2</v>
      </c>
      <c r="AF40" s="48">
        <f>MEBL!AE8/MEBL!AE$21</f>
        <v>1.6386080006670575E-2</v>
      </c>
      <c r="AG40" s="405">
        <f>GEOMEAN(F40:N40)</f>
        <v>1.4398264150909799E-2</v>
      </c>
      <c r="AH40" s="12"/>
      <c r="AI40" s="12"/>
      <c r="AJ40" s="30"/>
      <c r="AK40" s="30" t="s">
        <v>423</v>
      </c>
      <c r="AL40" s="30" t="s">
        <v>412</v>
      </c>
      <c r="AM40" s="30" t="s">
        <v>424</v>
      </c>
      <c r="AN40" s="30" t="s">
        <v>425</v>
      </c>
      <c r="AO40" s="30" t="s">
        <v>426</v>
      </c>
      <c r="AP40" s="30" t="s">
        <v>427</v>
      </c>
      <c r="AQ40" s="30" t="s">
        <v>461</v>
      </c>
      <c r="AR40" s="30" t="s">
        <v>462</v>
      </c>
      <c r="AS40" s="379">
        <v>44130</v>
      </c>
      <c r="AT40" s="380">
        <v>41850.47</v>
      </c>
      <c r="AU40" s="28"/>
      <c r="AV40" s="28"/>
      <c r="AW40" s="28"/>
      <c r="AX40" s="28"/>
      <c r="AY40" s="28"/>
      <c r="AZ40" s="28"/>
      <c r="BA40" s="398"/>
      <c r="BB40" s="398"/>
      <c r="BC40" s="398"/>
    </row>
    <row r="41" spans="1:55" s="31" customFormat="1" x14ac:dyDescent="0.25">
      <c r="B41" s="12" t="s">
        <v>362</v>
      </c>
      <c r="C41" s="12"/>
      <c r="D41" s="12"/>
      <c r="E41" s="48">
        <f>MEBL!D9/MEBL!D$21</f>
        <v>8.0201539054583548E-2</v>
      </c>
      <c r="F41" s="48">
        <f>MEBL!E9/MEBL!E$21</f>
        <v>2.3910990220434726E-2</v>
      </c>
      <c r="G41" s="48">
        <f>MEBL!F9/MEBL!F$21</f>
        <v>2.169894154212277E-3</v>
      </c>
      <c r="H41" s="48">
        <f>MEBL!G9/MEBL!G$21</f>
        <v>2.568137286969905E-2</v>
      </c>
      <c r="I41" s="48">
        <f>MEBL!H9/MEBL!H$21</f>
        <v>0.23859398203575571</v>
      </c>
      <c r="J41" s="48">
        <f>MEBL!I9/MEBL!I$21</f>
        <v>0.36131167712708584</v>
      </c>
      <c r="K41" s="48">
        <f>MEBL!J9/MEBL!J$21</f>
        <v>0.2289276575909456</v>
      </c>
      <c r="L41" s="48">
        <f>MEBL!K9/MEBL!K$21</f>
        <v>0.218706962774951</v>
      </c>
      <c r="M41" s="48">
        <f>MEBL!L9/MEBL!L$21</f>
        <v>0.23529934750636111</v>
      </c>
      <c r="N41" s="48">
        <f>MEBL!M9/MEBL!M$21</f>
        <v>0.23986362549897328</v>
      </c>
      <c r="O41" s="404">
        <f>MEBL!N9/MEBL!N$21</f>
        <v>0.24000266335319517</v>
      </c>
      <c r="P41" s="404">
        <f>O41-5%</f>
        <v>0.19000266335319516</v>
      </c>
      <c r="Q41" s="404">
        <f>P41-3%</f>
        <v>0.16000266335319516</v>
      </c>
      <c r="R41" s="404">
        <f>Q41-2%</f>
        <v>0.14000266335319517</v>
      </c>
      <c r="S41" s="404">
        <f>R41-1%</f>
        <v>0.13000266335319516</v>
      </c>
      <c r="T41" s="404">
        <f>S41-1%</f>
        <v>0.12000266335319516</v>
      </c>
      <c r="U41" s="33"/>
      <c r="V41" s="48">
        <f>MEBL!U9/MEBL!U$21</f>
        <v>0.22927114608019822</v>
      </c>
      <c r="W41" s="48">
        <f>MEBL!V9/MEBL!V$21</f>
        <v>0.28700035959883308</v>
      </c>
      <c r="X41" s="48">
        <f>MEBL!W9/MEBL!W$21</f>
        <v>0.26165081827677944</v>
      </c>
      <c r="Y41" s="392">
        <f>MEBL!X9/MEBL!X$21</f>
        <v>0.23528965606404864</v>
      </c>
      <c r="Z41" s="48">
        <f>MEBL!Y9/MEBL!Y$21</f>
        <v>0.11468355671392219</v>
      </c>
      <c r="AA41" s="48">
        <f>MEBL!Z9/MEBL!Z$21</f>
        <v>0.15592068011821386</v>
      </c>
      <c r="AB41" s="48">
        <f>MEBL!AA9/MEBL!AA$21</f>
        <v>0.21597270716331232</v>
      </c>
      <c r="AC41" s="393">
        <f>MEBL!AB9/MEBL!AB$21</f>
        <v>0.23986096368870644</v>
      </c>
      <c r="AD41" s="48">
        <f>MEBL!AC9/MEBL!AC$21</f>
        <v>0.30014485000660168</v>
      </c>
      <c r="AE41" s="48">
        <f>MEBL!AD9/MEBL!AD$21</f>
        <v>0.26243711456581109</v>
      </c>
      <c r="AF41" s="48">
        <f>MEBL!AE9/MEBL!AE$21</f>
        <v>0.25918500574499131</v>
      </c>
      <c r="AG41" s="405">
        <v>0.24</v>
      </c>
      <c r="AH41" s="12"/>
      <c r="AI41" s="12"/>
      <c r="AJ41" s="28" t="s">
        <v>417</v>
      </c>
      <c r="AK41" s="28">
        <v>-1.0784661201652557E-2</v>
      </c>
      <c r="AL41" s="28">
        <v>7.1931013098627067E-2</v>
      </c>
      <c r="AM41" s="28">
        <v>-0.14993061736618862</v>
      </c>
      <c r="AN41" s="28">
        <v>0.88453043509343265</v>
      </c>
      <c r="AO41" s="28">
        <v>-0.17665787485651169</v>
      </c>
      <c r="AP41" s="28">
        <v>0.15508855245320657</v>
      </c>
      <c r="AQ41" s="28">
        <v>-0.17665787485651169</v>
      </c>
      <c r="AR41" s="28">
        <v>0.15508855245320657</v>
      </c>
      <c r="AS41" s="379">
        <v>44127</v>
      </c>
      <c r="AT41" s="380">
        <v>41266</v>
      </c>
      <c r="AU41" s="398"/>
      <c r="AV41" s="398"/>
      <c r="AW41" s="398"/>
      <c r="AX41" s="398"/>
      <c r="AY41" s="398"/>
      <c r="AZ41" s="398"/>
      <c r="BA41" s="398"/>
      <c r="BB41" s="398"/>
      <c r="BC41" s="398"/>
    </row>
    <row r="42" spans="1:55" s="31" customFormat="1" ht="15.75" thickBot="1" x14ac:dyDescent="0.3">
      <c r="B42" s="12" t="s">
        <v>363</v>
      </c>
      <c r="C42" s="12"/>
      <c r="D42" s="12"/>
      <c r="E42" s="48">
        <f>MEBL!D10/MEBL!D$21</f>
        <v>0.38544410185381944</v>
      </c>
      <c r="F42" s="48">
        <f>MEBL!E10/MEBL!E$21</f>
        <v>0.58786072566895653</v>
      </c>
      <c r="G42" s="48">
        <f>MEBL!F10/MEBL!F$21</f>
        <v>0.66164349623310281</v>
      </c>
      <c r="H42" s="48">
        <f>MEBL!G10/MEBL!G$21</f>
        <v>0.52314848171539285</v>
      </c>
      <c r="I42" s="48">
        <f>MEBL!H10/MEBL!H$21</f>
        <v>0.29990216459046248</v>
      </c>
      <c r="J42" s="48">
        <f>MEBL!I10/MEBL!I$21</f>
        <v>0.16300664379769531</v>
      </c>
      <c r="K42" s="48">
        <f>MEBL!J10/MEBL!J$21</f>
        <v>0.23900108044709203</v>
      </c>
      <c r="L42" s="48">
        <f>MEBL!K10/MEBL!K$21</f>
        <v>0.18295380772500608</v>
      </c>
      <c r="M42" s="48">
        <f>MEBL!L10/MEBL!L$21</f>
        <v>0.16183875641224099</v>
      </c>
      <c r="N42" s="48">
        <f>MEBL!M10/MEBL!M$21</f>
        <v>0.24627360535713416</v>
      </c>
      <c r="O42" s="404">
        <f>MEBL!N10/MEBL!N$21</f>
        <v>0.34337825922994197</v>
      </c>
      <c r="P42" s="404">
        <v>0.38</v>
      </c>
      <c r="Q42" s="404">
        <v>0.4</v>
      </c>
      <c r="R42" s="404">
        <f>Q42</f>
        <v>0.4</v>
      </c>
      <c r="S42" s="404">
        <f>R42</f>
        <v>0.4</v>
      </c>
      <c r="T42" s="404">
        <f>S42</f>
        <v>0.4</v>
      </c>
      <c r="U42" s="33"/>
      <c r="V42" s="48">
        <f>MEBL!U10/MEBL!U$21</f>
        <v>0.17581956667081772</v>
      </c>
      <c r="W42" s="48">
        <f>MEBL!V10/MEBL!V$21</f>
        <v>0.1701028396561679</v>
      </c>
      <c r="X42" s="48">
        <f>MEBL!W10/MEBL!W$21</f>
        <v>0.1707487981438095</v>
      </c>
      <c r="Y42" s="392">
        <f>MEBL!X10/MEBL!X$21</f>
        <v>0.15753850949443018</v>
      </c>
      <c r="Z42" s="48">
        <f>MEBL!Y10/MEBL!Y$21</f>
        <v>0.28428893381723985</v>
      </c>
      <c r="AA42" s="48">
        <f>MEBL!Z10/MEBL!Z$21</f>
        <v>0.25797032947103832</v>
      </c>
      <c r="AB42" s="48">
        <f>MEBL!AA10/MEBL!AA$21</f>
        <v>0.25568070751573901</v>
      </c>
      <c r="AC42" s="393">
        <f>MEBL!AB10/MEBL!AB$21</f>
        <v>0.24195927038528983</v>
      </c>
      <c r="AD42" s="48">
        <f>MEBL!AC10/MEBL!AC$21</f>
        <v>0.23147455273521744</v>
      </c>
      <c r="AE42" s="48">
        <f>MEBL!AD10/MEBL!AD$21</f>
        <v>0.29319363801874482</v>
      </c>
      <c r="AF42" s="48">
        <f>MEBL!AE10/MEBL!AE$21</f>
        <v>0.33236280000028384</v>
      </c>
      <c r="AG42" s="405">
        <f>AF42+0.5%</f>
        <v>0.33736280000028385</v>
      </c>
      <c r="AH42" s="12"/>
      <c r="AI42" s="12"/>
      <c r="AJ42" s="29" t="s">
        <v>356</v>
      </c>
      <c r="AK42" s="29">
        <v>1.0633643490793616</v>
      </c>
      <c r="AL42" s="29">
        <v>0.55569527325403945</v>
      </c>
      <c r="AM42" s="29">
        <v>1.9135745799177208</v>
      </c>
      <c r="AN42" s="29">
        <v>9.2022754749001831E-2</v>
      </c>
      <c r="AO42" s="29">
        <v>-0.2180712489578629</v>
      </c>
      <c r="AP42" s="29">
        <v>2.3447999471165861</v>
      </c>
      <c r="AQ42" s="29">
        <v>-0.2180712489578629</v>
      </c>
      <c r="AR42" s="29">
        <v>2.3447999471165861</v>
      </c>
      <c r="AS42" s="379">
        <v>44126</v>
      </c>
      <c r="AT42" s="380">
        <v>41199.019999999997</v>
      </c>
      <c r="AU42" s="32"/>
      <c r="AV42" s="32"/>
      <c r="AW42" s="32"/>
      <c r="AX42" s="32"/>
      <c r="AY42" s="32"/>
      <c r="AZ42" s="32"/>
      <c r="BA42" s="32"/>
      <c r="BB42" s="32"/>
      <c r="BC42" s="32"/>
    </row>
    <row r="43" spans="1:55" s="31" customFormat="1" x14ac:dyDescent="0.25">
      <c r="B43" s="12" t="s">
        <v>400</v>
      </c>
      <c r="C43" s="12"/>
      <c r="D43" s="12"/>
      <c r="E43" s="48">
        <f>MEBL!D192/MEBL!D$21</f>
        <v>0.4413457958112062</v>
      </c>
      <c r="F43" s="48">
        <f>MEBL!E192/MEBL!E$21</f>
        <v>0.37804834826377021</v>
      </c>
      <c r="G43" s="48">
        <f>MEBL!F192/MEBL!F$21</f>
        <v>0.40968585461537316</v>
      </c>
      <c r="H43" s="48">
        <f>MEBL!G192/MEBL!G$21</f>
        <v>0.46055853824960713</v>
      </c>
      <c r="I43" s="48">
        <f>MEBL!H192/MEBL!H$21</f>
        <v>0.48179851758089987</v>
      </c>
      <c r="J43" s="48">
        <f>MEBL!I192/MEBL!I$21</f>
        <v>0.45732373877015497</v>
      </c>
      <c r="K43" s="48">
        <f>MEBL!J192/MEBL!J$21</f>
        <v>0.56669671608353545</v>
      </c>
      <c r="L43" s="48">
        <f>MEBL!K192/MEBL!K$21</f>
        <v>0.63687779430149982</v>
      </c>
      <c r="M43" s="48">
        <f>MEBL!L192/MEBL!L$21</f>
        <v>0.66492756881824711</v>
      </c>
      <c r="N43" s="48">
        <f>MEBL!M192/MEBL!M$21</f>
        <v>0.54313697285368556</v>
      </c>
      <c r="O43" s="404">
        <f>MEBL!N192/MEBL!N$21</f>
        <v>0.48563146249717487</v>
      </c>
      <c r="P43" s="404">
        <f>O43*(1+2%)</f>
        <v>0.49534409174711835</v>
      </c>
      <c r="Q43" s="404">
        <f t="shared" ref="Q43:T43" si="97">P43*(1+2%)</f>
        <v>0.50525097358206073</v>
      </c>
      <c r="R43" s="404">
        <f t="shared" si="97"/>
        <v>0.51535599305370194</v>
      </c>
      <c r="S43" s="404">
        <f t="shared" si="97"/>
        <v>0.52566311291477597</v>
      </c>
      <c r="T43" s="404">
        <f t="shared" si="97"/>
        <v>0.53617637517307148</v>
      </c>
      <c r="U43" s="33"/>
      <c r="V43" s="48">
        <f>MEBL!U192/MEBL!U$21</f>
        <v>0.63036838544009621</v>
      </c>
      <c r="W43" s="48">
        <f>MEBL!V192/MEBL!V$21</f>
        <v>0.58589957472588183</v>
      </c>
      <c r="X43" s="48">
        <f>MEBL!W192/MEBL!W$21</f>
        <v>0.63259533167929582</v>
      </c>
      <c r="Y43" s="392">
        <f>MEBL!X192/MEBL!X$21</f>
        <v>0.66490018197147738</v>
      </c>
      <c r="Z43" s="48">
        <f>MEBL!Y192/MEBL!Y$21</f>
        <v>0.6544771199054491</v>
      </c>
      <c r="AA43" s="48">
        <f>MEBL!Z192/MEBL!Z$21</f>
        <v>0.58700501776960312</v>
      </c>
      <c r="AB43" s="48">
        <f>MEBL!AA192/MEBL!AA$21</f>
        <v>0.57652178301157331</v>
      </c>
      <c r="AC43" s="393">
        <f>MEBL!AB192/MEBL!AB$21</f>
        <v>0.54313094556393871</v>
      </c>
      <c r="AD43" s="48">
        <f>MEBL!AC192/MEBL!AC$21</f>
        <v>0.52428042025980814</v>
      </c>
      <c r="AE43" s="48">
        <f>MEBL!AD192/MEBL!AD$21</f>
        <v>0.47195563502149279</v>
      </c>
      <c r="AF43" s="48">
        <f>MEBL!AE192/MEBL!AE$21</f>
        <v>0.46285096490651195</v>
      </c>
      <c r="AG43" s="405">
        <f>GEOMEAN(AD43:AF43)</f>
        <v>0.48562607335653268</v>
      </c>
      <c r="AH43" s="12"/>
      <c r="AI43" s="12"/>
      <c r="AJ43" s="28"/>
      <c r="AK43" s="28"/>
      <c r="AL43" s="28"/>
      <c r="AM43" s="28"/>
      <c r="AN43" s="28"/>
      <c r="AO43" s="28"/>
      <c r="AP43" s="28"/>
      <c r="AQ43" s="28"/>
      <c r="AR43" s="28"/>
      <c r="AS43" s="379">
        <v>44125</v>
      </c>
      <c r="AT43" s="380">
        <v>41535.919999999998</v>
      </c>
      <c r="AU43" s="28"/>
      <c r="AV43" s="28"/>
      <c r="AW43" s="28"/>
      <c r="AX43" s="28"/>
      <c r="AY43" s="28"/>
      <c r="AZ43" s="28"/>
      <c r="BA43" s="28"/>
      <c r="BB43" s="28"/>
      <c r="BC43" s="28"/>
    </row>
    <row r="44" spans="1:55" s="31" customFormat="1" x14ac:dyDescent="0.25">
      <c r="B44" s="12" t="s">
        <v>364</v>
      </c>
      <c r="C44" s="12"/>
      <c r="D44" s="12"/>
      <c r="E44" s="48">
        <f>MEBL!D12/MEBL!D$21</f>
        <v>2.362054120366653E-2</v>
      </c>
      <c r="F44" s="48">
        <f>MEBL!E12/MEBL!E$21</f>
        <v>2.3652283263285539E-2</v>
      </c>
      <c r="G44" s="48">
        <f>MEBL!F12/MEBL!F$21</f>
        <v>2.1257324683857486E-2</v>
      </c>
      <c r="H44" s="48">
        <f>MEBL!G12/MEBL!G$21</f>
        <v>1.9305420725601753E-2</v>
      </c>
      <c r="I44" s="48">
        <f>MEBL!H12/MEBL!H$21</f>
        <v>1.6490229553729641E-2</v>
      </c>
      <c r="J44" s="48">
        <f>MEBL!I12/MEBL!I$21</f>
        <v>1.7075848044300214E-2</v>
      </c>
      <c r="K44" s="48">
        <f>MEBL!J12/MEBL!J$21</f>
        <v>1.6013631861733185E-2</v>
      </c>
      <c r="L44" s="48">
        <f>MEBL!K12/MEBL!K$21</f>
        <v>1.7817790897657119E-2</v>
      </c>
      <c r="M44" s="48">
        <f>MEBL!L12/MEBL!L$21</f>
        <v>1.6841923841268234E-2</v>
      </c>
      <c r="N44" s="48">
        <f>MEBL!M12/MEBL!M$21</f>
        <v>2.5374558840173037E-2</v>
      </c>
      <c r="O44" s="404">
        <f>MEBL!N12/MEBL!N$21</f>
        <v>2.1267212384997861E-2</v>
      </c>
      <c r="P44" s="404">
        <f t="shared" si="96"/>
        <v>2.0060356945678249E-2</v>
      </c>
      <c r="Q44" s="404">
        <f t="shared" si="96"/>
        <v>2.0663784121426693E-2</v>
      </c>
      <c r="R44" s="404">
        <f t="shared" si="96"/>
        <v>2.174775316969306E-2</v>
      </c>
      <c r="S44" s="404">
        <f t="shared" si="96"/>
        <v>2.0925139837925526E-2</v>
      </c>
      <c r="T44" s="404">
        <f t="shared" si="96"/>
        <v>2.0840484880623868E-2</v>
      </c>
      <c r="U44" s="33"/>
      <c r="V44" s="48">
        <f>MEBL!U12/MEBL!U$21</f>
        <v>1.8847212802481885E-2</v>
      </c>
      <c r="W44" s="48">
        <f>MEBL!V12/MEBL!V$21</f>
        <v>1.8329564473137914E-2</v>
      </c>
      <c r="X44" s="48">
        <f>MEBL!W12/MEBL!W$21</f>
        <v>1.8367337125466444E-2</v>
      </c>
      <c r="Y44" s="392">
        <f>MEBL!X12/MEBL!X$21</f>
        <v>1.6714845802017583E-2</v>
      </c>
      <c r="Z44" s="48">
        <f>MEBL!Y12/MEBL!Y$21</f>
        <v>1.7852742122765296E-2</v>
      </c>
      <c r="AA44" s="48">
        <f>MEBL!Z12/MEBL!Z$21</f>
        <v>2.3342681798289681E-2</v>
      </c>
      <c r="AB44" s="48">
        <f>MEBL!AA12/MEBL!AA$21</f>
        <v>2.3963207116076361E-2</v>
      </c>
      <c r="AC44" s="393">
        <f>MEBL!AB12/MEBL!AB$21</f>
        <v>2.4967763753714092E-2</v>
      </c>
      <c r="AD44" s="48">
        <f>MEBL!AC12/MEBL!AC$21</f>
        <v>2.5786542703098679E-2</v>
      </c>
      <c r="AE44" s="48">
        <f>MEBL!AD12/MEBL!AD$21</f>
        <v>2.2750818015358092E-2</v>
      </c>
      <c r="AF44" s="48">
        <f>MEBL!AE12/MEBL!AE$21</f>
        <v>2.1721539345441129E-2</v>
      </c>
      <c r="AG44" s="405">
        <f t="shared" ref="AG44:AG45" si="98">GEOMEAN(V44:AF44)</f>
        <v>2.092626468398014E-2</v>
      </c>
      <c r="AH44" s="12"/>
      <c r="AI44" s="12"/>
      <c r="AJ44" s="28"/>
      <c r="AK44" s="28"/>
      <c r="AL44" s="28"/>
      <c r="AM44" s="28"/>
      <c r="AN44" s="28"/>
      <c r="AO44" s="28"/>
      <c r="AP44" s="28"/>
      <c r="AQ44" s="28"/>
      <c r="AR44" s="28"/>
      <c r="AS44" s="379">
        <v>44124</v>
      </c>
      <c r="AT44" s="380">
        <v>40956.58</v>
      </c>
      <c r="AU44" s="28"/>
      <c r="AV44" s="28"/>
      <c r="AW44" s="28"/>
      <c r="AX44" s="28"/>
      <c r="AY44" s="28"/>
      <c r="AZ44" s="28"/>
      <c r="BA44" s="28"/>
      <c r="BB44" s="28"/>
      <c r="BC44" s="28"/>
    </row>
    <row r="45" spans="1:55" s="31" customFormat="1" x14ac:dyDescent="0.25">
      <c r="B45" s="12" t="s">
        <v>365</v>
      </c>
      <c r="C45" s="12"/>
      <c r="D45" s="12"/>
      <c r="E45" s="48">
        <f>MEBL!D15/MEBL!D$21</f>
        <v>0.13509976913052063</v>
      </c>
      <c r="F45" s="48">
        <f>MEBL!E15/MEBL!E$21</f>
        <v>8.8863445979727645E-2</v>
      </c>
      <c r="G45" s="48">
        <f>MEBL!F15/MEBL!F$21</f>
        <v>1.8998842430905341E-2</v>
      </c>
      <c r="H45" s="48">
        <f>MEBL!G15/MEBL!G$21</f>
        <v>1.788197687883096E-2</v>
      </c>
      <c r="I45" s="48">
        <f>MEBL!H15/MEBL!H$21</f>
        <v>3.8916886439738119E-2</v>
      </c>
      <c r="J45" s="48">
        <f>MEBL!I15/MEBL!I$21</f>
        <v>2.9628397665140607E-2</v>
      </c>
      <c r="K45" s="48">
        <f>MEBL!J15/MEBL!J$21</f>
        <v>1.8952278022938206E-2</v>
      </c>
      <c r="L45" s="48">
        <f>MEBL!K15/MEBL!K$21</f>
        <v>2.1029986750503736E-2</v>
      </c>
      <c r="M45" s="48">
        <f>MEBL!L15/MEBL!L$21</f>
        <v>3.7196733286566447E-2</v>
      </c>
      <c r="N45" s="48">
        <f>MEBL!M15/MEBL!M$21</f>
        <v>5.0302410675313582E-2</v>
      </c>
      <c r="O45" s="404">
        <f>MEBL!N15/MEBL!N$21</f>
        <v>3.8306515544016068E-2</v>
      </c>
      <c r="P45" s="404">
        <f t="shared" si="96"/>
        <v>3.5038968439580397E-2</v>
      </c>
      <c r="Q45" s="404">
        <f t="shared" si="96"/>
        <v>3.9808827840577259E-2</v>
      </c>
      <c r="R45" s="404">
        <f t="shared" si="96"/>
        <v>4.0490024303648182E-2</v>
      </c>
      <c r="S45" s="404">
        <f t="shared" si="96"/>
        <v>3.8351985030593255E-2</v>
      </c>
      <c r="T45" s="404">
        <f t="shared" si="96"/>
        <v>3.8363360832840754E-2</v>
      </c>
      <c r="U45" s="33"/>
      <c r="V45" s="48">
        <f>MEBL!U15/MEBL!U$21</f>
        <v>2.0397018581507959E-2</v>
      </c>
      <c r="W45" s="48">
        <f>MEBL!V15/MEBL!V$21</f>
        <v>2.2435457765180463E-2</v>
      </c>
      <c r="X45" s="48">
        <f>MEBL!W15/MEBL!W$21</f>
        <v>2.4442397807741649E-2</v>
      </c>
      <c r="Y45" s="392">
        <f>MEBL!X15/MEBL!X$21</f>
        <v>3.6639639418875165E-2</v>
      </c>
      <c r="Z45" s="48">
        <f>MEBL!Y15/MEBL!Y$21</f>
        <v>4.3002804120320114E-2</v>
      </c>
      <c r="AA45" s="48">
        <f>MEBL!Z15/MEBL!Z$21</f>
        <v>4.7572464858557088E-2</v>
      </c>
      <c r="AB45" s="48">
        <f>MEBL!AA15/MEBL!AA$21</f>
        <v>4.5459103499019285E-2</v>
      </c>
      <c r="AC45" s="393">
        <f>MEBL!AB15/MEBL!AB$21</f>
        <v>4.9879983694337812E-2</v>
      </c>
      <c r="AD45" s="48">
        <f>MEBL!AC15/MEBL!AC$21</f>
        <v>5.6871565108881916E-2</v>
      </c>
      <c r="AE45" s="48">
        <f>MEBL!AD15/MEBL!AD$21</f>
        <v>5.210818550664701E-2</v>
      </c>
      <c r="AF45" s="48">
        <f>MEBL!AE15/MEBL!AE$21</f>
        <v>4.2161332993591191E-2</v>
      </c>
      <c r="AG45" s="405">
        <f t="shared" si="98"/>
        <v>3.7984827070328242E-2</v>
      </c>
      <c r="AH45" s="12"/>
      <c r="AI45" s="12"/>
      <c r="AJ45" s="28"/>
      <c r="AK45" s="28"/>
      <c r="AL45" s="28"/>
      <c r="AM45" s="28"/>
      <c r="AN45" s="28"/>
      <c r="AO45" s="28"/>
      <c r="AP45" s="398"/>
      <c r="AQ45" s="398"/>
      <c r="AR45" s="398"/>
      <c r="AS45" s="379">
        <v>44123</v>
      </c>
      <c r="AT45" s="380">
        <v>40340.17</v>
      </c>
    </row>
    <row r="46" spans="1:55" s="31" customFormat="1" x14ac:dyDescent="0.25">
      <c r="B46" s="590"/>
      <c r="C46" s="590"/>
      <c r="D46" s="590"/>
      <c r="E46" s="609"/>
      <c r="F46" s="609"/>
      <c r="G46" s="609"/>
      <c r="H46" s="609"/>
      <c r="I46" s="609"/>
      <c r="J46" s="609"/>
      <c r="K46" s="609"/>
      <c r="L46" s="609"/>
      <c r="M46" s="609"/>
      <c r="N46" s="609"/>
      <c r="O46" s="613"/>
      <c r="P46" s="613"/>
      <c r="Q46" s="613"/>
      <c r="R46" s="613"/>
      <c r="S46" s="613"/>
      <c r="T46" s="613"/>
      <c r="U46" s="595"/>
      <c r="V46" s="609"/>
      <c r="W46" s="609"/>
      <c r="X46" s="609"/>
      <c r="Y46" s="610"/>
      <c r="Z46" s="609"/>
      <c r="AA46" s="609"/>
      <c r="AB46" s="609"/>
      <c r="AC46" s="611"/>
      <c r="AD46" s="609"/>
      <c r="AE46" s="609"/>
      <c r="AF46" s="609"/>
      <c r="AG46" s="614"/>
      <c r="AJ46" s="28"/>
      <c r="AK46" s="28"/>
      <c r="AL46" s="28"/>
      <c r="AM46" s="28"/>
      <c r="AN46" s="28"/>
      <c r="AO46" s="28"/>
      <c r="AP46" s="398"/>
      <c r="AQ46" s="398"/>
      <c r="AR46" s="398"/>
      <c r="AS46" s="379">
        <v>44120</v>
      </c>
      <c r="AT46" s="576">
        <v>40164.019999999997</v>
      </c>
    </row>
    <row r="47" spans="1:55" s="31" customFormat="1" x14ac:dyDescent="0.25"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406"/>
      <c r="P47" s="406"/>
      <c r="Q47" s="406"/>
      <c r="R47" s="406"/>
      <c r="S47" s="406"/>
      <c r="T47" s="406"/>
      <c r="U47" s="33"/>
      <c r="V47" s="48"/>
      <c r="W47" s="48"/>
      <c r="X47" s="48"/>
      <c r="Y47" s="392"/>
      <c r="Z47" s="48"/>
      <c r="AA47" s="48"/>
      <c r="AB47" s="48"/>
      <c r="AC47" s="393"/>
      <c r="AD47" s="48"/>
      <c r="AE47" s="48"/>
      <c r="AF47" s="48"/>
      <c r="AG47" s="405"/>
      <c r="AJ47" s="28"/>
      <c r="AK47" s="28"/>
      <c r="AL47" s="28"/>
      <c r="AM47" s="28"/>
      <c r="AN47" s="28"/>
      <c r="AO47" s="28"/>
      <c r="AP47" s="398"/>
      <c r="AQ47" s="398"/>
      <c r="AR47" s="398"/>
      <c r="AS47" s="379">
        <v>44119</v>
      </c>
      <c r="AT47" s="576">
        <v>40068.49</v>
      </c>
    </row>
    <row r="48" spans="1:55" s="31" customFormat="1" x14ac:dyDescent="0.25">
      <c r="B48" s="24" t="s">
        <v>13</v>
      </c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406"/>
      <c r="P48" s="406"/>
      <c r="Q48" s="406"/>
      <c r="R48" s="406"/>
      <c r="S48" s="406"/>
      <c r="T48" s="406"/>
      <c r="U48" s="33"/>
      <c r="V48" s="48"/>
      <c r="W48" s="48"/>
      <c r="X48" s="48"/>
      <c r="Y48" s="392"/>
      <c r="Z48" s="48"/>
      <c r="AA48" s="48"/>
      <c r="AB48" s="48"/>
      <c r="AC48" s="393"/>
      <c r="AD48" s="48"/>
      <c r="AE48" s="48"/>
      <c r="AF48" s="48"/>
      <c r="AG48" s="405"/>
      <c r="AJ48" s="28"/>
      <c r="AK48" s="28"/>
      <c r="AL48" s="28"/>
      <c r="AM48" s="28"/>
      <c r="AN48" s="28"/>
      <c r="AO48" s="28"/>
      <c r="AP48" s="398"/>
      <c r="AQ48" s="398"/>
      <c r="AR48" s="398"/>
      <c r="AS48" s="379">
        <v>44118</v>
      </c>
      <c r="AT48" s="576">
        <v>40144.29</v>
      </c>
    </row>
    <row r="49" spans="1:55" s="31" customFormat="1" x14ac:dyDescent="0.25">
      <c r="B49" s="12" t="s">
        <v>475</v>
      </c>
      <c r="C49" s="12"/>
      <c r="D49" s="12"/>
      <c r="E49" s="48">
        <f>MEBL!D19/MEBL!D$21</f>
        <v>1.3484374934671313E-2</v>
      </c>
      <c r="F49" s="48">
        <f>MEBL!E19/MEBL!E$21</f>
        <v>1.3422018779327811E-2</v>
      </c>
      <c r="G49" s="48">
        <f>MEBL!F19/MEBL!F$21</f>
        <v>1.3273255560681424E-2</v>
      </c>
      <c r="H49" s="48">
        <f>MEBL!G19/MEBL!G$21</f>
        <v>1.2472694270976411E-2</v>
      </c>
      <c r="I49" s="48">
        <f>MEBL!H19/MEBL!H$21</f>
        <v>1.4772627153535556E-2</v>
      </c>
      <c r="J49" s="48">
        <f>MEBL!I19/MEBL!I$21</f>
        <v>1.3904265749245786E-2</v>
      </c>
      <c r="K49" s="48">
        <f>MEBL!J19/MEBL!J$21</f>
        <v>1.6189717014322907E-2</v>
      </c>
      <c r="L49" s="48">
        <f>MEBL!K19/MEBL!K$21</f>
        <v>1.6590047026182331E-2</v>
      </c>
      <c r="M49" s="48">
        <f>MEBL!L19/MEBL!L$21</f>
        <v>3.0238343024965413E-2</v>
      </c>
      <c r="N49" s="48">
        <f>MEBL!M19/MEBL!M$21</f>
        <v>1.8429533183003402E-2</v>
      </c>
      <c r="O49" s="404">
        <f>MEBL!N19/MEBL!N$21</f>
        <v>2.244958347893608E-2</v>
      </c>
      <c r="P49" s="404">
        <f t="shared" ref="P49:T49" si="99">GEOMEAN(L49:O49)</f>
        <v>2.1344306920638233E-2</v>
      </c>
      <c r="Q49" s="404">
        <f t="shared" si="99"/>
        <v>2.2732158068514308E-2</v>
      </c>
      <c r="R49" s="404">
        <f t="shared" si="99"/>
        <v>2.1167098790221578E-2</v>
      </c>
      <c r="S49" s="404">
        <f t="shared" si="99"/>
        <v>2.1912810712589423E-2</v>
      </c>
      <c r="T49" s="404">
        <f t="shared" si="99"/>
        <v>2.1780634996747674E-2</v>
      </c>
      <c r="U49" s="33"/>
      <c r="V49" s="48">
        <f>MEBL!U19/MEBL!U$21</f>
        <v>1.8628631531097475E-2</v>
      </c>
      <c r="W49" s="48">
        <f>MEBL!V19/MEBL!V$21</f>
        <v>1.797337580815523E-2</v>
      </c>
      <c r="X49" s="48">
        <f>MEBL!W19/MEBL!W$21</f>
        <v>1.6922675910125869E-2</v>
      </c>
      <c r="Y49" s="392">
        <f>MEBL!X19/MEBL!X$21</f>
        <v>3.0237097576730401E-2</v>
      </c>
      <c r="Z49" s="48">
        <f>MEBL!Y19/MEBL!Y$21</f>
        <v>2.5043234281931705E-2</v>
      </c>
      <c r="AA49" s="48">
        <f>MEBL!Z19/MEBL!Z$21</f>
        <v>2.3246220793159734E-2</v>
      </c>
      <c r="AB49" s="48">
        <f>MEBL!AA19/MEBL!AA$21</f>
        <v>1.8239162363661826E-2</v>
      </c>
      <c r="AC49" s="393">
        <f>MEBL!AB19/MEBL!AB$21</f>
        <v>1.8429328667122605E-2</v>
      </c>
      <c r="AD49" s="48">
        <f>MEBL!AC19/MEBL!AC$21</f>
        <v>1.8477394687323238E-2</v>
      </c>
      <c r="AE49" s="48">
        <f>MEBL!AD19/MEBL!AD$21</f>
        <v>2.2388881987938102E-2</v>
      </c>
      <c r="AF49" s="48">
        <f>MEBL!AE19/MEBL!AE$21</f>
        <v>2.2449334351826184E-2</v>
      </c>
      <c r="AG49" s="405">
        <f>AF49</f>
        <v>2.2449334351826184E-2</v>
      </c>
      <c r="AJ49" s="398"/>
      <c r="AK49" s="398"/>
      <c r="AL49" s="398"/>
      <c r="AM49" s="398"/>
      <c r="AN49" s="398"/>
      <c r="AO49" s="398"/>
      <c r="AP49" s="398"/>
      <c r="AQ49" s="398"/>
      <c r="AR49" s="398"/>
      <c r="AS49" s="379">
        <v>44117</v>
      </c>
      <c r="AT49" s="576">
        <v>40006.67</v>
      </c>
    </row>
    <row r="50" spans="1:55" s="31" customFormat="1" x14ac:dyDescent="0.25">
      <c r="B50" s="12" t="s">
        <v>476</v>
      </c>
      <c r="C50" s="12"/>
      <c r="D50" s="12"/>
      <c r="E50" s="48">
        <f>MEBL!D20/MEBL!D21</f>
        <v>4.4475357660919757E-2</v>
      </c>
      <c r="F50" s="48">
        <f>MEBL!E20/MEBL!E21</f>
        <v>5.4321991268848985E-2</v>
      </c>
      <c r="G50" s="48">
        <f>MEBL!F20/MEBL!F21</f>
        <v>8.0118337868368722E-2</v>
      </c>
      <c r="H50" s="48">
        <f>MEBL!G20/MEBL!G21</f>
        <v>3.9251501426695971E-2</v>
      </c>
      <c r="I50" s="48">
        <f>MEBL!H20/MEBL!H21</f>
        <v>4.0653367895656829E-2</v>
      </c>
      <c r="J50" s="48">
        <f>MEBL!I20/MEBL!I21</f>
        <v>2.8844735996562627E-2</v>
      </c>
      <c r="K50" s="48">
        <f>MEBL!J20/MEBL!J21</f>
        <v>5.6747357089732005E-2</v>
      </c>
      <c r="L50" s="48">
        <f>MEBL!K20/MEBL!K21</f>
        <v>5.4685638384164854E-2</v>
      </c>
      <c r="M50" s="48">
        <f>MEBL!L20/MEBL!L21</f>
        <v>4.6353124549872775E-2</v>
      </c>
      <c r="N50" s="48">
        <f>MEBL!M20/MEBL!M21</f>
        <v>4.5087709966352987E-2</v>
      </c>
      <c r="O50" s="404">
        <f>MEBL!N20/MEBL!N21</f>
        <v>5.5260488645498297E-2</v>
      </c>
      <c r="P50" s="404">
        <f>GEOMEAN(K50:O50)</f>
        <v>5.1389473447738844E-2</v>
      </c>
      <c r="Q50" s="404">
        <f t="shared" ref="Q50:T50" si="100">GEOMEAN(L50:P50)</f>
        <v>5.0380198393923839E-2</v>
      </c>
      <c r="R50" s="404">
        <f t="shared" si="100"/>
        <v>4.9560672502368799E-2</v>
      </c>
      <c r="S50" s="404">
        <f t="shared" si="100"/>
        <v>5.0228340088031342E-2</v>
      </c>
      <c r="T50" s="404">
        <f t="shared" si="100"/>
        <v>5.1324763375125863E-2</v>
      </c>
      <c r="U50" s="33"/>
      <c r="V50" s="48">
        <f>MEBL!U20/MEBL!U21</f>
        <v>3.4830773928053456E-2</v>
      </c>
      <c r="W50" s="48">
        <f>MEBL!V20/MEBL!V21</f>
        <v>5.97464660758096E-2</v>
      </c>
      <c r="X50" s="48">
        <f>MEBL!W20/MEBL!W21</f>
        <v>5.8909220092409662E-2</v>
      </c>
      <c r="Y50" s="392">
        <f>MEBL!X20/MEBL!X21</f>
        <v>4.635121537061946E-2</v>
      </c>
      <c r="Z50" s="48">
        <f>MEBL!Y20/MEBL!Y21</f>
        <v>4.229483950474941E-2</v>
      </c>
      <c r="AA50" s="48">
        <f>MEBL!Z20/MEBL!Z21</f>
        <v>3.9510015965109481E-2</v>
      </c>
      <c r="AB50" s="48">
        <f>MEBL!AA20/MEBL!AA21</f>
        <v>4.9145320985892735E-2</v>
      </c>
      <c r="AC50" s="393">
        <f>MEBL!AB20/MEBL!AB21</f>
        <v>4.5087209619837143E-2</v>
      </c>
      <c r="AD50" s="48">
        <f>MEBL!AC20/MEBL!AC21</f>
        <v>5.4198681082207961E-2</v>
      </c>
      <c r="AE50" s="48">
        <f>MEBL!AD20/MEBL!AD21</f>
        <v>5.1793983424758078E-2</v>
      </c>
      <c r="AF50" s="48">
        <f>MEBL!AE20/MEBL!AE21</f>
        <v>5.6482277143998783E-2</v>
      </c>
      <c r="AG50" s="405">
        <f>MEBL!AF20/MEBL!AF21</f>
        <v>5.5259875409807722E-2</v>
      </c>
      <c r="AJ50" s="398"/>
      <c r="AK50" s="398"/>
      <c r="AL50" s="398"/>
      <c r="AM50" s="398"/>
      <c r="AN50" s="398"/>
      <c r="AO50" s="398"/>
      <c r="AP50" s="398"/>
      <c r="AQ50" s="398"/>
      <c r="AR50" s="398"/>
      <c r="AS50" s="379">
        <v>44116</v>
      </c>
      <c r="AT50" s="576">
        <v>40209.82</v>
      </c>
    </row>
    <row r="51" spans="1:55" s="31" customFormat="1" x14ac:dyDescent="0.25">
      <c r="B51" s="12" t="s">
        <v>366</v>
      </c>
      <c r="C51" s="12"/>
      <c r="D51" s="12"/>
      <c r="E51" s="48">
        <f>MEBL!D24/MEBL!D$21</f>
        <v>5.8894903680376712E-2</v>
      </c>
      <c r="F51" s="48">
        <f>MEBL!E24/MEBL!E$21</f>
        <v>3.1522271707049382E-2</v>
      </c>
      <c r="G51" s="48">
        <f>MEBL!F24/MEBL!F$21</f>
        <v>2.5777978009823944E-2</v>
      </c>
      <c r="H51" s="48">
        <f>MEBL!G24/MEBL!G$21</f>
        <v>2.0739940774889543E-2</v>
      </c>
      <c r="I51" s="48">
        <f>MEBL!H24/MEBL!H$21</f>
        <v>3.1600148308099742E-2</v>
      </c>
      <c r="J51" s="48">
        <f>MEBL!I24/MEBL!I$21</f>
        <v>2.7804761000453992E-2</v>
      </c>
      <c r="K51" s="48">
        <f>MEBL!J24/MEBL!J$21</f>
        <v>2.5538228332726585E-2</v>
      </c>
      <c r="L51" s="48">
        <f>MEBL!K24/MEBL!K$21</f>
        <v>2.8469743864017648E-2</v>
      </c>
      <c r="M51" s="48">
        <f>MEBL!L24/MEBL!L$21</f>
        <v>4.9107884111575878E-2</v>
      </c>
      <c r="N51" s="48">
        <f>MEBL!M24/MEBL!M$21</f>
        <v>5.8464969068527613E-2</v>
      </c>
      <c r="O51" s="404">
        <f>MEBL!N24/MEBL!N$21</f>
        <v>5.0397002484000537E-2</v>
      </c>
      <c r="P51" s="404">
        <f t="shared" ref="P51:T51" si="101">GEOMEAN(L51:O51)</f>
        <v>4.5051453078511786E-2</v>
      </c>
      <c r="Q51" s="404">
        <f t="shared" si="101"/>
        <v>5.0528931426588361E-2</v>
      </c>
      <c r="R51" s="404">
        <f t="shared" si="101"/>
        <v>5.0890572541380782E-2</v>
      </c>
      <c r="S51" s="404">
        <f t="shared" si="101"/>
        <v>4.915557040673809E-2</v>
      </c>
      <c r="T51" s="404">
        <f t="shared" si="101"/>
        <v>4.8850020300237509E-2</v>
      </c>
      <c r="U51" s="33"/>
      <c r="V51" s="48">
        <f>MEBL!U24/MEBL!U$21</f>
        <v>3.2380723007427503E-2</v>
      </c>
      <c r="W51" s="48">
        <f>MEBL!V24/MEBL!V$21</f>
        <v>3.0129633991648516E-2</v>
      </c>
      <c r="X51" s="48">
        <f>MEBL!W24/MEBL!W$21</f>
        <v>3.629102206585498E-2</v>
      </c>
      <c r="Y51" s="392">
        <f>MEBL!X24/MEBL!X$21</f>
        <v>4.8310841317323251E-2</v>
      </c>
      <c r="Z51" s="48">
        <f>MEBL!Y24/MEBL!Y$21</f>
        <v>6.6140959302021851E-2</v>
      </c>
      <c r="AA51" s="48">
        <f>MEBL!Z24/MEBL!Z$21</f>
        <v>6.1706113653506388E-2</v>
      </c>
      <c r="AB51" s="48">
        <f>MEBL!AA24/MEBL!AA$21</f>
        <v>5.6959807872527746E-2</v>
      </c>
      <c r="AC51" s="393">
        <f>MEBL!AB24/MEBL!AB$21</f>
        <v>5.7474665897353568E-2</v>
      </c>
      <c r="AD51" s="48">
        <f>MEBL!AC24/MEBL!AC$21</f>
        <v>6.8981130228978962E-2</v>
      </c>
      <c r="AE51" s="48">
        <f>MEBL!AD24/MEBL!AD$21</f>
        <v>5.3680064466902121E-2</v>
      </c>
      <c r="AF51" s="48">
        <f>MEBL!AE24/MEBL!AE$21</f>
        <v>5.215892394061368E-2</v>
      </c>
      <c r="AG51" s="405">
        <f t="shared" ref="AG51" si="102">GEOMEAN(V51:AF51)</f>
        <v>4.9543357777217689E-2</v>
      </c>
      <c r="AJ51" s="32"/>
      <c r="AK51" s="32"/>
      <c r="AL51" s="32"/>
      <c r="AM51" s="32"/>
      <c r="AN51" s="32"/>
      <c r="AO51" s="32"/>
      <c r="AP51" s="32"/>
      <c r="AQ51" s="32"/>
      <c r="AR51" s="32"/>
      <c r="AS51" s="379">
        <v>44113</v>
      </c>
      <c r="AT51" s="576">
        <v>40798.43</v>
      </c>
    </row>
    <row r="52" spans="1:55" s="31" customFormat="1" x14ac:dyDescent="0.25">
      <c r="B52" s="590"/>
      <c r="C52" s="590"/>
      <c r="D52" s="590"/>
      <c r="E52" s="609"/>
      <c r="F52" s="609"/>
      <c r="G52" s="609"/>
      <c r="H52" s="609"/>
      <c r="I52" s="609"/>
      <c r="J52" s="609"/>
      <c r="K52" s="609"/>
      <c r="L52" s="609"/>
      <c r="M52" s="609"/>
      <c r="N52" s="609"/>
      <c r="O52" s="613"/>
      <c r="P52" s="613"/>
      <c r="Q52" s="613"/>
      <c r="R52" s="613"/>
      <c r="S52" s="613"/>
      <c r="T52" s="613"/>
      <c r="U52" s="595"/>
      <c r="V52" s="609"/>
      <c r="W52" s="609"/>
      <c r="X52" s="609"/>
      <c r="Y52" s="610"/>
      <c r="Z52" s="609"/>
      <c r="AA52" s="609"/>
      <c r="AB52" s="609"/>
      <c r="AC52" s="611"/>
      <c r="AD52" s="609"/>
      <c r="AE52" s="609"/>
      <c r="AF52" s="609"/>
      <c r="AG52" s="614"/>
      <c r="AJ52" s="28"/>
      <c r="AK52" s="28"/>
      <c r="AL52" s="28"/>
      <c r="AM52" s="28"/>
      <c r="AN52" s="28"/>
      <c r="AO52" s="28"/>
      <c r="AP52" s="28"/>
      <c r="AQ52" s="28"/>
      <c r="AR52" s="28"/>
      <c r="AS52" s="379">
        <v>44112</v>
      </c>
      <c r="AT52" s="576">
        <v>40353.620000000003</v>
      </c>
    </row>
    <row r="53" spans="1:55" s="31" customFormat="1" x14ac:dyDescent="0.25"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33"/>
      <c r="V53" s="22"/>
      <c r="W53" s="22"/>
      <c r="X53" s="22"/>
      <c r="Y53" s="41"/>
      <c r="Z53" s="22"/>
      <c r="AA53" s="22"/>
      <c r="AB53" s="22"/>
      <c r="AC53" s="43"/>
      <c r="AD53" s="22"/>
      <c r="AE53" s="22"/>
      <c r="AF53" s="22"/>
      <c r="AG53" s="581"/>
      <c r="AI53" s="12"/>
      <c r="AJ53" s="28"/>
      <c r="AK53" s="28"/>
      <c r="AL53" s="28"/>
      <c r="AM53" s="28"/>
      <c r="AN53" s="28"/>
      <c r="AO53" s="28"/>
      <c r="AP53" s="28"/>
      <c r="AQ53" s="28"/>
      <c r="AR53" s="28"/>
      <c r="AS53" s="379">
        <v>44111</v>
      </c>
      <c r="AT53" s="576">
        <v>39849.96</v>
      </c>
    </row>
    <row r="54" spans="1:55" s="33" customFormat="1" x14ac:dyDescent="0.25">
      <c r="A54" s="18"/>
      <c r="B54" s="586" t="s">
        <v>528</v>
      </c>
      <c r="C54" s="587"/>
      <c r="D54" s="587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V54" s="26"/>
      <c r="W54" s="26"/>
      <c r="X54" s="26"/>
      <c r="Y54" s="42"/>
      <c r="Z54" s="26"/>
      <c r="AA54" s="26"/>
      <c r="AB54" s="26"/>
      <c r="AC54" s="44"/>
      <c r="AD54" s="26"/>
      <c r="AE54" s="26"/>
      <c r="AF54" s="26"/>
      <c r="AG54" s="581"/>
      <c r="AI54" s="18"/>
      <c r="AJ54" s="28"/>
      <c r="AK54" s="28"/>
      <c r="AL54" s="28"/>
      <c r="AM54" s="28"/>
      <c r="AN54" s="28"/>
      <c r="AO54" s="28"/>
      <c r="AP54" s="28"/>
      <c r="AQ54" s="28"/>
      <c r="AR54" s="28"/>
      <c r="AS54" s="379">
        <v>44110</v>
      </c>
      <c r="AT54" s="576">
        <v>39127.480000000003</v>
      </c>
    </row>
    <row r="55" spans="1:55" s="31" customFormat="1" x14ac:dyDescent="0.25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33"/>
      <c r="V55" s="22"/>
      <c r="W55" s="22"/>
      <c r="X55" s="22"/>
      <c r="Y55" s="41"/>
      <c r="Z55" s="22"/>
      <c r="AA55" s="22"/>
      <c r="AB55" s="22"/>
      <c r="AC55" s="43"/>
      <c r="AD55" s="22"/>
      <c r="AE55" s="22"/>
      <c r="AF55" s="22"/>
      <c r="AG55" s="581"/>
      <c r="AI55" s="12"/>
      <c r="AJ55" s="33"/>
      <c r="AK55" s="33"/>
      <c r="AL55" s="33"/>
      <c r="AS55" s="379">
        <v>44109</v>
      </c>
      <c r="AT55" s="380">
        <v>39072.47</v>
      </c>
    </row>
    <row r="56" spans="1:55" s="31" customFormat="1" x14ac:dyDescent="0.25">
      <c r="A56" s="12"/>
      <c r="B56" s="12" t="s">
        <v>375</v>
      </c>
      <c r="C56" s="12"/>
      <c r="D56" s="12"/>
      <c r="E56" s="48">
        <f>MEBL!D301/(MEBL!D11)</f>
        <v>0.10786497672022954</v>
      </c>
      <c r="F56" s="48">
        <f>MEBL!E301/(MEBL!E11)</f>
        <v>0.12041554672046761</v>
      </c>
      <c r="G56" s="48">
        <f>MEBL!F301/(MEBL!F11)</f>
        <v>9.4790069644722558E-2</v>
      </c>
      <c r="H56" s="48">
        <f>MEBL!G301/(MEBL!G11)</f>
        <v>6.7796548812866356E-2</v>
      </c>
      <c r="I56" s="48">
        <f>MEBL!H301/(MEBL!H11)</f>
        <v>7.02481052767603E-2</v>
      </c>
      <c r="J56" s="48">
        <f>MEBL!I301/(MEBL!I11)</f>
        <v>6.6249968570665355E-2</v>
      </c>
      <c r="K56" s="48">
        <f>MEBL!J301/(MEBL!J11)</f>
        <v>5.0071959299492791E-2</v>
      </c>
      <c r="L56" s="48">
        <f>MEBL!K301/(MEBL!K11)</f>
        <v>5.1187642132458876E-2</v>
      </c>
      <c r="M56" s="48">
        <f>MEBL!L301/(MEBL!L11)</f>
        <v>5.8926124816730874E-2</v>
      </c>
      <c r="N56" s="48">
        <f>MEBL!M301/(MEBL!M11)</f>
        <v>0.1108554192578096</v>
      </c>
      <c r="O56" s="404">
        <f>MEBL!N301/(MEBL!N11)</f>
        <v>9.6194438232689056E-2</v>
      </c>
      <c r="P56" s="404">
        <f t="shared" ref="P56:T58" si="103">P$25+P60</f>
        <v>8.2500000000000004E-2</v>
      </c>
      <c r="Q56" s="404">
        <f t="shared" si="103"/>
        <v>8.2500000000000018E-2</v>
      </c>
      <c r="R56" s="404">
        <f t="shared" si="103"/>
        <v>8.2500000000000018E-2</v>
      </c>
      <c r="S56" s="404">
        <f t="shared" si="103"/>
        <v>8.2500000000000018E-2</v>
      </c>
      <c r="T56" s="404">
        <f t="shared" si="103"/>
        <v>8.2500000000000018E-2</v>
      </c>
      <c r="U56" s="33"/>
      <c r="V56" s="48">
        <f>MEBL!U301/MEBL!U11*4</f>
        <v>6.1449109827435774E-2</v>
      </c>
      <c r="W56" s="48">
        <f>MEBL!V301/MEBL!V11*4</f>
        <v>6.2700049369436017E-2</v>
      </c>
      <c r="X56" s="48">
        <f>MEBL!W301/MEBL!W11*4</f>
        <v>6.5098574687864022E-2</v>
      </c>
      <c r="Y56" s="392">
        <f>MEBL!X301/MEBL!X11*4</f>
        <v>8.0585507242734986E-2</v>
      </c>
      <c r="Z56" s="48">
        <f>MEBL!Y301/MEBL!Y11*4</f>
        <v>9.4052864006030773E-2</v>
      </c>
      <c r="AA56" s="48">
        <f>MEBL!Z301/MEBL!Z11*4</f>
        <v>0.10582608850033753</v>
      </c>
      <c r="AB56" s="48">
        <f>MEBL!AA301/MEBL!AA11*4</f>
        <v>0.1271028241371725</v>
      </c>
      <c r="AC56" s="393">
        <f>MEBL!AB301/MEBL!AB11*4</f>
        <v>0.12392275251425776</v>
      </c>
      <c r="AD56" s="48">
        <f>MEBL!AC301/MEBL!AC11*4</f>
        <v>0.12628677632360871</v>
      </c>
      <c r="AE56" s="48">
        <f>MEBL!AD301/MEBL!AD11*4</f>
        <v>0.1076497140223736</v>
      </c>
      <c r="AF56" s="48">
        <f>MEBL!AE301/MEBL!AE11*4</f>
        <v>8.9648484207311308E-2</v>
      </c>
      <c r="AG56" s="405">
        <f>AG$25+AG60</f>
        <v>8.9648484207311308E-2</v>
      </c>
      <c r="AI56" s="12"/>
      <c r="AM56" s="12"/>
      <c r="AN56" s="12"/>
      <c r="AO56" s="12"/>
      <c r="AP56" s="12"/>
      <c r="AQ56" s="12"/>
      <c r="AR56" s="12"/>
      <c r="AS56" s="379">
        <v>44106</v>
      </c>
      <c r="AT56" s="380">
        <v>40070.83</v>
      </c>
      <c r="AU56" s="12"/>
      <c r="AV56" s="12"/>
      <c r="AW56" s="12"/>
      <c r="AX56" s="12"/>
      <c r="AY56" s="12"/>
      <c r="AZ56" s="12"/>
      <c r="BA56" s="12"/>
      <c r="BB56" s="12"/>
      <c r="BC56" s="12"/>
    </row>
    <row r="57" spans="1:55" s="31" customFormat="1" x14ac:dyDescent="0.25">
      <c r="A57" s="12"/>
      <c r="B57" s="12" t="s">
        <v>376</v>
      </c>
      <c r="C57" s="12"/>
      <c r="D57" s="12"/>
      <c r="E57" s="48">
        <f>SUM(MEBL!D303:D305)/(MEBL!D10)</f>
        <v>5.7214571055950687E-2</v>
      </c>
      <c r="F57" s="48">
        <f>SUM(MEBL!E303:E305)/(MEBL!E10)</f>
        <v>9.1131423093464503E-2</v>
      </c>
      <c r="G57" s="48">
        <f>SUM(MEBL!F303:F305)/(MEBL!F10)</f>
        <v>8.5972599147493597E-2</v>
      </c>
      <c r="H57" s="48">
        <f>SUM(MEBL!G303:G305)/(MEBL!G10)</f>
        <v>9.3425892460688303E-2</v>
      </c>
      <c r="I57" s="48">
        <f>SUM(MEBL!H303:H305)/(MEBL!H10)</f>
        <v>9.0188311515969968E-2</v>
      </c>
      <c r="J57" s="48">
        <f>SUM(MEBL!I303:I305)/(MEBL!I10)</f>
        <v>8.5814357104453232E-2</v>
      </c>
      <c r="K57" s="48">
        <f>SUM(MEBL!J303:J305)/(MEBL!J10)</f>
        <v>7.0168853104530693E-2</v>
      </c>
      <c r="L57" s="48">
        <f>SUM(MEBL!K303:K305)/(MEBL!K10)</f>
        <v>4.8610678806255241E-2</v>
      </c>
      <c r="M57" s="48">
        <f>SUM(MEBL!L303:L305)/(MEBL!L10)</f>
        <v>5.4313909278764193E-2</v>
      </c>
      <c r="N57" s="48">
        <f>SUM(MEBL!M303:M305)/(MEBL!M10)</f>
        <v>9.669008624797551E-2</v>
      </c>
      <c r="O57" s="404">
        <f>SUM(MEBL!N303:N305)/(MEBL!N10)</f>
        <v>7.631733674755653E-2</v>
      </c>
      <c r="P57" s="404">
        <f t="shared" si="103"/>
        <v>7.0000000000000007E-2</v>
      </c>
      <c r="Q57" s="404">
        <f t="shared" si="103"/>
        <v>7.7500000000000013E-2</v>
      </c>
      <c r="R57" s="404">
        <f t="shared" si="103"/>
        <v>7.7500000000000013E-2</v>
      </c>
      <c r="S57" s="404">
        <f t="shared" si="103"/>
        <v>7.7500000000000013E-2</v>
      </c>
      <c r="T57" s="404">
        <f t="shared" si="103"/>
        <v>7.7500000000000013E-2</v>
      </c>
      <c r="U57" s="33"/>
      <c r="V57" s="48">
        <f>SUM(MEBL!U303:U305)/MEBL!U10*4</f>
        <v>4.7731083202819817E-2</v>
      </c>
      <c r="W57" s="48">
        <f>SUM(MEBL!V303:V305)/MEBL!V10*4</f>
        <v>5.1830978236002391E-2</v>
      </c>
      <c r="X57" s="48">
        <f>SUM(MEBL!W303:W305)/MEBL!W10*4</f>
        <v>5.2804461117993036E-2</v>
      </c>
      <c r="Y57" s="392">
        <f>SUM(MEBL!X303:X305)/MEBL!X10*4</f>
        <v>7.5283531292353184E-2</v>
      </c>
      <c r="Z57" s="48">
        <f>SUM(MEBL!Y303:Y305)/MEBL!Y10*4</f>
        <v>6.9550015646256208E-2</v>
      </c>
      <c r="AA57" s="48">
        <f>SUM(MEBL!Z303:Z305)/MEBL!Z10*4</f>
        <v>0.1062754351911238</v>
      </c>
      <c r="AB57" s="48">
        <f>SUM(MEBL!AA303:AA305)/MEBL!AA10*4</f>
        <v>0.11121556205811911</v>
      </c>
      <c r="AC57" s="393">
        <f>SUM(MEBL!AB303:AB305)/MEBL!AB10*4</f>
        <v>0.11808028890825983</v>
      </c>
      <c r="AD57" s="48">
        <f>SUM(MEBL!AC303:AC305)/MEBL!AC10*4</f>
        <v>0.11795004398913825</v>
      </c>
      <c r="AE57" s="48">
        <f>SUM(MEBL!AD303:AD305)/MEBL!AD10*4</f>
        <v>8.7412796830666356E-2</v>
      </c>
      <c r="AF57" s="48">
        <f>SUM(MEBL!AE303:AE305)/MEBL!AE10*4</f>
        <v>8.7558656970518206E-2</v>
      </c>
      <c r="AG57" s="405">
        <f>AG$25+AG61</f>
        <v>8.7558656970518206E-2</v>
      </c>
      <c r="AI57" s="12"/>
      <c r="AK57" s="381"/>
      <c r="AL57" s="381"/>
      <c r="AM57" s="407"/>
      <c r="AN57" s="407"/>
      <c r="AO57" s="407"/>
      <c r="AP57" s="407"/>
      <c r="AQ57" s="12"/>
      <c r="AR57" s="12"/>
      <c r="AS57" s="379">
        <v>44105</v>
      </c>
      <c r="AT57" s="380">
        <v>40676.92</v>
      </c>
      <c r="AU57" s="12"/>
      <c r="AV57" s="12"/>
      <c r="AW57" s="12"/>
      <c r="AX57" s="12"/>
      <c r="AY57" s="12"/>
      <c r="AZ57" s="12"/>
      <c r="BA57" s="12"/>
      <c r="BB57" s="12"/>
      <c r="BC57" s="12"/>
    </row>
    <row r="58" spans="1:55" s="31" customFormat="1" x14ac:dyDescent="0.25">
      <c r="A58" s="12"/>
      <c r="B58" s="12" t="s">
        <v>377</v>
      </c>
      <c r="C58" s="12"/>
      <c r="D58" s="12"/>
      <c r="E58" s="48">
        <f>MEBL!D306/(MEBL!D8+MEBL!D9)</f>
        <v>0.17440179129921954</v>
      </c>
      <c r="F58" s="48">
        <f>MEBL!E306/(MEBL!E8+MEBL!E9)</f>
        <v>0.2802260138678575</v>
      </c>
      <c r="G58" s="48">
        <f>MEBL!F306/(MEBL!F8+MEBL!F9)</f>
        <v>7.4417337945140938E-2</v>
      </c>
      <c r="H58" s="48">
        <f>MEBL!G306/(MEBL!G8+MEBL!G9)</f>
        <v>3.2187150528609439E-2</v>
      </c>
      <c r="I58" s="48">
        <f>MEBL!H306/(MEBL!H8+MEBL!H9)</f>
        <v>6.409347989486032E-2</v>
      </c>
      <c r="J58" s="48">
        <f>MEBL!I306/(MEBL!I8+MEBL!I9)</f>
        <v>7.0258031344124616E-2</v>
      </c>
      <c r="K58" s="48">
        <f>MEBL!J306/(MEBL!J8+MEBL!J9)</f>
        <v>4.5134251980160224E-2</v>
      </c>
      <c r="L58" s="48">
        <f>MEBL!K306/(MEBL!K8+MEBL!K9)</f>
        <v>5.660021684661503E-2</v>
      </c>
      <c r="M58" s="48">
        <f>MEBL!L306/(MEBL!L8+MEBL!L9)</f>
        <v>5.9668863318476595E-2</v>
      </c>
      <c r="N58" s="48">
        <f>MEBL!M306/(MEBL!M8+MEBL!M9)</f>
        <v>7.2498145348020251E-2</v>
      </c>
      <c r="O58" s="404">
        <f>MEBL!N306/(MEBL!N8+MEBL!N9)</f>
        <v>0.10487368824028946</v>
      </c>
      <c r="P58" s="404">
        <f t="shared" si="103"/>
        <v>8.5000000000000006E-2</v>
      </c>
      <c r="Q58" s="404">
        <f t="shared" si="103"/>
        <v>7.7500000000000013E-2</v>
      </c>
      <c r="R58" s="404">
        <f t="shared" si="103"/>
        <v>7.7500000000000013E-2</v>
      </c>
      <c r="S58" s="404">
        <f t="shared" si="103"/>
        <v>7.7500000000000013E-2</v>
      </c>
      <c r="T58" s="404">
        <f t="shared" si="103"/>
        <v>7.7500000000000013E-2</v>
      </c>
      <c r="U58" s="33"/>
      <c r="V58" s="48">
        <f>MEBL!U306/(MEBL!U8+MEBL!U9)*4</f>
        <v>5.6786251690296587E-2</v>
      </c>
      <c r="W58" s="48">
        <f>MEBL!V306/(MEBL!V8+MEBL!V9)*4</f>
        <v>5.8747493541384713E-2</v>
      </c>
      <c r="X58" s="48">
        <f>MEBL!W306/(MEBL!W8+MEBL!W9)*4</f>
        <v>6.2679885148594072E-2</v>
      </c>
      <c r="Y58" s="392">
        <f>MEBL!X306/(MEBL!X8+MEBL!X9)*4</f>
        <v>6.6772767507119052E-2</v>
      </c>
      <c r="Z58" s="48">
        <f>MEBL!Y306/(MEBL!Y8+MEBL!Y9)*4</f>
        <v>0.11542956787267039</v>
      </c>
      <c r="AA58" s="48">
        <f>MEBL!Z306/(MEBL!Z8+MEBL!Z9)*4</f>
        <v>8.9402052321460229E-2</v>
      </c>
      <c r="AB58" s="48">
        <f>MEBL!AA306/(MEBL!AA8+MEBL!AA9)*4</f>
        <v>0.10387174814858605</v>
      </c>
      <c r="AC58" s="393">
        <f>MEBL!AB306/(MEBL!AB8+MEBL!AB9)*4</f>
        <v>0.10690553602097749</v>
      </c>
      <c r="AD58" s="48">
        <f>MEBL!AC306/(MEBL!AC8+MEBL!AC9)*4</f>
        <v>0.12121893225478399</v>
      </c>
      <c r="AE58" s="48">
        <f>MEBL!AD306/(MEBL!AD8+MEBL!AD9)*4</f>
        <v>0.11475237443503104</v>
      </c>
      <c r="AF58" s="48">
        <f>MEBL!AE306/(MEBL!AE8+MEBL!AE9)*4</f>
        <v>8.7363069196474921E-2</v>
      </c>
      <c r="AG58" s="405">
        <f>AG$25+AG62</f>
        <v>8.7363069196474921E-2</v>
      </c>
      <c r="AI58" s="12"/>
      <c r="AK58" s="23"/>
      <c r="AL58" s="23"/>
      <c r="AM58" s="48"/>
      <c r="AN58" s="48"/>
      <c r="AO58" s="48"/>
      <c r="AP58" s="48"/>
      <c r="AQ58" s="12"/>
      <c r="AR58" s="12"/>
      <c r="AS58" s="12"/>
      <c r="AT58" s="12"/>
      <c r="AU58" s="12"/>
      <c r="AV58" s="12"/>
      <c r="AW58" s="12"/>
      <c r="AX58" s="12"/>
      <c r="AY58" s="12"/>
      <c r="AZ58" s="12"/>
      <c r="BA58" s="12"/>
      <c r="BB58" s="12"/>
      <c r="BC58" s="12"/>
    </row>
    <row r="59" spans="1:55" s="31" customFormat="1" x14ac:dyDescent="0.25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33"/>
      <c r="V59" s="48"/>
      <c r="W59" s="48"/>
      <c r="X59" s="48"/>
      <c r="Y59" s="392"/>
      <c r="Z59" s="48"/>
      <c r="AA59" s="48"/>
      <c r="AB59" s="48"/>
      <c r="AC59" s="393"/>
      <c r="AD59" s="48"/>
      <c r="AE59" s="48"/>
      <c r="AF59" s="48"/>
      <c r="AG59" s="405"/>
      <c r="AH59" s="12"/>
      <c r="AI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2"/>
      <c r="AZ59" s="12"/>
      <c r="BA59" s="12"/>
      <c r="BB59" s="12"/>
      <c r="BC59" s="12"/>
    </row>
    <row r="60" spans="1:55" s="31" customFormat="1" x14ac:dyDescent="0.25">
      <c r="A60" s="12"/>
      <c r="B60" s="12" t="s">
        <v>378</v>
      </c>
      <c r="C60" s="12"/>
      <c r="D60" s="12"/>
      <c r="E60" s="48" t="e">
        <f t="shared" ref="E60:O60" si="104">E56-E$25</f>
        <v>#VALUE!</v>
      </c>
      <c r="F60" s="48" t="e">
        <f t="shared" si="104"/>
        <v>#VALUE!</v>
      </c>
      <c r="G60" s="48" t="e">
        <f t="shared" si="104"/>
        <v>#VALUE!</v>
      </c>
      <c r="H60" s="48" t="e">
        <f t="shared" si="104"/>
        <v>#VALUE!</v>
      </c>
      <c r="I60" s="48">
        <f t="shared" si="104"/>
        <v>-3.0537076116917847E-2</v>
      </c>
      <c r="J60" s="48">
        <f t="shared" si="104"/>
        <v>-1.5691246454892893E-2</v>
      </c>
      <c r="K60" s="48">
        <f t="shared" si="104"/>
        <v>-1.2479970896170867E-2</v>
      </c>
      <c r="L60" s="48">
        <f t="shared" si="104"/>
        <v>-1.0412357867541126E-2</v>
      </c>
      <c r="M60" s="48">
        <f t="shared" si="104"/>
        <v>-1.5990541849935785E-2</v>
      </c>
      <c r="N60" s="48">
        <f t="shared" si="104"/>
        <v>-1.3352914075523734E-2</v>
      </c>
      <c r="O60" s="404">
        <f t="shared" si="104"/>
        <v>1.1944382326890546E-3</v>
      </c>
      <c r="P60" s="404">
        <v>-2.5000000000000001E-3</v>
      </c>
      <c r="Q60" s="404">
        <v>-7.4999999999999997E-3</v>
      </c>
      <c r="R60" s="404">
        <v>-7.4999999999999997E-3</v>
      </c>
      <c r="S60" s="404">
        <f t="shared" ref="S60:T60" si="105">R60</f>
        <v>-7.4999999999999997E-3</v>
      </c>
      <c r="T60" s="404">
        <f t="shared" si="105"/>
        <v>-7.4999999999999997E-3</v>
      </c>
      <c r="U60" s="33"/>
      <c r="V60" s="48">
        <f t="shared" ref="V60:AF60" si="106">V56-V$25</f>
        <v>-1.3467556839230885E-2</v>
      </c>
      <c r="W60" s="48">
        <f t="shared" si="106"/>
        <v>-1.2216617297230642E-2</v>
      </c>
      <c r="X60" s="48">
        <f t="shared" si="106"/>
        <v>-9.8180919788026372E-3</v>
      </c>
      <c r="Y60" s="392">
        <f t="shared" si="106"/>
        <v>5.6688405760683264E-3</v>
      </c>
      <c r="Z60" s="48">
        <f t="shared" si="106"/>
        <v>-3.0155469327302564E-2</v>
      </c>
      <c r="AA60" s="48">
        <f t="shared" si="106"/>
        <v>-1.8382244832995803E-2</v>
      </c>
      <c r="AB60" s="48">
        <f t="shared" si="106"/>
        <v>2.8944908038391615E-3</v>
      </c>
      <c r="AC60" s="393">
        <f t="shared" si="106"/>
        <v>-2.8558081907557875E-4</v>
      </c>
      <c r="AD60" s="48">
        <f t="shared" si="106"/>
        <v>-8.7132236763912962E-3</v>
      </c>
      <c r="AE60" s="48">
        <f t="shared" si="106"/>
        <v>1.2649714022373582E-2</v>
      </c>
      <c r="AF60" s="48">
        <f t="shared" si="106"/>
        <v>1.4648484207311296E-2</v>
      </c>
      <c r="AG60" s="405">
        <f>AF60</f>
        <v>1.4648484207311296E-2</v>
      </c>
      <c r="AH60" s="12"/>
      <c r="AI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  <c r="AZ60" s="12"/>
      <c r="BA60" s="12"/>
      <c r="BB60" s="12"/>
      <c r="BC60" s="12"/>
    </row>
    <row r="61" spans="1:55" s="31" customFormat="1" x14ac:dyDescent="0.25">
      <c r="A61" s="12"/>
      <c r="B61" s="12" t="s">
        <v>379</v>
      </c>
      <c r="C61" s="12"/>
      <c r="D61" s="12"/>
      <c r="E61" s="48" t="e">
        <f t="shared" ref="E61:O61" si="107">E57-E$25</f>
        <v>#VALUE!</v>
      </c>
      <c r="F61" s="48" t="e">
        <f t="shared" si="107"/>
        <v>#VALUE!</v>
      </c>
      <c r="G61" s="48" t="e">
        <f t="shared" si="107"/>
        <v>#VALUE!</v>
      </c>
      <c r="H61" s="48" t="e">
        <f t="shared" si="107"/>
        <v>#VALUE!</v>
      </c>
      <c r="I61" s="48">
        <f t="shared" si="107"/>
        <v>-1.0596869877708179E-2</v>
      </c>
      <c r="J61" s="48">
        <f t="shared" si="107"/>
        <v>3.8731420788949839E-3</v>
      </c>
      <c r="K61" s="48">
        <f t="shared" si="107"/>
        <v>7.6169229088670354E-3</v>
      </c>
      <c r="L61" s="48">
        <f t="shared" si="107"/>
        <v>-1.2989321193744761E-2</v>
      </c>
      <c r="M61" s="48">
        <f t="shared" si="107"/>
        <v>-2.0602757387902466E-2</v>
      </c>
      <c r="N61" s="48">
        <f t="shared" si="107"/>
        <v>-2.7518247085357828E-2</v>
      </c>
      <c r="O61" s="404">
        <f t="shared" si="107"/>
        <v>-1.8682663252443471E-2</v>
      </c>
      <c r="P61" s="404">
        <v>-1.4999999999999999E-2</v>
      </c>
      <c r="Q61" s="404">
        <v>-1.2500000000000001E-2</v>
      </c>
      <c r="R61" s="404">
        <f t="shared" ref="R61:T61" si="108">Q61</f>
        <v>-1.2500000000000001E-2</v>
      </c>
      <c r="S61" s="404">
        <f t="shared" si="108"/>
        <v>-1.2500000000000001E-2</v>
      </c>
      <c r="T61" s="404">
        <f t="shared" si="108"/>
        <v>-1.2500000000000001E-2</v>
      </c>
      <c r="U61" s="33"/>
      <c r="V61" s="48">
        <f t="shared" ref="V61:AF61" si="109">V57-V$25</f>
        <v>-2.7185583463846842E-2</v>
      </c>
      <c r="W61" s="48">
        <f t="shared" si="109"/>
        <v>-2.3085688430664268E-2</v>
      </c>
      <c r="X61" s="48">
        <f t="shared" si="109"/>
        <v>-2.2112205548673623E-2</v>
      </c>
      <c r="Y61" s="392">
        <f t="shared" si="109"/>
        <v>3.6686462568652489E-4</v>
      </c>
      <c r="Z61" s="48">
        <f t="shared" si="109"/>
        <v>-5.4658317687077129E-2</v>
      </c>
      <c r="AA61" s="48">
        <f t="shared" si="109"/>
        <v>-1.7932898142209538E-2</v>
      </c>
      <c r="AB61" s="48">
        <f t="shared" si="109"/>
        <v>-1.2992771275214227E-2</v>
      </c>
      <c r="AC61" s="393">
        <f t="shared" si="109"/>
        <v>-6.1280444250735033E-3</v>
      </c>
      <c r="AD61" s="48">
        <f t="shared" si="109"/>
        <v>-1.7049956010861761E-2</v>
      </c>
      <c r="AE61" s="48">
        <f t="shared" si="109"/>
        <v>-7.5872031693336589E-3</v>
      </c>
      <c r="AF61" s="48">
        <f t="shared" si="109"/>
        <v>1.2558656970518195E-2</v>
      </c>
      <c r="AG61" s="405">
        <f t="shared" ref="AG61:AG62" si="110">AF61</f>
        <v>1.2558656970518195E-2</v>
      </c>
      <c r="AH61" s="12"/>
      <c r="AI61" s="12"/>
      <c r="AS61" s="12"/>
      <c r="AT61" s="12"/>
      <c r="AU61" s="12"/>
      <c r="AV61" s="12"/>
      <c r="AW61" s="12"/>
      <c r="AX61" s="12"/>
      <c r="AY61" s="12"/>
      <c r="AZ61" s="12"/>
      <c r="BA61" s="12"/>
      <c r="BB61" s="12"/>
      <c r="BC61" s="12"/>
    </row>
    <row r="62" spans="1:55" s="31" customFormat="1" x14ac:dyDescent="0.25">
      <c r="A62" s="12"/>
      <c r="B62" s="12" t="s">
        <v>466</v>
      </c>
      <c r="C62" s="12"/>
      <c r="D62" s="12"/>
      <c r="E62" s="48" t="e">
        <f t="shared" ref="E62:O62" si="111">E58-E$25</f>
        <v>#VALUE!</v>
      </c>
      <c r="F62" s="48" t="e">
        <f t="shared" si="111"/>
        <v>#VALUE!</v>
      </c>
      <c r="G62" s="48" t="e">
        <f t="shared" si="111"/>
        <v>#VALUE!</v>
      </c>
      <c r="H62" s="48" t="e">
        <f t="shared" si="111"/>
        <v>#VALUE!</v>
      </c>
      <c r="I62" s="48">
        <f t="shared" si="111"/>
        <v>-3.6691701498817827E-2</v>
      </c>
      <c r="J62" s="48">
        <f t="shared" si="111"/>
        <v>-1.1683183681433632E-2</v>
      </c>
      <c r="K62" s="48">
        <f t="shared" si="111"/>
        <v>-1.7417678215503433E-2</v>
      </c>
      <c r="L62" s="48">
        <f t="shared" si="111"/>
        <v>-4.9997831533849721E-3</v>
      </c>
      <c r="M62" s="48">
        <f t="shared" si="111"/>
        <v>-1.5247803348190064E-2</v>
      </c>
      <c r="N62" s="48">
        <f t="shared" si="111"/>
        <v>-5.1710187985313086E-2</v>
      </c>
      <c r="O62" s="404">
        <f t="shared" si="111"/>
        <v>9.8736882402894605E-3</v>
      </c>
      <c r="P62" s="404">
        <v>0</v>
      </c>
      <c r="Q62" s="404">
        <v>-1.2500000000000001E-2</v>
      </c>
      <c r="R62" s="404">
        <f t="shared" ref="R62:T62" si="112">Q62</f>
        <v>-1.2500000000000001E-2</v>
      </c>
      <c r="S62" s="404">
        <f t="shared" si="112"/>
        <v>-1.2500000000000001E-2</v>
      </c>
      <c r="T62" s="404">
        <f t="shared" si="112"/>
        <v>-1.2500000000000001E-2</v>
      </c>
      <c r="U62" s="33"/>
      <c r="V62" s="48">
        <f t="shared" ref="V62:AF62" si="113">V58-V$25</f>
        <v>-1.8130414976370073E-2</v>
      </c>
      <c r="W62" s="48">
        <f t="shared" si="113"/>
        <v>-1.6169173125281947E-2</v>
      </c>
      <c r="X62" s="48">
        <f t="shared" si="113"/>
        <v>-1.2236781518072587E-2</v>
      </c>
      <c r="Y62" s="392">
        <f t="shared" si="113"/>
        <v>-8.1438991595476073E-3</v>
      </c>
      <c r="Z62" s="48">
        <f t="shared" si="113"/>
        <v>-8.7787654606629462E-3</v>
      </c>
      <c r="AA62" s="48">
        <f t="shared" si="113"/>
        <v>-3.4806281011873108E-2</v>
      </c>
      <c r="AB62" s="48">
        <f t="shared" si="113"/>
        <v>-2.0336585184747291E-2</v>
      </c>
      <c r="AC62" s="393">
        <f t="shared" si="113"/>
        <v>-1.7302797312355844E-2</v>
      </c>
      <c r="AD62" s="48">
        <f t="shared" si="113"/>
        <v>-1.3781067745216022E-2</v>
      </c>
      <c r="AE62" s="48">
        <f t="shared" si="113"/>
        <v>1.9752374435031028E-2</v>
      </c>
      <c r="AF62" s="48">
        <f t="shared" si="113"/>
        <v>1.236306919647491E-2</v>
      </c>
      <c r="AG62" s="405">
        <f t="shared" si="110"/>
        <v>1.236306919647491E-2</v>
      </c>
      <c r="AH62" s="12"/>
      <c r="AS62" s="12"/>
      <c r="AT62" s="12"/>
      <c r="AU62" s="12"/>
      <c r="AV62" s="12"/>
      <c r="AW62" s="12"/>
      <c r="AX62" s="12"/>
      <c r="AY62" s="12"/>
      <c r="AZ62" s="12"/>
      <c r="BA62" s="12"/>
      <c r="BB62" s="12"/>
      <c r="BC62" s="12"/>
    </row>
    <row r="63" spans="1:55" s="31" customFormat="1" x14ac:dyDescent="0.25">
      <c r="B63" s="590"/>
      <c r="C63" s="590"/>
      <c r="D63" s="590"/>
      <c r="E63" s="590"/>
      <c r="F63" s="590"/>
      <c r="G63" s="590"/>
      <c r="H63" s="590"/>
      <c r="I63" s="590"/>
      <c r="J63" s="590"/>
      <c r="K63" s="590"/>
      <c r="L63" s="590"/>
      <c r="M63" s="590"/>
      <c r="N63" s="590"/>
      <c r="O63" s="590"/>
      <c r="P63" s="590"/>
      <c r="Q63" s="590"/>
      <c r="R63" s="590"/>
      <c r="S63" s="590"/>
      <c r="T63" s="590"/>
      <c r="U63" s="595"/>
      <c r="V63" s="596"/>
      <c r="W63" s="596"/>
      <c r="X63" s="596"/>
      <c r="Y63" s="597"/>
      <c r="Z63" s="596"/>
      <c r="AA63" s="596"/>
      <c r="AB63" s="596"/>
      <c r="AC63" s="598"/>
      <c r="AD63" s="596"/>
      <c r="AE63" s="596"/>
      <c r="AF63" s="596"/>
      <c r="AG63" s="629"/>
    </row>
    <row r="64" spans="1:55" s="31" customFormat="1" x14ac:dyDescent="0.25">
      <c r="U64" s="33"/>
      <c r="V64" s="21"/>
      <c r="W64" s="21"/>
      <c r="X64" s="21"/>
      <c r="Y64" s="41"/>
      <c r="Z64" s="21"/>
      <c r="AA64" s="21"/>
      <c r="AB64" s="21"/>
      <c r="AC64" s="43"/>
      <c r="AD64" s="21"/>
      <c r="AE64" s="21"/>
      <c r="AF64" s="21"/>
      <c r="AG64" s="581"/>
    </row>
    <row r="65" spans="1:44" s="31" customFormat="1" x14ac:dyDescent="0.25">
      <c r="B65" s="586" t="s">
        <v>380</v>
      </c>
      <c r="C65" s="584"/>
      <c r="D65" s="584"/>
      <c r="U65" s="33"/>
      <c r="V65" s="21"/>
      <c r="W65" s="21"/>
      <c r="X65" s="21"/>
      <c r="Y65" s="41"/>
      <c r="Z65" s="21"/>
      <c r="AA65" s="21"/>
      <c r="AB65" s="21"/>
      <c r="AC65" s="43"/>
      <c r="AD65" s="21"/>
      <c r="AE65" s="21"/>
      <c r="AF65" s="21"/>
      <c r="AG65" s="581"/>
    </row>
    <row r="66" spans="1:44" s="31" customFormat="1" x14ac:dyDescent="0.25">
      <c r="U66" s="33"/>
      <c r="V66" s="21"/>
      <c r="W66" s="21"/>
      <c r="X66" s="21"/>
      <c r="Y66" s="41"/>
      <c r="Z66" s="21"/>
      <c r="AA66" s="21"/>
      <c r="AB66" s="21"/>
      <c r="AC66" s="43"/>
      <c r="AD66" s="21"/>
      <c r="AE66" s="21"/>
      <c r="AF66" s="21"/>
      <c r="AG66" s="581"/>
    </row>
    <row r="67" spans="1:44" s="31" customFormat="1" x14ac:dyDescent="0.25">
      <c r="B67" s="12" t="s">
        <v>470</v>
      </c>
      <c r="C67" s="12"/>
      <c r="D67" s="12"/>
      <c r="E67" s="48">
        <f>MEBL!D313/(MEBL!D258+MEBL!D259+MEBL!D264)</f>
        <v>6.4703522961047755E-2</v>
      </c>
      <c r="F67" s="48">
        <f>MEBL!E313/(MEBL!E258+MEBL!E259+MEBL!E264)</f>
        <v>6.6139251355813833E-2</v>
      </c>
      <c r="G67" s="48">
        <f>MEBL!F313/(MEBL!F258+MEBL!F259+MEBL!F264)</f>
        <v>6.3445019705689873E-2</v>
      </c>
      <c r="H67" s="48">
        <f>MEBL!G313/(MEBL!G258+MEBL!G259+MEBL!G264)</f>
        <v>5.5100958714382739E-2</v>
      </c>
      <c r="I67" s="48">
        <f>MEBL!H313/(MEBL!H258+MEBL!H259+MEBL!H264)</f>
        <v>5.5593918694938314E-2</v>
      </c>
      <c r="J67" s="48">
        <f>MEBL!I313/(MEBL!I258+MEBL!I259+MEBL!I264)</f>
        <v>4.4676328627933901E-2</v>
      </c>
      <c r="K67" s="48">
        <f>MEBL!J313/(MEBL!J258+MEBL!J259+MEBL!J264)</f>
        <v>3.2485516444024427E-2</v>
      </c>
      <c r="L67" s="48">
        <f>MEBL!K313/(MEBL!K258+MEBL!K259+MEBL!K264)</f>
        <v>3.103839571096894E-2</v>
      </c>
      <c r="M67" s="48">
        <f>MEBL!L313/(MEBL!L258+MEBL!L259+MEBL!L264)</f>
        <v>3.6673016359167442E-2</v>
      </c>
      <c r="N67" s="48">
        <f>MEBL!M313/(MEBL!M258+MEBL!M259+MEBL!M264)</f>
        <v>7.3694717379957739E-2</v>
      </c>
      <c r="O67" s="404">
        <f>MEBL!N313/(MEBL!N258+MEBL!N259+MEBL!N264)</f>
        <v>5.2573450989808729E-2</v>
      </c>
      <c r="P67" s="404">
        <f t="shared" ref="P67:T68" si="114">P25+P71</f>
        <v>4.6637633337652723E-2</v>
      </c>
      <c r="Q67" s="404">
        <f t="shared" si="114"/>
        <v>5.1637633337652727E-2</v>
      </c>
      <c r="R67" s="404">
        <f t="shared" si="114"/>
        <v>5.1637633337652727E-2</v>
      </c>
      <c r="S67" s="404">
        <f t="shared" si="114"/>
        <v>5.1637633337652727E-2</v>
      </c>
      <c r="T67" s="404">
        <f t="shared" si="114"/>
        <v>5.1637633337652727E-2</v>
      </c>
      <c r="U67" s="33"/>
      <c r="V67" s="48">
        <f>MEBL!U313/(MEBL!U258+MEBL!U259+MEBL!U264)</f>
        <v>8.8122777471001633E-3</v>
      </c>
      <c r="W67" s="48">
        <f>MEBL!V313/(MEBL!V258+MEBL!V259+MEBL!V264)</f>
        <v>8.6397834691719407E-3</v>
      </c>
      <c r="X67" s="48">
        <f>MEBL!W313/(MEBL!W258+MEBL!W259+MEBL!W264)</f>
        <v>1.0024899738018669E-2</v>
      </c>
      <c r="Y67" s="392">
        <f>MEBL!X313/(MEBL!X258+MEBL!X259+MEBL!X264)</f>
        <v>1.2353371516161655E-2</v>
      </c>
      <c r="Z67" s="48">
        <f>MEBL!Y313/(MEBL!Y258+MEBL!Y259+MEBL!Y264)</f>
        <v>1.6997711881828925E-2</v>
      </c>
      <c r="AA67" s="48">
        <f>MEBL!Z313/(MEBL!Z258+MEBL!Z259+MEBL!Z264)</f>
        <v>1.6837039901715724E-2</v>
      </c>
      <c r="AB67" s="48">
        <f>MEBL!AA313/(MEBL!AA258+MEBL!AA259+MEBL!AA264)</f>
        <v>2.2934260537467607E-2</v>
      </c>
      <c r="AC67" s="393">
        <f>MEBL!AB313/(MEBL!AB258+MEBL!AB259+MEBL!AB264)</f>
        <v>2.2903102029436916E-2</v>
      </c>
      <c r="AD67" s="408">
        <f>MEBL!AC313/(MEBL!AC258+MEBL!AC259+MEBL!AC264)</f>
        <v>2.2733630309487066E-2</v>
      </c>
      <c r="AE67" s="408">
        <f>MEBL!AD313/(MEBL!AD258+MEBL!AD259+MEBL!AD264)</f>
        <v>1.415295995662972E-2</v>
      </c>
      <c r="AF67" s="408">
        <f>MEBL!AE313/(MEBL!AE258+MEBL!AE259+MEBL!AE264)</f>
        <v>1.0434117402663003E-2</v>
      </c>
      <c r="AG67" s="405">
        <f>AG$25+AG71</f>
        <v>1.0434117402663007E-2</v>
      </c>
    </row>
    <row r="68" spans="1:44" s="31" customFormat="1" x14ac:dyDescent="0.25">
      <c r="B68" s="12" t="s">
        <v>404</v>
      </c>
      <c r="C68" s="12"/>
      <c r="D68" s="12"/>
      <c r="E68" s="48" t="e">
        <f>MEBL!D314/MEBL!D22</f>
        <v>#DIV/0!</v>
      </c>
      <c r="F68" s="48" t="e">
        <f>MEBL!E314/MEBL!E22</f>
        <v>#DIV/0!</v>
      </c>
      <c r="G68" s="48" t="e">
        <f>MEBL!F314/MEBL!F22</f>
        <v>#DIV/0!</v>
      </c>
      <c r="H68" s="48" t="e">
        <f>MEBL!G314/MEBL!G22</f>
        <v>#DIV/0!</v>
      </c>
      <c r="I68" s="48" t="e">
        <f>MEBL!H314/MEBL!H22</f>
        <v>#DIV/0!</v>
      </c>
      <c r="J68" s="48" t="e">
        <f>MEBL!I314/MEBL!I22</f>
        <v>#DIV/0!</v>
      </c>
      <c r="K68" s="48">
        <f>MEBL!J314/MEBL!J22</f>
        <v>0</v>
      </c>
      <c r="L68" s="48">
        <f>MEBL!K314/MEBL!K22</f>
        <v>0</v>
      </c>
      <c r="M68" s="48">
        <f>MEBL!L314/MEBL!L22</f>
        <v>6.0645642857142856E-2</v>
      </c>
      <c r="N68" s="48">
        <f>MEBL!M314/MEBL!M22</f>
        <v>0.128111</v>
      </c>
      <c r="O68" s="404">
        <f>MEBL!N314/MEBL!N22</f>
        <v>0.12356144444444443</v>
      </c>
      <c r="P68" s="404">
        <f t="shared" si="114"/>
        <v>0.10856144444444443</v>
      </c>
      <c r="Q68" s="404">
        <f t="shared" si="114"/>
        <v>0.11356144444444444</v>
      </c>
      <c r="R68" s="404">
        <f t="shared" si="114"/>
        <v>0.11356144444444444</v>
      </c>
      <c r="S68" s="404">
        <f t="shared" si="114"/>
        <v>0.11356144444444444</v>
      </c>
      <c r="T68" s="404">
        <f t="shared" si="114"/>
        <v>0.11356144444444444</v>
      </c>
      <c r="U68" s="33"/>
      <c r="V68" s="48">
        <f>MEBL!U314/MEBL!U22*4</f>
        <v>0</v>
      </c>
      <c r="W68" s="48">
        <f>MEBL!V314/MEBL!V22*4</f>
        <v>0</v>
      </c>
      <c r="X68" s="48">
        <f>MEBL!W314/MEBL!W22*4</f>
        <v>0</v>
      </c>
      <c r="Y68" s="392">
        <f>MEBL!X314/MEBL!X22*4</f>
        <v>0.24258257142857143</v>
      </c>
      <c r="Z68" s="48">
        <f>MEBL!Y314/MEBL!Y22*4</f>
        <v>0.10590514285714286</v>
      </c>
      <c r="AA68" s="48">
        <f>MEBL!Z314/MEBL!Z22*4</f>
        <v>0.11943457142857143</v>
      </c>
      <c r="AB68" s="48">
        <f>MEBL!AA314/MEBL!AA22*4</f>
        <v>0.13037342857142858</v>
      </c>
      <c r="AC68" s="393">
        <f>MEBL!AB314/MEBL!AB22*4</f>
        <v>0.15673085714285714</v>
      </c>
      <c r="AD68" s="48">
        <f>MEBL!AC314/MEBL!AC22*4</f>
        <v>0.14651422222222221</v>
      </c>
      <c r="AE68" s="48">
        <f>MEBL!AD314/MEBL!AD22*4</f>
        <v>0.13234266666666666</v>
      </c>
      <c r="AF68" s="48">
        <f>MEBL!AE314/MEBL!AE22*4</f>
        <v>0.10769444444444444</v>
      </c>
      <c r="AG68" s="405">
        <f>AG$25+AG72</f>
        <v>0.10769444444444444</v>
      </c>
    </row>
    <row r="69" spans="1:44" s="31" customFormat="1" x14ac:dyDescent="0.25">
      <c r="B69" s="12" t="s">
        <v>487</v>
      </c>
      <c r="C69" s="12"/>
      <c r="D69" s="12"/>
      <c r="E69" s="409"/>
      <c r="F69" s="409" t="e">
        <f>MEBL!E316/AVERAGE(MEBL!D220:E220)</f>
        <v>#DIV/0!</v>
      </c>
      <c r="G69" s="48" t="e">
        <f>MEBL!F316/AVERAGE(MEBL!E220:F220)</f>
        <v>#DIV/0!</v>
      </c>
      <c r="H69" s="48" t="e">
        <f>MEBL!G316/AVERAGE(MEBL!F220:G220)</f>
        <v>#DIV/0!</v>
      </c>
      <c r="I69" s="48" t="e">
        <f>MEBL!H316/AVERAGE(MEBL!G220:H220)</f>
        <v>#DIV/0!</v>
      </c>
      <c r="J69" s="48" t="e">
        <f>MEBL!I316/AVERAGE(MEBL!H220:I220)</f>
        <v>#DIV/0!</v>
      </c>
      <c r="K69" s="48" t="e">
        <f>MEBL!J316/AVERAGE(MEBL!I220:J220)</f>
        <v>#DIV/0!</v>
      </c>
      <c r="L69" s="48" t="e">
        <f>MEBL!K316/AVERAGE(MEBL!J220:K220)</f>
        <v>#DIV/0!</v>
      </c>
      <c r="M69" s="48" t="e">
        <f>MEBL!L316/AVERAGE(MEBL!K220:L220)</f>
        <v>#DIV/0!</v>
      </c>
      <c r="N69" s="48">
        <f>MEBL!M316/MEBL!M220</f>
        <v>0.13696977373625741</v>
      </c>
      <c r="O69" s="404">
        <f>MEBL!N316/AVERAGE(MEBL!M220:N220)</f>
        <v>0.13746123446608702</v>
      </c>
      <c r="P69" s="404">
        <f>GEOMEAN(N69:O69)</f>
        <v>0.13721528406969308</v>
      </c>
      <c r="Q69" s="404">
        <f t="shared" ref="Q69:T69" si="115">GEOMEAN(O69:P69)</f>
        <v>0.13733820421075418</v>
      </c>
      <c r="R69" s="404">
        <f t="shared" si="115"/>
        <v>0.13727673038210136</v>
      </c>
      <c r="S69" s="404">
        <f t="shared" si="115"/>
        <v>0.13730746385612722</v>
      </c>
      <c r="T69" s="404">
        <f t="shared" si="115"/>
        <v>0.13729209625913541</v>
      </c>
      <c r="U69" s="33"/>
      <c r="V69" s="48"/>
      <c r="W69" s="48" t="e">
        <f>MEBL!V316/AVERAGE(MEBL!U220:V220)</f>
        <v>#DIV/0!</v>
      </c>
      <c r="X69" s="48" t="e">
        <f>MEBL!W316/AVERAGE(MEBL!V220:W220)</f>
        <v>#DIV/0!</v>
      </c>
      <c r="Y69" s="392" t="e">
        <f>MEBL!X316/AVERAGE(MEBL!W220:X220)</f>
        <v>#DIV/0!</v>
      </c>
      <c r="Z69" s="48" t="e">
        <f>MEBL!Y316/AVERAGE(MEBL!X220:Y220)</f>
        <v>#DIV/0!</v>
      </c>
      <c r="AA69" s="48">
        <f>MEBL!Z316/AVERAGE(MEBL!Y220:Z220)</f>
        <v>0.13643651413638938</v>
      </c>
      <c r="AB69" s="48">
        <f>MEBL!AA316/AVERAGE(MEBL!Z220:AA220)</f>
        <v>3.259662881678866E-2</v>
      </c>
      <c r="AC69" s="393">
        <f>MEBL!AB316/AVERAGE(MEBL!AA220:AB220)</f>
        <v>8.5167749777910917E-2</v>
      </c>
      <c r="AD69" s="48">
        <f>MEBL!AC316/AVERAGE(MEBL!AB220:AC220)</f>
        <v>3.6414837720042954E-2</v>
      </c>
      <c r="AE69" s="48">
        <f>MEBL!AD316/AVERAGE(MEBL!AC220:AD220)</f>
        <v>3.9682362092019953E-2</v>
      </c>
      <c r="AF69" s="48">
        <f>MEBL!AE316/AVERAGE(MEBL!AD220:AE220)</f>
        <v>3.5739060974305306E-2</v>
      </c>
      <c r="AG69" s="405">
        <f>MEBL!AF316/AVERAGE(MEBL!AE220:AF220)</f>
        <v>3.7072327128544288E-2</v>
      </c>
    </row>
    <row r="70" spans="1:44" s="31" customFormat="1" x14ac:dyDescent="0.25">
      <c r="B70" s="12"/>
      <c r="C70" s="12"/>
      <c r="D70" s="12"/>
      <c r="E70" s="48"/>
      <c r="F70" s="48"/>
      <c r="G70" s="48"/>
      <c r="H70" s="48"/>
      <c r="I70" s="48"/>
      <c r="J70" s="48"/>
      <c r="K70" s="48"/>
      <c r="L70" s="48"/>
      <c r="M70" s="48"/>
      <c r="N70" s="48"/>
      <c r="O70" s="12"/>
      <c r="P70" s="12"/>
      <c r="Q70" s="12"/>
      <c r="R70" s="12"/>
      <c r="S70" s="12"/>
      <c r="T70" s="12"/>
      <c r="U70" s="33"/>
      <c r="V70" s="48"/>
      <c r="W70" s="48"/>
      <c r="X70" s="48"/>
      <c r="Y70" s="392"/>
      <c r="Z70" s="48"/>
      <c r="AA70" s="48"/>
      <c r="AB70" s="48"/>
      <c r="AC70" s="393"/>
      <c r="AD70" s="48"/>
      <c r="AE70" s="48"/>
      <c r="AF70" s="48"/>
      <c r="AG70" s="405"/>
    </row>
    <row r="71" spans="1:44" s="31" customFormat="1" x14ac:dyDescent="0.25">
      <c r="B71" s="12" t="s">
        <v>405</v>
      </c>
      <c r="C71" s="12"/>
      <c r="D71" s="12"/>
      <c r="E71" s="48" t="e">
        <f t="shared" ref="E71:O71" si="116">E67-E$25</f>
        <v>#VALUE!</v>
      </c>
      <c r="F71" s="48" t="e">
        <f t="shared" si="116"/>
        <v>#VALUE!</v>
      </c>
      <c r="G71" s="48" t="e">
        <f t="shared" si="116"/>
        <v>#VALUE!</v>
      </c>
      <c r="H71" s="48" t="e">
        <f t="shared" si="116"/>
        <v>#VALUE!</v>
      </c>
      <c r="I71" s="48">
        <f t="shared" si="116"/>
        <v>-4.5191262698739833E-2</v>
      </c>
      <c r="J71" s="48">
        <f t="shared" si="116"/>
        <v>-3.7264886397624347E-2</v>
      </c>
      <c r="K71" s="48">
        <f t="shared" si="116"/>
        <v>-3.006641375163923E-2</v>
      </c>
      <c r="L71" s="48">
        <f t="shared" si="116"/>
        <v>-3.0561604289031062E-2</v>
      </c>
      <c r="M71" s="48">
        <f t="shared" si="116"/>
        <v>-3.8243650307499218E-2</v>
      </c>
      <c r="N71" s="48">
        <f t="shared" si="116"/>
        <v>-5.0513615953375599E-2</v>
      </c>
      <c r="O71" s="404">
        <f t="shared" si="116"/>
        <v>-4.2426549010191272E-2</v>
      </c>
      <c r="P71" s="404">
        <f>AVERAGE(K71:O71)</f>
        <v>-3.8362366662347283E-2</v>
      </c>
      <c r="Q71" s="404">
        <f>P71</f>
        <v>-3.8362366662347283E-2</v>
      </c>
      <c r="R71" s="404">
        <f t="shared" ref="R71:T71" si="117">Q71</f>
        <v>-3.8362366662347283E-2</v>
      </c>
      <c r="S71" s="404">
        <f t="shared" si="117"/>
        <v>-3.8362366662347283E-2</v>
      </c>
      <c r="T71" s="404">
        <f t="shared" si="117"/>
        <v>-3.8362366662347283E-2</v>
      </c>
      <c r="U71" s="33"/>
      <c r="V71" s="48">
        <f t="shared" ref="V71:AF71" si="118">V67-V$25</f>
        <v>-6.6104388919566492E-2</v>
      </c>
      <c r="W71" s="48">
        <f t="shared" si="118"/>
        <v>-6.6276883197494724E-2</v>
      </c>
      <c r="X71" s="48">
        <f t="shared" si="118"/>
        <v>-6.4891766928647995E-2</v>
      </c>
      <c r="Y71" s="392">
        <f t="shared" si="118"/>
        <v>-6.2563295150505002E-2</v>
      </c>
      <c r="Z71" s="48">
        <f t="shared" si="118"/>
        <v>-0.10721062145150441</v>
      </c>
      <c r="AA71" s="48">
        <f t="shared" si="118"/>
        <v>-0.10737129343161761</v>
      </c>
      <c r="AB71" s="48">
        <f t="shared" si="118"/>
        <v>-0.10127407279586573</v>
      </c>
      <c r="AC71" s="393">
        <f t="shared" si="118"/>
        <v>-0.10130523130389642</v>
      </c>
      <c r="AD71" s="48">
        <f t="shared" si="118"/>
        <v>-0.11226636969051294</v>
      </c>
      <c r="AE71" s="48">
        <f t="shared" si="118"/>
        <v>-8.0847040043370288E-2</v>
      </c>
      <c r="AF71" s="48">
        <f t="shared" si="118"/>
        <v>-6.4565882597337004E-2</v>
      </c>
      <c r="AG71" s="405">
        <f>AF71</f>
        <v>-6.4565882597337004E-2</v>
      </c>
    </row>
    <row r="72" spans="1:44" s="31" customFormat="1" x14ac:dyDescent="0.25">
      <c r="B72" s="12" t="s">
        <v>406</v>
      </c>
      <c r="C72" s="12"/>
      <c r="D72" s="12"/>
      <c r="E72" s="410" t="e">
        <f t="shared" ref="E72:O72" si="119">E68-E$25</f>
        <v>#DIV/0!</v>
      </c>
      <c r="F72" s="410" t="e">
        <f t="shared" si="119"/>
        <v>#DIV/0!</v>
      </c>
      <c r="G72" s="410" t="e">
        <f t="shared" si="119"/>
        <v>#DIV/0!</v>
      </c>
      <c r="H72" s="410" t="e">
        <f t="shared" si="119"/>
        <v>#DIV/0!</v>
      </c>
      <c r="I72" s="410" t="e">
        <f t="shared" si="119"/>
        <v>#DIV/0!</v>
      </c>
      <c r="J72" s="410" t="e">
        <f t="shared" si="119"/>
        <v>#DIV/0!</v>
      </c>
      <c r="K72" s="410">
        <f t="shared" si="119"/>
        <v>-6.2551930195663658E-2</v>
      </c>
      <c r="L72" s="410">
        <f t="shared" si="119"/>
        <v>-6.1600000000000002E-2</v>
      </c>
      <c r="M72" s="410">
        <f t="shared" si="119"/>
        <v>-1.4271023809523803E-2</v>
      </c>
      <c r="N72" s="410">
        <f t="shared" si="119"/>
        <v>3.9026666666666654E-3</v>
      </c>
      <c r="O72" s="404">
        <f t="shared" si="119"/>
        <v>2.8561444444444431E-2</v>
      </c>
      <c r="P72" s="404">
        <f>O72</f>
        <v>2.8561444444444431E-2</v>
      </c>
      <c r="Q72" s="404">
        <f>P72</f>
        <v>2.8561444444444431E-2</v>
      </c>
      <c r="R72" s="404">
        <f t="shared" ref="R72:T72" si="120">Q72</f>
        <v>2.8561444444444431E-2</v>
      </c>
      <c r="S72" s="404">
        <f t="shared" si="120"/>
        <v>2.8561444444444431E-2</v>
      </c>
      <c r="T72" s="404">
        <f t="shared" si="120"/>
        <v>2.8561444444444431E-2</v>
      </c>
      <c r="U72" s="33"/>
      <c r="V72" s="48">
        <f t="shared" ref="V72:AF72" si="121">V68-V$25</f>
        <v>-7.4916666666666659E-2</v>
      </c>
      <c r="W72" s="48">
        <f t="shared" si="121"/>
        <v>-7.4916666666666659E-2</v>
      </c>
      <c r="X72" s="48">
        <f t="shared" si="121"/>
        <v>-7.4916666666666659E-2</v>
      </c>
      <c r="Y72" s="392">
        <f t="shared" si="121"/>
        <v>0.16766590476190477</v>
      </c>
      <c r="Z72" s="48">
        <f t="shared" si="121"/>
        <v>-1.8303190476190473E-2</v>
      </c>
      <c r="AA72" s="48">
        <f t="shared" si="121"/>
        <v>-4.7737619047619057E-3</v>
      </c>
      <c r="AB72" s="48">
        <f t="shared" si="121"/>
        <v>6.1650952380952473E-3</v>
      </c>
      <c r="AC72" s="393">
        <f t="shared" si="121"/>
        <v>3.2522523809523807E-2</v>
      </c>
      <c r="AD72" s="48">
        <f t="shared" si="121"/>
        <v>1.1514222222222203E-2</v>
      </c>
      <c r="AE72" s="48">
        <f t="shared" si="121"/>
        <v>3.7342666666666649E-2</v>
      </c>
      <c r="AF72" s="48">
        <f t="shared" si="121"/>
        <v>3.2694444444444429E-2</v>
      </c>
      <c r="AG72" s="405">
        <f>AF72</f>
        <v>3.2694444444444429E-2</v>
      </c>
      <c r="AJ72" s="21"/>
      <c r="AM72" s="33"/>
      <c r="AN72" s="33"/>
      <c r="AO72" s="33"/>
      <c r="AP72" s="33"/>
      <c r="AQ72" s="33"/>
      <c r="AR72" s="33"/>
    </row>
    <row r="73" spans="1:44" s="31" customFormat="1" x14ac:dyDescent="0.25">
      <c r="B73" s="590"/>
      <c r="C73" s="590"/>
      <c r="D73" s="590"/>
      <c r="E73" s="615"/>
      <c r="F73" s="615"/>
      <c r="G73" s="615"/>
      <c r="H73" s="615"/>
      <c r="I73" s="615"/>
      <c r="J73" s="615"/>
      <c r="K73" s="615"/>
      <c r="L73" s="615"/>
      <c r="M73" s="615"/>
      <c r="N73" s="615"/>
      <c r="O73" s="590"/>
      <c r="P73" s="590"/>
      <c r="Q73" s="590"/>
      <c r="R73" s="590"/>
      <c r="S73" s="590"/>
      <c r="T73" s="590"/>
      <c r="U73" s="595"/>
      <c r="V73" s="609"/>
      <c r="W73" s="609"/>
      <c r="X73" s="609"/>
      <c r="Y73" s="610"/>
      <c r="Z73" s="609"/>
      <c r="AA73" s="609"/>
      <c r="AB73" s="609"/>
      <c r="AC73" s="611"/>
      <c r="AD73" s="609"/>
      <c r="AE73" s="609"/>
      <c r="AF73" s="609"/>
      <c r="AG73" s="614"/>
      <c r="AH73" s="45"/>
      <c r="AJ73" s="21"/>
      <c r="AM73" s="33"/>
      <c r="AN73" s="33"/>
      <c r="AO73" s="33"/>
      <c r="AP73" s="33"/>
      <c r="AQ73" s="33"/>
      <c r="AR73" s="33"/>
    </row>
    <row r="74" spans="1:44" s="31" customFormat="1" x14ac:dyDescent="0.25">
      <c r="E74" s="588"/>
      <c r="F74" s="588"/>
      <c r="G74" s="588"/>
      <c r="H74" s="588"/>
      <c r="I74" s="588"/>
      <c r="J74" s="588"/>
      <c r="K74" s="588"/>
      <c r="L74" s="588"/>
      <c r="M74" s="588"/>
      <c r="N74" s="588"/>
      <c r="U74" s="33"/>
      <c r="V74" s="23"/>
      <c r="W74" s="23"/>
      <c r="X74" s="23"/>
      <c r="Y74" s="392"/>
      <c r="Z74" s="23"/>
      <c r="AA74" s="23"/>
      <c r="AB74" s="23"/>
      <c r="AC74" s="393"/>
      <c r="AD74" s="23"/>
      <c r="AE74" s="23"/>
      <c r="AF74" s="23"/>
      <c r="AG74" s="405"/>
      <c r="AJ74" s="21"/>
      <c r="AM74" s="18"/>
      <c r="AN74" s="18"/>
      <c r="AO74" s="18"/>
      <c r="AP74" s="18"/>
      <c r="AQ74" s="18"/>
      <c r="AR74" s="18"/>
    </row>
    <row r="75" spans="1:44" s="31" customFormat="1" x14ac:dyDescent="0.25">
      <c r="B75" s="585" t="s">
        <v>529</v>
      </c>
      <c r="C75" s="584"/>
      <c r="D75" s="584"/>
      <c r="E75" s="588"/>
      <c r="F75" s="588"/>
      <c r="G75" s="588"/>
      <c r="H75" s="588"/>
      <c r="I75" s="588"/>
      <c r="J75" s="588"/>
      <c r="K75" s="588"/>
      <c r="L75" s="588"/>
      <c r="M75" s="588"/>
      <c r="N75" s="588"/>
      <c r="U75" s="33"/>
      <c r="V75" s="23"/>
      <c r="W75" s="23"/>
      <c r="X75" s="23"/>
      <c r="Y75" s="392"/>
      <c r="Z75" s="23"/>
      <c r="AA75" s="23"/>
      <c r="AB75" s="23"/>
      <c r="AC75" s="393"/>
      <c r="AD75" s="23"/>
      <c r="AE75" s="23"/>
      <c r="AF75" s="23"/>
      <c r="AG75" s="405"/>
      <c r="AJ75" s="21"/>
      <c r="AM75" s="18"/>
      <c r="AN75" s="18"/>
      <c r="AO75" s="18"/>
      <c r="AP75" s="18"/>
      <c r="AQ75" s="18"/>
      <c r="AR75" s="18"/>
    </row>
    <row r="76" spans="1:44" s="18" customFormat="1" x14ac:dyDescent="0.25">
      <c r="A76" s="33"/>
      <c r="B76" s="17"/>
      <c r="U76" s="33"/>
      <c r="V76" s="26"/>
      <c r="W76" s="26"/>
      <c r="X76" s="26"/>
      <c r="Y76" s="42"/>
      <c r="Z76" s="26"/>
      <c r="AA76" s="26"/>
      <c r="AB76" s="26"/>
      <c r="AC76" s="44"/>
      <c r="AD76" s="26"/>
      <c r="AE76" s="26"/>
      <c r="AF76" s="26"/>
      <c r="AG76" s="581"/>
      <c r="AJ76" s="21"/>
      <c r="AK76" s="31"/>
      <c r="AL76" s="31"/>
      <c r="AM76" s="12"/>
      <c r="AN76" s="12"/>
      <c r="AO76" s="12"/>
      <c r="AP76" s="12"/>
      <c r="AQ76" s="12"/>
      <c r="AR76" s="12"/>
    </row>
    <row r="77" spans="1:44" s="18" customFormat="1" x14ac:dyDescent="0.25">
      <c r="B77" s="31" t="s">
        <v>485</v>
      </c>
      <c r="F77" s="12" t="e">
        <f>MEBL!E13/MEBL!D13-1</f>
        <v>#DIV/0!</v>
      </c>
      <c r="G77" s="12" t="e">
        <f>MEBL!F13/MEBL!E13-1</f>
        <v>#DIV/0!</v>
      </c>
      <c r="H77" s="12" t="e">
        <f>MEBL!G13/MEBL!F13-1</f>
        <v>#DIV/0!</v>
      </c>
      <c r="I77" s="12" t="e">
        <f>MEBL!H13/MEBL!G13-1</f>
        <v>#DIV/0!</v>
      </c>
      <c r="J77" s="12" t="e">
        <f>MEBL!I13/MEBL!H13-1</f>
        <v>#DIV/0!</v>
      </c>
      <c r="K77" s="12" t="e">
        <f>MEBL!J13/MEBL!I13-1</f>
        <v>#DIV/0!</v>
      </c>
      <c r="L77" s="12" t="e">
        <f>MEBL!K13/MEBL!J13-1</f>
        <v>#DIV/0!</v>
      </c>
      <c r="M77" s="12" t="e">
        <f>MEBL!L13/MEBL!K13-1</f>
        <v>#DIV/0!</v>
      </c>
      <c r="N77" s="48">
        <f>MEBL!M13/MEBL!L13-1</f>
        <v>0.24121955606273926</v>
      </c>
      <c r="O77" s="404">
        <f>MEBL!N13/MEBL!M13-1</f>
        <v>0.32838959431354708</v>
      </c>
      <c r="P77" s="404">
        <f>O77*0.8</f>
        <v>0.26271167545083768</v>
      </c>
      <c r="Q77" s="404">
        <f t="shared" ref="Q77:T77" si="122">P77*0.8</f>
        <v>0.21016934036067014</v>
      </c>
      <c r="R77" s="404">
        <f t="shared" si="122"/>
        <v>0.16813547228853612</v>
      </c>
      <c r="S77" s="404">
        <f t="shared" si="122"/>
        <v>0.13450837783082889</v>
      </c>
      <c r="T77" s="404">
        <f t="shared" si="122"/>
        <v>0.10760670226466312</v>
      </c>
      <c r="U77" s="33"/>
      <c r="V77" s="26"/>
      <c r="W77" s="26"/>
      <c r="X77" s="26"/>
      <c r="Y77" s="42"/>
      <c r="Z77" s="26"/>
      <c r="AA77" s="26"/>
      <c r="AB77" s="26"/>
      <c r="AC77" s="44"/>
      <c r="AD77" s="26"/>
      <c r="AE77" s="26"/>
      <c r="AF77" s="26"/>
      <c r="AG77" s="581"/>
      <c r="AJ77" s="21"/>
      <c r="AK77" s="31"/>
      <c r="AL77" s="31"/>
      <c r="AM77" s="12"/>
      <c r="AN77" s="12"/>
      <c r="AO77" s="12"/>
      <c r="AP77" s="12"/>
      <c r="AQ77" s="12"/>
      <c r="AR77" s="12"/>
    </row>
    <row r="78" spans="1:44" x14ac:dyDescent="0.25">
      <c r="B78" s="12" t="s">
        <v>463</v>
      </c>
      <c r="F78" s="48">
        <f>MEBL!E230/MEBL!D230-1</f>
        <v>0.29120953733513644</v>
      </c>
      <c r="G78" s="48">
        <f>MEBL!F230/MEBL!E230-1</f>
        <v>0.3402465770832741</v>
      </c>
      <c r="H78" s="48">
        <f>MEBL!G230/MEBL!F230-1</f>
        <v>0.18185857591115639</v>
      </c>
      <c r="I78" s="48">
        <f>MEBL!H230/MEBL!G230-1</f>
        <v>0.55470661888423956</v>
      </c>
      <c r="J78" s="48">
        <f>MEBL!I230/MEBL!H230-1</f>
        <v>0.1673535799862842</v>
      </c>
      <c r="K78" s="48">
        <f>MEBL!J230/MEBL!I230-1</f>
        <v>0.39185168293517214</v>
      </c>
      <c r="L78" s="48">
        <f>MEBL!K230/MEBL!J230-1</f>
        <v>0.22309664288613362</v>
      </c>
      <c r="M78" s="48">
        <f>MEBL!L230/MEBL!K230-1</f>
        <v>1.1266426595838697</v>
      </c>
      <c r="N78" s="48">
        <f>MEBL!M230/MEBL!L230-1</f>
        <v>-0.27636151308203771</v>
      </c>
      <c r="U78" s="33"/>
      <c r="V78" s="48" t="e">
        <f>MEBL!U230/MEBL!T230-1</f>
        <v>#DIV/0!</v>
      </c>
      <c r="W78" s="48" t="e">
        <f>MEBL!V230/MEBL!U230-1</f>
        <v>#DIV/0!</v>
      </c>
      <c r="X78" s="48" t="e">
        <f>MEBL!W230/MEBL!V230-1</f>
        <v>#DIV/0!</v>
      </c>
      <c r="Y78" s="392" t="e">
        <f>MEBL!X230/MEBL!W230-1</f>
        <v>#DIV/0!</v>
      </c>
      <c r="Z78" s="48">
        <f>MEBL!Y230/MEBL!X230-1</f>
        <v>-0.18863678190431277</v>
      </c>
      <c r="AA78" s="48">
        <f>MEBL!Z230/MEBL!Y230-1</f>
        <v>1.5484021357822009E-2</v>
      </c>
      <c r="AB78" s="48">
        <f>MEBL!AA230/MEBL!Z230-1</f>
        <v>-0.21807198322177679</v>
      </c>
      <c r="AC78" s="393">
        <f>MEBL!AB230/MEBL!AA230-1</f>
        <v>0.12322425381245039</v>
      </c>
      <c r="AD78" s="48">
        <f>MEBL!AC230/MEBL!AB230-1</f>
        <v>-1.8962800943770342E-3</v>
      </c>
      <c r="AE78" s="48">
        <f>MEBL!AD230/MEBL!AC230-1</f>
        <v>0.36460768594729132</v>
      </c>
      <c r="AF78" s="48">
        <f>MEBL!AE230/MEBL!AD230-1</f>
        <v>4.5847251725047444E-2</v>
      </c>
      <c r="AG78" s="581"/>
      <c r="AJ78" s="411" t="s">
        <v>484</v>
      </c>
      <c r="AK78" s="412" t="s">
        <v>358</v>
      </c>
      <c r="AL78" s="31"/>
    </row>
    <row r="79" spans="1:44" x14ac:dyDescent="0.25">
      <c r="B79" s="12" t="s">
        <v>464</v>
      </c>
      <c r="F79" s="48">
        <f>MEBL!E250/MEBL!D250-1</f>
        <v>0.58440401722609359</v>
      </c>
      <c r="G79" s="48">
        <f>MEBL!F250/MEBL!E250-1</f>
        <v>0.998855235405957</v>
      </c>
      <c r="H79" s="48">
        <f>MEBL!G250/MEBL!F250-1</f>
        <v>-0.38382080137489438</v>
      </c>
      <c r="I79" s="48">
        <f>MEBL!H250/MEBL!G250-1</f>
        <v>0.35953766595537173</v>
      </c>
      <c r="J79" s="48">
        <f>MEBL!I250/MEBL!H250-1</f>
        <v>-0.12000108888101169</v>
      </c>
      <c r="K79" s="48">
        <f>MEBL!J250/MEBL!I250-1</f>
        <v>1.3516941154046891</v>
      </c>
      <c r="L79" s="48">
        <f>MEBL!K250/MEBL!J250-1</f>
        <v>0.15021773913178227</v>
      </c>
      <c r="M79" s="48">
        <f>MEBL!L250/MEBL!K250-1</f>
        <v>-1.1014607630205231E-2</v>
      </c>
      <c r="N79" s="48">
        <f>MEBL!M250/MEBL!L250-1</f>
        <v>0.15490024928991208</v>
      </c>
      <c r="U79" s="33"/>
      <c r="V79" s="48"/>
      <c r="W79" s="48" t="e">
        <f>MEBL!V250/MEBL!U250-1</f>
        <v>#DIV/0!</v>
      </c>
      <c r="X79" s="48" t="e">
        <f>MEBL!W250/MEBL!V250-1</f>
        <v>#DIV/0!</v>
      </c>
      <c r="Y79" s="392" t="e">
        <f>MEBL!X250/MEBL!W250-1</f>
        <v>#DIV/0!</v>
      </c>
      <c r="Z79" s="48">
        <f>MEBL!Y250/MEBL!X250-1</f>
        <v>-0.10609522775208868</v>
      </c>
      <c r="AA79" s="48">
        <f>MEBL!Z250/MEBL!Y250-1</f>
        <v>2.1953125009602115E-2</v>
      </c>
      <c r="AB79" s="48">
        <f>MEBL!AA250/MEBL!Z250-1</f>
        <v>0.23962182568554735</v>
      </c>
      <c r="AC79" s="393">
        <f>MEBL!AB250/MEBL!AA250-1</f>
        <v>1.984231846741058E-2</v>
      </c>
      <c r="AD79" s="48">
        <f>MEBL!AC250/MEBL!AB250-1</f>
        <v>0.19668490719637988</v>
      </c>
      <c r="AE79" s="48">
        <f>MEBL!AD250/MEBL!AC250-1</f>
        <v>7.6096144486735851E-2</v>
      </c>
      <c r="AF79" s="48">
        <f>MEBL!AE250/MEBL!AD250-1</f>
        <v>0.13758994288876902</v>
      </c>
      <c r="AG79" s="405">
        <f>AF79</f>
        <v>0.13758994288876902</v>
      </c>
      <c r="AJ79" s="46">
        <v>410.54192056074771</v>
      </c>
      <c r="AK79" s="47">
        <v>0.10078518139367815</v>
      </c>
      <c r="AL79" s="33"/>
    </row>
    <row r="80" spans="1:44" x14ac:dyDescent="0.25">
      <c r="B80" s="12" t="s">
        <v>388</v>
      </c>
      <c r="E80" s="48"/>
      <c r="F80" s="48">
        <f>MEBL!E336/MEBL!D336-1</f>
        <v>0.23483672045551729</v>
      </c>
      <c r="G80" s="48">
        <f>MEBL!F336/MEBL!E336-1</f>
        <v>-0.11649245910602801</v>
      </c>
      <c r="H80" s="48">
        <f>MEBL!G336/MEBL!F336-1</f>
        <v>0.29779467508047808</v>
      </c>
      <c r="I80" s="48">
        <f>MEBL!H336/MEBL!G336-1</f>
        <v>0.24724574284274636</v>
      </c>
      <c r="J80" s="48">
        <f>MEBL!I336/MEBL!H336-1</f>
        <v>0.26628293529646774</v>
      </c>
      <c r="K80" s="48">
        <f>MEBL!J336/MEBL!I336-1</f>
        <v>0.98380243275503565</v>
      </c>
      <c r="L80" s="48">
        <f>MEBL!K336/MEBL!J336-1</f>
        <v>0.52959082104673594</v>
      </c>
      <c r="M80" s="48">
        <f>MEBL!L336/MEBL!K336-1</f>
        <v>0.13146367301668582</v>
      </c>
      <c r="N80" s="48">
        <f>MEBL!M336/MEBL!L336-1</f>
        <v>8.8635862304486501E-2</v>
      </c>
      <c r="O80" s="404">
        <f>MEBL!N336/MEBL!M336-1</f>
        <v>-9.4599556298306298E-2</v>
      </c>
      <c r="P80" s="571">
        <f>MEDIAN(F80:O80)</f>
        <v>0.24104123164913183</v>
      </c>
      <c r="Q80" s="404">
        <f>IF((P80*70%)&gt;=15%,P80*65%,12%)</f>
        <v>0.1566768005719357</v>
      </c>
      <c r="R80" s="404">
        <f t="shared" ref="R80:T80" si="123">IF((Q80*70%)&gt;=15%,Q80*65%,12%)</f>
        <v>0.12</v>
      </c>
      <c r="S80" s="404">
        <f t="shared" si="123"/>
        <v>0.12</v>
      </c>
      <c r="T80" s="404">
        <f t="shared" si="123"/>
        <v>0.12</v>
      </c>
      <c r="U80" s="33"/>
      <c r="V80" s="48">
        <v>0</v>
      </c>
      <c r="W80" s="48">
        <f>MEBL!V336/MEBL!U336-1</f>
        <v>-3.1722135057669187E-2</v>
      </c>
      <c r="X80" s="48">
        <f>MEBL!W336/MEBL!V336-1</f>
        <v>-4.8164041203753283E-2</v>
      </c>
      <c r="Y80" s="392">
        <f>MEBL!X336/MEBL!W336-1</f>
        <v>0.27956005821770868</v>
      </c>
      <c r="Z80" s="48">
        <f>MEBL!Y336/MEBL!X336-1</f>
        <v>-3.1517955126626473E-3</v>
      </c>
      <c r="AA80" s="48">
        <f>MEBL!Z336/MEBL!Y336-1</f>
        <v>0.10287442371281053</v>
      </c>
      <c r="AB80" s="48">
        <f>MEBL!AA336/MEBL!Z336-1</f>
        <v>-0.13871680108321294</v>
      </c>
      <c r="AC80" s="393">
        <f>MEBL!AB336/MEBL!AA336-1</f>
        <v>6.6214309083750811E-2</v>
      </c>
      <c r="AD80" s="48">
        <f>MEBL!AC336/MEBL!AB336-1</f>
        <v>-0.16244557723400721</v>
      </c>
      <c r="AE80" s="48">
        <f>MEBL!AD336/MEBL!AC336-1</f>
        <v>-0.19194266628477297</v>
      </c>
      <c r="AF80" s="48">
        <f>MEBL!AE336/MEBL!AD336-1</f>
        <v>0.49355544583558264</v>
      </c>
      <c r="AG80" s="405">
        <v>0.1</v>
      </c>
      <c r="AJ80" s="413">
        <v>376.7129274047187</v>
      </c>
      <c r="AK80" s="382">
        <v>8.1941215025558248E-2</v>
      </c>
      <c r="AL80" s="33"/>
    </row>
    <row r="81" spans="2:38" x14ac:dyDescent="0.25">
      <c r="B81" s="12" t="s">
        <v>389</v>
      </c>
      <c r="E81" s="48">
        <f>MEBL!D50/(MEBL!D153+MEBL!D156+MEBL!D159)</f>
        <v>6.1749882038312637E-2</v>
      </c>
      <c r="F81" s="48">
        <f>MEBL!E50/(MEBL!E153+MEBL!E156+MEBL!E159)</f>
        <v>1.7728039840166899E-2</v>
      </c>
      <c r="G81" s="48">
        <f>MEBL!F50/(MEBL!F153+MEBL!F156+MEBL!F159)</f>
        <v>6.1044737536410709E-2</v>
      </c>
      <c r="H81" s="48">
        <f>MEBL!G50/(MEBL!G153+MEBL!G156+MEBL!G159)</f>
        <v>4.4003196041825128E-2</v>
      </c>
      <c r="I81" s="48">
        <f>MEBL!H50/(MEBL!H153+MEBL!H156+MEBL!H159)</f>
        <v>8.102732754342927E-2</v>
      </c>
      <c r="J81" s="48">
        <f>MEBL!I50/(MEBL!I153+MEBL!I156+MEBL!I159)</f>
        <v>0.32631930822451455</v>
      </c>
      <c r="K81" s="48">
        <f>MEBL!J50/(MEBL!J153+MEBL!J156+MEBL!J159)</f>
        <v>5.2273222387523507E-2</v>
      </c>
      <c r="L81" s="48">
        <f>MEBL!K50/(MEBL!K153+MEBL!K156+MEBL!K159)</f>
        <v>4.9825596484246587E-2</v>
      </c>
      <c r="M81" s="48">
        <f>MEBL!L50/(MEBL!L153+MEBL!L156+MEBL!L159)</f>
        <v>5.7776036442213123E-2</v>
      </c>
      <c r="N81" s="48">
        <f>MEBL!M50/(MEBL!M153+MEBL!M156+MEBL!M159)</f>
        <v>5.678028446827222E-2</v>
      </c>
      <c r="O81" s="404">
        <f>MEBL!N50/(MEBL!N153+MEBL!N156+MEBL!N159)</f>
        <v>5.4013822617374793E-2</v>
      </c>
      <c r="P81" s="404">
        <f>GEOMEAN(K81:O81)</f>
        <v>5.4055065818859029E-2</v>
      </c>
      <c r="Q81" s="404">
        <f t="shared" ref="Q81:T81" si="124">GEOMEAN(L81:P81)</f>
        <v>5.441865779882616E-2</v>
      </c>
      <c r="R81" s="404">
        <f t="shared" si="124"/>
        <v>5.5386878506731144E-2</v>
      </c>
      <c r="S81" s="404">
        <f t="shared" si="124"/>
        <v>5.4921035735734536E-2</v>
      </c>
      <c r="T81" s="404">
        <f t="shared" si="124"/>
        <v>5.4556556385747211E-2</v>
      </c>
      <c r="U81" s="33"/>
      <c r="V81" s="48">
        <f>MEBL!U50/(MEBL!U153+MEBL!U156+MEBL!U159)</f>
        <v>5.4163961011838797E-2</v>
      </c>
      <c r="W81" s="48">
        <f>MEBL!V50/(MEBL!V153+MEBL!V156+MEBL!V159)</f>
        <v>0.3559980886845896</v>
      </c>
      <c r="X81" s="48">
        <f>MEBL!W50/(MEBL!W153+MEBL!W156+MEBL!W159)</f>
        <v>6.3101254050128591E-2</v>
      </c>
      <c r="Y81" s="392">
        <f>MEBL!X50/(MEBL!X153+MEBL!X156+MEBL!X159)</f>
        <v>0.15875056108691019</v>
      </c>
      <c r="Z81" s="48">
        <f>MEBL!Y50/(MEBL!Y153+MEBL!Y156+MEBL!Y159)</f>
        <v>3.6896406927515925E-2</v>
      </c>
      <c r="AA81" s="48">
        <f>MEBL!Z50/(MEBL!Z153+MEBL!Z156+MEBL!Z159)</f>
        <v>8.3611138647220848E-2</v>
      </c>
      <c r="AB81" s="48">
        <f>MEBL!AA50/(MEBL!AA153+MEBL!AA156+MEBL!AA159)</f>
        <v>6.4248488824485334E-2</v>
      </c>
      <c r="AC81" s="393">
        <f>MEBL!AB50/(MEBL!AB153+MEBL!AB156+MEBL!AB159)</f>
        <v>0.19557345588325387</v>
      </c>
      <c r="AD81" s="48">
        <f>MEBL!AC50/(MEBL!AC153+MEBL!AC156+MEBL!AC159)</f>
        <v>0.13875637522819392</v>
      </c>
      <c r="AE81" s="48">
        <f>MEBL!AD50/(MEBL!AD153+MEBL!AD156+MEBL!AD159)</f>
        <v>9.7701516606889499E-2</v>
      </c>
      <c r="AF81" s="48">
        <f>MEBL!AE50/(MEBL!AE153+MEBL!AE156+MEBL!AE159)</f>
        <v>7.9885130907584811E-2</v>
      </c>
      <c r="AG81" s="405">
        <f>GEOMEAN(Y81,AC81)</f>
        <v>0.17620271239448224</v>
      </c>
      <c r="AJ81" s="413">
        <v>545.58716287215418</v>
      </c>
      <c r="AK81" s="382">
        <v>6.2551930195663658E-2</v>
      </c>
      <c r="AL81" s="33"/>
    </row>
    <row r="82" spans="2:38" x14ac:dyDescent="0.25">
      <c r="B82" s="12" t="s">
        <v>489</v>
      </c>
      <c r="E82" s="48"/>
      <c r="F82" s="48">
        <f>MEBL!E51/MEBL!D51-1</f>
        <v>-0.58590747289731537</v>
      </c>
      <c r="G82" s="48">
        <f>MEBL!F51/MEBL!E51-1</f>
        <v>-0.3935266139749598</v>
      </c>
      <c r="H82" s="48">
        <f>MEBL!G51/MEBL!F51-1</f>
        <v>0.73961883343424728</v>
      </c>
      <c r="I82" s="48">
        <f>MEBL!H51/MEBL!G51-1</f>
        <v>1.695545883663268</v>
      </c>
      <c r="J82" s="48">
        <f>MEBL!I51/MEBL!H51-1</f>
        <v>-9.5320663345144996E-2</v>
      </c>
      <c r="K82" s="48">
        <f>MEBL!J51/MEBL!I51-1</f>
        <v>-0.17927504032047037</v>
      </c>
      <c r="L82" s="48">
        <f>MEBL!K51/MEBL!J51-1</f>
        <v>-5.6241372085762964E-2</v>
      </c>
      <c r="M82" s="48">
        <f>MEBL!L51/MEBL!K51-1</f>
        <v>0.15690107822766342</v>
      </c>
      <c r="N82" s="48">
        <f>MEBL!M51/MEBL!L51-1</f>
        <v>1.0357818970617236</v>
      </c>
      <c r="O82" s="404">
        <f>MEBL!N51/MEBL!M51-1</f>
        <v>-0.31806721217601297</v>
      </c>
      <c r="P82" s="404">
        <v>0.1</v>
      </c>
      <c r="Q82" s="404">
        <v>0.1</v>
      </c>
      <c r="R82" s="404">
        <v>0.1</v>
      </c>
      <c r="S82" s="404">
        <v>0.1</v>
      </c>
      <c r="T82" s="404">
        <v>0.1</v>
      </c>
      <c r="U82" s="33"/>
      <c r="V82" s="48"/>
      <c r="W82" s="48"/>
      <c r="X82" s="48"/>
      <c r="Y82" s="392"/>
      <c r="Z82" s="48"/>
      <c r="AA82" s="48"/>
      <c r="AB82" s="48"/>
      <c r="AC82" s="393"/>
      <c r="AD82" s="48"/>
      <c r="AE82" s="48"/>
      <c r="AF82" s="48"/>
      <c r="AG82" s="405"/>
      <c r="AJ82" s="413">
        <v>698.71738602329447</v>
      </c>
      <c r="AK82" s="382">
        <v>6.1600000000000002E-2</v>
      </c>
      <c r="AL82" s="33"/>
    </row>
    <row r="83" spans="2:38" x14ac:dyDescent="0.25">
      <c r="B83" s="12" t="s">
        <v>490</v>
      </c>
      <c r="E83" s="48"/>
      <c r="F83" s="48">
        <f>MEBL!E55/MEBL!D55-1</f>
        <v>-0.15775280079366683</v>
      </c>
      <c r="G83" s="48">
        <f>MEBL!F55/MEBL!E55-1</f>
        <v>5.9752605541611103E-2</v>
      </c>
      <c r="H83" s="48">
        <f>MEBL!G55/MEBL!F55-1</f>
        <v>0.45979512963866265</v>
      </c>
      <c r="I83" s="48">
        <f>MEBL!H55/MEBL!G55-1</f>
        <v>0.35797569578317545</v>
      </c>
      <c r="J83" s="48">
        <f>MEBL!I55/MEBL!H55-1</f>
        <v>-3.3263482347834272E-2</v>
      </c>
      <c r="K83" s="48">
        <f>MEBL!J55/MEBL!I55-1</f>
        <v>0.49336287613776775</v>
      </c>
      <c r="L83" s="48">
        <f>MEBL!K55/MEBL!J55-1</f>
        <v>0.28284841106603742</v>
      </c>
      <c r="M83" s="48">
        <f>MEBL!L55/MEBL!K55-1</f>
        <v>-1.6859704817194676E-2</v>
      </c>
      <c r="N83" s="48">
        <f>MEBL!M55/MEBL!L55-1</f>
        <v>0.21219570848446034</v>
      </c>
      <c r="O83" s="404">
        <f>MEBL!N55/MEBL!M55-1</f>
        <v>-3.6302542777120306E-2</v>
      </c>
      <c r="P83" s="404">
        <f>AVERAGE(K83:O83)</f>
        <v>0.18704894961879009</v>
      </c>
      <c r="Q83" s="404">
        <f t="shared" ref="Q83:T83" si="125">AVERAGE(L83:P83)</f>
        <v>0.12578616431499459</v>
      </c>
      <c r="R83" s="404">
        <f t="shared" si="125"/>
        <v>9.4373714964786012E-2</v>
      </c>
      <c r="S83" s="404">
        <f t="shared" si="125"/>
        <v>0.11662039892118214</v>
      </c>
      <c r="T83" s="404">
        <f t="shared" si="125"/>
        <v>9.750533700852651E-2</v>
      </c>
      <c r="U83" s="33"/>
      <c r="V83" s="48"/>
      <c r="W83" s="48"/>
      <c r="X83" s="48"/>
      <c r="Y83" s="392"/>
      <c r="Z83" s="48"/>
      <c r="AA83" s="48"/>
      <c r="AB83" s="48"/>
      <c r="AC83" s="393"/>
      <c r="AD83" s="48"/>
      <c r="AE83" s="48"/>
      <c r="AF83" s="48"/>
      <c r="AG83" s="405"/>
      <c r="AJ83" s="413">
        <v>776.61291212121216</v>
      </c>
      <c r="AK83" s="382">
        <v>7.4916666666666659E-2</v>
      </c>
      <c r="AL83" s="31"/>
    </row>
    <row r="84" spans="2:38" x14ac:dyDescent="0.25">
      <c r="B84" s="12" t="s">
        <v>543</v>
      </c>
      <c r="E84" s="48"/>
      <c r="F84" s="48">
        <f>MEBL!E70/MEBL!D70-1</f>
        <v>0.35327650722033854</v>
      </c>
      <c r="G84" s="48">
        <f>MEBL!F70/MEBL!E70-1</f>
        <v>-1</v>
      </c>
      <c r="H84" s="48" t="e">
        <f>MEBL!G70/MEBL!F70-1</f>
        <v>#DIV/0!</v>
      </c>
      <c r="I84" s="48" t="e">
        <f>MEBL!H70/MEBL!G70-1</f>
        <v>#DIV/0!</v>
      </c>
      <c r="J84" s="48" t="e">
        <f>MEBL!I70/MEBL!H70-1</f>
        <v>#DIV/0!</v>
      </c>
      <c r="K84" s="48" t="e">
        <f>MEBL!J70/MEBL!I70-1</f>
        <v>#DIV/0!</v>
      </c>
      <c r="L84" s="48">
        <f>MEBL!K70/MEBL!J70-1</f>
        <v>-0.61599868734572749</v>
      </c>
      <c r="M84" s="48">
        <f>MEBL!L70/MEBL!K70-1</f>
        <v>9.2506239124107603E-2</v>
      </c>
      <c r="N84" s="48">
        <f>MEBL!M70/MEBL!L70-1</f>
        <v>0.10644545088680912</v>
      </c>
      <c r="O84" s="404">
        <f>AVERAGE(M84:N84)</f>
        <v>9.9475845005458363E-2</v>
      </c>
      <c r="P84" s="404">
        <f t="shared" ref="P84:T84" si="126">AVERAGE(N84:O84)</f>
        <v>0.10296064794613374</v>
      </c>
      <c r="Q84" s="404">
        <f t="shared" si="126"/>
        <v>0.10121824647579605</v>
      </c>
      <c r="R84" s="404">
        <f t="shared" si="126"/>
        <v>0.1020894472109649</v>
      </c>
      <c r="S84" s="404">
        <f t="shared" si="126"/>
        <v>0.10165384684338047</v>
      </c>
      <c r="T84" s="404">
        <f t="shared" si="126"/>
        <v>0.10187164702717269</v>
      </c>
      <c r="U84" s="33"/>
      <c r="V84" s="48"/>
      <c r="W84" s="48"/>
      <c r="X84" s="48"/>
      <c r="Y84" s="392"/>
      <c r="Z84" s="48"/>
      <c r="AA84" s="48"/>
      <c r="AB84" s="48"/>
      <c r="AC84" s="393"/>
      <c r="AD84" s="48"/>
      <c r="AE84" s="48"/>
      <c r="AF84" s="48"/>
      <c r="AG84" s="405"/>
      <c r="AJ84" s="413"/>
      <c r="AK84" s="382"/>
      <c r="AL84" s="31"/>
    </row>
    <row r="85" spans="2:38" x14ac:dyDescent="0.25">
      <c r="B85" s="590"/>
      <c r="C85" s="590"/>
      <c r="D85" s="590"/>
      <c r="E85" s="590"/>
      <c r="F85" s="590"/>
      <c r="G85" s="590"/>
      <c r="H85" s="590"/>
      <c r="I85" s="590"/>
      <c r="J85" s="590"/>
      <c r="K85" s="590"/>
      <c r="L85" s="590"/>
      <c r="M85" s="590"/>
      <c r="N85" s="590"/>
      <c r="O85" s="590"/>
      <c r="P85" s="590"/>
      <c r="Q85" s="590"/>
      <c r="R85" s="590"/>
      <c r="S85" s="590"/>
      <c r="T85" s="590"/>
      <c r="U85" s="590"/>
      <c r="V85" s="590"/>
      <c r="W85" s="590"/>
      <c r="X85" s="590"/>
      <c r="Y85" s="616"/>
      <c r="Z85" s="590"/>
      <c r="AA85" s="590"/>
      <c r="AB85" s="590"/>
      <c r="AC85" s="625"/>
      <c r="AD85" s="590"/>
      <c r="AE85" s="590"/>
      <c r="AF85" s="590"/>
      <c r="AG85" s="625"/>
      <c r="AJ85" s="413">
        <v>649.704402631579</v>
      </c>
      <c r="AK85" s="382">
        <v>0.12420833333333334</v>
      </c>
      <c r="AL85" s="31"/>
    </row>
    <row r="86" spans="2:38" x14ac:dyDescent="0.25">
      <c r="U86" s="12"/>
      <c r="V86" s="12"/>
      <c r="W86" s="12"/>
      <c r="X86" s="12"/>
      <c r="Y86" s="602"/>
      <c r="Z86" s="12"/>
      <c r="AA86" s="12"/>
      <c r="AB86" s="12"/>
      <c r="AC86" s="626"/>
      <c r="AD86" s="12"/>
      <c r="AE86" s="12"/>
      <c r="AF86" s="12"/>
      <c r="AG86" s="626"/>
      <c r="AJ86" s="413"/>
      <c r="AK86" s="382"/>
      <c r="AL86" s="31"/>
    </row>
    <row r="87" spans="2:38" x14ac:dyDescent="0.25">
      <c r="B87" s="586" t="s">
        <v>530</v>
      </c>
      <c r="C87" s="587"/>
      <c r="D87" s="587"/>
      <c r="E87" s="48"/>
      <c r="F87" s="48"/>
      <c r="G87" s="48"/>
      <c r="H87" s="48"/>
      <c r="I87" s="48"/>
      <c r="J87" s="48"/>
      <c r="K87" s="48"/>
      <c r="L87" s="48"/>
      <c r="M87" s="48"/>
      <c r="N87" s="48"/>
      <c r="O87" s="404"/>
      <c r="P87" s="404"/>
      <c r="Q87" s="404"/>
      <c r="R87" s="404"/>
      <c r="S87" s="404"/>
      <c r="T87" s="404"/>
      <c r="U87" s="33"/>
      <c r="V87" s="48"/>
      <c r="W87" s="48"/>
      <c r="X87" s="48"/>
      <c r="Y87" s="392"/>
      <c r="Z87" s="48"/>
      <c r="AA87" s="48"/>
      <c r="AB87" s="48"/>
      <c r="AC87" s="393"/>
      <c r="AD87" s="48"/>
      <c r="AE87" s="48"/>
      <c r="AF87" s="48"/>
      <c r="AG87" s="405"/>
      <c r="AJ87" s="413"/>
      <c r="AK87" s="382"/>
      <c r="AL87" s="31"/>
    </row>
    <row r="88" spans="2:38" x14ac:dyDescent="0.25">
      <c r="U88" s="33"/>
      <c r="AG88" s="581"/>
      <c r="AJ88" s="413">
        <v>655.58326800558814</v>
      </c>
      <c r="AK88" s="382">
        <v>8.5036078181737973E-2</v>
      </c>
      <c r="AL88" s="31"/>
    </row>
    <row r="89" spans="2:38" ht="15.75" thickBot="1" x14ac:dyDescent="0.3">
      <c r="B89" s="12" t="s">
        <v>469</v>
      </c>
      <c r="E89" s="22">
        <f t="shared" ref="E89:T89" si="127">E15/E13</f>
        <v>19.657657657657658</v>
      </c>
      <c r="F89" s="22">
        <f t="shared" si="127"/>
        <v>17.818181818181817</v>
      </c>
      <c r="G89" s="22">
        <f t="shared" si="127"/>
        <v>19.203225806451613</v>
      </c>
      <c r="H89" s="22">
        <f t="shared" si="127"/>
        <v>17.8005698005698</v>
      </c>
      <c r="I89" s="22">
        <f t="shared" si="127"/>
        <v>17.357476635514018</v>
      </c>
      <c r="J89" s="22">
        <f t="shared" si="127"/>
        <v>15.573502722323049</v>
      </c>
      <c r="K89" s="22">
        <f t="shared" si="127"/>
        <v>16.056042031523642</v>
      </c>
      <c r="L89" s="22">
        <f t="shared" si="127"/>
        <v>15.891846921797004</v>
      </c>
      <c r="M89" s="22">
        <f t="shared" si="127"/>
        <v>15.256060606060606</v>
      </c>
      <c r="N89" s="22">
        <f t="shared" si="127"/>
        <v>15.327631578947368</v>
      </c>
      <c r="O89" s="547">
        <f t="shared" si="127"/>
        <v>14.742149745005563</v>
      </c>
      <c r="P89" s="547">
        <f t="shared" si="127"/>
        <v>14.742149745005561</v>
      </c>
      <c r="Q89" s="547">
        <f t="shared" si="127"/>
        <v>14.742149745005561</v>
      </c>
      <c r="R89" s="547">
        <f t="shared" si="127"/>
        <v>14.742149745005561</v>
      </c>
      <c r="S89" s="547">
        <f t="shared" si="127"/>
        <v>14.742149745005561</v>
      </c>
      <c r="T89" s="547">
        <f t="shared" si="127"/>
        <v>14.742149745005563</v>
      </c>
      <c r="U89" s="33"/>
      <c r="V89" s="22">
        <f t="shared" ref="V89:AC89" si="128">V15/V13</f>
        <v>16.35241575314657</v>
      </c>
      <c r="W89" s="22">
        <f t="shared" si="128"/>
        <v>15.969865186360032</v>
      </c>
      <c r="X89" s="22">
        <f t="shared" si="128"/>
        <v>15.604804339403332</v>
      </c>
      <c r="Y89" s="41">
        <f t="shared" si="128"/>
        <v>15.256060606060606</v>
      </c>
      <c r="Z89" s="22">
        <f t="shared" si="128"/>
        <v>17.005839416058393</v>
      </c>
      <c r="AA89" s="22">
        <f t="shared" si="128"/>
        <v>16.407042253521126</v>
      </c>
      <c r="AB89" s="22">
        <f t="shared" si="128"/>
        <v>15.848979591836734</v>
      </c>
      <c r="AC89" s="43">
        <f t="shared" si="128"/>
        <v>15.327631578947368</v>
      </c>
      <c r="AD89" s="22">
        <f>AC89</f>
        <v>15.327631578947368</v>
      </c>
      <c r="AE89" s="22">
        <f t="shared" ref="AE89:AG89" si="129">AD89</f>
        <v>15.327631578947368</v>
      </c>
      <c r="AF89" s="22">
        <f t="shared" si="129"/>
        <v>15.327631578947368</v>
      </c>
      <c r="AG89" s="581">
        <f t="shared" si="129"/>
        <v>15.327631578947368</v>
      </c>
      <c r="AJ89" s="31"/>
      <c r="AK89" s="31"/>
      <c r="AL89" s="31"/>
    </row>
    <row r="90" spans="2:38" x14ac:dyDescent="0.25">
      <c r="B90" s="12" t="s">
        <v>467</v>
      </c>
      <c r="E90" s="400">
        <f>(MEBL!D391-MEBL!D365)/Assumptions!E13</f>
        <v>11.293459459459465</v>
      </c>
      <c r="F90" s="400">
        <f>(MEBL!E391-MEBL!E365)/Assumptions!F13</f>
        <v>11.752098181818178</v>
      </c>
      <c r="G90" s="400">
        <f>(MEBL!F391-MEBL!F365)/Assumptions!G13</f>
        <v>12.267477419354845</v>
      </c>
      <c r="H90" s="400">
        <f>(MEBL!G391-MEBL!G365)/Assumptions!H13</f>
        <v>12.314595441595438</v>
      </c>
      <c r="I90" s="400">
        <f>(MEBL!H391-MEBL!H365)/Assumptions!I13</f>
        <v>12.716497663551406</v>
      </c>
      <c r="J90" s="400">
        <f>(MEBL!I391-MEBL!I365)/Assumptions!J13</f>
        <v>12.409882032667875</v>
      </c>
      <c r="K90" s="400">
        <f>(MEBL!J391-MEBL!J365)/Assumptions!K13</f>
        <v>14.51061646234675</v>
      </c>
      <c r="L90" s="400">
        <f>(MEBL!K391-MEBL!K365)/Assumptions!L13</f>
        <v>13.827322795341109</v>
      </c>
      <c r="M90" s="400">
        <f>(MEBL!L391-MEBL!L365)/Assumptions!M13</f>
        <v>13.834703030303023</v>
      </c>
      <c r="N90" s="400">
        <f>(MEBL!M391-MEBL!M365)/Assumptions!N13</f>
        <v>15.859298684210538</v>
      </c>
      <c r="O90" s="572">
        <f>(MEBL!N391-MEBL!N365)/Assumptions!O13</f>
        <v>17.972131227421112</v>
      </c>
      <c r="P90" s="572">
        <f t="shared" ref="P90:T91" si="130">O90*(1+P31)</f>
        <v>19.553678775434172</v>
      </c>
      <c r="Q90" s="572">
        <f t="shared" si="130"/>
        <v>20.981097326040864</v>
      </c>
      <c r="R90" s="572">
        <f t="shared" si="130"/>
        <v>22.344868652233519</v>
      </c>
      <c r="S90" s="572">
        <f t="shared" si="130"/>
        <v>23.797285114628696</v>
      </c>
      <c r="T90" s="572">
        <f t="shared" si="130"/>
        <v>25.344108647079562</v>
      </c>
      <c r="U90" s="33"/>
      <c r="V90" s="414">
        <f>(MEBL!U391-MEBL!U365)/Assumptions!V13</f>
        <v>3.4614226552984166</v>
      </c>
      <c r="W90" s="414">
        <f>(MEBL!V391-MEBL!V365)/Assumptions!W13</f>
        <v>3.5284599524187117</v>
      </c>
      <c r="X90" s="414">
        <f>(MEBL!W391-MEBL!W365)/Assumptions!X13</f>
        <v>3.5512530027121283</v>
      </c>
      <c r="Y90" s="415">
        <f>(MEBL!X391-MEBL!X365)/Assumptions!Y13</f>
        <v>3.9366227272727263</v>
      </c>
      <c r="Z90" s="414">
        <f>(MEBL!Y391-MEBL!Y365)/Assumptions!Z13</f>
        <v>3.87572116788321</v>
      </c>
      <c r="AA90" s="414">
        <f>(MEBL!Z391-MEBL!Z365)/Assumptions!AA13</f>
        <v>3.7930605633802834</v>
      </c>
      <c r="AB90" s="414">
        <f>(MEBL!AA391-MEBL!AA365)/Assumptions!AB13</f>
        <v>4.4384081632653105</v>
      </c>
      <c r="AC90" s="416">
        <f>(MEBL!AB391-MEBL!AB365)/Assumptions!AC13</f>
        <v>4.5799894736842095</v>
      </c>
      <c r="AD90" s="414">
        <f>(MEBL!AC391-MEBL!AC365)/Assumptions!AD13</f>
        <v>3.8537923426346539</v>
      </c>
      <c r="AE90" s="414">
        <f>(MEBL!AD391-MEBL!AD365)/Assumptions!AE13</f>
        <v>4.2689462227912935</v>
      </c>
      <c r="AF90" s="414">
        <f>(MEBL!AE391-MEBL!AE365)/Assumptions!AF13</f>
        <v>4.1781806696146573</v>
      </c>
      <c r="AG90" s="582">
        <f>AF90*(1+AG$31/4)</f>
        <v>4.2899470025268496</v>
      </c>
      <c r="AJ90" s="30"/>
      <c r="AK90" s="30" t="s">
        <v>484</v>
      </c>
      <c r="AL90" s="30" t="s">
        <v>358</v>
      </c>
    </row>
    <row r="91" spans="2:38" x14ac:dyDescent="0.25">
      <c r="B91" s="12" t="s">
        <v>468</v>
      </c>
      <c r="E91" s="400">
        <f>MEBL!D365/Assumptions!E15</f>
        <v>0.48806599450045829</v>
      </c>
      <c r="F91" s="400">
        <f>MEBL!E365/Assumptions!F15</f>
        <v>0.59841795918367346</v>
      </c>
      <c r="G91" s="400">
        <f>MEBL!F365/Assumptions!G15</f>
        <v>0.5693950949101293</v>
      </c>
      <c r="H91" s="400">
        <f>MEBL!G365/Assumptions!H15</f>
        <v>0.65323927656850189</v>
      </c>
      <c r="I91" s="400">
        <f>MEBL!H365/Assumptions!I15</f>
        <v>0.67536317135549884</v>
      </c>
      <c r="J91" s="400">
        <f>MEBL!I365/Assumptions!J15</f>
        <v>0.78345216175270949</v>
      </c>
      <c r="K91" s="400">
        <f>MEBL!J365/Assumptions!K15</f>
        <v>0.85401996073298425</v>
      </c>
      <c r="L91" s="400">
        <f>MEBL!K365/Assumptions!L15</f>
        <v>0.92300429274421525</v>
      </c>
      <c r="M91" s="400">
        <f>MEBL!L365/Assumptions!M15</f>
        <v>1.0583293276392889</v>
      </c>
      <c r="N91" s="400">
        <f>MEBL!M365/Assumptions!N15</f>
        <v>1.1503938535496609</v>
      </c>
      <c r="O91" s="572">
        <f>MEBL!N365/Assumptions!O15</f>
        <v>1.3554278035207989</v>
      </c>
      <c r="P91" s="572">
        <f t="shared" si="130"/>
        <v>1.368982081556007</v>
      </c>
      <c r="Q91" s="572">
        <f t="shared" si="130"/>
        <v>1.4237413648182473</v>
      </c>
      <c r="R91" s="572">
        <f t="shared" si="130"/>
        <v>1.4878097262350682</v>
      </c>
      <c r="S91" s="572">
        <f t="shared" si="130"/>
        <v>1.5622002125468217</v>
      </c>
      <c r="T91" s="572">
        <f t="shared" si="130"/>
        <v>1.6403102231741629</v>
      </c>
      <c r="U91" s="33"/>
      <c r="V91" s="414">
        <f>MEBL!U365/Assumptions!V15</f>
        <v>0.22999473631939615</v>
      </c>
      <c r="W91" s="414">
        <f>MEBL!V365/Assumptions!W15</f>
        <v>0.24847651206673949</v>
      </c>
      <c r="X91" s="414">
        <f>MEBL!W365/Assumptions!X15</f>
        <v>0.23871317906445527</v>
      </c>
      <c r="Y91" s="415">
        <f>MEBL!X365/Assumptions!Y15</f>
        <v>0.28037779322673551</v>
      </c>
      <c r="Z91" s="414">
        <f>MEBL!Y365/Assumptions!Z15</f>
        <v>0.24285500901364923</v>
      </c>
      <c r="AA91" s="414">
        <f>MEBL!Z365/Assumptions!AA15</f>
        <v>0.27510404326551635</v>
      </c>
      <c r="AB91" s="414">
        <f>MEBL!AA365/Assumptions!AB15</f>
        <v>0.27746149884110222</v>
      </c>
      <c r="AC91" s="416">
        <f>MEBL!AB365/Assumptions!AC15</f>
        <v>0.29820937419520993</v>
      </c>
      <c r="AD91" s="414">
        <f>MEBL!AC365/Assumptions!AD15</f>
        <v>0.32826575546613207</v>
      </c>
      <c r="AE91" s="414">
        <f>MEBL!AD365/Assumptions!AE15</f>
        <v>0.35865190365537447</v>
      </c>
      <c r="AF91" s="414">
        <f>MEBL!AE365/Assumptions!AF15</f>
        <v>0.35944121366130793</v>
      </c>
      <c r="AG91" s="582">
        <f>AF91*(1+AG$31/4)</f>
        <v>0.36905626612674797</v>
      </c>
      <c r="AJ91" s="28" t="s">
        <v>484</v>
      </c>
      <c r="AK91" s="28">
        <v>1</v>
      </c>
      <c r="AL91" s="28"/>
    </row>
    <row r="92" spans="2:38" ht="15.75" thickBot="1" x14ac:dyDescent="0.3">
      <c r="B92" s="12" t="s">
        <v>483</v>
      </c>
      <c r="E92" s="22">
        <f>MEBL!D11/Assumptions!E13</f>
        <v>243.22145495495496</v>
      </c>
      <c r="F92" s="22">
        <f>MEBL!E11/Assumptions!F13</f>
        <v>214.38394545454545</v>
      </c>
      <c r="G92" s="22">
        <f>MEBL!F11/Assumptions!G13</f>
        <v>286.05830967741935</v>
      </c>
      <c r="H92" s="22">
        <f>MEBL!G11/Assumptions!H13</f>
        <v>363.59791452991453</v>
      </c>
      <c r="I92" s="22">
        <f>MEBL!H11/Assumptions!I13</f>
        <v>410.54192056074771</v>
      </c>
      <c r="J92" s="22">
        <f>MEBL!I11/Assumptions!J13</f>
        <v>376.7129274047187</v>
      </c>
      <c r="K92" s="22">
        <f>MEBL!J11/Assumptions!K13</f>
        <v>545.58716287215418</v>
      </c>
      <c r="L92" s="22">
        <f>MEBL!K11/Assumptions!L13</f>
        <v>698.71738602329447</v>
      </c>
      <c r="M92" s="22">
        <f>MEBL!L11/Assumptions!M13</f>
        <v>776.61291212121216</v>
      </c>
      <c r="N92" s="22">
        <f>MEBL!M11/Assumptions!N13</f>
        <v>649.704402631579</v>
      </c>
      <c r="O92" s="547">
        <f>MEBL!N11/Assumptions!O13</f>
        <v>655.58326800558825</v>
      </c>
      <c r="P92" s="547">
        <f>MEBL!O11/Assumptions!P13</f>
        <v>719.37506436938247</v>
      </c>
      <c r="Q92" s="547">
        <f ca="1">MEBL!P11/Assumptions!Q13</f>
        <v>806.69806434800364</v>
      </c>
      <c r="R92" s="547">
        <f ca="1">MEBL!Q11/Assumptions!R13</f>
        <v>900.47094986788898</v>
      </c>
      <c r="S92" s="547">
        <f ca="1">MEBL!R11/Assumptions!S13</f>
        <v>1009.7398948430223</v>
      </c>
      <c r="T92" s="547">
        <f ca="1">MEBL!S11/Assumptions!T13</f>
        <v>1134.8235069110117</v>
      </c>
      <c r="U92" s="33"/>
      <c r="V92" s="414"/>
      <c r="W92" s="414"/>
      <c r="X92" s="414"/>
      <c r="Y92" s="415"/>
      <c r="Z92" s="414"/>
      <c r="AA92" s="414"/>
      <c r="AB92" s="414"/>
      <c r="AC92" s="416"/>
      <c r="AD92" s="414"/>
      <c r="AE92" s="414"/>
      <c r="AF92" s="414"/>
      <c r="AG92" s="582"/>
      <c r="AJ92" s="29" t="s">
        <v>358</v>
      </c>
      <c r="AK92" s="29">
        <v>-0.16473345454362345</v>
      </c>
      <c r="AL92" s="29">
        <v>1</v>
      </c>
    </row>
    <row r="93" spans="2:38" x14ac:dyDescent="0.25">
      <c r="B93" s="590"/>
      <c r="C93" s="590"/>
      <c r="D93" s="590"/>
      <c r="E93" s="596"/>
      <c r="F93" s="596"/>
      <c r="G93" s="596"/>
      <c r="H93" s="596"/>
      <c r="I93" s="596"/>
      <c r="J93" s="596"/>
      <c r="K93" s="596"/>
      <c r="L93" s="596"/>
      <c r="M93" s="596"/>
      <c r="N93" s="596"/>
      <c r="O93" s="606"/>
      <c r="P93" s="606"/>
      <c r="Q93" s="606"/>
      <c r="R93" s="606"/>
      <c r="S93" s="606"/>
      <c r="T93" s="606"/>
      <c r="U93" s="595"/>
      <c r="V93" s="617"/>
      <c r="W93" s="617"/>
      <c r="X93" s="617"/>
      <c r="Y93" s="618"/>
      <c r="Z93" s="617"/>
      <c r="AA93" s="617"/>
      <c r="AB93" s="617"/>
      <c r="AC93" s="619"/>
      <c r="AD93" s="617"/>
      <c r="AE93" s="617"/>
      <c r="AF93" s="617"/>
      <c r="AG93" s="620"/>
      <c r="AJ93" s="28"/>
      <c r="AK93" s="28"/>
      <c r="AL93" s="28"/>
    </row>
    <row r="94" spans="2:38" x14ac:dyDescent="0.25"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547"/>
      <c r="P94" s="547"/>
      <c r="Q94" s="547"/>
      <c r="R94" s="547"/>
      <c r="S94" s="547"/>
      <c r="T94" s="547"/>
      <c r="U94" s="33"/>
      <c r="V94" s="414"/>
      <c r="W94" s="414"/>
      <c r="X94" s="414"/>
      <c r="Y94" s="415"/>
      <c r="Z94" s="414"/>
      <c r="AA94" s="414"/>
      <c r="AB94" s="414"/>
      <c r="AC94" s="416"/>
      <c r="AD94" s="414"/>
      <c r="AE94" s="414"/>
      <c r="AF94" s="414"/>
      <c r="AG94" s="582"/>
      <c r="AJ94" s="28"/>
      <c r="AK94" s="28"/>
      <c r="AL94" s="28"/>
    </row>
    <row r="95" spans="2:38" x14ac:dyDescent="0.25">
      <c r="B95" s="586" t="s">
        <v>532</v>
      </c>
      <c r="C95" s="586"/>
      <c r="D95" s="586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547"/>
      <c r="P95" s="547"/>
      <c r="Q95" s="547"/>
      <c r="R95" s="547"/>
      <c r="S95" s="547"/>
      <c r="T95" s="547"/>
      <c r="U95" s="33"/>
      <c r="V95" s="414"/>
      <c r="W95" s="414"/>
      <c r="X95" s="414"/>
      <c r="Y95" s="415"/>
      <c r="Z95" s="414"/>
      <c r="AA95" s="414"/>
      <c r="AB95" s="414"/>
      <c r="AC95" s="416"/>
      <c r="AD95" s="414"/>
      <c r="AE95" s="414"/>
      <c r="AF95" s="414"/>
      <c r="AG95" s="582"/>
      <c r="AJ95" s="28"/>
      <c r="AK95" s="28"/>
      <c r="AL95" s="28"/>
    </row>
    <row r="96" spans="2:38" x14ac:dyDescent="0.25">
      <c r="U96" s="33"/>
      <c r="AG96" s="581"/>
      <c r="AJ96" s="31"/>
      <c r="AK96" s="31"/>
      <c r="AL96" s="31"/>
    </row>
    <row r="97" spans="2:38" x14ac:dyDescent="0.25">
      <c r="B97" s="12" t="s">
        <v>398</v>
      </c>
      <c r="E97" s="48">
        <f>MEBL!D196/MEBL!D192</f>
        <v>7.4651660143087106E-2</v>
      </c>
      <c r="F97" s="48">
        <f>MEBL!E196/MEBL!E192</f>
        <v>7.2309103513682721E-2</v>
      </c>
      <c r="G97" s="48">
        <f>MEBL!F196/MEBL!F192</f>
        <v>5.2965126356552435E-2</v>
      </c>
      <c r="H97" s="48">
        <f>MEBL!G196/MEBL!G192</f>
        <v>3.6267215237007946E-2</v>
      </c>
      <c r="I97" s="48">
        <f>MEBL!H196/MEBL!H192</f>
        <v>3.7713504211994868E-2</v>
      </c>
      <c r="J97" s="48">
        <f>MEBL!I196/MEBL!I192</f>
        <v>3.2739587326933377E-2</v>
      </c>
      <c r="K97" s="48">
        <f>MEBL!J196/MEBL!J192</f>
        <v>2.1423437782056458E-2</v>
      </c>
      <c r="L97" s="48">
        <f>MEBL!K196/MEBL!K192</f>
        <v>1.5408470758242969E-2</v>
      </c>
      <c r="M97" s="48">
        <f>MEBL!L196/MEBL!L192</f>
        <v>1.3374931394579639E-2</v>
      </c>
      <c r="N97" s="48">
        <f>MEBL!M196/MEBL!M192</f>
        <v>1.7760109869414179E-2</v>
      </c>
      <c r="O97" s="404">
        <f>MEBL!N196/MEBL!N192</f>
        <v>1.9633336052449116E-2</v>
      </c>
      <c r="P97" s="404">
        <v>2.1000000000000001E-2</v>
      </c>
      <c r="Q97" s="404">
        <f>IF(AVERAGE(K97:O97)&gt;1.7%,AVERAGE(K97:O97),1.7%)</f>
        <v>1.7520057171348472E-2</v>
      </c>
      <c r="R97" s="404">
        <f t="shared" ref="R97:T97" si="131">IF(AVERAGE(L97:P97)&gt;1.7%,AVERAGE(L97:P97),1.7%)</f>
        <v>1.7435369614937184E-2</v>
      </c>
      <c r="S97" s="404">
        <f t="shared" si="131"/>
        <v>1.7857686897558282E-2</v>
      </c>
      <c r="T97" s="404">
        <f t="shared" si="131"/>
        <v>1.866977454162979E-2</v>
      </c>
      <c r="U97" s="33"/>
      <c r="V97" s="48">
        <f>MEBL!U196/MEBL!U192</f>
        <v>1.6097674724297226E-2</v>
      </c>
      <c r="W97" s="48">
        <f>MEBL!V196/MEBL!V192</f>
        <v>1.6219289005452338E-2</v>
      </c>
      <c r="X97" s="48">
        <f>MEBL!W196/MEBL!W192</f>
        <v>1.4993247069718246E-2</v>
      </c>
      <c r="Y97" s="392">
        <f>MEBL!X196/MEBL!X192</f>
        <v>1.3374931394579639E-2</v>
      </c>
      <c r="Z97" s="48">
        <f>MEBL!Y196/MEBL!Y192</f>
        <v>1.4063808081874546E-2</v>
      </c>
      <c r="AA97" s="48">
        <f>MEBL!Z196/MEBL!Z192</f>
        <v>1.596296316608363E-2</v>
      </c>
      <c r="AB97" s="48">
        <f>MEBL!AA196/MEBL!AA192</f>
        <v>1.651889398727556E-2</v>
      </c>
      <c r="AC97" s="393">
        <f>MEBL!AB196/MEBL!AB192</f>
        <v>1.7760109869414179E-2</v>
      </c>
      <c r="AD97" s="48">
        <f>MEBL!AC196/MEBL!AC192</f>
        <v>1.9335568583160625E-2</v>
      </c>
      <c r="AE97" s="48">
        <f>MEBL!AD196/MEBL!AD192</f>
        <v>2.3499660003365799E-2</v>
      </c>
      <c r="AF97" s="48">
        <f>MEBL!AE196/MEBL!AE192</f>
        <v>2.0633336052449117E-2</v>
      </c>
      <c r="AG97" s="405">
        <f>AF97-0.1%</f>
        <v>1.9633336052449116E-2</v>
      </c>
      <c r="AJ97" s="31"/>
      <c r="AK97" s="31"/>
      <c r="AL97" s="31"/>
    </row>
    <row r="98" spans="2:38" x14ac:dyDescent="0.25">
      <c r="B98" s="12" t="s">
        <v>401</v>
      </c>
      <c r="E98" s="48">
        <f>MEBL!D202/MEBL!D196</f>
        <v>0.72085784226886218</v>
      </c>
      <c r="F98" s="48">
        <f>MEBL!E202/MEBL!E196</f>
        <v>0.87349433881722749</v>
      </c>
      <c r="G98" s="48">
        <f>MEBL!F202/MEBL!F196</f>
        <v>0.90110935378761858</v>
      </c>
      <c r="H98" s="48">
        <f>MEBL!G202/MEBL!G196</f>
        <v>0.95210706757374253</v>
      </c>
      <c r="I98" s="48">
        <f>MEBL!H202/MEBL!H196</f>
        <v>0.9093400274116954</v>
      </c>
      <c r="J98" s="48">
        <f>MEBL!I202/MEBL!I196</f>
        <v>0.96824718708586266</v>
      </c>
      <c r="K98" s="48">
        <f>MEBL!J202/MEBL!J196</f>
        <v>0.96276177501996396</v>
      </c>
      <c r="L98" s="48">
        <f>MEBL!K202/MEBL!K196</f>
        <v>0.97284370317321989</v>
      </c>
      <c r="M98" s="48">
        <f>MEBL!L202/MEBL!L196</f>
        <v>0.9694052117306744</v>
      </c>
      <c r="N98" s="48">
        <f>MEBL!M202/MEBL!M196</f>
        <v>0.92094017165276054</v>
      </c>
      <c r="O98" s="404">
        <f>MEBL!N202/MEBL!N196</f>
        <v>0.90050692466289395</v>
      </c>
      <c r="P98" s="404">
        <f>GEOMEAN(K98:O98)</f>
        <v>0.94483755505758926</v>
      </c>
      <c r="Q98" s="404">
        <f t="shared" ref="Q98:T98" si="132">GEOMEAN(L98:P98)</f>
        <v>0.94129295606158636</v>
      </c>
      <c r="R98" s="404">
        <f t="shared" si="132"/>
        <v>0.93510667278331416</v>
      </c>
      <c r="S98" s="404">
        <f t="shared" si="132"/>
        <v>0.92839398329572054</v>
      </c>
      <c r="T98" s="404">
        <f t="shared" si="132"/>
        <v>0.9298919695239436</v>
      </c>
      <c r="U98" s="33"/>
      <c r="V98" s="48">
        <f>MEBL!U202/MEBL!U196</f>
        <v>0.96822053231491478</v>
      </c>
      <c r="W98" s="48">
        <f>MEBL!V202/MEBL!V196</f>
        <v>0.97291392354214556</v>
      </c>
      <c r="X98" s="48">
        <f>MEBL!W202/MEBL!W196</f>
        <v>0.96794055242613875</v>
      </c>
      <c r="Y98" s="392">
        <f>MEBL!X202/MEBL!X196</f>
        <v>0.9694052117306744</v>
      </c>
      <c r="Z98" s="48">
        <f>MEBL!Y202/MEBL!Y196</f>
        <v>0.95227337899326125</v>
      </c>
      <c r="AA98" s="48">
        <f>MEBL!Z202/MEBL!Z196</f>
        <v>0.92795834260906873</v>
      </c>
      <c r="AB98" s="48">
        <f>MEBL!AA202/MEBL!AA196</f>
        <v>0.92531463416374216</v>
      </c>
      <c r="AC98" s="393">
        <f>MEBL!AB202/MEBL!AB196</f>
        <v>0.92094017165276054</v>
      </c>
      <c r="AD98" s="48">
        <f>MEBL!AC202/MEBL!AC196</f>
        <v>0.88657292002698029</v>
      </c>
      <c r="AE98" s="48">
        <f>MEBL!AD202/MEBL!AD196</f>
        <v>0.81911979918816935</v>
      </c>
      <c r="AF98" s="48">
        <f>MEBL!AE202/MEBL!AE196</f>
        <v>0.87808496231736222</v>
      </c>
      <c r="AG98" s="405">
        <f>GEOMEAN(Z98:AF98)</f>
        <v>0.90050692466289395</v>
      </c>
      <c r="AJ98" s="31"/>
      <c r="AK98" s="31"/>
      <c r="AL98" s="31"/>
    </row>
    <row r="99" spans="2:38" x14ac:dyDescent="0.25">
      <c r="B99" s="12" t="s">
        <v>531</v>
      </c>
      <c r="E99" s="48">
        <f>MEBL!D209/MEBL!D192</f>
        <v>1.276224901402093E-2</v>
      </c>
      <c r="F99" s="48">
        <f>MEBL!E209/MEBL!E192</f>
        <v>1.9623201059419337E-2</v>
      </c>
      <c r="G99" s="48">
        <f>MEBL!F209/MEBL!F192</f>
        <v>1.2908789573877498E-2</v>
      </c>
      <c r="H99" s="48">
        <f>MEBL!G209/MEBL!G192</f>
        <v>9.3120487717264864E-3</v>
      </c>
      <c r="I99" s="48">
        <f>MEBL!H209/MEBL!H192</f>
        <v>7.0300631118875127E-3</v>
      </c>
      <c r="J99" s="48">
        <f>MEBL!I209/MEBL!I192</f>
        <v>6.3342485230848764E-3</v>
      </c>
      <c r="K99" s="48">
        <f>MEBL!J209/MEBL!J192</f>
        <v>4.6755699348830356E-3</v>
      </c>
      <c r="L99" s="48">
        <f>MEBL!K209/MEBL!K192</f>
        <v>5.5458938835515692E-3</v>
      </c>
      <c r="M99" s="48">
        <f>MEBL!L209/MEBL!L192</f>
        <v>5.6058091857313103E-3</v>
      </c>
      <c r="N99" s="48">
        <f>MEBL!M209/MEBL!M192</f>
        <v>8.7909189445278431E-3</v>
      </c>
      <c r="O99" s="404">
        <f>MEBL!N209/MEBL!N192</f>
        <v>1.1017652543359078E-2</v>
      </c>
      <c r="P99" s="404">
        <v>1.2E-2</v>
      </c>
      <c r="Q99" s="404">
        <f ca="1">MEBL!P209/MEBL!P192</f>
        <v>1.1388589739563726E-2</v>
      </c>
      <c r="R99" s="404">
        <f ca="1">MEBL!Q209/MEBL!Q192</f>
        <v>9.9222980695566794E-3</v>
      </c>
      <c r="S99" s="404">
        <f ca="1">MEBL!R209/MEBL!R192</f>
        <v>8.6000707001813483E-3</v>
      </c>
      <c r="T99" s="404">
        <f ca="1">MEBL!S209/MEBL!S192</f>
        <v>7.4322088283545178E-3</v>
      </c>
      <c r="U99" s="33"/>
      <c r="V99" s="48">
        <f>MEBL!U209/MEBL!U192</f>
        <v>5.6776615444510854E-3</v>
      </c>
      <c r="W99" s="48">
        <f>MEBL!V209/MEBL!V192</f>
        <v>5.7376541737066333E-3</v>
      </c>
      <c r="X99" s="48">
        <f>MEBL!W209/MEBL!W192</f>
        <v>5.2846780577886021E-3</v>
      </c>
      <c r="Y99" s="392">
        <f>MEBL!X209/MEBL!X192</f>
        <v>5.6058091857313103E-3</v>
      </c>
      <c r="Z99" s="48">
        <f>MEBL!Y209/MEBL!Y192</f>
        <v>5.8134680959421843E-3</v>
      </c>
      <c r="AA99" s="48">
        <f>MEBL!Z209/MEBL!Z192</f>
        <v>5.9248423108850222E-3</v>
      </c>
      <c r="AB99" s="48">
        <f>MEBL!AA209/MEBL!AA192</f>
        <v>7.138725279350451E-3</v>
      </c>
      <c r="AC99" s="393">
        <f>MEBL!AB209/MEBL!AB192</f>
        <v>8.7909189445278431E-3</v>
      </c>
      <c r="AD99" s="48">
        <f>MEBL!AC209/MEBL!AC192</f>
        <v>1.1202596733961593E-2</v>
      </c>
      <c r="AE99" s="48">
        <f>MEBL!AD209/MEBL!AD192</f>
        <v>1.105148619975933E-2</v>
      </c>
      <c r="AF99" s="48">
        <f>MEBL!AE209/MEBL!AE192</f>
        <v>1.0802588380301972E-2</v>
      </c>
      <c r="AG99" s="405">
        <f>GEOMEAN(AD99:AF99)</f>
        <v>1.1017652543359078E-2</v>
      </c>
      <c r="AJ99" s="31"/>
      <c r="AK99" s="31"/>
      <c r="AL99" s="31"/>
    </row>
    <row r="100" spans="2:38" x14ac:dyDescent="0.25">
      <c r="B100" s="590"/>
      <c r="C100" s="590"/>
      <c r="D100" s="590"/>
      <c r="E100" s="609"/>
      <c r="F100" s="609"/>
      <c r="G100" s="609"/>
      <c r="H100" s="609"/>
      <c r="I100" s="609"/>
      <c r="J100" s="609"/>
      <c r="K100" s="609"/>
      <c r="L100" s="609"/>
      <c r="M100" s="609"/>
      <c r="N100" s="609"/>
      <c r="O100" s="612"/>
      <c r="P100" s="612"/>
      <c r="Q100" s="612"/>
      <c r="R100" s="612"/>
      <c r="S100" s="612"/>
      <c r="T100" s="612"/>
      <c r="U100" s="595"/>
      <c r="V100" s="609"/>
      <c r="W100" s="609"/>
      <c r="X100" s="609"/>
      <c r="Y100" s="610"/>
      <c r="Z100" s="609"/>
      <c r="AA100" s="609"/>
      <c r="AB100" s="609"/>
      <c r="AC100" s="611"/>
      <c r="AD100" s="609"/>
      <c r="AE100" s="609"/>
      <c r="AF100" s="609"/>
      <c r="AG100" s="614"/>
      <c r="AJ100" s="31"/>
      <c r="AK100" s="31"/>
      <c r="AL100" s="31"/>
    </row>
    <row r="101" spans="2:38" x14ac:dyDescent="0.25">
      <c r="E101" s="48"/>
      <c r="F101" s="48"/>
      <c r="G101" s="48"/>
      <c r="H101" s="48"/>
      <c r="I101" s="48"/>
      <c r="J101" s="48"/>
      <c r="K101" s="48"/>
      <c r="L101" s="48"/>
      <c r="M101" s="48"/>
      <c r="N101" s="48"/>
      <c r="O101" s="404"/>
      <c r="P101" s="404"/>
      <c r="Q101" s="404"/>
      <c r="R101" s="404"/>
      <c r="S101" s="404"/>
      <c r="T101" s="404"/>
      <c r="U101" s="33"/>
      <c r="V101" s="48"/>
      <c r="W101" s="48"/>
      <c r="X101" s="48"/>
      <c r="Y101" s="392"/>
      <c r="Z101" s="48"/>
      <c r="AA101" s="48"/>
      <c r="AB101" s="48"/>
      <c r="AC101" s="393"/>
      <c r="AD101" s="48"/>
      <c r="AE101" s="48"/>
      <c r="AF101" s="48"/>
      <c r="AG101" s="405"/>
      <c r="AJ101" s="31"/>
      <c r="AK101" s="31"/>
      <c r="AL101" s="31"/>
    </row>
    <row r="102" spans="2:38" x14ac:dyDescent="0.25">
      <c r="B102" s="586" t="s">
        <v>533</v>
      </c>
      <c r="C102" s="586"/>
      <c r="D102" s="586"/>
      <c r="E102" s="48"/>
      <c r="F102" s="48"/>
      <c r="G102" s="48"/>
      <c r="H102" s="48"/>
      <c r="I102" s="48"/>
      <c r="J102" s="48"/>
      <c r="K102" s="48"/>
      <c r="L102" s="48"/>
      <c r="M102" s="48"/>
      <c r="N102" s="48"/>
      <c r="O102" s="404"/>
      <c r="P102" s="404"/>
      <c r="Q102" s="404"/>
      <c r="R102" s="404"/>
      <c r="S102" s="404"/>
      <c r="T102" s="404"/>
      <c r="U102" s="33"/>
      <c r="V102" s="48"/>
      <c r="W102" s="48"/>
      <c r="X102" s="48"/>
      <c r="Y102" s="392"/>
      <c r="Z102" s="48"/>
      <c r="AA102" s="48"/>
      <c r="AB102" s="48"/>
      <c r="AC102" s="393"/>
      <c r="AD102" s="48"/>
      <c r="AE102" s="48"/>
      <c r="AF102" s="48"/>
      <c r="AG102" s="405"/>
      <c r="AJ102" s="31"/>
      <c r="AK102" s="31"/>
      <c r="AL102" s="31"/>
    </row>
    <row r="103" spans="2:38" x14ac:dyDescent="0.25">
      <c r="U103" s="33"/>
      <c r="AG103" s="581"/>
      <c r="AJ103" s="31"/>
      <c r="AK103" s="31"/>
      <c r="AL103" s="31"/>
    </row>
    <row r="104" spans="2:38" x14ac:dyDescent="0.25">
      <c r="B104" s="12" t="s">
        <v>471</v>
      </c>
      <c r="E104" s="48">
        <f>MEBL!D68/MEBL!D66</f>
        <v>0.22244669260445579</v>
      </c>
      <c r="F104" s="48">
        <f>MEBL!E68/MEBL!E66</f>
        <v>0.26092319786676216</v>
      </c>
      <c r="G104" s="48">
        <f>MEBL!F68/MEBL!F66</f>
        <v>0.32926110649903068</v>
      </c>
      <c r="H104" s="48">
        <f>MEBL!G68/MEBL!G66</f>
        <v>0.29927192409535963</v>
      </c>
      <c r="I104" s="48">
        <f>MEBL!H68/MEBL!H66</f>
        <v>0.33752794434295741</v>
      </c>
      <c r="J104" s="48">
        <f>MEBL!I68/MEBL!I66</f>
        <v>0.40570836064190691</v>
      </c>
      <c r="K104" s="48">
        <f>MEBL!J68/MEBL!J66</f>
        <v>0.37221965655712225</v>
      </c>
      <c r="L104" s="48">
        <f>MEBL!K68/MEBL!K66</f>
        <v>0.41809284430521609</v>
      </c>
      <c r="M104" s="48">
        <f>MEBL!L68/MEBL!L66</f>
        <v>0.39829275249851942</v>
      </c>
      <c r="N104" s="48">
        <f>MEBL!M68/MEBL!M66</f>
        <v>0.41508682749107362</v>
      </c>
      <c r="O104" s="404">
        <f>MEBL!N68/MEBL!N66</f>
        <v>0.40991886424734009</v>
      </c>
      <c r="P104" s="403">
        <v>0.4</v>
      </c>
      <c r="Q104" s="403">
        <v>0.4</v>
      </c>
      <c r="R104" s="403">
        <v>0.4</v>
      </c>
      <c r="S104" s="403">
        <v>0.4</v>
      </c>
      <c r="T104" s="403">
        <v>0.4</v>
      </c>
      <c r="U104" s="33"/>
      <c r="V104" s="48">
        <f>MEBL!U68/MEBL!U66</f>
        <v>0.35741078295698453</v>
      </c>
      <c r="W104" s="48">
        <f>MEBL!V68/MEBL!V66</f>
        <v>0.42717068912369416</v>
      </c>
      <c r="X104" s="48">
        <f>MEBL!W68/MEBL!W66</f>
        <v>0.39069920944745185</v>
      </c>
      <c r="Y104" s="392">
        <f>MEBL!X68/MEBL!X66</f>
        <v>0.39276398392920991</v>
      </c>
      <c r="Z104" s="48">
        <f>MEBL!Y68/MEBL!Y66</f>
        <v>0.48492469982081998</v>
      </c>
      <c r="AA104" s="48">
        <f>MEBL!Z68/MEBL!Z66</f>
        <v>0.39861117369935561</v>
      </c>
      <c r="AB104" s="48">
        <f>MEBL!AA68/MEBL!AA66</f>
        <v>0.39974125930935323</v>
      </c>
      <c r="AC104" s="393">
        <f>MEBL!AB68/MEBL!AB66</f>
        <v>0.39992892021643889</v>
      </c>
      <c r="AD104" s="48">
        <f>MEBL!AC68/MEBL!AC66</f>
        <v>0.39902804521816593</v>
      </c>
      <c r="AE104" s="48">
        <f>MEBL!AD68/MEBL!AD66</f>
        <v>0.3967465030019513</v>
      </c>
      <c r="AF104" s="48">
        <f>MEBL!AE68/MEBL!AE66</f>
        <v>0.40021713506323725</v>
      </c>
      <c r="AG104" s="405">
        <f>AF104</f>
        <v>0.40021713506323725</v>
      </c>
      <c r="AJ104" s="31"/>
      <c r="AK104" s="31"/>
      <c r="AL104" s="31"/>
    </row>
    <row r="105" spans="2:38" x14ac:dyDescent="0.25">
      <c r="B105" s="12" t="s">
        <v>486</v>
      </c>
      <c r="E105" s="48">
        <f>MEBL!D292/MEBL!D267</f>
        <v>1.0019562670356232E-2</v>
      </c>
      <c r="F105" s="48">
        <f>MEBL!E292/MEBL!E267</f>
        <v>1.1713468299716544E-2</v>
      </c>
      <c r="G105" s="48">
        <f>MEBL!F292/MEBL!F267</f>
        <v>1.1687813717329607E-2</v>
      </c>
      <c r="H105" s="48">
        <f>MEBL!G292/MEBL!G267</f>
        <v>1.2023480072509033E-2</v>
      </c>
      <c r="I105" s="48">
        <f>MEBL!H292/MEBL!H267</f>
        <v>1.1562299192346793E-2</v>
      </c>
      <c r="J105" s="48">
        <f>MEBL!I292/MEBL!I267</f>
        <v>1.1451483654841201E-2</v>
      </c>
      <c r="K105" s="48">
        <f>MEBL!J292/MEBL!J267</f>
        <v>1.1552081045581553E-2</v>
      </c>
      <c r="L105" s="48">
        <f>MEBL!K292/MEBL!K267</f>
        <v>1.1553999551769421E-2</v>
      </c>
      <c r="M105" s="48">
        <f>MEBL!L292/MEBL!L267</f>
        <v>1.2184646883404857E-2</v>
      </c>
      <c r="N105" s="48">
        <f>MEBL!M292/MEBL!M267</f>
        <v>1.3529061312706524E-2</v>
      </c>
      <c r="O105" s="404">
        <f ca="1">MEBL!N292/MEBL!N267</f>
        <v>1.4355654371443633E-2</v>
      </c>
      <c r="P105" s="404">
        <v>1.2E-2</v>
      </c>
      <c r="Q105" s="404">
        <f>P105</f>
        <v>1.2E-2</v>
      </c>
      <c r="R105" s="404">
        <f t="shared" ref="R105:T105" si="133">Q105</f>
        <v>1.2E-2</v>
      </c>
      <c r="S105" s="404">
        <f t="shared" si="133"/>
        <v>1.2E-2</v>
      </c>
      <c r="T105" s="404">
        <f t="shared" si="133"/>
        <v>1.2E-2</v>
      </c>
      <c r="U105" s="33"/>
      <c r="AJ105" s="31"/>
      <c r="AK105" s="31"/>
      <c r="AL105" s="31"/>
    </row>
    <row r="106" spans="2:38" x14ac:dyDescent="0.25">
      <c r="B106" s="12" t="s">
        <v>491</v>
      </c>
      <c r="E106" s="48">
        <f>MEBL!D60/MEBL!D56</f>
        <v>0</v>
      </c>
      <c r="F106" s="48">
        <f>MEBL!E60/(MEBL!E56-MEBL!E59-MEBL!E61)</f>
        <v>0</v>
      </c>
      <c r="G106" s="48">
        <f>MEBL!F60/(MEBL!F56-MEBL!F59-MEBL!F61)</f>
        <v>0</v>
      </c>
      <c r="H106" s="48">
        <f>MEBL!G60/(MEBL!G56-MEBL!G59-MEBL!G61)</f>
        <v>0</v>
      </c>
      <c r="I106" s="48">
        <f>MEBL!H60/(MEBL!H56-MEBL!H59-MEBL!H61)</f>
        <v>2.086428083378775E-2</v>
      </c>
      <c r="J106" s="48">
        <f>MEBL!I60/(MEBL!I56-MEBL!I59-MEBL!I61)</f>
        <v>2.028895220194217E-2</v>
      </c>
      <c r="K106" s="48">
        <f>MEBL!J60/(MEBL!J56-MEBL!J59-MEBL!J61)</f>
        <v>2.2163511794535448E-2</v>
      </c>
      <c r="L106" s="48">
        <f>MEBL!K60/(MEBL!K56-MEBL!K59-MEBL!K61)</f>
        <v>2.5998074349145299E-2</v>
      </c>
      <c r="M106" s="48">
        <f>MEBL!L60/(MEBL!L56-MEBL!L59-MEBL!L61)</f>
        <v>2.4196526729400945E-2</v>
      </c>
      <c r="N106" s="48">
        <f>MEBL!M60/(MEBL!M56-MEBL!M59-MEBL!M61)</f>
        <v>2.3016300841727767E-2</v>
      </c>
      <c r="O106" s="404">
        <f>MEBL!N60/(MEBL!N56-MEBL!N59-MEBL!N61)</f>
        <v>2.2547709836424887E-2</v>
      </c>
      <c r="P106" s="404">
        <v>0.02</v>
      </c>
      <c r="Q106" s="404">
        <v>0.02</v>
      </c>
      <c r="R106" s="404">
        <v>0.02</v>
      </c>
      <c r="S106" s="404">
        <v>0.02</v>
      </c>
      <c r="T106" s="404">
        <v>0.02</v>
      </c>
      <c r="U106" s="33"/>
      <c r="V106" s="48">
        <f>MEBL!U60/(MEBL!U56-MEBL!U59-MEBL!U61)</f>
        <v>1.9736930833407624E-2</v>
      </c>
      <c r="W106" s="48">
        <f>MEBL!V60/(MEBL!V56-MEBL!V59-MEBL!V61)</f>
        <v>2.4959398670953696E-2</v>
      </c>
      <c r="X106" s="48">
        <f>MEBL!W60/(MEBL!W56-MEBL!W59-MEBL!W61)</f>
        <v>2.7440429665130044E-2</v>
      </c>
      <c r="Y106" s="392">
        <f>MEBL!X60/(MEBL!X56-MEBL!X59-MEBL!X61)</f>
        <v>2.3151492585255444E-2</v>
      </c>
      <c r="Z106" s="48">
        <f>MEBL!Y60/(MEBL!Y56-MEBL!Y59-MEBL!Y61)</f>
        <v>2.2327367865382333E-2</v>
      </c>
      <c r="AA106" s="48">
        <f>MEBL!Z60/(MEBL!Z56-MEBL!Z59-MEBL!Z61)</f>
        <v>2.9680551156005045E-2</v>
      </c>
      <c r="AB106" s="48">
        <f>MEBL!AA60/(MEBL!AA56-MEBL!AA59-MEBL!AA61)</f>
        <v>1.4668074553526308E-2</v>
      </c>
      <c r="AC106" s="393">
        <f>MEBL!AB60/(MEBL!AB56-MEBL!AB59-MEBL!AB61)</f>
        <v>2.3793288690265004E-2</v>
      </c>
      <c r="AD106" s="48">
        <f>MEBL!AC60/(MEBL!AC56-MEBL!AC59-MEBL!AC61)</f>
        <v>2.3550637937920477E-2</v>
      </c>
      <c r="AE106" s="48">
        <f>MEBL!AD60/(MEBL!AD56-MEBL!AD59-MEBL!AD61)</f>
        <v>2.2786454539853541E-2</v>
      </c>
      <c r="AF106" s="48">
        <f>MEBL!AE60/(MEBL!AE56-MEBL!AE59-MEBL!AE61)</f>
        <v>2.1403793089790474E-2</v>
      </c>
      <c r="AG106" s="405">
        <v>0.02</v>
      </c>
      <c r="AJ106" s="31"/>
      <c r="AK106" s="31"/>
      <c r="AL106" s="31"/>
    </row>
    <row r="107" spans="2:38" x14ac:dyDescent="0.25">
      <c r="U107" s="33"/>
      <c r="AJ107" s="31"/>
      <c r="AK107" s="31"/>
      <c r="AL107" s="31"/>
    </row>
    <row r="108" spans="2:38" x14ac:dyDescent="0.25">
      <c r="B108" s="586" t="s">
        <v>544</v>
      </c>
      <c r="C108" s="587"/>
      <c r="D108" s="587"/>
      <c r="U108" s="33"/>
      <c r="AJ108" s="31"/>
      <c r="AK108" s="31"/>
      <c r="AL108" s="31"/>
    </row>
    <row r="109" spans="2:38" x14ac:dyDescent="0.25">
      <c r="U109" s="33"/>
      <c r="AJ109" s="31"/>
      <c r="AK109" s="31"/>
      <c r="AL109" s="31"/>
    </row>
    <row r="110" spans="2:38" x14ac:dyDescent="0.25">
      <c r="B110" s="12" t="s">
        <v>546</v>
      </c>
      <c r="E110" s="48">
        <f>MEBL!D429/MEBL!D37</f>
        <v>0.94248498645433099</v>
      </c>
      <c r="F110" s="48">
        <f>MEBL!E429/MEBL!E37</f>
        <v>0.94181987331130734</v>
      </c>
      <c r="G110" s="48">
        <f>MEBL!F429/MEBL!F37</f>
        <v>0.92403447624574064</v>
      </c>
      <c r="H110" s="48">
        <f>MEBL!G429/MEBL!G37</f>
        <v>0.93040500775038937</v>
      </c>
      <c r="I110" s="48">
        <f>MEBL!H429/MEBL!H37</f>
        <v>0.9349251963133739</v>
      </c>
      <c r="J110" s="48">
        <f>MEBL!I429/MEBL!I37</f>
        <v>0.93973881765400447</v>
      </c>
      <c r="K110" s="48">
        <f>MEBL!J429/MEBL!J37</f>
        <v>0.89411206490266293</v>
      </c>
      <c r="L110" s="48">
        <f>MEBL!K429/MEBL!K37</f>
        <v>0.94436600479781441</v>
      </c>
      <c r="M110" s="48">
        <f>MEBL!L429/MEBL!L37</f>
        <v>0.96461481610720767</v>
      </c>
      <c r="N110" s="48">
        <f>MEBL!M429/MEBL!M37</f>
        <v>0.82124364612154788</v>
      </c>
      <c r="O110" s="404">
        <v>0.85</v>
      </c>
      <c r="P110" s="404">
        <f t="shared" ref="P110:T110" si="134">O110</f>
        <v>0.85</v>
      </c>
      <c r="Q110" s="404">
        <f t="shared" si="134"/>
        <v>0.85</v>
      </c>
      <c r="R110" s="404">
        <f t="shared" si="134"/>
        <v>0.85</v>
      </c>
      <c r="S110" s="404">
        <f t="shared" si="134"/>
        <v>0.85</v>
      </c>
      <c r="T110" s="404">
        <f t="shared" si="134"/>
        <v>0.85</v>
      </c>
      <c r="U110" s="33"/>
      <c r="AJ110" s="31"/>
      <c r="AK110" s="31"/>
      <c r="AL110" s="31"/>
    </row>
    <row r="111" spans="2:38" x14ac:dyDescent="0.25">
      <c r="O111" s="643"/>
      <c r="P111" s="643"/>
      <c r="Q111" s="643"/>
      <c r="R111" s="643"/>
      <c r="S111" s="643"/>
      <c r="T111" s="643"/>
      <c r="U111" s="33"/>
      <c r="AJ111" s="31"/>
      <c r="AK111" s="31"/>
      <c r="AL111" s="31"/>
    </row>
    <row r="112" spans="2:38" x14ac:dyDescent="0.25">
      <c r="B112" s="12" t="s">
        <v>207</v>
      </c>
      <c r="E112" s="48">
        <f>MEBL!D436/MEBL!D11</f>
        <v>1.4612420560708372</v>
      </c>
      <c r="F112" s="48">
        <f>MEBL!E436/MEBL!E11</f>
        <v>1.3239032230788652</v>
      </c>
      <c r="G112" s="48">
        <f>MEBL!F436/MEBL!F11</f>
        <v>1.1206494827424986</v>
      </c>
      <c r="H112" s="48">
        <f>MEBL!G436/MEBL!G11</f>
        <v>0.89238429432568456</v>
      </c>
      <c r="I112" s="48">
        <f>MEBL!H436/MEBL!H11</f>
        <v>1.0906971877870428</v>
      </c>
      <c r="J112" s="48">
        <f>MEBL!I436/MEBL!I11</f>
        <v>0.91523720785370544</v>
      </c>
      <c r="K112" s="48">
        <f>MEBL!J436/MEBL!J11</f>
        <v>0.77473311983455084</v>
      </c>
      <c r="L112" s="48">
        <f>MEBL!K436/MEBL!K11</f>
        <v>0.67119139900431157</v>
      </c>
      <c r="M112" s="48">
        <f>MEBL!L436/MEBL!L11</f>
        <v>0.63059778842828296</v>
      </c>
      <c r="N112" s="48">
        <f>MEBL!M436/MEBL!M11</f>
        <v>0.69444281448592204</v>
      </c>
      <c r="O112" s="404">
        <f>N112</f>
        <v>0.69444281448592204</v>
      </c>
      <c r="P112" s="404">
        <f t="shared" ref="P112:T112" si="135">O112</f>
        <v>0.69444281448592204</v>
      </c>
      <c r="Q112" s="404">
        <f t="shared" si="135"/>
        <v>0.69444281448592204</v>
      </c>
      <c r="R112" s="404">
        <f t="shared" si="135"/>
        <v>0.69444281448592204</v>
      </c>
      <c r="S112" s="404">
        <f t="shared" si="135"/>
        <v>0.69444281448592204</v>
      </c>
      <c r="T112" s="404">
        <f t="shared" si="135"/>
        <v>0.69444281448592204</v>
      </c>
      <c r="U112" s="33"/>
      <c r="AJ112" s="31"/>
      <c r="AK112" s="31"/>
      <c r="AL112" s="31"/>
    </row>
    <row r="113" spans="2:38" x14ac:dyDescent="0.25">
      <c r="B113" s="12" t="s">
        <v>208</v>
      </c>
      <c r="E113" s="48">
        <f>MEBL!D437/MEBL!D10</f>
        <v>0.16091082342132978</v>
      </c>
      <c r="F113" s="48">
        <f>MEBL!E437/MEBL!E10</f>
        <v>8.1674141138135481E-2</v>
      </c>
      <c r="G113" s="48">
        <f>MEBL!F437/MEBL!F10</f>
        <v>2.9685847464566987E-2</v>
      </c>
      <c r="H113" s="48">
        <f>MEBL!G437/MEBL!G10</f>
        <v>0.11447951818517893</v>
      </c>
      <c r="I113" s="48">
        <f>MEBL!H437/MEBL!H10</f>
        <v>7.1748195877382043E-2</v>
      </c>
      <c r="J113" s="48">
        <f>MEBL!I437/MEBL!I10</f>
        <v>0.25946788082077965</v>
      </c>
      <c r="K113" s="48">
        <f>MEBL!J437/MEBL!J10</f>
        <v>0.14731978277133362</v>
      </c>
      <c r="L113" s="48">
        <f>MEBL!K437/MEBL!K10</f>
        <v>0.14464022149367031</v>
      </c>
      <c r="M113" s="48">
        <f>MEBL!L437/MEBL!L10</f>
        <v>0.13252355088813172</v>
      </c>
      <c r="N113" s="48">
        <f>MEBL!M437/MEBL!M10</f>
        <v>8.5449750497973001E-2</v>
      </c>
      <c r="O113" s="404">
        <f t="shared" ref="O113:T113" si="136">N113</f>
        <v>8.5449750497973001E-2</v>
      </c>
      <c r="P113" s="404">
        <f t="shared" si="136"/>
        <v>8.5449750497973001E-2</v>
      </c>
      <c r="Q113" s="404">
        <f t="shared" si="136"/>
        <v>8.5449750497973001E-2</v>
      </c>
      <c r="R113" s="404">
        <f t="shared" si="136"/>
        <v>8.5449750497973001E-2</v>
      </c>
      <c r="S113" s="404">
        <f t="shared" si="136"/>
        <v>8.5449750497973001E-2</v>
      </c>
      <c r="T113" s="404">
        <f t="shared" si="136"/>
        <v>8.5449750497973001E-2</v>
      </c>
      <c r="U113" s="33"/>
      <c r="AJ113" s="31"/>
      <c r="AK113" s="31"/>
      <c r="AL113" s="31"/>
    </row>
    <row r="114" spans="2:38" x14ac:dyDescent="0.25">
      <c r="B114" s="12" t="s">
        <v>545</v>
      </c>
      <c r="F114" s="48">
        <f>MEBL!E438/MEBL!D438-1</f>
        <v>0.38801442247370566</v>
      </c>
      <c r="G114" s="48">
        <f>MEBL!F438/MEBL!E438-1</f>
        <v>0.30559624376099892</v>
      </c>
      <c r="H114" s="48">
        <f>MEBL!G438/MEBL!F438-1</f>
        <v>0.39997208699754672</v>
      </c>
      <c r="I114" s="48">
        <f>MEBL!H438/MEBL!G438-1</f>
        <v>-0.93030114352402182</v>
      </c>
      <c r="J114" s="48">
        <f>MEBL!I438/MEBL!H438-1</f>
        <v>19.349534650300551</v>
      </c>
      <c r="K114" s="48">
        <f>MEBL!J438/MEBL!I438-1</f>
        <v>0.28325946797075119</v>
      </c>
      <c r="L114" s="48">
        <f>MEBL!K438/MEBL!J438-1</f>
        <v>0.13365747540446815</v>
      </c>
      <c r="M114" s="48">
        <f>MEBL!L438/MEBL!K438-1</f>
        <v>0.19276771520483105</v>
      </c>
      <c r="N114" s="48">
        <f>MEBL!M438/MEBL!L438-1</f>
        <v>0.35385172450746927</v>
      </c>
      <c r="O114" s="404">
        <f>GEOMEAN(K114:N114)</f>
        <v>0.22542824308211076</v>
      </c>
      <c r="P114" s="404">
        <f t="shared" ref="P114:T114" si="137">GEOMEAN(L114:O114)</f>
        <v>0.21291894180432286</v>
      </c>
      <c r="Q114" s="404">
        <f t="shared" si="137"/>
        <v>0.23920461838864046</v>
      </c>
      <c r="R114" s="404">
        <f t="shared" si="137"/>
        <v>0.25246627689494927</v>
      </c>
      <c r="S114" s="404">
        <f t="shared" si="137"/>
        <v>0.2320325379609772</v>
      </c>
      <c r="T114" s="404">
        <f t="shared" si="137"/>
        <v>0.2337136248930069</v>
      </c>
      <c r="U114" s="33"/>
      <c r="AJ114" s="31"/>
      <c r="AK114" s="31"/>
      <c r="AL114" s="31"/>
    </row>
    <row r="115" spans="2:38" x14ac:dyDescent="0.25">
      <c r="U115" s="33"/>
      <c r="AJ115" s="31"/>
      <c r="AK115" s="31"/>
      <c r="AL115" s="31"/>
    </row>
    <row r="116" spans="2:38" x14ac:dyDescent="0.25">
      <c r="U116" s="33"/>
      <c r="AJ116" s="31"/>
      <c r="AK116" s="31"/>
      <c r="AL116" s="31"/>
    </row>
    <row r="117" spans="2:38" x14ac:dyDescent="0.25">
      <c r="U117" s="33"/>
      <c r="AJ117" s="31"/>
      <c r="AK117" s="31"/>
      <c r="AL117" s="31"/>
    </row>
    <row r="118" spans="2:38" x14ac:dyDescent="0.25">
      <c r="U118" s="33"/>
      <c r="AJ118" s="31"/>
      <c r="AK118" s="31"/>
      <c r="AL118" s="31"/>
    </row>
    <row r="119" spans="2:38" x14ac:dyDescent="0.25">
      <c r="U119" s="33"/>
      <c r="AJ119" s="31"/>
      <c r="AK119" s="31"/>
      <c r="AL119" s="31"/>
    </row>
    <row r="120" spans="2:38" x14ac:dyDescent="0.25">
      <c r="U120" s="33"/>
      <c r="AJ120" s="31"/>
      <c r="AK120" s="31"/>
      <c r="AL120" s="31"/>
    </row>
    <row r="121" spans="2:38" x14ac:dyDescent="0.25">
      <c r="U121" s="33"/>
      <c r="AJ121" s="31"/>
      <c r="AK121" s="31"/>
      <c r="AL121" s="31"/>
    </row>
    <row r="122" spans="2:38" x14ac:dyDescent="0.25">
      <c r="U122" s="33"/>
      <c r="AJ122" s="31"/>
      <c r="AK122" s="31"/>
      <c r="AL122" s="31"/>
    </row>
    <row r="123" spans="2:38" x14ac:dyDescent="0.25">
      <c r="U123" s="33"/>
      <c r="AJ123" s="31"/>
      <c r="AK123" s="31"/>
      <c r="AL123" s="31"/>
    </row>
    <row r="124" spans="2:38" x14ac:dyDescent="0.25">
      <c r="U124" s="33"/>
    </row>
    <row r="125" spans="2:38" x14ac:dyDescent="0.25">
      <c r="U125" s="33"/>
    </row>
    <row r="126" spans="2:38" x14ac:dyDescent="0.25">
      <c r="U126" s="33"/>
    </row>
    <row r="127" spans="2:38" x14ac:dyDescent="0.25">
      <c r="U127" s="33"/>
    </row>
    <row r="128" spans="2:38" x14ac:dyDescent="0.25">
      <c r="U128" s="33"/>
    </row>
    <row r="129" spans="21:21" x14ac:dyDescent="0.25">
      <c r="U129" s="33"/>
    </row>
    <row r="130" spans="21:21" x14ac:dyDescent="0.25">
      <c r="U130" s="33"/>
    </row>
    <row r="131" spans="21:21" x14ac:dyDescent="0.25">
      <c r="U131" s="33"/>
    </row>
    <row r="132" spans="21:21" x14ac:dyDescent="0.25">
      <c r="U132" s="33"/>
    </row>
    <row r="133" spans="21:21" x14ac:dyDescent="0.25">
      <c r="U133" s="33"/>
    </row>
    <row r="134" spans="21:21" x14ac:dyDescent="0.25">
      <c r="U134" s="33"/>
    </row>
    <row r="135" spans="21:21" x14ac:dyDescent="0.25">
      <c r="U135" s="33"/>
    </row>
    <row r="136" spans="21:21" x14ac:dyDescent="0.25">
      <c r="U136" s="33"/>
    </row>
    <row r="137" spans="21:21" x14ac:dyDescent="0.25">
      <c r="U137" s="33"/>
    </row>
    <row r="138" spans="21:21" x14ac:dyDescent="0.25">
      <c r="U138" s="33"/>
    </row>
    <row r="139" spans="21:21" x14ac:dyDescent="0.25">
      <c r="U139" s="33"/>
    </row>
    <row r="140" spans="21:21" x14ac:dyDescent="0.25">
      <c r="U140" s="33"/>
    </row>
    <row r="141" spans="21:21" x14ac:dyDescent="0.25">
      <c r="U141" s="33"/>
    </row>
    <row r="142" spans="21:21" x14ac:dyDescent="0.25">
      <c r="U142" s="33"/>
    </row>
    <row r="143" spans="21:21" x14ac:dyDescent="0.25">
      <c r="U143" s="33"/>
    </row>
    <row r="144" spans="21:21" x14ac:dyDescent="0.25">
      <c r="U144" s="33"/>
    </row>
    <row r="145" spans="21:21" x14ac:dyDescent="0.25">
      <c r="U145" s="33"/>
    </row>
    <row r="146" spans="21:21" x14ac:dyDescent="0.25">
      <c r="U146" s="33"/>
    </row>
    <row r="147" spans="21:21" x14ac:dyDescent="0.25">
      <c r="U147" s="33"/>
    </row>
    <row r="148" spans="21:21" x14ac:dyDescent="0.25">
      <c r="U148" s="33"/>
    </row>
    <row r="149" spans="21:21" x14ac:dyDescent="0.25">
      <c r="U149" s="33"/>
    </row>
    <row r="150" spans="21:21" x14ac:dyDescent="0.25">
      <c r="U150" s="33"/>
    </row>
    <row r="151" spans="21:21" x14ac:dyDescent="0.25">
      <c r="U151" s="33"/>
    </row>
    <row r="152" spans="21:21" x14ac:dyDescent="0.25">
      <c r="U152" s="33"/>
    </row>
    <row r="153" spans="21:21" x14ac:dyDescent="0.25">
      <c r="U153" s="33"/>
    </row>
    <row r="154" spans="21:21" x14ac:dyDescent="0.25">
      <c r="U154" s="33"/>
    </row>
    <row r="155" spans="21:21" x14ac:dyDescent="0.25">
      <c r="U155" s="33"/>
    </row>
    <row r="156" spans="21:21" x14ac:dyDescent="0.25">
      <c r="U156" s="33"/>
    </row>
    <row r="157" spans="21:21" x14ac:dyDescent="0.25">
      <c r="U157" s="33"/>
    </row>
    <row r="158" spans="21:21" x14ac:dyDescent="0.25">
      <c r="U158" s="33"/>
    </row>
    <row r="159" spans="21:21" x14ac:dyDescent="0.25">
      <c r="U159" s="33"/>
    </row>
    <row r="160" spans="21:21" x14ac:dyDescent="0.25">
      <c r="U160" s="33"/>
    </row>
    <row r="161" spans="21:21" x14ac:dyDescent="0.25">
      <c r="U161" s="33"/>
    </row>
    <row r="162" spans="21:21" x14ac:dyDescent="0.25">
      <c r="U162" s="33"/>
    </row>
    <row r="163" spans="21:21" x14ac:dyDescent="0.25">
      <c r="U163" s="33"/>
    </row>
    <row r="164" spans="21:21" x14ac:dyDescent="0.25">
      <c r="U164" s="33"/>
    </row>
    <row r="165" spans="21:21" x14ac:dyDescent="0.25">
      <c r="U165" s="33"/>
    </row>
    <row r="166" spans="21:21" x14ac:dyDescent="0.25">
      <c r="U166" s="33"/>
    </row>
    <row r="167" spans="21:21" x14ac:dyDescent="0.25">
      <c r="U167" s="33"/>
    </row>
    <row r="168" spans="21:21" x14ac:dyDescent="0.25">
      <c r="U168" s="33"/>
    </row>
    <row r="169" spans="21:21" x14ac:dyDescent="0.25">
      <c r="U169" s="33"/>
    </row>
    <row r="170" spans="21:21" x14ac:dyDescent="0.25">
      <c r="U170" s="33"/>
    </row>
    <row r="171" spans="21:21" x14ac:dyDescent="0.25">
      <c r="U171" s="33"/>
    </row>
    <row r="172" spans="21:21" x14ac:dyDescent="0.25">
      <c r="U172" s="33"/>
    </row>
    <row r="173" spans="21:21" x14ac:dyDescent="0.25">
      <c r="U173" s="33"/>
    </row>
    <row r="174" spans="21:21" x14ac:dyDescent="0.25">
      <c r="U174" s="33"/>
    </row>
    <row r="175" spans="21:21" x14ac:dyDescent="0.25">
      <c r="U175" s="33"/>
    </row>
    <row r="176" spans="21:21" x14ac:dyDescent="0.25">
      <c r="U176" s="33"/>
    </row>
    <row r="177" spans="21:21" x14ac:dyDescent="0.25">
      <c r="U177" s="33"/>
    </row>
    <row r="178" spans="21:21" x14ac:dyDescent="0.25">
      <c r="U178" s="33"/>
    </row>
    <row r="179" spans="21:21" x14ac:dyDescent="0.25">
      <c r="U179" s="33"/>
    </row>
    <row r="180" spans="21:21" x14ac:dyDescent="0.25">
      <c r="U180" s="33"/>
    </row>
    <row r="181" spans="21:21" x14ac:dyDescent="0.25">
      <c r="U181" s="33"/>
    </row>
    <row r="182" spans="21:21" x14ac:dyDescent="0.25">
      <c r="U182" s="33"/>
    </row>
    <row r="183" spans="21:21" x14ac:dyDescent="0.25">
      <c r="U183" s="33"/>
    </row>
    <row r="184" spans="21:21" x14ac:dyDescent="0.25">
      <c r="U184" s="33"/>
    </row>
    <row r="185" spans="21:21" x14ac:dyDescent="0.25">
      <c r="U185" s="33"/>
    </row>
    <row r="186" spans="21:21" x14ac:dyDescent="0.25">
      <c r="U186" s="33"/>
    </row>
    <row r="187" spans="21:21" x14ac:dyDescent="0.25">
      <c r="U187" s="33"/>
    </row>
    <row r="188" spans="21:21" x14ac:dyDescent="0.25">
      <c r="U188" s="33"/>
    </row>
    <row r="189" spans="21:21" x14ac:dyDescent="0.25">
      <c r="U189" s="33"/>
    </row>
    <row r="190" spans="21:21" x14ac:dyDescent="0.25">
      <c r="U190" s="33"/>
    </row>
    <row r="191" spans="21:21" x14ac:dyDescent="0.25">
      <c r="U191" s="33"/>
    </row>
    <row r="192" spans="21:21" x14ac:dyDescent="0.25">
      <c r="U192" s="33"/>
    </row>
    <row r="193" spans="21:21" x14ac:dyDescent="0.25">
      <c r="U193" s="33"/>
    </row>
    <row r="194" spans="21:21" x14ac:dyDescent="0.25">
      <c r="U194" s="33"/>
    </row>
    <row r="195" spans="21:21" x14ac:dyDescent="0.25">
      <c r="U195" s="33"/>
    </row>
    <row r="196" spans="21:21" x14ac:dyDescent="0.25">
      <c r="U196" s="33"/>
    </row>
    <row r="197" spans="21:21" x14ac:dyDescent="0.25">
      <c r="U197" s="33"/>
    </row>
    <row r="198" spans="21:21" x14ac:dyDescent="0.25">
      <c r="U198" s="33"/>
    </row>
    <row r="199" spans="21:21" x14ac:dyDescent="0.25">
      <c r="U199" s="33"/>
    </row>
    <row r="200" spans="21:21" x14ac:dyDescent="0.25">
      <c r="U200" s="33"/>
    </row>
    <row r="201" spans="21:21" x14ac:dyDescent="0.25">
      <c r="U201" s="33"/>
    </row>
    <row r="202" spans="21:21" x14ac:dyDescent="0.25">
      <c r="U202" s="33"/>
    </row>
    <row r="203" spans="21:21" x14ac:dyDescent="0.25">
      <c r="U203" s="33"/>
    </row>
    <row r="204" spans="21:21" x14ac:dyDescent="0.25">
      <c r="U204" s="33"/>
    </row>
    <row r="205" spans="21:21" x14ac:dyDescent="0.25">
      <c r="U205" s="33"/>
    </row>
    <row r="206" spans="21:21" x14ac:dyDescent="0.25">
      <c r="U206" s="33"/>
    </row>
    <row r="207" spans="21:21" x14ac:dyDescent="0.25">
      <c r="U207" s="33"/>
    </row>
    <row r="208" spans="21:21" x14ac:dyDescent="0.25">
      <c r="U208" s="33"/>
    </row>
    <row r="209" spans="21:21" x14ac:dyDescent="0.25">
      <c r="U209" s="33"/>
    </row>
    <row r="210" spans="21:21" x14ac:dyDescent="0.25">
      <c r="U210" s="33"/>
    </row>
    <row r="211" spans="21:21" x14ac:dyDescent="0.25">
      <c r="U211" s="33"/>
    </row>
    <row r="212" spans="21:21" x14ac:dyDescent="0.25">
      <c r="U212" s="33"/>
    </row>
    <row r="213" spans="21:21" x14ac:dyDescent="0.25">
      <c r="U213" s="33"/>
    </row>
    <row r="214" spans="21:21" x14ac:dyDescent="0.25">
      <c r="U214" s="33"/>
    </row>
    <row r="215" spans="21:21" x14ac:dyDescent="0.25">
      <c r="U215" s="33"/>
    </row>
    <row r="216" spans="21:21" x14ac:dyDescent="0.25">
      <c r="U216" s="33"/>
    </row>
    <row r="217" spans="21:21" x14ac:dyDescent="0.25">
      <c r="U217" s="33"/>
    </row>
    <row r="218" spans="21:21" x14ac:dyDescent="0.25">
      <c r="U218" s="33"/>
    </row>
    <row r="219" spans="21:21" x14ac:dyDescent="0.25">
      <c r="U219" s="33"/>
    </row>
    <row r="220" spans="21:21" x14ac:dyDescent="0.25">
      <c r="U220" s="33"/>
    </row>
    <row r="221" spans="21:21" x14ac:dyDescent="0.25">
      <c r="U221" s="33"/>
    </row>
    <row r="222" spans="21:21" x14ac:dyDescent="0.25">
      <c r="U222" s="33"/>
    </row>
    <row r="223" spans="21:21" x14ac:dyDescent="0.25">
      <c r="U223" s="33"/>
    </row>
  </sheetData>
  <mergeCells count="3">
    <mergeCell ref="AJ7:AK7"/>
    <mergeCell ref="AU7:AV7"/>
    <mergeCell ref="AM7:AN7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CV541"/>
  <sheetViews>
    <sheetView showGridLines="0" zoomScaleNormal="100" workbookViewId="0">
      <pane xSplit="3" ySplit="4" topLeftCell="D5" activePane="bottomRight" state="frozen"/>
      <selection pane="topRight" activeCell="C1" sqref="C1"/>
      <selection pane="bottomLeft" activeCell="A5" sqref="A5"/>
      <selection pane="bottomRight"/>
    </sheetView>
  </sheetViews>
  <sheetFormatPr defaultColWidth="8.7109375" defaultRowHeight="11.25" x14ac:dyDescent="0.2"/>
  <cols>
    <col min="1" max="1" width="1.5703125" style="51" customWidth="1"/>
    <col min="2" max="2" width="16.42578125" style="2" customWidth="1"/>
    <col min="3" max="3" width="44.28515625" style="2" customWidth="1"/>
    <col min="4" max="4" width="12.7109375" style="54" customWidth="1"/>
    <col min="5" max="5" width="12.7109375" style="1" customWidth="1"/>
    <col min="6" max="6" width="12.28515625" style="1" customWidth="1"/>
    <col min="7" max="12" width="12.5703125" style="1" customWidth="1"/>
    <col min="13" max="13" width="12.5703125" style="423" customWidth="1"/>
    <col min="14" max="19" width="12.5703125" style="2" customWidth="1"/>
    <col min="20" max="20" width="3.5703125" style="273" customWidth="1"/>
    <col min="21" max="23" width="12.5703125" style="2" customWidth="1"/>
    <col min="24" max="24" width="12.5703125" style="440" customWidth="1"/>
    <col min="25" max="27" width="12.5703125" style="2" customWidth="1"/>
    <col min="28" max="28" width="12.5703125" style="440" customWidth="1"/>
    <col min="29" max="31" width="12.5703125" style="2" customWidth="1"/>
    <col min="32" max="32" width="12.5703125" style="511" customWidth="1"/>
    <col min="33" max="16384" width="8.7109375" style="2"/>
  </cols>
  <sheetData>
    <row r="1" spans="2:37" ht="11.1" customHeight="1" thickBot="1" x14ac:dyDescent="0.25">
      <c r="B1" s="370" t="s">
        <v>61</v>
      </c>
      <c r="C1" s="52"/>
      <c r="AF1" s="520"/>
    </row>
    <row r="2" spans="2:37" ht="11.65" customHeight="1" thickTop="1" x14ac:dyDescent="0.2">
      <c r="B2" s="52"/>
      <c r="C2" s="52"/>
      <c r="AF2" s="520"/>
    </row>
    <row r="3" spans="2:37" x14ac:dyDescent="0.2">
      <c r="B3" s="55" t="s">
        <v>0</v>
      </c>
      <c r="C3" s="55"/>
      <c r="D3" s="56">
        <f>D72</f>
        <v>2.6147394023942714</v>
      </c>
      <c r="E3" s="56">
        <f>E72</f>
        <v>3.6686208506519242</v>
      </c>
      <c r="F3" s="56">
        <f t="shared" ref="F3:M3" si="0">F72</f>
        <v>3.8833764828280493</v>
      </c>
      <c r="G3" s="56">
        <f t="shared" si="0"/>
        <v>3.9459723420545512</v>
      </c>
      <c r="H3" s="56">
        <f t="shared" si="0"/>
        <v>4.5576077485333304</v>
      </c>
      <c r="I3" s="56">
        <f t="shared" si="0"/>
        <v>5.0087954439978608</v>
      </c>
      <c r="J3" s="56">
        <f t="shared" si="0"/>
        <v>6.1650218175907243</v>
      </c>
      <c r="K3" s="56">
        <f t="shared" si="0"/>
        <v>5.2860104806936468</v>
      </c>
      <c r="L3" s="56">
        <f t="shared" si="0"/>
        <v>7.661263449882159</v>
      </c>
      <c r="M3" s="424">
        <f t="shared" si="0"/>
        <v>12.117487108751122</v>
      </c>
      <c r="N3" s="349">
        <f t="shared" ref="N3:AF3" si="1">N72</f>
        <v>16.967749914813961</v>
      </c>
      <c r="O3" s="349">
        <f t="shared" si="1"/>
        <v>14.529025781087135</v>
      </c>
      <c r="P3" s="349">
        <f ca="1">P72</f>
        <v>17.97485345534313</v>
      </c>
      <c r="Q3" s="349">
        <f ca="1">Q72</f>
        <v>19.906361672219983</v>
      </c>
      <c r="R3" s="349">
        <f ca="1">R72</f>
        <v>23.188890593079797</v>
      </c>
      <c r="S3" s="349">
        <f ca="1">S72</f>
        <v>27.008361235317654</v>
      </c>
      <c r="U3" s="351">
        <f t="shared" si="1"/>
        <v>1.6378305230174257</v>
      </c>
      <c r="V3" s="351">
        <f t="shared" si="1"/>
        <v>1.891353382043879</v>
      </c>
      <c r="W3" s="351">
        <f t="shared" si="1"/>
        <v>1.8143070379177975</v>
      </c>
      <c r="X3" s="475">
        <f t="shared" si="1"/>
        <v>2.3218000732813548</v>
      </c>
      <c r="Y3" s="351">
        <f t="shared" si="1"/>
        <v>2.2170252964248554</v>
      </c>
      <c r="Z3" s="351">
        <f t="shared" si="1"/>
        <v>3.2270954783425472</v>
      </c>
      <c r="AA3" s="351">
        <f t="shared" si="1"/>
        <v>3.062178222039269</v>
      </c>
      <c r="AB3" s="475">
        <f t="shared" si="1"/>
        <v>3.3372095598713032</v>
      </c>
      <c r="AC3" s="351">
        <f t="shared" si="1"/>
        <v>3.89154412882286</v>
      </c>
      <c r="AD3" s="351">
        <f t="shared" si="1"/>
        <v>4.3623331943216419</v>
      </c>
      <c r="AE3" s="351">
        <f t="shared" si="1"/>
        <v>4.5251318773062739</v>
      </c>
      <c r="AF3" s="521">
        <f t="shared" si="1"/>
        <v>4.6808248725765615</v>
      </c>
      <c r="AG3" s="50"/>
      <c r="AH3" s="50"/>
      <c r="AI3" s="50"/>
      <c r="AJ3" s="50"/>
      <c r="AK3" s="50"/>
    </row>
    <row r="4" spans="2:37" x14ac:dyDescent="0.2">
      <c r="B4" s="57" t="s">
        <v>1</v>
      </c>
      <c r="C4" s="58"/>
      <c r="D4" s="59">
        <f>E4-1</f>
        <v>2010</v>
      </c>
      <c r="E4" s="59">
        <v>2011</v>
      </c>
      <c r="F4" s="59">
        <f t="shared" ref="F4:M4" si="2">E4+1</f>
        <v>2012</v>
      </c>
      <c r="G4" s="59">
        <f t="shared" si="2"/>
        <v>2013</v>
      </c>
      <c r="H4" s="59">
        <f t="shared" si="2"/>
        <v>2014</v>
      </c>
      <c r="I4" s="59">
        <f t="shared" si="2"/>
        <v>2015</v>
      </c>
      <c r="J4" s="59">
        <f t="shared" si="2"/>
        <v>2016</v>
      </c>
      <c r="K4" s="59">
        <f t="shared" si="2"/>
        <v>2017</v>
      </c>
      <c r="L4" s="59">
        <f t="shared" si="2"/>
        <v>2018</v>
      </c>
      <c r="M4" s="425">
        <f t="shared" si="2"/>
        <v>2019</v>
      </c>
      <c r="N4" s="348" t="s">
        <v>477</v>
      </c>
      <c r="O4" s="348" t="s">
        <v>478</v>
      </c>
      <c r="P4" s="348" t="s">
        <v>479</v>
      </c>
      <c r="Q4" s="348" t="s">
        <v>480</v>
      </c>
      <c r="R4" s="348" t="s">
        <v>481</v>
      </c>
      <c r="S4" s="348" t="s">
        <v>482</v>
      </c>
      <c r="U4" s="350">
        <v>43190</v>
      </c>
      <c r="V4" s="350">
        <f>EOMONTH(U4,3)</f>
        <v>43281</v>
      </c>
      <c r="W4" s="350">
        <f t="shared" ref="W4:AF4" si="3">EOMONTH(V4,3)</f>
        <v>43373</v>
      </c>
      <c r="X4" s="476">
        <f t="shared" si="3"/>
        <v>43465</v>
      </c>
      <c r="Y4" s="350">
        <f t="shared" si="3"/>
        <v>43555</v>
      </c>
      <c r="Z4" s="350">
        <f t="shared" si="3"/>
        <v>43646</v>
      </c>
      <c r="AA4" s="350">
        <f t="shared" si="3"/>
        <v>43738</v>
      </c>
      <c r="AB4" s="476">
        <f t="shared" si="3"/>
        <v>43830</v>
      </c>
      <c r="AC4" s="350">
        <f t="shared" si="3"/>
        <v>43921</v>
      </c>
      <c r="AD4" s="350">
        <f t="shared" si="3"/>
        <v>44012</v>
      </c>
      <c r="AE4" s="350">
        <f t="shared" si="3"/>
        <v>44104</v>
      </c>
      <c r="AF4" s="522">
        <f t="shared" si="3"/>
        <v>44196</v>
      </c>
      <c r="AG4" s="50"/>
      <c r="AH4" s="1026"/>
      <c r="AI4" s="1026"/>
      <c r="AJ4" s="1026"/>
      <c r="AK4" s="1026"/>
    </row>
    <row r="5" spans="2:37" ht="12.75" x14ac:dyDescent="0.2">
      <c r="B5" s="542" t="s">
        <v>60</v>
      </c>
      <c r="C5" s="6"/>
      <c r="E5" s="60"/>
      <c r="F5" s="60"/>
      <c r="G5" s="60"/>
      <c r="H5" s="60"/>
      <c r="I5" s="60"/>
      <c r="J5" s="60"/>
      <c r="K5" s="60"/>
      <c r="L5" s="60"/>
      <c r="M5" s="426"/>
      <c r="U5" s="50"/>
      <c r="V5" s="50"/>
      <c r="W5" s="50"/>
      <c r="Y5" s="50"/>
      <c r="Z5" s="50"/>
      <c r="AA5" s="50"/>
      <c r="AC5" s="50"/>
      <c r="AD5" s="50"/>
      <c r="AE5" s="50"/>
      <c r="AG5" s="50"/>
      <c r="AH5" s="50"/>
      <c r="AI5" s="50"/>
      <c r="AJ5" s="50"/>
      <c r="AK5" s="50"/>
    </row>
    <row r="6" spans="2:37" x14ac:dyDescent="0.2">
      <c r="B6" s="3" t="s">
        <v>2</v>
      </c>
      <c r="C6" s="3"/>
      <c r="U6" s="50"/>
      <c r="V6" s="50"/>
      <c r="W6" s="50"/>
      <c r="Y6" s="50"/>
      <c r="Z6" s="50"/>
      <c r="AA6" s="50"/>
      <c r="AC6" s="50"/>
      <c r="AD6" s="50"/>
      <c r="AE6" s="50"/>
      <c r="AG6" s="50"/>
      <c r="AH6" s="50"/>
      <c r="AI6" s="50"/>
      <c r="AJ6" s="50"/>
      <c r="AK6" s="50"/>
    </row>
    <row r="7" spans="2:37" x14ac:dyDescent="0.2">
      <c r="B7" s="2" t="s">
        <v>3</v>
      </c>
      <c r="D7" s="61">
        <v>12780.950999999999</v>
      </c>
      <c r="E7" s="54">
        <v>16641.195</v>
      </c>
      <c r="F7" s="54">
        <v>19125.401000000002</v>
      </c>
      <c r="G7" s="54">
        <v>28582.626</v>
      </c>
      <c r="H7" s="54">
        <v>29728.763999999999</v>
      </c>
      <c r="I7" s="54">
        <v>43685.635999999999</v>
      </c>
      <c r="J7" s="54">
        <v>56037.042999999998</v>
      </c>
      <c r="K7" s="54">
        <v>64556.409</v>
      </c>
      <c r="L7" s="54">
        <v>65022.411999999997</v>
      </c>
      <c r="M7" s="427">
        <v>92193.876999999993</v>
      </c>
      <c r="N7" s="7">
        <f t="shared" ref="N7:S7" si="4">N89</f>
        <v>95129.725229004369</v>
      </c>
      <c r="O7" s="7">
        <f t="shared" ca="1" si="4"/>
        <v>110751.677315888</v>
      </c>
      <c r="P7" s="7">
        <f t="shared" ca="1" si="4"/>
        <v>121192.13469447475</v>
      </c>
      <c r="Q7" s="7">
        <f t="shared" ca="1" si="4"/>
        <v>147115.26580236666</v>
      </c>
      <c r="R7" s="7">
        <f t="shared" ca="1" si="4"/>
        <v>172428.78364988463</v>
      </c>
      <c r="S7" s="7">
        <f t="shared" ca="1" si="4"/>
        <v>199363.08920453303</v>
      </c>
      <c r="U7" s="62">
        <v>54540.57</v>
      </c>
      <c r="V7" s="62">
        <v>63709.754000000001</v>
      </c>
      <c r="W7" s="62">
        <v>57839.425000000003</v>
      </c>
      <c r="X7" s="477">
        <v>65022.040999999997</v>
      </c>
      <c r="Y7" s="62">
        <v>69084.884999999995</v>
      </c>
      <c r="Z7" s="62">
        <v>96338.149000000005</v>
      </c>
      <c r="AA7" s="62">
        <v>66114.847999999998</v>
      </c>
      <c r="AB7" s="477">
        <v>92193.361000000004</v>
      </c>
      <c r="AC7" s="63">
        <v>90180.562000000005</v>
      </c>
      <c r="AD7" s="63">
        <v>102494.47900000001</v>
      </c>
      <c r="AE7" s="63">
        <v>100032.655</v>
      </c>
      <c r="AF7" s="511">
        <f>AF89</f>
        <v>95129.19279735256</v>
      </c>
      <c r="AG7" s="50"/>
    </row>
    <row r="8" spans="2:37" x14ac:dyDescent="0.2">
      <c r="B8" s="2" t="s">
        <v>4</v>
      </c>
      <c r="D8" s="61">
        <v>9957.7569999999996</v>
      </c>
      <c r="E8" s="54">
        <v>2354.9079999999999</v>
      </c>
      <c r="F8" s="54">
        <v>3851.15</v>
      </c>
      <c r="G8" s="54">
        <v>3554.2339999999999</v>
      </c>
      <c r="H8" s="54">
        <v>5501.0770000000002</v>
      </c>
      <c r="I8" s="54">
        <v>11175.06</v>
      </c>
      <c r="J8" s="54">
        <v>12067.855</v>
      </c>
      <c r="K8" s="54">
        <v>4940.09</v>
      </c>
      <c r="L8" s="54">
        <v>8277.1460000000006</v>
      </c>
      <c r="M8" s="427">
        <v>15414.833000000001</v>
      </c>
      <c r="N8" s="1">
        <f>N101</f>
        <v>16093.769504580312</v>
      </c>
      <c r="O8" s="7">
        <f t="shared" ref="O8:S8" si="5">O101</f>
        <v>14442.733157189343</v>
      </c>
      <c r="P8" s="7">
        <f t="shared" si="5"/>
        <v>18285.285897117396</v>
      </c>
      <c r="Q8" s="7">
        <f t="shared" si="5"/>
        <v>21720.020262217869</v>
      </c>
      <c r="R8" s="7">
        <f t="shared" si="5"/>
        <v>23489.473499574426</v>
      </c>
      <c r="S8" s="7">
        <f t="shared" si="5"/>
        <v>26059.809591803274</v>
      </c>
      <c r="U8" s="62">
        <v>4133.433</v>
      </c>
      <c r="V8" s="62">
        <v>6198.7079999999996</v>
      </c>
      <c r="W8" s="62">
        <v>4678.6719999999996</v>
      </c>
      <c r="X8" s="477">
        <v>8255.1869999999999</v>
      </c>
      <c r="Y8" s="62">
        <v>8392.7129999999997</v>
      </c>
      <c r="Z8" s="62">
        <v>13206.567999999999</v>
      </c>
      <c r="AA8" s="62">
        <v>8577.741</v>
      </c>
      <c r="AB8" s="477">
        <v>15372.233</v>
      </c>
      <c r="AC8" s="63">
        <v>3991.34</v>
      </c>
      <c r="AD8" s="63">
        <v>19187.78</v>
      </c>
      <c r="AE8" s="63">
        <v>17869.753000000001</v>
      </c>
      <c r="AF8" s="511">
        <f>AF101</f>
        <v>16049.293214704509</v>
      </c>
      <c r="AG8" s="50"/>
    </row>
    <row r="9" spans="2:37" x14ac:dyDescent="0.2">
      <c r="B9" s="2" t="s">
        <v>5</v>
      </c>
      <c r="D9" s="54">
        <v>10511.855</v>
      </c>
      <c r="E9" s="54">
        <v>4065.4059999999999</v>
      </c>
      <c r="F9" s="54">
        <v>500</v>
      </c>
      <c r="G9" s="54">
        <v>7442.732</v>
      </c>
      <c r="H9" s="54">
        <v>90766.297000000006</v>
      </c>
      <c r="I9" s="54">
        <v>170474.42199999999</v>
      </c>
      <c r="J9" s="54">
        <v>129115.16499999999</v>
      </c>
      <c r="K9" s="54">
        <v>147229.22099999999</v>
      </c>
      <c r="L9" s="54">
        <v>184814.6</v>
      </c>
      <c r="M9" s="427">
        <v>223689.32500000001</v>
      </c>
      <c r="N9" s="1">
        <f>N119</f>
        <v>267520.46852020646</v>
      </c>
      <c r="O9" s="7">
        <f t="shared" ref="O9:S9" si="6">O119</f>
        <v>235436.2063769105</v>
      </c>
      <c r="P9" s="7">
        <f t="shared" si="6"/>
        <v>223593.95095288794</v>
      </c>
      <c r="Q9" s="7">
        <f t="shared" si="6"/>
        <v>220154.03168405217</v>
      </c>
      <c r="R9" s="7">
        <f t="shared" si="6"/>
        <v>231234.52143440818</v>
      </c>
      <c r="S9" s="7">
        <f t="shared" si="6"/>
        <v>242144.8586668038</v>
      </c>
      <c r="U9" s="62">
        <v>153510.49900000001</v>
      </c>
      <c r="V9" s="62">
        <v>202994.353</v>
      </c>
      <c r="W9" s="62">
        <v>186095.83199999999</v>
      </c>
      <c r="X9" s="477">
        <v>184814.6</v>
      </c>
      <c r="Y9" s="62">
        <v>88246.928</v>
      </c>
      <c r="Z9" s="62">
        <v>131254.23199999999</v>
      </c>
      <c r="AA9" s="62">
        <v>181185.196</v>
      </c>
      <c r="AB9" s="477">
        <v>223689.32500000001</v>
      </c>
      <c r="AC9" s="63">
        <v>278651.27500000002</v>
      </c>
      <c r="AD9" s="63">
        <v>274356.891</v>
      </c>
      <c r="AE9" s="63">
        <v>282652.83899999998</v>
      </c>
      <c r="AF9" s="511">
        <f>AF119</f>
        <v>267520.46852020646</v>
      </c>
      <c r="AG9" s="50"/>
    </row>
    <row r="10" spans="2:37" x14ac:dyDescent="0.2">
      <c r="B10" s="2" t="s">
        <v>6</v>
      </c>
      <c r="D10" s="54">
        <v>50519.385999999999</v>
      </c>
      <c r="E10" s="54">
        <v>99949.542000000001</v>
      </c>
      <c r="F10" s="54">
        <v>152459.85500000001</v>
      </c>
      <c r="G10" s="54">
        <v>151613.93299999999</v>
      </c>
      <c r="H10" s="54">
        <v>114089.25199999999</v>
      </c>
      <c r="I10" s="54">
        <v>76909.951000000001</v>
      </c>
      <c r="J10" s="54">
        <v>134796.57399999999</v>
      </c>
      <c r="K10" s="54">
        <v>123160.901</v>
      </c>
      <c r="L10" s="54">
        <v>127115.376</v>
      </c>
      <c r="M10" s="427">
        <v>229667.07199999999</v>
      </c>
      <c r="N10" s="1">
        <f>N166</f>
        <v>382748.72247422516</v>
      </c>
      <c r="O10" s="7">
        <f t="shared" ref="O10:S10" si="7">O166</f>
        <v>470865.8123224224</v>
      </c>
      <c r="P10" s="7">
        <f t="shared" si="7"/>
        <v>558975.57269861014</v>
      </c>
      <c r="Q10" s="7">
        <f t="shared" si="7"/>
        <v>628999.55304036802</v>
      </c>
      <c r="R10" s="7">
        <f t="shared" si="7"/>
        <v>711476.25893227523</v>
      </c>
      <c r="S10" s="7">
        <f t="shared" si="7"/>
        <v>807131.61491796689</v>
      </c>
      <c r="U10" s="62">
        <v>117721.527</v>
      </c>
      <c r="V10" s="62">
        <v>120313.145</v>
      </c>
      <c r="W10" s="62">
        <v>121442.921</v>
      </c>
      <c r="X10" s="477">
        <v>123742.867</v>
      </c>
      <c r="Y10" s="62">
        <v>218755.20600000001</v>
      </c>
      <c r="Z10" s="62">
        <v>217159.76</v>
      </c>
      <c r="AA10" s="62">
        <v>214497.28400000001</v>
      </c>
      <c r="AB10" s="477">
        <v>225646.16200000001</v>
      </c>
      <c r="AC10" s="63">
        <v>214898.50399999999</v>
      </c>
      <c r="AD10" s="63">
        <v>306510.36200000002</v>
      </c>
      <c r="AE10" s="63">
        <v>362456.49599999998</v>
      </c>
      <c r="AF10" s="511">
        <f>AF166</f>
        <v>376047.72632235265</v>
      </c>
      <c r="AG10" s="50"/>
    </row>
    <row r="11" spans="2:37" x14ac:dyDescent="0.2">
      <c r="B11" s="2" t="s">
        <v>7</v>
      </c>
      <c r="D11" s="54">
        <v>53995.163</v>
      </c>
      <c r="E11" s="54">
        <v>58955.584999999999</v>
      </c>
      <c r="F11" s="54">
        <v>88678.076000000001</v>
      </c>
      <c r="G11" s="54">
        <v>127622.868</v>
      </c>
      <c r="H11" s="54">
        <v>175711.94200000001</v>
      </c>
      <c r="I11" s="54">
        <v>207568.823</v>
      </c>
      <c r="J11" s="54">
        <v>311530.27</v>
      </c>
      <c r="K11" s="54">
        <v>419929.14899999998</v>
      </c>
      <c r="L11" s="54">
        <v>512564.522</v>
      </c>
      <c r="M11" s="427">
        <v>493775.34600000002</v>
      </c>
      <c r="N11" s="1">
        <f>N211</f>
        <v>525777.78094048181</v>
      </c>
      <c r="O11" s="7">
        <f t="shared" ref="O11" si="8">O211</f>
        <v>594246.96567297215</v>
      </c>
      <c r="P11" s="7">
        <f ca="1">P211</f>
        <v>686372.43312637124</v>
      </c>
      <c r="Q11" s="7">
        <f ca="1">Q211</f>
        <v>789143.07354830357</v>
      </c>
      <c r="R11" s="7">
        <f ca="1">R211</f>
        <v>911449.86025834479</v>
      </c>
      <c r="S11" s="7">
        <f ca="1">S211</f>
        <v>1055088.3193154507</v>
      </c>
      <c r="U11" s="62">
        <v>413093.89299999998</v>
      </c>
      <c r="V11" s="62">
        <v>405487.71899999998</v>
      </c>
      <c r="W11" s="62">
        <v>441018.13500000001</v>
      </c>
      <c r="X11" s="477">
        <v>512564.522</v>
      </c>
      <c r="Y11" s="62">
        <v>493936.00599999999</v>
      </c>
      <c r="Z11" s="62">
        <v>483894.17700000003</v>
      </c>
      <c r="AA11" s="62">
        <v>472813.79</v>
      </c>
      <c r="AB11" s="477">
        <v>493775.34600000002</v>
      </c>
      <c r="AC11" s="63">
        <v>472939.81</v>
      </c>
      <c r="AD11" s="63">
        <v>478441.62400000001</v>
      </c>
      <c r="AE11" s="63">
        <v>490161.81800000003</v>
      </c>
      <c r="AF11" s="511">
        <f>AF211</f>
        <v>525777.78094048181</v>
      </c>
      <c r="AG11" s="50"/>
    </row>
    <row r="12" spans="2:37" x14ac:dyDescent="0.2">
      <c r="B12" s="2" t="s">
        <v>8</v>
      </c>
      <c r="D12" s="54">
        <v>3095.8969999999999</v>
      </c>
      <c r="E12" s="54">
        <v>4021.42</v>
      </c>
      <c r="F12" s="54">
        <v>4898.24</v>
      </c>
      <c r="G12" s="54">
        <v>5594.9139999999998</v>
      </c>
      <c r="H12" s="54">
        <v>6273.2389999999996</v>
      </c>
      <c r="I12" s="54">
        <v>8056.7430000000004</v>
      </c>
      <c r="J12" s="54">
        <v>9031.6859999999997</v>
      </c>
      <c r="K12" s="54">
        <v>11994.585999999999</v>
      </c>
      <c r="L12" s="54">
        <v>13228.397999999999</v>
      </c>
      <c r="M12" s="427">
        <v>23663.521000000001</v>
      </c>
      <c r="N12" s="1">
        <f>N222</f>
        <v>23705.631187019997</v>
      </c>
      <c r="O12" s="7">
        <f t="shared" ref="O12:S12" si="9">O222</f>
        <v>24857.200707117201</v>
      </c>
      <c r="P12" s="7">
        <f t="shared" si="9"/>
        <v>28876.376408487329</v>
      </c>
      <c r="Q12" s="7">
        <f t="shared" si="9"/>
        <v>34198.317558422954</v>
      </c>
      <c r="R12" s="7">
        <f t="shared" si="9"/>
        <v>37219.350523804918</v>
      </c>
      <c r="S12" s="7">
        <f t="shared" si="9"/>
        <v>42052.535543428537</v>
      </c>
      <c r="U12" s="62">
        <v>12619.316000000001</v>
      </c>
      <c r="V12" s="62">
        <v>12964.437</v>
      </c>
      <c r="W12" s="62">
        <v>13063.536</v>
      </c>
      <c r="X12" s="477">
        <v>13129.126</v>
      </c>
      <c r="Y12" s="62">
        <v>13737.362999999999</v>
      </c>
      <c r="Z12" s="62">
        <v>19649.900000000001</v>
      </c>
      <c r="AA12" s="62">
        <v>20103.366000000002</v>
      </c>
      <c r="AB12" s="477">
        <v>23284.415000000001</v>
      </c>
      <c r="AC12" s="63">
        <v>23939.951000000001</v>
      </c>
      <c r="AD12" s="63">
        <v>23784.15</v>
      </c>
      <c r="AE12" s="63">
        <v>23688.31</v>
      </c>
      <c r="AF12" s="511">
        <f>AF222</f>
        <v>23325.850552650903</v>
      </c>
      <c r="AG12" s="50"/>
    </row>
    <row r="13" spans="2:37" x14ac:dyDescent="0.2">
      <c r="B13" s="2" t="s">
        <v>9</v>
      </c>
      <c r="D13" s="54">
        <v>0</v>
      </c>
      <c r="E13" s="54">
        <v>0</v>
      </c>
      <c r="F13" s="54">
        <v>0</v>
      </c>
      <c r="G13" s="54">
        <v>0</v>
      </c>
      <c r="H13" s="54">
        <v>0</v>
      </c>
      <c r="I13" s="54">
        <v>0</v>
      </c>
      <c r="J13" s="54">
        <v>0</v>
      </c>
      <c r="K13" s="54">
        <v>0</v>
      </c>
      <c r="L13" s="54">
        <v>644.95600000000002</v>
      </c>
      <c r="M13" s="427">
        <v>800.53200000000004</v>
      </c>
      <c r="N13" s="1">
        <f>AF13*(1+'Adj from Unconsol to Consol'!F12)</f>
        <v>1063.4183787150125</v>
      </c>
      <c r="O13" s="7">
        <f>N13*(1+Assumptions!P77)</f>
        <v>1342.7908026924467</v>
      </c>
      <c r="P13" s="7">
        <f>O13*(1+Assumptions!Q77)</f>
        <v>1625.004259936693</v>
      </c>
      <c r="Q13" s="7">
        <f>P13*(1+Assumptions!R77)</f>
        <v>1898.2251186520321</v>
      </c>
      <c r="R13" s="7">
        <f>Q13*(1+Assumptions!S77)</f>
        <v>2153.5523001196498</v>
      </c>
      <c r="S13" s="7">
        <f>R13*(1+Assumptions!T77)</f>
        <v>2385.2889612900053</v>
      </c>
      <c r="U13" s="62">
        <v>0</v>
      </c>
      <c r="V13" s="62">
        <v>0</v>
      </c>
      <c r="W13" s="62">
        <v>0</v>
      </c>
      <c r="X13" s="477">
        <v>624.53399999999999</v>
      </c>
      <c r="Y13" s="62">
        <v>618.58699999999999</v>
      </c>
      <c r="Z13" s="62">
        <v>631.77700000000004</v>
      </c>
      <c r="AA13" s="62">
        <v>684.83299999999997</v>
      </c>
      <c r="AB13" s="477">
        <v>780.38099999999997</v>
      </c>
      <c r="AC13" s="63">
        <v>911.55799999999999</v>
      </c>
      <c r="AD13" s="63">
        <v>944.15599999999995</v>
      </c>
      <c r="AE13" s="63">
        <v>1036.6500000000001</v>
      </c>
      <c r="AF13" s="511">
        <f>AE13</f>
        <v>1036.6500000000001</v>
      </c>
      <c r="AG13" s="50"/>
    </row>
    <row r="14" spans="2:37" x14ac:dyDescent="0.2">
      <c r="B14" s="2" t="s">
        <v>10</v>
      </c>
      <c r="D14" s="54">
        <v>241.74600000000001</v>
      </c>
      <c r="E14" s="54">
        <v>638.88199999999995</v>
      </c>
      <c r="F14" s="54">
        <v>545.96100000000001</v>
      </c>
      <c r="G14" s="54">
        <v>130.93899999999999</v>
      </c>
      <c r="H14" s="54">
        <v>530.56399999999996</v>
      </c>
      <c r="I14" s="54">
        <v>0</v>
      </c>
      <c r="J14" s="54">
        <v>0</v>
      </c>
      <c r="K14" s="54">
        <v>0</v>
      </c>
      <c r="L14" s="54">
        <v>868.024</v>
      </c>
      <c r="M14" s="427">
        <v>0</v>
      </c>
      <c r="N14" s="1">
        <f>AF14</f>
        <v>0</v>
      </c>
      <c r="O14" s="7">
        <f>N14</f>
        <v>0</v>
      </c>
      <c r="P14" s="7">
        <f t="shared" ref="P14:S14" si="10">O14</f>
        <v>0</v>
      </c>
      <c r="Q14" s="7">
        <f t="shared" si="10"/>
        <v>0</v>
      </c>
      <c r="R14" s="7">
        <f t="shared" si="10"/>
        <v>0</v>
      </c>
      <c r="S14" s="49">
        <f t="shared" si="10"/>
        <v>0</v>
      </c>
      <c r="U14" s="62">
        <v>208.679</v>
      </c>
      <c r="V14" s="62">
        <v>524.79700000000003</v>
      </c>
      <c r="W14" s="62">
        <v>897.71799999999996</v>
      </c>
      <c r="X14" s="477">
        <v>982.93600000000004</v>
      </c>
      <c r="Y14" s="62">
        <v>1298.508</v>
      </c>
      <c r="Z14" s="62">
        <v>1959.41</v>
      </c>
      <c r="AA14" s="62">
        <v>1885.5070000000001</v>
      </c>
      <c r="AB14" s="477">
        <v>0</v>
      </c>
      <c r="AC14" s="63">
        <v>0</v>
      </c>
      <c r="AD14" s="63">
        <v>404.11900000000003</v>
      </c>
      <c r="AE14" s="63">
        <v>0</v>
      </c>
      <c r="AF14" s="511">
        <f>AE14</f>
        <v>0</v>
      </c>
      <c r="AG14" s="50"/>
    </row>
    <row r="15" spans="2:37" x14ac:dyDescent="0.2">
      <c r="B15" s="2" t="s">
        <v>11</v>
      </c>
      <c r="D15" s="54">
        <v>17707.256000000001</v>
      </c>
      <c r="E15" s="54">
        <v>15108.784</v>
      </c>
      <c r="F15" s="54">
        <v>4377.8270000000002</v>
      </c>
      <c r="G15" s="54">
        <v>5182.3850000000002</v>
      </c>
      <c r="H15" s="54">
        <v>14804.823</v>
      </c>
      <c r="I15" s="54">
        <v>13979.299000000001</v>
      </c>
      <c r="J15" s="54">
        <v>10689.082</v>
      </c>
      <c r="K15" s="54">
        <v>14156.973</v>
      </c>
      <c r="L15" s="54">
        <v>29215.973000000002</v>
      </c>
      <c r="M15" s="427">
        <v>46910.457000000002</v>
      </c>
      <c r="N15" s="1">
        <f>AF15*(1+'Adj from Unconsol to Consol'!F14)</f>
        <v>42698.596934446563</v>
      </c>
      <c r="O15" s="7">
        <f>O267*Assumptions!P45</f>
        <v>43417.506150638801</v>
      </c>
      <c r="P15" s="7">
        <f>P267*Assumptions!Q45</f>
        <v>55630.405851617616</v>
      </c>
      <c r="Q15" s="7">
        <f>Q267*Assumptions!R45</f>
        <v>63670.517973970862</v>
      </c>
      <c r="R15" s="7">
        <f>R267*Assumptions!S45</f>
        <v>68216.317080482768</v>
      </c>
      <c r="S15" s="49">
        <f>S267*Assumptions!T45</f>
        <v>77410.703456728588</v>
      </c>
      <c r="U15" s="62">
        <v>13657.002</v>
      </c>
      <c r="V15" s="62">
        <v>15868.521000000001</v>
      </c>
      <c r="W15" s="62">
        <v>17384.346000000001</v>
      </c>
      <c r="X15" s="477">
        <v>28779.592000000001</v>
      </c>
      <c r="Y15" s="62">
        <v>33089.881999999998</v>
      </c>
      <c r="Z15" s="62">
        <v>40046.563000000002</v>
      </c>
      <c r="AA15" s="62">
        <v>38136.839999999997</v>
      </c>
      <c r="AB15" s="477">
        <v>46517.031000000003</v>
      </c>
      <c r="AC15" s="63">
        <v>52798.953999999998</v>
      </c>
      <c r="AD15" s="63">
        <v>54474.915999999997</v>
      </c>
      <c r="AE15" s="63">
        <v>45978.819000000003</v>
      </c>
      <c r="AF15" s="511">
        <f>AF267*Assumptions!AG45</f>
        <v>42340.494727138466</v>
      </c>
      <c r="AG15" s="50"/>
    </row>
    <row r="16" spans="2:37" x14ac:dyDescent="0.2">
      <c r="B16" s="3" t="s">
        <v>12</v>
      </c>
      <c r="C16" s="3"/>
      <c r="D16" s="64">
        <f t="shared" ref="D16:I16" si="11">SUM(D7:D15)</f>
        <v>158810.011</v>
      </c>
      <c r="E16" s="64">
        <f t="shared" si="11"/>
        <v>201735.72200000001</v>
      </c>
      <c r="F16" s="64">
        <f t="shared" si="11"/>
        <v>274436.51</v>
      </c>
      <c r="G16" s="64">
        <f t="shared" si="11"/>
        <v>329724.63099999999</v>
      </c>
      <c r="H16" s="64">
        <f t="shared" si="11"/>
        <v>437405.95800000004</v>
      </c>
      <c r="I16" s="64">
        <f t="shared" si="11"/>
        <v>531849.93400000001</v>
      </c>
      <c r="J16" s="64">
        <f t="shared" ref="J16:N16" si="12">SUM(J7:J15)</f>
        <v>663267.67500000005</v>
      </c>
      <c r="K16" s="64">
        <f t="shared" si="12"/>
        <v>785967.32900000003</v>
      </c>
      <c r="L16" s="64">
        <f t="shared" si="12"/>
        <v>941751.40700000001</v>
      </c>
      <c r="M16" s="428">
        <f t="shared" si="12"/>
        <v>1126114.963</v>
      </c>
      <c r="N16" s="65">
        <f t="shared" si="12"/>
        <v>1354738.1131686799</v>
      </c>
      <c r="O16" s="65">
        <f ca="1">SUM(O7:O15)</f>
        <v>1495360.8925058306</v>
      </c>
      <c r="P16" s="65">
        <f ca="1">SUM(P7:P15)</f>
        <v>1694551.1638895033</v>
      </c>
      <c r="Q16" s="65">
        <f ca="1">SUM(Q7:Q15)</f>
        <v>1906899.0049883542</v>
      </c>
      <c r="R16" s="65">
        <f ca="1">SUM(R7:R15)</f>
        <v>2157668.1176788947</v>
      </c>
      <c r="S16" s="168">
        <f ca="1">SUM(S7:S15)</f>
        <v>2451636.2196580051</v>
      </c>
      <c r="U16" s="66">
        <f>SUM(U7:U15)</f>
        <v>769484.91899999999</v>
      </c>
      <c r="V16" s="66">
        <f t="shared" ref="V16:AF16" si="13">SUM(V7:V15)</f>
        <v>828061.43400000001</v>
      </c>
      <c r="W16" s="66">
        <f t="shared" si="13"/>
        <v>842420.58499999996</v>
      </c>
      <c r="X16" s="478">
        <f t="shared" si="13"/>
        <v>937915.40499999991</v>
      </c>
      <c r="Y16" s="66">
        <f t="shared" si="13"/>
        <v>927160.0780000001</v>
      </c>
      <c r="Z16" s="66">
        <f t="shared" si="13"/>
        <v>1004140.5360000001</v>
      </c>
      <c r="AA16" s="66">
        <f t="shared" si="13"/>
        <v>1003999.4049999999</v>
      </c>
      <c r="AB16" s="478">
        <f t="shared" si="13"/>
        <v>1121258.2540000002</v>
      </c>
      <c r="AC16" s="67">
        <f t="shared" si="13"/>
        <v>1138311.9539999997</v>
      </c>
      <c r="AD16" s="67">
        <f t="shared" si="13"/>
        <v>1260598.477</v>
      </c>
      <c r="AE16" s="67">
        <f t="shared" si="13"/>
        <v>1323877.3399999999</v>
      </c>
      <c r="AF16" s="523">
        <f t="shared" si="13"/>
        <v>1347227.4570748874</v>
      </c>
      <c r="AG16" s="50"/>
    </row>
    <row r="17" spans="2:33" x14ac:dyDescent="0.2">
      <c r="E17" s="54"/>
      <c r="F17" s="54"/>
      <c r="G17" s="54"/>
      <c r="H17" s="54"/>
      <c r="I17" s="54"/>
      <c r="J17" s="54"/>
      <c r="K17" s="54"/>
      <c r="L17" s="68"/>
      <c r="M17" s="429"/>
      <c r="N17" s="5"/>
      <c r="U17" s="50"/>
      <c r="V17" s="50"/>
      <c r="W17" s="50"/>
      <c r="Y17" s="50"/>
      <c r="Z17" s="50"/>
      <c r="AA17" s="50"/>
      <c r="AC17" s="50"/>
      <c r="AD17" s="50"/>
      <c r="AE17" s="50"/>
      <c r="AG17" s="50"/>
    </row>
    <row r="18" spans="2:33" x14ac:dyDescent="0.2">
      <c r="B18" s="3" t="s">
        <v>13</v>
      </c>
      <c r="C18" s="3"/>
      <c r="E18" s="54"/>
      <c r="F18" s="54"/>
      <c r="G18" s="54"/>
      <c r="H18" s="54"/>
      <c r="I18" s="54"/>
      <c r="J18" s="54"/>
      <c r="K18" s="54"/>
      <c r="L18" s="54"/>
      <c r="M18" s="427"/>
      <c r="U18" s="50"/>
      <c r="V18" s="50"/>
      <c r="W18" s="50"/>
      <c r="Y18" s="50"/>
      <c r="Z18" s="50"/>
      <c r="AA18" s="50"/>
      <c r="AC18" s="50"/>
      <c r="AD18" s="50"/>
      <c r="AE18" s="50"/>
      <c r="AG18" s="50"/>
    </row>
    <row r="19" spans="2:33" x14ac:dyDescent="0.2">
      <c r="B19" s="2" t="s">
        <v>14</v>
      </c>
      <c r="D19" s="54">
        <v>1767.37</v>
      </c>
      <c r="E19" s="54">
        <v>2282.0450000000001</v>
      </c>
      <c r="F19" s="54">
        <v>3058.5030000000002</v>
      </c>
      <c r="G19" s="54">
        <v>3614.7179999999998</v>
      </c>
      <c r="H19" s="54">
        <v>5619.826</v>
      </c>
      <c r="I19" s="54">
        <v>6560.3239999999996</v>
      </c>
      <c r="J19" s="54">
        <v>9130.9979999999996</v>
      </c>
      <c r="K19" s="54">
        <v>11168.093000000001</v>
      </c>
      <c r="L19" s="54">
        <v>23750.543000000001</v>
      </c>
      <c r="M19" s="427">
        <v>17186.807000000001</v>
      </c>
      <c r="N19" s="1">
        <f>N230</f>
        <v>25023.568515697109</v>
      </c>
      <c r="O19" s="7">
        <f t="shared" ref="O19:S19" si="14">O230</f>
        <v>26448.169517487957</v>
      </c>
      <c r="P19" s="7">
        <f t="shared" si="14"/>
        <v>31766.802687557789</v>
      </c>
      <c r="Q19" s="7">
        <f t="shared" si="14"/>
        <v>33285.239195526716</v>
      </c>
      <c r="R19" s="7">
        <f t="shared" si="14"/>
        <v>38976.111471210512</v>
      </c>
      <c r="S19" s="7">
        <f t="shared" si="14"/>
        <v>43949.597747159336</v>
      </c>
      <c r="U19" s="62">
        <v>12472.963</v>
      </c>
      <c r="V19" s="62">
        <v>12712.505999999999</v>
      </c>
      <c r="W19" s="62">
        <v>12036.039000000001</v>
      </c>
      <c r="X19" s="477">
        <v>23750.543000000001</v>
      </c>
      <c r="Y19" s="62">
        <v>19270.316999999999</v>
      </c>
      <c r="Z19" s="62">
        <v>19568.699000000001</v>
      </c>
      <c r="AA19" s="62">
        <v>15301.314</v>
      </c>
      <c r="AB19" s="477">
        <v>17186.807000000001</v>
      </c>
      <c r="AC19" s="63">
        <v>17154.216</v>
      </c>
      <c r="AD19" s="63">
        <v>23405.775000000001</v>
      </c>
      <c r="AE19" s="63">
        <v>24482.003000000001</v>
      </c>
      <c r="AF19" s="511">
        <f>AF230</f>
        <v>25023.568515697109</v>
      </c>
      <c r="AG19" s="50"/>
    </row>
    <row r="20" spans="2:33" x14ac:dyDescent="0.2">
      <c r="B20" s="2" t="s">
        <v>15</v>
      </c>
      <c r="D20" s="54">
        <v>5829.2960000000003</v>
      </c>
      <c r="E20" s="54">
        <v>9235.9599999999991</v>
      </c>
      <c r="F20" s="54">
        <v>18461.347000000002</v>
      </c>
      <c r="G20" s="54">
        <v>11375.498</v>
      </c>
      <c r="H20" s="54">
        <v>15465.418</v>
      </c>
      <c r="I20" s="54">
        <v>13609.550999999999</v>
      </c>
      <c r="J20" s="54">
        <v>32005.501</v>
      </c>
      <c r="K20" s="54">
        <v>36813.294999999998</v>
      </c>
      <c r="L20" s="54">
        <v>36407.811000000002</v>
      </c>
      <c r="M20" s="427">
        <v>42047.39</v>
      </c>
      <c r="N20" s="1">
        <f>N250</f>
        <v>61596.448999999993</v>
      </c>
      <c r="O20" s="7">
        <f>O250</f>
        <v>68474.407566833033</v>
      </c>
      <c r="P20" s="7">
        <f t="shared" ref="P20:S20" si="15">P250</f>
        <v>71813.650877824592</v>
      </c>
      <c r="Q20" s="7">
        <f t="shared" si="15"/>
        <v>79222.805679657904</v>
      </c>
      <c r="R20" s="7">
        <f t="shared" si="15"/>
        <v>88153.104655382587</v>
      </c>
      <c r="S20" s="7">
        <f t="shared" si="15"/>
        <v>101352.20312475397</v>
      </c>
      <c r="U20" s="62">
        <v>23321.249</v>
      </c>
      <c r="V20" s="62">
        <v>42258.466999999997</v>
      </c>
      <c r="W20" s="62">
        <v>41898.436999999998</v>
      </c>
      <c r="X20" s="477">
        <v>36407.811000000002</v>
      </c>
      <c r="Y20" s="62">
        <v>32545.116000000002</v>
      </c>
      <c r="Z20" s="62">
        <v>33259.582999999999</v>
      </c>
      <c r="AA20" s="62">
        <v>41229.305</v>
      </c>
      <c r="AB20" s="477">
        <v>42047.39</v>
      </c>
      <c r="AC20" s="63">
        <v>50317.476999999999</v>
      </c>
      <c r="AD20" s="63">
        <v>54146.442999999999</v>
      </c>
      <c r="AE20" s="63">
        <v>61596.449000000001</v>
      </c>
      <c r="AF20" s="511">
        <f>AF250</f>
        <v>61596.448999999993</v>
      </c>
      <c r="AG20" s="50"/>
    </row>
    <row r="21" spans="2:33" x14ac:dyDescent="0.2">
      <c r="B21" s="2" t="s">
        <v>16</v>
      </c>
      <c r="D21" s="54">
        <v>131067.996</v>
      </c>
      <c r="E21" s="54">
        <v>170022.486</v>
      </c>
      <c r="F21" s="54">
        <v>230425.986</v>
      </c>
      <c r="G21" s="54">
        <v>289810.51899999997</v>
      </c>
      <c r="H21" s="54">
        <v>380421.56900000002</v>
      </c>
      <c r="I21" s="54">
        <v>471820.95899999997</v>
      </c>
      <c r="J21" s="54">
        <v>563999.85199999996</v>
      </c>
      <c r="K21" s="54">
        <v>673180.31</v>
      </c>
      <c r="L21" s="54">
        <v>785444.59199999995</v>
      </c>
      <c r="M21" s="427">
        <v>932568.76500000001</v>
      </c>
      <c r="N21" s="1">
        <f>N267</f>
        <v>1114656.249153849</v>
      </c>
      <c r="O21" s="7">
        <f t="shared" ref="O21:S21" si="16">O267</f>
        <v>1239120.5587432168</v>
      </c>
      <c r="P21" s="7">
        <f t="shared" si="16"/>
        <v>1397438.9317465252</v>
      </c>
      <c r="Q21" s="7">
        <f t="shared" si="16"/>
        <v>1572498.88260092</v>
      </c>
      <c r="R21" s="7">
        <f t="shared" si="16"/>
        <v>1778690.6473306878</v>
      </c>
      <c r="S21" s="7">
        <f t="shared" si="16"/>
        <v>2017829.037294917</v>
      </c>
      <c r="U21" s="62">
        <v>669558.73699999996</v>
      </c>
      <c r="V21" s="62">
        <v>707296.51100000006</v>
      </c>
      <c r="W21" s="62">
        <v>711237.34</v>
      </c>
      <c r="X21" s="477">
        <v>785476.94400000002</v>
      </c>
      <c r="Y21" s="62">
        <v>769481.96</v>
      </c>
      <c r="Z21" s="62">
        <v>841801.30500000005</v>
      </c>
      <c r="AA21" s="62">
        <v>838926.35499999998</v>
      </c>
      <c r="AB21" s="477">
        <v>932579.11399999994</v>
      </c>
      <c r="AC21" s="63">
        <v>928389.326</v>
      </c>
      <c r="AD21" s="63">
        <v>1045419.553</v>
      </c>
      <c r="AE21" s="63">
        <v>1090544.7180000001</v>
      </c>
      <c r="AF21" s="511">
        <f>AF267</f>
        <v>1114668.6188341936</v>
      </c>
      <c r="AG21" s="50"/>
    </row>
    <row r="22" spans="2:33" x14ac:dyDescent="0.2">
      <c r="B22" s="2" t="s">
        <v>64</v>
      </c>
      <c r="D22" s="54">
        <v>0</v>
      </c>
      <c r="E22" s="54">
        <v>0</v>
      </c>
      <c r="F22" s="54">
        <v>0</v>
      </c>
      <c r="G22" s="54">
        <v>0</v>
      </c>
      <c r="H22" s="54">
        <v>0</v>
      </c>
      <c r="I22" s="54">
        <v>0</v>
      </c>
      <c r="J22" s="54">
        <v>7000</v>
      </c>
      <c r="K22" s="54">
        <v>7000</v>
      </c>
      <c r="L22" s="54">
        <v>14000</v>
      </c>
      <c r="M22" s="427">
        <v>14000</v>
      </c>
      <c r="N22" s="1">
        <f>N277</f>
        <v>18000</v>
      </c>
      <c r="O22" s="7">
        <f t="shared" ref="O22:S22" si="17">O277</f>
        <v>18000</v>
      </c>
      <c r="P22" s="7">
        <f t="shared" si="17"/>
        <v>18000</v>
      </c>
      <c r="Q22" s="7">
        <f t="shared" si="17"/>
        <v>18000</v>
      </c>
      <c r="R22" s="7">
        <f t="shared" si="17"/>
        <v>18000</v>
      </c>
      <c r="S22" s="7">
        <f t="shared" si="17"/>
        <v>18000</v>
      </c>
      <c r="U22" s="62">
        <v>7000</v>
      </c>
      <c r="V22" s="62">
        <v>7000</v>
      </c>
      <c r="W22" s="62">
        <v>14000</v>
      </c>
      <c r="X22" s="477">
        <v>14000</v>
      </c>
      <c r="Y22" s="62">
        <v>14000</v>
      </c>
      <c r="Z22" s="62">
        <v>14000</v>
      </c>
      <c r="AA22" s="62">
        <v>14000</v>
      </c>
      <c r="AB22" s="477">
        <v>14000</v>
      </c>
      <c r="AC22" s="63">
        <v>18000</v>
      </c>
      <c r="AD22" s="63">
        <v>18000</v>
      </c>
      <c r="AE22" s="63">
        <v>18000</v>
      </c>
      <c r="AF22" s="511">
        <f>AF277</f>
        <v>18000</v>
      </c>
      <c r="AG22" s="50"/>
    </row>
    <row r="23" spans="2:33" x14ac:dyDescent="0.2">
      <c r="B23" s="2" t="s">
        <v>17</v>
      </c>
      <c r="D23" s="54">
        <v>0</v>
      </c>
      <c r="E23" s="54">
        <v>0</v>
      </c>
      <c r="F23" s="54">
        <v>0</v>
      </c>
      <c r="G23" s="54">
        <v>0</v>
      </c>
      <c r="H23" s="54">
        <v>0</v>
      </c>
      <c r="I23" s="54">
        <v>393.12099999999998</v>
      </c>
      <c r="J23" s="54">
        <v>1955.203</v>
      </c>
      <c r="K23" s="54">
        <v>230.78700000000001</v>
      </c>
      <c r="L23" s="54">
        <v>0</v>
      </c>
      <c r="M23" s="427">
        <v>3008.451</v>
      </c>
      <c r="N23" s="1">
        <f>AF23*(1+'Adj from Unconsol to Consol'!F22)</f>
        <v>0</v>
      </c>
      <c r="O23" s="7">
        <f>N23</f>
        <v>0</v>
      </c>
      <c r="P23" s="7">
        <f t="shared" ref="P23:S23" si="18">O23</f>
        <v>0</v>
      </c>
      <c r="Q23" s="7">
        <f t="shared" si="18"/>
        <v>0</v>
      </c>
      <c r="R23" s="7">
        <f t="shared" si="18"/>
        <v>0</v>
      </c>
      <c r="S23" s="7">
        <f t="shared" si="18"/>
        <v>0</v>
      </c>
      <c r="U23" s="62">
        <v>0</v>
      </c>
      <c r="V23" s="62">
        <v>0</v>
      </c>
      <c r="W23" s="62">
        <v>0</v>
      </c>
      <c r="X23" s="477">
        <v>0</v>
      </c>
      <c r="Y23" s="62">
        <v>0</v>
      </c>
      <c r="Z23" s="62">
        <v>0</v>
      </c>
      <c r="AA23" s="62">
        <v>0</v>
      </c>
      <c r="AB23" s="477">
        <v>2829.8580000000002</v>
      </c>
      <c r="AC23" s="63">
        <v>1036.366</v>
      </c>
      <c r="AD23" s="63">
        <v>0</v>
      </c>
      <c r="AE23" s="63">
        <v>878.096</v>
      </c>
      <c r="AF23" s="511">
        <v>0</v>
      </c>
      <c r="AG23" s="50"/>
    </row>
    <row r="24" spans="2:33" x14ac:dyDescent="0.2">
      <c r="B24" s="2" t="s">
        <v>18</v>
      </c>
      <c r="D24" s="54">
        <v>7719.2370000000001</v>
      </c>
      <c r="E24" s="54">
        <v>5359.4949999999999</v>
      </c>
      <c r="F24" s="54">
        <v>5939.9160000000002</v>
      </c>
      <c r="G24" s="54">
        <v>6010.6530000000002</v>
      </c>
      <c r="H24" s="54">
        <v>12021.378000000001</v>
      </c>
      <c r="I24" s="54">
        <v>13118.869000000001</v>
      </c>
      <c r="J24" s="54">
        <v>14403.557000000001</v>
      </c>
      <c r="K24" s="54">
        <v>19165.271000000001</v>
      </c>
      <c r="L24" s="54">
        <v>38571.521999999997</v>
      </c>
      <c r="M24" s="427">
        <v>54522.603999999999</v>
      </c>
      <c r="N24" s="1">
        <f>AF24*(1+'Adj from Unconsol to Consol'!F23)</f>
        <v>56175.333757413246</v>
      </c>
      <c r="O24" s="7">
        <f>O267*Assumptions!P51</f>
        <v>55824.181710839337</v>
      </c>
      <c r="P24" s="7">
        <f>P267*Assumptions!Q51</f>
        <v>70611.095955065073</v>
      </c>
      <c r="Q24" s="7">
        <f>Q267*Assumptions!R51</f>
        <v>80025.368456242344</v>
      </c>
      <c r="R24" s="7">
        <f>R267*Assumptions!S51</f>
        <v>87432.553346670175</v>
      </c>
      <c r="S24" s="7">
        <f>S267*Assumptions!T51</f>
        <v>98570.989434265415</v>
      </c>
      <c r="U24" s="62">
        <v>21680.795999999998</v>
      </c>
      <c r="V24" s="62">
        <v>21310.584999999999</v>
      </c>
      <c r="W24" s="62">
        <v>25811.53</v>
      </c>
      <c r="X24" s="477">
        <v>37947.052000000003</v>
      </c>
      <c r="Y24" s="62">
        <v>50894.275000000001</v>
      </c>
      <c r="Z24" s="62">
        <v>51944.286999999997</v>
      </c>
      <c r="AA24" s="62">
        <v>47785.084000000003</v>
      </c>
      <c r="AB24" s="477">
        <v>53599.673000000003</v>
      </c>
      <c r="AC24" s="63">
        <v>64041.345000000001</v>
      </c>
      <c r="AD24" s="63">
        <v>56118.188999999998</v>
      </c>
      <c r="AE24" s="63">
        <v>56881.639000000003</v>
      </c>
      <c r="AF24" s="511">
        <f>AF267*Assumptions!AG51</f>
        <v>55224.426185939541</v>
      </c>
      <c r="AG24" s="50"/>
    </row>
    <row r="25" spans="2:33" x14ac:dyDescent="0.2">
      <c r="B25" s="3" t="s">
        <v>19</v>
      </c>
      <c r="C25" s="3"/>
      <c r="D25" s="64">
        <f t="shared" ref="D25:I25" si="19">SUM(D19:D24)</f>
        <v>146383.899</v>
      </c>
      <c r="E25" s="64">
        <f t="shared" si="19"/>
        <v>186899.986</v>
      </c>
      <c r="F25" s="64">
        <f t="shared" si="19"/>
        <v>257885.75200000001</v>
      </c>
      <c r="G25" s="64">
        <f t="shared" si="19"/>
        <v>310811.38799999998</v>
      </c>
      <c r="H25" s="64">
        <f t="shared" si="19"/>
        <v>413528.19100000005</v>
      </c>
      <c r="I25" s="64">
        <f t="shared" si="19"/>
        <v>505502.82399999996</v>
      </c>
      <c r="J25" s="64">
        <f t="shared" ref="J25:S25" si="20">SUM(J19:J24)</f>
        <v>628495.11099999992</v>
      </c>
      <c r="K25" s="64">
        <f t="shared" si="20"/>
        <v>747557.75600000005</v>
      </c>
      <c r="L25" s="64">
        <f t="shared" si="20"/>
        <v>898174.46799999999</v>
      </c>
      <c r="M25" s="428">
        <f t="shared" si="20"/>
        <v>1063334.017</v>
      </c>
      <c r="N25" s="65">
        <f t="shared" si="20"/>
        <v>1275451.6004269593</v>
      </c>
      <c r="O25" s="65">
        <f t="shared" si="20"/>
        <v>1407867.3175383771</v>
      </c>
      <c r="P25" s="65">
        <f t="shared" si="20"/>
        <v>1589630.4812669726</v>
      </c>
      <c r="Q25" s="65">
        <f t="shared" si="20"/>
        <v>1783032.295932347</v>
      </c>
      <c r="R25" s="65">
        <f t="shared" si="20"/>
        <v>2011252.4168039511</v>
      </c>
      <c r="S25" s="65">
        <f t="shared" si="20"/>
        <v>2279701.8276010957</v>
      </c>
      <c r="U25" s="66">
        <f>SUM(U19:U24)</f>
        <v>734033.745</v>
      </c>
      <c r="V25" s="66">
        <f t="shared" ref="V25:AF25" si="21">SUM(V19:V24)</f>
        <v>790578.06900000002</v>
      </c>
      <c r="W25" s="66">
        <f t="shared" si="21"/>
        <v>804983.34600000002</v>
      </c>
      <c r="X25" s="478">
        <f t="shared" si="21"/>
        <v>897582.35000000009</v>
      </c>
      <c r="Y25" s="66">
        <f t="shared" si="21"/>
        <v>886191.66799999995</v>
      </c>
      <c r="Z25" s="66">
        <f t="shared" si="21"/>
        <v>960573.87400000007</v>
      </c>
      <c r="AA25" s="66">
        <f t="shared" si="21"/>
        <v>957242.05799999996</v>
      </c>
      <c r="AB25" s="478">
        <f t="shared" si="21"/>
        <v>1062242.8419999999</v>
      </c>
      <c r="AC25" s="67">
        <f t="shared" si="21"/>
        <v>1078938.73</v>
      </c>
      <c r="AD25" s="67">
        <f t="shared" si="21"/>
        <v>1197089.96</v>
      </c>
      <c r="AE25" s="67">
        <f t="shared" si="21"/>
        <v>1252382.905</v>
      </c>
      <c r="AF25" s="523">
        <f t="shared" si="21"/>
        <v>1274513.0625358301</v>
      </c>
      <c r="AG25" s="50"/>
    </row>
    <row r="26" spans="2:33" x14ac:dyDescent="0.2">
      <c r="E26" s="54"/>
      <c r="F26" s="54"/>
      <c r="G26" s="54"/>
      <c r="H26" s="54"/>
      <c r="I26" s="54"/>
      <c r="J26" s="54"/>
      <c r="K26" s="54"/>
      <c r="L26" s="54"/>
      <c r="M26" s="427"/>
      <c r="U26" s="66"/>
      <c r="V26" s="66"/>
      <c r="W26" s="66"/>
      <c r="X26" s="478"/>
      <c r="Y26" s="66"/>
      <c r="Z26" s="66"/>
      <c r="AA26" s="66"/>
      <c r="AB26" s="478"/>
      <c r="AC26" s="67"/>
      <c r="AD26" s="67"/>
      <c r="AE26" s="67"/>
      <c r="AG26" s="50"/>
    </row>
    <row r="27" spans="2:33" x14ac:dyDescent="0.2">
      <c r="B27" s="3" t="s">
        <v>20</v>
      </c>
      <c r="C27" s="3"/>
      <c r="D27" s="64">
        <f t="shared" ref="D27:M27" si="22">D16-D25</f>
        <v>12426.111999999994</v>
      </c>
      <c r="E27" s="64">
        <f t="shared" si="22"/>
        <v>14835.736000000004</v>
      </c>
      <c r="F27" s="64">
        <f t="shared" si="22"/>
        <v>16550.758000000002</v>
      </c>
      <c r="G27" s="64">
        <f t="shared" si="22"/>
        <v>18913.243000000017</v>
      </c>
      <c r="H27" s="64">
        <f t="shared" si="22"/>
        <v>23877.766999999993</v>
      </c>
      <c r="I27" s="64">
        <f t="shared" si="22"/>
        <v>26347.110000000044</v>
      </c>
      <c r="J27" s="64">
        <f t="shared" si="22"/>
        <v>34772.564000000129</v>
      </c>
      <c r="K27" s="64">
        <f t="shared" si="22"/>
        <v>38409.572999999975</v>
      </c>
      <c r="L27" s="64">
        <f t="shared" si="22"/>
        <v>43576.939000000013</v>
      </c>
      <c r="M27" s="428">
        <f t="shared" si="22"/>
        <v>62780.945999999996</v>
      </c>
      <c r="N27" s="65">
        <f t="shared" ref="N27" si="23">N16-N25</f>
        <v>79286.512741720537</v>
      </c>
      <c r="O27" s="65">
        <f ca="1">O16-O25</f>
        <v>87493.574967453489</v>
      </c>
      <c r="P27" s="65">
        <f ca="1">P16-P25</f>
        <v>104920.68262253073</v>
      </c>
      <c r="Q27" s="65">
        <f ca="1">Q16-Q25</f>
        <v>123866.70905600721</v>
      </c>
      <c r="R27" s="65">
        <f ca="1">R16-R25</f>
        <v>146415.70087494352</v>
      </c>
      <c r="S27" s="65">
        <f ca="1">S16-S25</f>
        <v>171934.39205690939</v>
      </c>
      <c r="U27" s="66">
        <f>U16-U25</f>
        <v>35451.173999999999</v>
      </c>
      <c r="V27" s="66">
        <f t="shared" ref="V27:AF27" si="24">V16-V25</f>
        <v>37483.364999999991</v>
      </c>
      <c r="W27" s="66">
        <f t="shared" si="24"/>
        <v>37437.238999999943</v>
      </c>
      <c r="X27" s="478">
        <f t="shared" si="24"/>
        <v>40333.054999999818</v>
      </c>
      <c r="Y27" s="66">
        <f t="shared" si="24"/>
        <v>40968.410000000149</v>
      </c>
      <c r="Z27" s="66">
        <f t="shared" si="24"/>
        <v>43566.662000000011</v>
      </c>
      <c r="AA27" s="66">
        <f t="shared" si="24"/>
        <v>46757.346999999951</v>
      </c>
      <c r="AB27" s="478">
        <f t="shared" si="24"/>
        <v>59015.412000000244</v>
      </c>
      <c r="AC27" s="67">
        <f t="shared" si="24"/>
        <v>59373.223999999696</v>
      </c>
      <c r="AD27" s="67">
        <f t="shared" si="24"/>
        <v>63508.516999999993</v>
      </c>
      <c r="AE27" s="67">
        <f t="shared" si="24"/>
        <v>71494.434999999823</v>
      </c>
      <c r="AF27" s="523">
        <f t="shared" si="24"/>
        <v>72714.394539057277</v>
      </c>
      <c r="AG27" s="50"/>
    </row>
    <row r="28" spans="2:33" x14ac:dyDescent="0.2">
      <c r="E28" s="54"/>
      <c r="F28" s="54"/>
      <c r="G28" s="54"/>
      <c r="H28" s="54"/>
      <c r="I28" s="54"/>
      <c r="J28" s="54"/>
      <c r="K28" s="54"/>
      <c r="L28" s="54"/>
      <c r="M28" s="427"/>
      <c r="U28" s="50"/>
      <c r="V28" s="50"/>
      <c r="W28" s="50"/>
      <c r="Y28" s="50"/>
      <c r="Z28" s="50"/>
      <c r="AA28" s="50"/>
      <c r="AC28" s="50"/>
      <c r="AD28" s="50"/>
      <c r="AE28" s="50"/>
      <c r="AG28" s="50"/>
    </row>
    <row r="29" spans="2:33" x14ac:dyDescent="0.2">
      <c r="B29" s="2" t="s">
        <v>21</v>
      </c>
      <c r="E29" s="54"/>
      <c r="F29" s="54"/>
      <c r="G29" s="54"/>
      <c r="H29" s="54"/>
      <c r="I29" s="54"/>
      <c r="J29" s="54"/>
      <c r="K29" s="54"/>
      <c r="L29" s="54"/>
      <c r="M29" s="427"/>
      <c r="U29" s="50"/>
      <c r="V29" s="50"/>
      <c r="W29" s="50"/>
      <c r="Y29" s="50"/>
      <c r="Z29" s="50"/>
      <c r="AA29" s="50"/>
      <c r="AC29" s="50"/>
      <c r="AD29" s="50"/>
      <c r="AE29" s="50"/>
      <c r="AG29" s="50"/>
    </row>
    <row r="30" spans="2:33" x14ac:dyDescent="0.2">
      <c r="B30" s="2" t="s">
        <v>22</v>
      </c>
      <c r="D30" s="54">
        <v>6982.55</v>
      </c>
      <c r="E30" s="54">
        <v>8029.933</v>
      </c>
      <c r="F30" s="54">
        <v>9033.6749999999993</v>
      </c>
      <c r="G30" s="54">
        <v>10027.379000000001</v>
      </c>
      <c r="H30" s="54">
        <v>10027.379000000001</v>
      </c>
      <c r="I30" s="54">
        <v>10027.379000000001</v>
      </c>
      <c r="J30" s="54">
        <v>10027.379000000001</v>
      </c>
      <c r="K30" s="54">
        <v>10629.022000000001</v>
      </c>
      <c r="L30" s="54">
        <v>11691.924000000001</v>
      </c>
      <c r="M30" s="427">
        <v>12861.116</v>
      </c>
      <c r="N30" s="1">
        <f>AF30*(1+'Adj from Unconsol to Consol'!F29)</f>
        <v>14147.227999999999</v>
      </c>
      <c r="O30" s="7">
        <f>N30</f>
        <v>14147.227999999999</v>
      </c>
      <c r="P30" s="7">
        <f t="shared" ref="P30:S30" si="25">O30</f>
        <v>14147.227999999999</v>
      </c>
      <c r="Q30" s="7">
        <f t="shared" si="25"/>
        <v>14147.227999999999</v>
      </c>
      <c r="R30" s="7">
        <f t="shared" si="25"/>
        <v>14147.227999999999</v>
      </c>
      <c r="S30" s="7">
        <f t="shared" si="25"/>
        <v>14147.227999999999</v>
      </c>
      <c r="U30" s="62">
        <v>10629.022000000001</v>
      </c>
      <c r="V30" s="62">
        <v>10629.022000000001</v>
      </c>
      <c r="W30" s="62">
        <v>10629.022000000001</v>
      </c>
      <c r="X30" s="477">
        <v>11691.924000000001</v>
      </c>
      <c r="Y30" s="62">
        <v>11691.924000000001</v>
      </c>
      <c r="Z30" s="62">
        <v>12861.116</v>
      </c>
      <c r="AA30" s="62">
        <v>12861.116</v>
      </c>
      <c r="AB30" s="477">
        <v>12861.116</v>
      </c>
      <c r="AC30" s="63">
        <v>12861.116</v>
      </c>
      <c r="AD30" s="63">
        <v>12861.116</v>
      </c>
      <c r="AE30" s="63">
        <v>14147.227999999999</v>
      </c>
      <c r="AF30" s="511">
        <f>AE30</f>
        <v>14147.227999999999</v>
      </c>
      <c r="AG30" s="50"/>
    </row>
    <row r="31" spans="2:33" x14ac:dyDescent="0.2">
      <c r="B31" s="2" t="s">
        <v>23</v>
      </c>
      <c r="D31" s="54">
        <v>1404.326</v>
      </c>
      <c r="E31" s="54">
        <v>2082.6350000000002</v>
      </c>
      <c r="F31" s="54">
        <v>2759.942</v>
      </c>
      <c r="G31" s="54">
        <v>3551.297</v>
      </c>
      <c r="H31" s="54">
        <v>7276.1909999999998</v>
      </c>
      <c r="I31" s="54">
        <v>8587.3629999999994</v>
      </c>
      <c r="J31" s="54">
        <v>9724.0010000000002</v>
      </c>
      <c r="K31" s="54">
        <v>13393.125</v>
      </c>
      <c r="L31" s="54">
        <v>15185.565000000001</v>
      </c>
      <c r="M31" s="427">
        <v>18231.98</v>
      </c>
      <c r="N31" s="69">
        <f t="shared" ref="N31:S31" ca="1" si="26">N295</f>
        <v>23123.270214663102</v>
      </c>
      <c r="O31" s="7">
        <f t="shared" ca="1" si="26"/>
        <v>21971.095405142863</v>
      </c>
      <c r="P31" s="7">
        <f t="shared" ca="1" si="26"/>
        <v>23871.828231954496</v>
      </c>
      <c r="Q31" s="7">
        <f t="shared" ca="1" si="26"/>
        <v>25973.653973732333</v>
      </c>
      <c r="R31" s="7">
        <f t="shared" ca="1" si="26"/>
        <v>28449.299515944294</v>
      </c>
      <c r="S31" s="7">
        <f t="shared" ca="1" si="26"/>
        <v>31320.597916112751</v>
      </c>
      <c r="U31" s="62">
        <v>24295.709000000003</v>
      </c>
      <c r="V31" s="62">
        <v>26507.064999999999</v>
      </c>
      <c r="W31" s="62">
        <v>27033.986000000001</v>
      </c>
      <c r="X31" s="477">
        <v>28687.013999999999</v>
      </c>
      <c r="Y31" s="62">
        <v>29200.010000000002</v>
      </c>
      <c r="Z31" s="62">
        <v>31012.071000000004</v>
      </c>
      <c r="AA31" s="62">
        <v>33666.854999999996</v>
      </c>
      <c r="AB31" s="477">
        <v>36753.460999999996</v>
      </c>
      <c r="AC31" s="63">
        <v>39686.692999999999</v>
      </c>
      <c r="AD31" s="63">
        <v>45858.184999999998</v>
      </c>
      <c r="AE31" s="63">
        <v>50973.880000000005</v>
      </c>
      <c r="AF31" s="511">
        <f>AE31+AF71-AF74</f>
        <v>51937.058433957442</v>
      </c>
    </row>
    <row r="32" spans="2:33" x14ac:dyDescent="0.2">
      <c r="B32" s="2" t="s">
        <v>24</v>
      </c>
      <c r="D32" s="54">
        <v>3359.5410000000002</v>
      </c>
      <c r="E32" s="54">
        <v>3851.7339999999999</v>
      </c>
      <c r="F32" s="54">
        <v>3688.1210000000001</v>
      </c>
      <c r="G32" s="54">
        <v>4329.4740000000002</v>
      </c>
      <c r="H32" s="54">
        <v>5958.5870000000004</v>
      </c>
      <c r="I32" s="54">
        <v>6942.0420000000004</v>
      </c>
      <c r="J32" s="54">
        <v>11340.678</v>
      </c>
      <c r="K32" s="54">
        <v>12563.156000000001</v>
      </c>
      <c r="L32" s="54">
        <v>15738.898999999999</v>
      </c>
      <c r="M32" s="427">
        <v>21117.202000000001</v>
      </c>
      <c r="N32" s="1">
        <f ca="1">M33+(AC71+AD71+AE71+AF71)-(AC73+AD73+AE73+AF73)</f>
        <v>34093.659421957433</v>
      </c>
      <c r="O32" s="7">
        <f ca="1">N32+O71-O74</f>
        <v>44745.143457210848</v>
      </c>
      <c r="P32" s="7">
        <f ca="1">O32+P71-P74</f>
        <v>60271.518285476319</v>
      </c>
      <c r="Q32" s="7">
        <f ca="1">P32+Q71-Q74</f>
        <v>77115.718977174896</v>
      </c>
      <c r="R32" s="7">
        <f ca="1">Q32+R71-R74</f>
        <v>97189.0652538992</v>
      </c>
      <c r="S32" s="7">
        <f ca="1">R32+S71-S74</f>
        <v>119836.45803569609</v>
      </c>
    </row>
    <row r="33" spans="2:32" x14ac:dyDescent="0.2">
      <c r="B33" s="2" t="s">
        <v>25</v>
      </c>
      <c r="D33" s="54">
        <v>339.86799999999999</v>
      </c>
      <c r="E33" s="54">
        <v>457.678</v>
      </c>
      <c r="F33" s="54">
        <v>1069.02</v>
      </c>
      <c r="G33" s="54">
        <v>1005.093</v>
      </c>
      <c r="H33" s="54">
        <v>615.61</v>
      </c>
      <c r="I33" s="54">
        <v>790.32600000000002</v>
      </c>
      <c r="J33" s="54">
        <v>2458.5169999999998</v>
      </c>
      <c r="K33" s="54">
        <v>816.29499999999996</v>
      </c>
      <c r="L33" s="54">
        <v>-45.883000000000003</v>
      </c>
      <c r="M33" s="427">
        <v>9400.8349999999991</v>
      </c>
      <c r="N33" s="1">
        <f>AF33*(1+'Adj from Unconsol to Consol'!F32)</f>
        <v>6630.1081051000001</v>
      </c>
      <c r="O33" s="226">
        <f>N33</f>
        <v>6630.1081051000001</v>
      </c>
      <c r="P33" s="226">
        <f t="shared" ref="P33:S33" si="27">O33</f>
        <v>6630.1081051000001</v>
      </c>
      <c r="Q33" s="226">
        <f t="shared" si="27"/>
        <v>6630.1081051000001</v>
      </c>
      <c r="R33" s="226">
        <f t="shared" si="27"/>
        <v>6630.1081051000001</v>
      </c>
      <c r="S33" s="226">
        <f t="shared" si="27"/>
        <v>6630.1081051000001</v>
      </c>
      <c r="U33" s="62">
        <v>526.44299999999998</v>
      </c>
      <c r="V33" s="62">
        <v>347.27800000000002</v>
      </c>
      <c r="W33" s="62">
        <v>-225.76900000000001</v>
      </c>
      <c r="X33" s="477">
        <v>-45.883000000000003</v>
      </c>
      <c r="Y33" s="62">
        <v>76.475999999999999</v>
      </c>
      <c r="Z33" s="62">
        <v>-306.52499999999998</v>
      </c>
      <c r="AA33" s="62">
        <v>229.376</v>
      </c>
      <c r="AB33" s="477">
        <v>9400.8349999999991</v>
      </c>
      <c r="AC33" s="63">
        <v>6825.415</v>
      </c>
      <c r="AD33" s="63">
        <v>4789.2160000000003</v>
      </c>
      <c r="AE33" s="63">
        <v>6373.3270000000002</v>
      </c>
      <c r="AF33" s="511">
        <f>AE33+AE137*3.51%</f>
        <v>6630.1081051000001</v>
      </c>
    </row>
    <row r="34" spans="2:32" x14ac:dyDescent="0.2">
      <c r="B34" s="3" t="s">
        <v>26</v>
      </c>
      <c r="C34" s="3"/>
      <c r="D34" s="64">
        <f t="shared" ref="D34:I34" si="28">SUM(D30:D33)</f>
        <v>12086.285000000002</v>
      </c>
      <c r="E34" s="64">
        <f t="shared" si="28"/>
        <v>14421.98</v>
      </c>
      <c r="F34" s="64">
        <f t="shared" si="28"/>
        <v>16550.757999999998</v>
      </c>
      <c r="G34" s="64">
        <f t="shared" si="28"/>
        <v>18913.243000000002</v>
      </c>
      <c r="H34" s="64">
        <f t="shared" si="28"/>
        <v>23877.767</v>
      </c>
      <c r="I34" s="64">
        <f t="shared" si="28"/>
        <v>26347.11</v>
      </c>
      <c r="J34" s="64">
        <f t="shared" ref="J34:M34" si="29">SUM(J30:J33)</f>
        <v>33550.574999999997</v>
      </c>
      <c r="K34" s="64">
        <f t="shared" si="29"/>
        <v>37401.597999999998</v>
      </c>
      <c r="L34" s="64">
        <f t="shared" si="29"/>
        <v>42570.504999999997</v>
      </c>
      <c r="M34" s="428">
        <f t="shared" si="29"/>
        <v>61611.132999999994</v>
      </c>
      <c r="N34" s="65">
        <f t="shared" ref="N34:S34" ca="1" si="30">SUM(N30:N33)</f>
        <v>77994.265741720534</v>
      </c>
      <c r="O34" s="65">
        <f t="shared" ca="1" si="30"/>
        <v>87493.574967453693</v>
      </c>
      <c r="P34" s="65">
        <f t="shared" ca="1" si="30"/>
        <v>104920.68262253082</v>
      </c>
      <c r="Q34" s="65">
        <f t="shared" ca="1" si="30"/>
        <v>123866.70905600724</v>
      </c>
      <c r="R34" s="65">
        <f t="shared" ca="1" si="30"/>
        <v>146415.70087494349</v>
      </c>
      <c r="S34" s="65">
        <f t="shared" ca="1" si="30"/>
        <v>171934.39205690884</v>
      </c>
      <c r="U34" s="66">
        <f t="shared" ref="U34:AF34" si="31">SUM(U30:U33)</f>
        <v>35451.173999999999</v>
      </c>
      <c r="V34" s="66">
        <f t="shared" si="31"/>
        <v>37483.364999999998</v>
      </c>
      <c r="W34" s="66">
        <f t="shared" si="31"/>
        <v>37437.239000000001</v>
      </c>
      <c r="X34" s="478">
        <f t="shared" si="31"/>
        <v>40333.055</v>
      </c>
      <c r="Y34" s="66">
        <f t="shared" si="31"/>
        <v>40968.410000000003</v>
      </c>
      <c r="Z34" s="66">
        <f t="shared" si="31"/>
        <v>43566.662000000004</v>
      </c>
      <c r="AA34" s="66">
        <f t="shared" si="31"/>
        <v>46757.346999999994</v>
      </c>
      <c r="AB34" s="478">
        <f t="shared" si="31"/>
        <v>59015.411999999997</v>
      </c>
      <c r="AC34" s="67">
        <f t="shared" si="31"/>
        <v>59373.224000000002</v>
      </c>
      <c r="AD34" s="67">
        <f t="shared" si="31"/>
        <v>63508.517</v>
      </c>
      <c r="AE34" s="67">
        <f t="shared" si="31"/>
        <v>71494.435000000012</v>
      </c>
      <c r="AF34" s="523">
        <f t="shared" si="31"/>
        <v>72714.394539057452</v>
      </c>
    </row>
    <row r="35" spans="2:32" x14ac:dyDescent="0.2">
      <c r="B35" s="2" t="s">
        <v>27</v>
      </c>
      <c r="D35" s="54">
        <v>339.827</v>
      </c>
      <c r="E35" s="54">
        <v>413.75599999999997</v>
      </c>
      <c r="F35" s="54">
        <v>0</v>
      </c>
      <c r="G35" s="54">
        <v>0</v>
      </c>
      <c r="H35" s="54">
        <v>0</v>
      </c>
      <c r="I35" s="54">
        <v>0</v>
      </c>
      <c r="J35" s="54">
        <v>1221.989</v>
      </c>
      <c r="K35" s="54">
        <v>1007.975</v>
      </c>
      <c r="L35" s="54">
        <v>1006.434</v>
      </c>
      <c r="M35" s="427">
        <v>1169.8130000000001</v>
      </c>
      <c r="N35" s="1">
        <v>1292.2470000000001</v>
      </c>
    </row>
    <row r="36" spans="2:32" x14ac:dyDescent="0.2">
      <c r="E36" s="54"/>
      <c r="F36" s="54"/>
      <c r="G36" s="54"/>
      <c r="H36" s="54"/>
      <c r="I36" s="54"/>
      <c r="J36" s="54"/>
      <c r="K36" s="54"/>
      <c r="L36" s="54"/>
      <c r="M36" s="427"/>
    </row>
    <row r="37" spans="2:32" x14ac:dyDescent="0.2">
      <c r="B37" s="3" t="s">
        <v>28</v>
      </c>
      <c r="C37" s="3"/>
      <c r="D37" s="64">
        <f t="shared" ref="D37:S37" si="32">SUM(D34:D35)</f>
        <v>12426.112000000001</v>
      </c>
      <c r="E37" s="64">
        <f t="shared" si="32"/>
        <v>14835.735999999999</v>
      </c>
      <c r="F37" s="64">
        <f t="shared" si="32"/>
        <v>16550.757999999998</v>
      </c>
      <c r="G37" s="64">
        <f t="shared" si="32"/>
        <v>18913.243000000002</v>
      </c>
      <c r="H37" s="64">
        <f t="shared" si="32"/>
        <v>23877.767</v>
      </c>
      <c r="I37" s="64">
        <f t="shared" si="32"/>
        <v>26347.11</v>
      </c>
      <c r="J37" s="64">
        <f t="shared" si="32"/>
        <v>34772.563999999998</v>
      </c>
      <c r="K37" s="64">
        <f t="shared" si="32"/>
        <v>38409.572999999997</v>
      </c>
      <c r="L37" s="64">
        <f t="shared" si="32"/>
        <v>43576.938999999998</v>
      </c>
      <c r="M37" s="428">
        <f t="shared" si="32"/>
        <v>62780.945999999996</v>
      </c>
      <c r="N37" s="65">
        <f t="shared" ca="1" si="32"/>
        <v>79286.512741720537</v>
      </c>
      <c r="O37" s="65">
        <f t="shared" ca="1" si="32"/>
        <v>87493.574967453693</v>
      </c>
      <c r="P37" s="65">
        <f t="shared" ca="1" si="32"/>
        <v>104920.68262253082</v>
      </c>
      <c r="Q37" s="65">
        <f t="shared" ca="1" si="32"/>
        <v>123866.70905600724</v>
      </c>
      <c r="R37" s="65">
        <f t="shared" ca="1" si="32"/>
        <v>146415.70087494349</v>
      </c>
      <c r="S37" s="65">
        <f t="shared" ca="1" si="32"/>
        <v>171934.39205690884</v>
      </c>
      <c r="U37" s="66">
        <f>SUM(U34:U35)</f>
        <v>35451.173999999999</v>
      </c>
      <c r="V37" s="66">
        <f t="shared" ref="V37:AF37" si="33">SUM(V34:V35)</f>
        <v>37483.364999999998</v>
      </c>
      <c r="W37" s="66">
        <f t="shared" si="33"/>
        <v>37437.239000000001</v>
      </c>
      <c r="X37" s="478">
        <f t="shared" si="33"/>
        <v>40333.055</v>
      </c>
      <c r="Y37" s="66">
        <f t="shared" si="33"/>
        <v>40968.410000000003</v>
      </c>
      <c r="Z37" s="66">
        <f t="shared" si="33"/>
        <v>43566.662000000004</v>
      </c>
      <c r="AA37" s="66">
        <f t="shared" si="33"/>
        <v>46757.346999999994</v>
      </c>
      <c r="AB37" s="478">
        <f t="shared" si="33"/>
        <v>59015.411999999997</v>
      </c>
      <c r="AC37" s="67">
        <f t="shared" si="33"/>
        <v>59373.224000000002</v>
      </c>
      <c r="AD37" s="67">
        <f t="shared" si="33"/>
        <v>63508.517</v>
      </c>
      <c r="AE37" s="67">
        <f t="shared" si="33"/>
        <v>71494.435000000012</v>
      </c>
      <c r="AF37" s="523">
        <f t="shared" si="33"/>
        <v>72714.394539057452</v>
      </c>
    </row>
    <row r="38" spans="2:32" x14ac:dyDescent="0.2">
      <c r="B38" s="70" t="s">
        <v>29</v>
      </c>
      <c r="C38" s="70"/>
      <c r="D38" s="71">
        <f t="shared" ref="D38:S38" si="34">D27-D37</f>
        <v>0</v>
      </c>
      <c r="E38" s="71">
        <f t="shared" si="34"/>
        <v>0</v>
      </c>
      <c r="F38" s="71">
        <f t="shared" si="34"/>
        <v>0</v>
      </c>
      <c r="G38" s="71">
        <f t="shared" si="34"/>
        <v>0</v>
      </c>
      <c r="H38" s="71">
        <f t="shared" si="34"/>
        <v>0</v>
      </c>
      <c r="I38" s="71">
        <f t="shared" si="34"/>
        <v>4.3655745685100555E-11</v>
      </c>
      <c r="J38" s="71">
        <f t="shared" si="34"/>
        <v>1.3096723705530167E-10</v>
      </c>
      <c r="K38" s="71">
        <f t="shared" si="34"/>
        <v>0</v>
      </c>
      <c r="L38" s="71">
        <f t="shared" si="34"/>
        <v>0</v>
      </c>
      <c r="M38" s="430">
        <f t="shared" si="34"/>
        <v>0</v>
      </c>
      <c r="N38" s="72">
        <f t="shared" ca="1" si="34"/>
        <v>0</v>
      </c>
      <c r="O38" s="73">
        <f t="shared" ca="1" si="34"/>
        <v>-2.0372681319713593E-10</v>
      </c>
      <c r="P38" s="73">
        <f t="shared" ca="1" si="34"/>
        <v>0</v>
      </c>
      <c r="Q38" s="73">
        <f t="shared" ca="1" si="34"/>
        <v>0</v>
      </c>
      <c r="R38" s="73">
        <f t="shared" ca="1" si="34"/>
        <v>0</v>
      </c>
      <c r="S38" s="73">
        <f t="shared" ca="1" si="34"/>
        <v>5.5297277867794037E-10</v>
      </c>
      <c r="U38" s="74">
        <f t="shared" ref="U38:AF38" si="35">U27-U37</f>
        <v>0</v>
      </c>
      <c r="V38" s="74">
        <f t="shared" si="35"/>
        <v>0</v>
      </c>
      <c r="W38" s="74">
        <f t="shared" si="35"/>
        <v>-5.8207660913467407E-11</v>
      </c>
      <c r="X38" s="479">
        <f t="shared" si="35"/>
        <v>-1.8189894035458565E-10</v>
      </c>
      <c r="Y38" s="74">
        <f t="shared" si="35"/>
        <v>1.4551915228366852E-10</v>
      </c>
      <c r="Z38" s="74">
        <f t="shared" si="35"/>
        <v>0</v>
      </c>
      <c r="AA38" s="74">
        <f t="shared" si="35"/>
        <v>0</v>
      </c>
      <c r="AB38" s="479">
        <f t="shared" si="35"/>
        <v>2.4738255888223648E-10</v>
      </c>
      <c r="AC38" s="75">
        <f t="shared" si="35"/>
        <v>-3.0559021979570389E-10</v>
      </c>
      <c r="AD38" s="75">
        <f t="shared" si="35"/>
        <v>0</v>
      </c>
      <c r="AE38" s="75">
        <f t="shared" si="35"/>
        <v>-1.8917489796876907E-10</v>
      </c>
      <c r="AF38" s="524">
        <f t="shared" si="35"/>
        <v>-1.7462298274040222E-10</v>
      </c>
    </row>
    <row r="39" spans="2:32" x14ac:dyDescent="0.2">
      <c r="E39" s="54"/>
      <c r="F39" s="54"/>
      <c r="G39" s="54"/>
      <c r="H39" s="54"/>
      <c r="I39" s="54"/>
      <c r="J39" s="54"/>
      <c r="K39" s="54"/>
      <c r="L39" s="54"/>
      <c r="M39" s="427"/>
    </row>
    <row r="40" spans="2:32" ht="12.75" x14ac:dyDescent="0.2">
      <c r="B40" s="542" t="s">
        <v>30</v>
      </c>
      <c r="C40" s="6"/>
      <c r="E40" s="54"/>
      <c r="F40" s="54"/>
      <c r="G40" s="54"/>
      <c r="H40" s="54"/>
      <c r="I40" s="54"/>
      <c r="J40" s="54"/>
      <c r="K40" s="54"/>
      <c r="L40" s="54"/>
      <c r="M40" s="427"/>
    </row>
    <row r="41" spans="2:32" x14ac:dyDescent="0.2">
      <c r="B41" s="2" t="s">
        <v>31</v>
      </c>
      <c r="D41" s="54">
        <v>12284.569</v>
      </c>
      <c r="E41" s="54">
        <v>18006.812000000002</v>
      </c>
      <c r="F41" s="54">
        <v>21836.972000000002</v>
      </c>
      <c r="G41" s="54">
        <v>23171.018</v>
      </c>
      <c r="H41" s="54">
        <v>28803.059000000001</v>
      </c>
      <c r="I41" s="54">
        <v>33113.741000000002</v>
      </c>
      <c r="J41" s="54">
        <v>31429.642</v>
      </c>
      <c r="K41" s="54">
        <v>36094.934000000001</v>
      </c>
      <c r="L41" s="54">
        <v>48629.139000000003</v>
      </c>
      <c r="M41" s="427">
        <v>94278.81</v>
      </c>
      <c r="N41" s="7">
        <f>N307</f>
        <v>109530.93259468074</v>
      </c>
      <c r="O41" s="7">
        <f t="shared" ref="O41" si="36">O307</f>
        <v>103225.69139098827</v>
      </c>
      <c r="P41" s="7">
        <f ca="1">P307</f>
        <v>118691.97347294335</v>
      </c>
      <c r="Q41" s="7">
        <f ca="1">Q307</f>
        <v>132597.00795419951</v>
      </c>
      <c r="R41" s="7">
        <f ca="1">R307</f>
        <v>150075.13314594846</v>
      </c>
      <c r="S41" s="7">
        <f ca="1">S307</f>
        <v>170383.34828970919</v>
      </c>
      <c r="U41" s="76">
        <v>9988.8089999999993</v>
      </c>
      <c r="V41" s="76">
        <v>10987.404</v>
      </c>
      <c r="W41" s="76">
        <v>11770.027</v>
      </c>
      <c r="X41" s="480">
        <v>15878.218000000001</v>
      </c>
      <c r="Y41" s="76">
        <v>18206.399000000001</v>
      </c>
      <c r="Z41" s="76">
        <v>21800.616999999998</v>
      </c>
      <c r="AA41" s="76">
        <v>25915.602999999999</v>
      </c>
      <c r="AB41" s="480">
        <v>28347.84199999999</v>
      </c>
      <c r="AC41" s="77">
        <v>29833.741999999998</v>
      </c>
      <c r="AD41" s="77">
        <v>27995.494999999999</v>
      </c>
      <c r="AE41" s="77">
        <v>25483.260999999999</v>
      </c>
      <c r="AF41" s="511">
        <f>AF307</f>
        <v>26208.73492031877</v>
      </c>
    </row>
    <row r="42" spans="2:32" x14ac:dyDescent="0.2">
      <c r="B42" s="2" t="s">
        <v>32</v>
      </c>
      <c r="D42" s="54">
        <v>6606.37</v>
      </c>
      <c r="E42" s="54">
        <v>8665.3169999999991</v>
      </c>
      <c r="F42" s="54">
        <v>11384.534</v>
      </c>
      <c r="G42" s="54">
        <v>12526.169</v>
      </c>
      <c r="H42" s="54">
        <v>15440.25</v>
      </c>
      <c r="I42" s="54">
        <v>14897.148999999999</v>
      </c>
      <c r="J42" s="54">
        <v>12871.789000000001</v>
      </c>
      <c r="K42" s="54">
        <v>15270.733</v>
      </c>
      <c r="L42" s="54">
        <v>20453.359</v>
      </c>
      <c r="M42" s="427">
        <v>47746.059000000001</v>
      </c>
      <c r="N42" s="7">
        <f>N317</f>
        <v>41809.324206405057</v>
      </c>
      <c r="O42" s="7">
        <f t="shared" ref="O42:S42" si="37">O317</f>
        <v>41106.575458351224</v>
      </c>
      <c r="P42" s="7">
        <f t="shared" si="37"/>
        <v>50590.197040720384</v>
      </c>
      <c r="Q42" s="7">
        <f t="shared" si="37"/>
        <v>56485.971726780132</v>
      </c>
      <c r="R42" s="7">
        <f t="shared" si="37"/>
        <v>63373.831468676435</v>
      </c>
      <c r="S42" s="7">
        <f t="shared" si="37"/>
        <v>71453.887415681776</v>
      </c>
      <c r="U42" s="62">
        <v>4143.6379999999999</v>
      </c>
      <c r="V42" s="62">
        <v>4353.7219999999998</v>
      </c>
      <c r="W42" s="62">
        <v>5121.1170000000002</v>
      </c>
      <c r="X42" s="477">
        <v>6838.4709999999995</v>
      </c>
      <c r="Y42" s="62">
        <v>9108.6380000000008</v>
      </c>
      <c r="Z42" s="62">
        <v>10147.286</v>
      </c>
      <c r="AA42" s="62">
        <v>13505.846</v>
      </c>
      <c r="AB42" s="477">
        <v>14969.310000000005</v>
      </c>
      <c r="AC42" s="63">
        <v>15115.302</v>
      </c>
      <c r="AD42" s="63">
        <v>10358.893</v>
      </c>
      <c r="AE42" s="63">
        <v>8082.7610000000004</v>
      </c>
      <c r="AF42" s="511">
        <f>AF317</f>
        <v>8239.2516920705948</v>
      </c>
    </row>
    <row r="43" spans="2:32" x14ac:dyDescent="0.2">
      <c r="B43" s="2" t="s">
        <v>33</v>
      </c>
      <c r="D43" s="54">
        <f t="shared" ref="D43:S43" si="38">D41-D42</f>
        <v>5678.1989999999996</v>
      </c>
      <c r="E43" s="54">
        <f t="shared" si="38"/>
        <v>9341.4950000000026</v>
      </c>
      <c r="F43" s="54">
        <f t="shared" si="38"/>
        <v>10452.438000000002</v>
      </c>
      <c r="G43" s="54">
        <f t="shared" si="38"/>
        <v>10644.849</v>
      </c>
      <c r="H43" s="54">
        <f t="shared" si="38"/>
        <v>13362.809000000001</v>
      </c>
      <c r="I43" s="54">
        <f t="shared" si="38"/>
        <v>18216.592000000004</v>
      </c>
      <c r="J43" s="54">
        <f t="shared" si="38"/>
        <v>18557.852999999999</v>
      </c>
      <c r="K43" s="54">
        <f t="shared" si="38"/>
        <v>20824.201000000001</v>
      </c>
      <c r="L43" s="54">
        <f t="shared" si="38"/>
        <v>28175.780000000002</v>
      </c>
      <c r="M43" s="427">
        <f t="shared" si="38"/>
        <v>46532.750999999997</v>
      </c>
      <c r="N43" s="7">
        <f t="shared" si="38"/>
        <v>67721.608388275679</v>
      </c>
      <c r="O43" s="7">
        <f t="shared" si="38"/>
        <v>62119.115932637047</v>
      </c>
      <c r="P43" s="7">
        <f t="shared" ca="1" si="38"/>
        <v>68101.776432222978</v>
      </c>
      <c r="Q43" s="7">
        <f t="shared" ca="1" si="38"/>
        <v>76111.036227419376</v>
      </c>
      <c r="R43" s="7">
        <f t="shared" ca="1" si="38"/>
        <v>86701.301677272029</v>
      </c>
      <c r="S43" s="7">
        <f t="shared" ca="1" si="38"/>
        <v>98929.460874027413</v>
      </c>
      <c r="U43" s="62">
        <f t="shared" ref="U43:AF43" si="39">U41-U42</f>
        <v>5845.1709999999994</v>
      </c>
      <c r="V43" s="62">
        <f t="shared" si="39"/>
        <v>6633.6820000000007</v>
      </c>
      <c r="W43" s="62">
        <f t="shared" si="39"/>
        <v>6648.91</v>
      </c>
      <c r="X43" s="477">
        <f t="shared" si="39"/>
        <v>9039.7470000000012</v>
      </c>
      <c r="Y43" s="62">
        <f t="shared" si="39"/>
        <v>9097.7610000000004</v>
      </c>
      <c r="Z43" s="62">
        <f t="shared" si="39"/>
        <v>11653.330999999998</v>
      </c>
      <c r="AA43" s="62">
        <f t="shared" si="39"/>
        <v>12409.757</v>
      </c>
      <c r="AB43" s="477">
        <f t="shared" si="39"/>
        <v>13378.531999999985</v>
      </c>
      <c r="AC43" s="63">
        <f t="shared" si="39"/>
        <v>14718.439999999999</v>
      </c>
      <c r="AD43" s="63">
        <f t="shared" si="39"/>
        <v>17636.601999999999</v>
      </c>
      <c r="AE43" s="63">
        <f t="shared" si="39"/>
        <v>17400.5</v>
      </c>
      <c r="AF43" s="511">
        <f t="shared" si="39"/>
        <v>17969.483228248173</v>
      </c>
    </row>
    <row r="44" spans="2:32" x14ac:dyDescent="0.2">
      <c r="E44" s="54"/>
      <c r="F44" s="54"/>
      <c r="G44" s="54"/>
      <c r="H44" s="54"/>
      <c r="I44" s="54"/>
      <c r="J44" s="54"/>
      <c r="K44" s="54"/>
      <c r="L44" s="54"/>
      <c r="M44" s="427"/>
      <c r="N44" s="7"/>
    </row>
    <row r="45" spans="2:32" x14ac:dyDescent="0.2">
      <c r="B45" s="2" t="s">
        <v>34</v>
      </c>
      <c r="D45" s="54">
        <f>1496.019+18.306</f>
        <v>1514.325</v>
      </c>
      <c r="E45" s="54">
        <f>1673.533+168.242</f>
        <v>1841.7749999999999</v>
      </c>
      <c r="F45" s="54">
        <f>451.191-23.105</f>
        <v>428.08599999999996</v>
      </c>
      <c r="G45" s="54">
        <f>93.382-2.495</f>
        <v>90.887</v>
      </c>
      <c r="H45" s="54">
        <f>466.504+96.288</f>
        <v>562.79200000000003</v>
      </c>
      <c r="I45" s="54">
        <f>563.174+59.152</f>
        <v>622.32600000000002</v>
      </c>
      <c r="J45" s="54">
        <f>-184.919-74.038</f>
        <v>-258.95699999999999</v>
      </c>
      <c r="K45" s="54">
        <f>1320.403-13.524</f>
        <v>1306.8790000000001</v>
      </c>
      <c r="L45" s="54">
        <v>1168.0509999999999</v>
      </c>
      <c r="M45" s="427">
        <v>4186.43</v>
      </c>
      <c r="N45" s="7">
        <f>N404</f>
        <v>5320.1432320029544</v>
      </c>
      <c r="O45" s="7">
        <f t="shared" ref="O45" si="40">O404</f>
        <v>5463.5416626273791</v>
      </c>
      <c r="P45" s="7">
        <f ca="1">P404</f>
        <v>1667.379870517226</v>
      </c>
      <c r="Q45" s="7">
        <f ca="1">Q404</f>
        <v>3171.5419973120825</v>
      </c>
      <c r="R45" s="7">
        <f ca="1">R404</f>
        <v>3971.5346459408347</v>
      </c>
      <c r="S45" s="7">
        <f ca="1">S404</f>
        <v>5048.8683760905442</v>
      </c>
      <c r="U45" s="63">
        <f>122.426+12.791</f>
        <v>135.21700000000001</v>
      </c>
      <c r="V45" s="63">
        <f>2.494-22.316</f>
        <v>-19.821999999999999</v>
      </c>
      <c r="W45" s="1">
        <f>71.868-5.087</f>
        <v>66.780999999999992</v>
      </c>
      <c r="X45" s="423">
        <f>1168.051-SUM(U45:W45)</f>
        <v>985.875</v>
      </c>
      <c r="Y45" s="7">
        <v>-99.947000000000003</v>
      </c>
      <c r="Z45" s="78">
        <v>1152.184</v>
      </c>
      <c r="AA45" s="78">
        <v>1450.2529999999999</v>
      </c>
      <c r="AB45" s="473">
        <f>4186.43-SUM(Y45:AA45)</f>
        <v>1683.9400000000005</v>
      </c>
      <c r="AC45" s="78">
        <v>1637.731</v>
      </c>
      <c r="AD45" s="78">
        <v>1459.365</v>
      </c>
      <c r="AE45" s="78">
        <v>1091.069</v>
      </c>
      <c r="AF45" s="511">
        <f>AF404</f>
        <v>1131.9782320029544</v>
      </c>
    </row>
    <row r="46" spans="2:32" x14ac:dyDescent="0.2">
      <c r="B46" s="3" t="s">
        <v>35</v>
      </c>
      <c r="C46" s="3"/>
      <c r="D46" s="64">
        <f t="shared" ref="D46:J46" si="41">D43-D45</f>
        <v>4163.8739999999998</v>
      </c>
      <c r="E46" s="64">
        <f t="shared" si="41"/>
        <v>7499.720000000003</v>
      </c>
      <c r="F46" s="64">
        <f t="shared" si="41"/>
        <v>10024.352000000003</v>
      </c>
      <c r="G46" s="64">
        <f t="shared" si="41"/>
        <v>10553.962</v>
      </c>
      <c r="H46" s="64">
        <f t="shared" si="41"/>
        <v>12800.017000000002</v>
      </c>
      <c r="I46" s="64">
        <f t="shared" si="41"/>
        <v>17594.266000000003</v>
      </c>
      <c r="J46" s="64">
        <f t="shared" si="41"/>
        <v>18816.809999999998</v>
      </c>
      <c r="K46" s="64">
        <f t="shared" ref="K46:O46" si="42">K43-K45</f>
        <v>19517.322</v>
      </c>
      <c r="L46" s="64">
        <f t="shared" si="42"/>
        <v>27007.729000000003</v>
      </c>
      <c r="M46" s="428">
        <f t="shared" si="42"/>
        <v>42346.320999999996</v>
      </c>
      <c r="N46" s="65">
        <f t="shared" si="42"/>
        <v>62401.465156272723</v>
      </c>
      <c r="O46" s="65">
        <f t="shared" si="42"/>
        <v>56655.574270009667</v>
      </c>
      <c r="P46" s="65">
        <f ca="1">P43-P45</f>
        <v>66434.396561705755</v>
      </c>
      <c r="Q46" s="65">
        <f ca="1">Q43-Q45</f>
        <v>72939.494230107288</v>
      </c>
      <c r="R46" s="65">
        <f ca="1">R43-R45</f>
        <v>82729.767031331197</v>
      </c>
      <c r="S46" s="65">
        <f ca="1">S43-S45</f>
        <v>93880.592497936872</v>
      </c>
      <c r="U46" s="67">
        <f t="shared" ref="U46:AF46" si="43">U43-U45</f>
        <v>5709.9539999999997</v>
      </c>
      <c r="V46" s="67">
        <f t="shared" si="43"/>
        <v>6653.5040000000008</v>
      </c>
      <c r="W46" s="66">
        <f t="shared" si="43"/>
        <v>6582.1289999999999</v>
      </c>
      <c r="X46" s="478">
        <f t="shared" si="43"/>
        <v>8053.8720000000012</v>
      </c>
      <c r="Y46" s="66">
        <f t="shared" si="43"/>
        <v>9197.7080000000005</v>
      </c>
      <c r="Z46" s="66">
        <f t="shared" si="43"/>
        <v>10501.146999999999</v>
      </c>
      <c r="AA46" s="66">
        <f t="shared" si="43"/>
        <v>10959.503999999999</v>
      </c>
      <c r="AB46" s="478">
        <f t="shared" si="43"/>
        <v>11694.591999999984</v>
      </c>
      <c r="AC46" s="67">
        <f t="shared" si="43"/>
        <v>13080.708999999999</v>
      </c>
      <c r="AD46" s="67">
        <f t="shared" si="43"/>
        <v>16177.236999999999</v>
      </c>
      <c r="AE46" s="67">
        <f t="shared" si="43"/>
        <v>16309.431</v>
      </c>
      <c r="AF46" s="523">
        <f t="shared" si="43"/>
        <v>16837.504996245218</v>
      </c>
    </row>
    <row r="47" spans="2:32" x14ac:dyDescent="0.2">
      <c r="E47" s="54"/>
      <c r="F47" s="54"/>
      <c r="G47" s="54"/>
      <c r="H47" s="54"/>
      <c r="I47" s="54"/>
      <c r="J47" s="54"/>
      <c r="K47" s="54"/>
      <c r="L47" s="54"/>
      <c r="M47" s="427"/>
      <c r="U47" s="63"/>
      <c r="V47" s="63"/>
      <c r="AC47" s="50"/>
      <c r="AD47" s="50"/>
    </row>
    <row r="48" spans="2:32" x14ac:dyDescent="0.2">
      <c r="B48" s="3" t="s">
        <v>36</v>
      </c>
      <c r="C48" s="3"/>
      <c r="E48" s="54"/>
      <c r="F48" s="54"/>
      <c r="G48" s="54"/>
      <c r="H48" s="54"/>
      <c r="I48" s="54"/>
      <c r="J48" s="54"/>
      <c r="K48" s="54"/>
      <c r="L48" s="54"/>
      <c r="M48" s="427"/>
      <c r="R48" s="5">
        <f ca="1">(S41/N41)^(1/6)-1</f>
        <v>7.6419922604403334E-2</v>
      </c>
      <c r="U48" s="63"/>
      <c r="V48" s="63"/>
      <c r="AC48" s="62"/>
      <c r="AD48" s="62"/>
      <c r="AE48" s="62"/>
    </row>
    <row r="49" spans="1:32" x14ac:dyDescent="0.2">
      <c r="B49" s="2" t="s">
        <v>37</v>
      </c>
      <c r="D49" s="54">
        <v>888.66</v>
      </c>
      <c r="E49" s="54">
        <v>1097.3499999999999</v>
      </c>
      <c r="F49" s="54">
        <v>969.51700000000005</v>
      </c>
      <c r="G49" s="54">
        <v>1258.2339999999999</v>
      </c>
      <c r="H49" s="54">
        <v>1569.327</v>
      </c>
      <c r="I49" s="54">
        <v>1987.212</v>
      </c>
      <c r="J49" s="54">
        <v>3942.2359999999999</v>
      </c>
      <c r="K49" s="54">
        <v>6030.0079999999998</v>
      </c>
      <c r="L49" s="54">
        <v>6822.7349999999997</v>
      </c>
      <c r="M49" s="427">
        <v>7427.4740000000002</v>
      </c>
      <c r="N49" s="7">
        <f>N333</f>
        <v>6724.8382551827935</v>
      </c>
      <c r="O49" s="226">
        <f t="shared" ref="O49:S49" si="44">O333</f>
        <v>8345.8015508532535</v>
      </c>
      <c r="P49" s="7">
        <f t="shared" si="44"/>
        <v>9653.3950360492399</v>
      </c>
      <c r="Q49" s="7">
        <f t="shared" si="44"/>
        <v>10811.80244037515</v>
      </c>
      <c r="R49" s="7">
        <f t="shared" si="44"/>
        <v>12109.218733220168</v>
      </c>
      <c r="S49" s="7">
        <f t="shared" si="44"/>
        <v>13562.32498120659</v>
      </c>
      <c r="U49" s="79">
        <v>1291.9369999999999</v>
      </c>
      <c r="V49" s="79">
        <v>1250.954</v>
      </c>
      <c r="W49" s="79">
        <v>1190.703</v>
      </c>
      <c r="X49" s="481">
        <v>1523.5760000000005</v>
      </c>
      <c r="Y49" s="79">
        <v>1518.7739999999999</v>
      </c>
      <c r="Z49" s="79">
        <v>1675.0170000000001</v>
      </c>
      <c r="AA49" s="79">
        <v>1442.664</v>
      </c>
      <c r="AB49" s="481">
        <v>1538.1890000000003</v>
      </c>
      <c r="AC49" s="79">
        <v>1288.317</v>
      </c>
      <c r="AD49" s="79">
        <v>1041.0340000000001</v>
      </c>
      <c r="AE49" s="79">
        <v>1554.8420000000001</v>
      </c>
      <c r="AF49" s="511">
        <f>AF333</f>
        <v>1708.9090513000003</v>
      </c>
    </row>
    <row r="50" spans="1:32" x14ac:dyDescent="0.2">
      <c r="B50" s="2" t="s">
        <v>38</v>
      </c>
      <c r="D50" s="54">
        <v>189.10499999999999</v>
      </c>
      <c r="E50" s="54">
        <v>170.815</v>
      </c>
      <c r="F50" s="54">
        <v>481.02600000000001</v>
      </c>
      <c r="G50" s="54">
        <v>309.28500000000003</v>
      </c>
      <c r="H50" s="54">
        <v>283.63299999999998</v>
      </c>
      <c r="I50" s="54">
        <v>628.66099999999994</v>
      </c>
      <c r="J50" s="54">
        <v>345.28800000000001</v>
      </c>
      <c r="K50" s="54">
        <v>287.97699999999998</v>
      </c>
      <c r="L50" s="54">
        <v>242.429</v>
      </c>
      <c r="M50" s="427">
        <v>276.464</v>
      </c>
      <c r="N50" s="226">
        <f>SUM(AC50:AF50)*(1+'Adj from Unconsol to Consol'!F49)</f>
        <v>262.99405851751453</v>
      </c>
      <c r="O50" s="226">
        <f>(O153+O156+O159)*Assumptions!P81</f>
        <v>263.19487224294608</v>
      </c>
      <c r="P50" s="7">
        <f>(P153+P156+P159)*Assumptions!Q81</f>
        <v>264.96520668369374</v>
      </c>
      <c r="Q50" s="7">
        <f>(Q153+Q156+Q159)*Assumptions!R81</f>
        <v>269.67948686557304</v>
      </c>
      <c r="R50" s="7">
        <f>(R153+R156+R159)*Assumptions!S81</f>
        <v>267.41129189179173</v>
      </c>
      <c r="S50" s="7">
        <f>(S153+S156+S159)*Assumptions!T81</f>
        <v>265.63663683399255</v>
      </c>
      <c r="U50" s="79">
        <v>48.628999999999998</v>
      </c>
      <c r="V50" s="79">
        <v>319.61900000000003</v>
      </c>
      <c r="W50" s="79">
        <v>56.652999999999999</v>
      </c>
      <c r="X50" s="481">
        <v>142.52799999999991</v>
      </c>
      <c r="Y50" s="79">
        <v>33.125999999999998</v>
      </c>
      <c r="Z50" s="79">
        <v>75.066999999999993</v>
      </c>
      <c r="AA50" s="79">
        <v>57.683</v>
      </c>
      <c r="AB50" s="481">
        <v>175.58800000000002</v>
      </c>
      <c r="AC50" s="79">
        <v>124.577</v>
      </c>
      <c r="AD50" s="79">
        <v>88.694999999999993</v>
      </c>
      <c r="AE50" s="79">
        <v>72.521000000000001</v>
      </c>
      <c r="AF50" s="511">
        <f>(AF153+AF156+AF159)*Assumptions!AG81</f>
        <v>159.95964155510927</v>
      </c>
    </row>
    <row r="51" spans="1:32" x14ac:dyDescent="0.2">
      <c r="B51" s="2" t="s">
        <v>39</v>
      </c>
      <c r="D51" s="54">
        <v>1381.0440000000001</v>
      </c>
      <c r="E51" s="54">
        <v>571.88</v>
      </c>
      <c r="F51" s="54">
        <v>346.83</v>
      </c>
      <c r="G51" s="54">
        <v>603.35199999999998</v>
      </c>
      <c r="H51" s="54">
        <v>1626.3630000000001</v>
      </c>
      <c r="I51" s="54">
        <v>1471.337</v>
      </c>
      <c r="J51" s="54">
        <v>1207.5630000000001</v>
      </c>
      <c r="K51" s="54">
        <v>1139.6479999999999</v>
      </c>
      <c r="L51" s="54">
        <v>1318.46</v>
      </c>
      <c r="M51" s="427">
        <v>2684.0970000000002</v>
      </c>
      <c r="N51" s="7">
        <f>SUM(AC51:AF51)*(1+'Adj from Unconsol to Consol'!F50)</f>
        <v>1830.3737500000002</v>
      </c>
      <c r="O51" s="226">
        <f>N51*(1+Assumptions!P82)</f>
        <v>2013.4111250000003</v>
      </c>
      <c r="P51" s="7">
        <f>O51*(1+Assumptions!Q82)</f>
        <v>2214.7522375000003</v>
      </c>
      <c r="Q51" s="7">
        <f>P51*(1+Assumptions!R82)</f>
        <v>2436.2274612500005</v>
      </c>
      <c r="R51" s="7">
        <f>Q51*(1+Assumptions!S82)</f>
        <v>2679.8502073750005</v>
      </c>
      <c r="S51" s="7">
        <f>R51*(1+Assumptions!T82)</f>
        <v>2947.8352281125008</v>
      </c>
      <c r="U51" s="79">
        <v>337.346</v>
      </c>
      <c r="V51" s="79">
        <v>376.697</v>
      </c>
      <c r="W51" s="79">
        <v>260.87900000000002</v>
      </c>
      <c r="X51" s="481">
        <v>343.53800000000001</v>
      </c>
      <c r="Y51" s="79">
        <v>417.1</v>
      </c>
      <c r="Z51" s="79">
        <v>657.36599999999999</v>
      </c>
      <c r="AA51" s="79">
        <v>749.34699999999998</v>
      </c>
      <c r="AB51" s="481">
        <v>860.28400000000033</v>
      </c>
      <c r="AC51" s="79">
        <v>963.12800000000004</v>
      </c>
      <c r="AD51" s="79">
        <v>334.98500000000001</v>
      </c>
      <c r="AE51" s="79">
        <v>304.149</v>
      </c>
      <c r="AF51" s="511">
        <f>AE51*75%</f>
        <v>228.11175</v>
      </c>
    </row>
    <row r="52" spans="1:32" x14ac:dyDescent="0.2">
      <c r="B52" s="2" t="s">
        <v>40</v>
      </c>
      <c r="D52" s="54">
        <v>137.88499999999999</v>
      </c>
      <c r="E52" s="54">
        <v>388.08</v>
      </c>
      <c r="F52" s="54">
        <v>505.1</v>
      </c>
      <c r="G52" s="54">
        <v>1230.1590000000001</v>
      </c>
      <c r="H52" s="54">
        <v>1148.499</v>
      </c>
      <c r="I52" s="54">
        <v>342.13600000000002</v>
      </c>
      <c r="J52" s="54">
        <v>1012.424</v>
      </c>
      <c r="K52" s="54">
        <v>939.26599999999996</v>
      </c>
      <c r="L52" s="54">
        <v>-39.375999999999998</v>
      </c>
      <c r="M52" s="427">
        <v>-428.78199999999998</v>
      </c>
      <c r="N52" s="7">
        <f>N346</f>
        <v>-428.15009151739167</v>
      </c>
      <c r="O52" s="226">
        <f>O346</f>
        <v>211.2763816965217</v>
      </c>
      <c r="P52" s="7">
        <f t="shared" ref="P52:S52" si="45">P346</f>
        <v>50.846858035826017</v>
      </c>
      <c r="Q52" s="7">
        <f t="shared" si="45"/>
        <v>-126.83697035700879</v>
      </c>
      <c r="R52" s="7">
        <f t="shared" si="45"/>
        <v>-144.32916442841056</v>
      </c>
      <c r="S52" s="7">
        <f t="shared" si="45"/>
        <v>-87.438597314092661</v>
      </c>
      <c r="U52" s="79">
        <v>41.58</v>
      </c>
      <c r="V52" s="79">
        <v>-35.087000000000003</v>
      </c>
      <c r="W52" s="79">
        <v>89.406999999999996</v>
      </c>
      <c r="X52" s="481">
        <v>-87.591999999999985</v>
      </c>
      <c r="Y52" s="79">
        <v>-124.72799999999999</v>
      </c>
      <c r="Z52" s="79">
        <v>-15.961</v>
      </c>
      <c r="AA52" s="79">
        <v>-98.438999999999993</v>
      </c>
      <c r="AB52" s="481">
        <v>-178.471</v>
      </c>
      <c r="AC52" s="79">
        <v>680.46100000000001</v>
      </c>
      <c r="AD52" s="79">
        <v>258.75799999999998</v>
      </c>
      <c r="AE52" s="79">
        <v>-4.556</v>
      </c>
      <c r="AF52" s="511">
        <f>AF346</f>
        <v>0</v>
      </c>
    </row>
    <row r="53" spans="1:32" x14ac:dyDescent="0.2">
      <c r="B53" s="2" t="s">
        <v>390</v>
      </c>
      <c r="D53" s="54">
        <v>28.669</v>
      </c>
      <c r="E53" s="54">
        <v>0</v>
      </c>
      <c r="F53" s="54"/>
      <c r="G53" s="54"/>
      <c r="H53" s="54"/>
      <c r="I53" s="54"/>
      <c r="J53" s="54">
        <v>0</v>
      </c>
      <c r="K53" s="54">
        <v>-1.708</v>
      </c>
      <c r="L53" s="54"/>
      <c r="M53" s="427"/>
      <c r="N53" s="7">
        <f>0*(1+'Adj from Unconsol to Consol'!F52)</f>
        <v>0</v>
      </c>
      <c r="O53" s="51"/>
    </row>
    <row r="54" spans="1:32" x14ac:dyDescent="0.2">
      <c r="B54" s="2" t="s">
        <v>41</v>
      </c>
      <c r="D54" s="54">
        <v>61.911000000000001</v>
      </c>
      <c r="E54" s="54">
        <v>35.223999999999997</v>
      </c>
      <c r="F54" s="54">
        <v>96.117000000000004</v>
      </c>
      <c r="G54" s="54">
        <v>100.42</v>
      </c>
      <c r="H54" s="54">
        <v>127.062</v>
      </c>
      <c r="I54" s="54">
        <v>167.374</v>
      </c>
      <c r="J54" s="54">
        <v>357.06</v>
      </c>
      <c r="K54" s="54">
        <v>411.01299999999998</v>
      </c>
      <c r="L54" s="54">
        <v>313.48599999999999</v>
      </c>
      <c r="M54" s="427">
        <v>535.61500000000001</v>
      </c>
      <c r="N54" s="7">
        <f>N359</f>
        <v>591.78357686136815</v>
      </c>
      <c r="O54" s="226">
        <f t="shared" ref="O54:S54" si="46">O359</f>
        <v>702.47607331493759</v>
      </c>
      <c r="P54" s="7">
        <f t="shared" si="46"/>
        <v>790.83784410028261</v>
      </c>
      <c r="Q54" s="7">
        <f t="shared" si="46"/>
        <v>865.47214938276863</v>
      </c>
      <c r="R54" s="7">
        <f t="shared" si="46"/>
        <v>966.40385669896</v>
      </c>
      <c r="S54" s="7">
        <f t="shared" si="46"/>
        <v>1060.6333904327319</v>
      </c>
      <c r="U54" s="79">
        <v>58.48</v>
      </c>
      <c r="V54" s="79">
        <v>120.251</v>
      </c>
      <c r="W54" s="79">
        <v>96.552000000000007</v>
      </c>
      <c r="X54" s="481">
        <v>35.853000000000009</v>
      </c>
      <c r="Y54" s="79">
        <v>104.774</v>
      </c>
      <c r="Z54" s="79">
        <v>119.08</v>
      </c>
      <c r="AA54" s="79">
        <v>109.258</v>
      </c>
      <c r="AB54" s="481">
        <v>204.46800000000007</v>
      </c>
      <c r="AC54" s="79">
        <v>134.45400000000001</v>
      </c>
      <c r="AD54" s="79">
        <v>111.265</v>
      </c>
      <c r="AE54" s="79">
        <v>212.05799999999999</v>
      </c>
      <c r="AF54" s="511">
        <f>AF359</f>
        <v>136.4465493919221</v>
      </c>
    </row>
    <row r="55" spans="1:32" x14ac:dyDescent="0.2">
      <c r="B55" s="2" t="s">
        <v>42</v>
      </c>
      <c r="D55" s="54">
        <f t="shared" ref="D55:I55" si="47">SUM(D49:D54)</f>
        <v>2687.2740000000003</v>
      </c>
      <c r="E55" s="54">
        <f t="shared" si="47"/>
        <v>2263.3490000000002</v>
      </c>
      <c r="F55" s="54">
        <f t="shared" si="47"/>
        <v>2398.59</v>
      </c>
      <c r="G55" s="54">
        <f t="shared" si="47"/>
        <v>3501.4500000000003</v>
      </c>
      <c r="H55" s="54">
        <f t="shared" si="47"/>
        <v>4754.884</v>
      </c>
      <c r="I55" s="54">
        <f t="shared" si="47"/>
        <v>4596.72</v>
      </c>
      <c r="J55" s="54">
        <f t="shared" ref="J55:M55" si="48">SUM(J49:J54)</f>
        <v>6864.5709999999999</v>
      </c>
      <c r="K55" s="54">
        <f>SUM(K49:K54)</f>
        <v>8806.2039999999997</v>
      </c>
      <c r="L55" s="54">
        <f t="shared" si="48"/>
        <v>8657.7340000000004</v>
      </c>
      <c r="M55" s="427">
        <f t="shared" si="48"/>
        <v>10494.868</v>
      </c>
      <c r="N55" s="7">
        <f>SUM(N49:N54)*(1+'Adj from Unconsol to Consol'!F54)</f>
        <v>10113.87760548977</v>
      </c>
      <c r="O55" s="7">
        <f t="shared" ref="O55:S55" si="49">SUM(O49:O54)</f>
        <v>11536.16000310766</v>
      </c>
      <c r="P55" s="7">
        <f t="shared" si="49"/>
        <v>12974.797182369042</v>
      </c>
      <c r="Q55" s="7">
        <f t="shared" si="49"/>
        <v>14256.344567516482</v>
      </c>
      <c r="R55" s="7">
        <f t="shared" si="49"/>
        <v>15878.554924757511</v>
      </c>
      <c r="S55" s="7">
        <f t="shared" si="49"/>
        <v>17748.991639271724</v>
      </c>
      <c r="U55" s="63">
        <f t="shared" ref="U55:AF55" si="50">SUM(U49:U54)</f>
        <v>1777.9719999999998</v>
      </c>
      <c r="V55" s="63">
        <f t="shared" si="50"/>
        <v>2032.434</v>
      </c>
      <c r="W55" s="63">
        <f t="shared" si="50"/>
        <v>1694.194</v>
      </c>
      <c r="X55" s="482">
        <f t="shared" si="50"/>
        <v>1957.9030000000002</v>
      </c>
      <c r="Y55" s="62">
        <f t="shared" si="50"/>
        <v>1949.0459999999998</v>
      </c>
      <c r="Z55" s="63">
        <f t="shared" si="50"/>
        <v>2510.569</v>
      </c>
      <c r="AA55" s="63">
        <f t="shared" si="50"/>
        <v>2260.5129999999999</v>
      </c>
      <c r="AB55" s="482">
        <f t="shared" si="50"/>
        <v>2600.0580000000009</v>
      </c>
      <c r="AC55" s="62">
        <f t="shared" si="50"/>
        <v>3190.9370000000004</v>
      </c>
      <c r="AD55" s="63">
        <f t="shared" si="50"/>
        <v>1834.7370000000001</v>
      </c>
      <c r="AE55" s="63">
        <f t="shared" si="50"/>
        <v>2139.0140000000001</v>
      </c>
      <c r="AF55" s="511">
        <f t="shared" si="50"/>
        <v>2233.4269922470316</v>
      </c>
    </row>
    <row r="56" spans="1:32" x14ac:dyDescent="0.2">
      <c r="B56" s="3" t="s">
        <v>43</v>
      </c>
      <c r="C56" s="3"/>
      <c r="D56" s="64">
        <f t="shared" ref="D56:M56" si="51">D46+D55</f>
        <v>6851.1480000000001</v>
      </c>
      <c r="E56" s="64">
        <f t="shared" si="51"/>
        <v>9763.0690000000031</v>
      </c>
      <c r="F56" s="64">
        <f t="shared" si="51"/>
        <v>12422.942000000003</v>
      </c>
      <c r="G56" s="64">
        <f t="shared" si="51"/>
        <v>14055.412</v>
      </c>
      <c r="H56" s="64">
        <f t="shared" si="51"/>
        <v>17554.901000000002</v>
      </c>
      <c r="I56" s="64">
        <f t="shared" si="51"/>
        <v>22190.986000000004</v>
      </c>
      <c r="J56" s="64">
        <f t="shared" si="51"/>
        <v>25681.380999999998</v>
      </c>
      <c r="K56" s="64">
        <f t="shared" si="51"/>
        <v>28323.525999999998</v>
      </c>
      <c r="L56" s="64">
        <f t="shared" si="51"/>
        <v>35665.463000000003</v>
      </c>
      <c r="M56" s="428">
        <f t="shared" si="51"/>
        <v>52841.188999999998</v>
      </c>
      <c r="N56" s="65">
        <f t="shared" ref="N56:O56" si="52">N46+N55</f>
        <v>72515.342761762498</v>
      </c>
      <c r="O56" s="65">
        <f t="shared" si="52"/>
        <v>68191.734273117327</v>
      </c>
      <c r="P56" s="65">
        <f ca="1">P46+P55</f>
        <v>79409.193744074801</v>
      </c>
      <c r="Q56" s="65">
        <f ca="1">Q46+Q55</f>
        <v>87195.838797623772</v>
      </c>
      <c r="R56" s="65">
        <f ca="1">R46+R55</f>
        <v>98608.321956088708</v>
      </c>
      <c r="S56" s="65">
        <f ca="1">S46+S55</f>
        <v>111629.5841372086</v>
      </c>
      <c r="U56" s="67">
        <f t="shared" ref="U56:AF56" si="53">U46+U55</f>
        <v>7487.9259999999995</v>
      </c>
      <c r="V56" s="67">
        <f t="shared" si="53"/>
        <v>8685.9380000000001</v>
      </c>
      <c r="W56" s="67">
        <f t="shared" si="53"/>
        <v>8276.3230000000003</v>
      </c>
      <c r="X56" s="483">
        <f t="shared" si="53"/>
        <v>10011.775000000001</v>
      </c>
      <c r="Y56" s="66">
        <f t="shared" si="53"/>
        <v>11146.754000000001</v>
      </c>
      <c r="Z56" s="67">
        <f t="shared" si="53"/>
        <v>13011.715999999999</v>
      </c>
      <c r="AA56" s="67">
        <f t="shared" si="53"/>
        <v>13220.017</v>
      </c>
      <c r="AB56" s="483">
        <f t="shared" si="53"/>
        <v>14294.649999999985</v>
      </c>
      <c r="AC56" s="66">
        <f t="shared" si="53"/>
        <v>16271.645999999999</v>
      </c>
      <c r="AD56" s="67">
        <f t="shared" si="53"/>
        <v>18011.973999999998</v>
      </c>
      <c r="AE56" s="67">
        <f t="shared" si="53"/>
        <v>18448.445</v>
      </c>
      <c r="AF56" s="523">
        <f t="shared" si="53"/>
        <v>19070.931988492248</v>
      </c>
    </row>
    <row r="57" spans="1:32" x14ac:dyDescent="0.2">
      <c r="E57" s="54"/>
      <c r="F57" s="68"/>
      <c r="G57" s="68"/>
      <c r="H57" s="68"/>
      <c r="I57" s="68"/>
      <c r="J57" s="68"/>
      <c r="K57" s="68"/>
      <c r="L57" s="68"/>
      <c r="M57" s="429"/>
      <c r="N57" s="5"/>
      <c r="U57" s="63"/>
      <c r="V57" s="63"/>
      <c r="W57" s="63"/>
      <c r="X57" s="482"/>
      <c r="Y57" s="50"/>
      <c r="Z57" s="63"/>
      <c r="AA57" s="63"/>
      <c r="AB57" s="482"/>
      <c r="AC57" s="62"/>
      <c r="AD57" s="50"/>
      <c r="AE57" s="50"/>
    </row>
    <row r="58" spans="1:32" x14ac:dyDescent="0.2">
      <c r="B58" s="3" t="s">
        <v>44</v>
      </c>
      <c r="C58" s="3"/>
      <c r="E58" s="54"/>
      <c r="F58" s="54"/>
      <c r="G58" s="54"/>
      <c r="H58" s="54"/>
      <c r="I58" s="54"/>
      <c r="J58" s="54"/>
      <c r="K58" s="54"/>
      <c r="L58" s="54"/>
      <c r="M58" s="427"/>
      <c r="U58" s="66"/>
      <c r="V58" s="67"/>
      <c r="W58" s="67"/>
      <c r="X58" s="483"/>
      <c r="Y58" s="66"/>
      <c r="Z58" s="67"/>
      <c r="AA58" s="67"/>
      <c r="AB58" s="483"/>
      <c r="AC58" s="66"/>
      <c r="AD58" s="67"/>
      <c r="AE58" s="67"/>
    </row>
    <row r="59" spans="1:32" x14ac:dyDescent="0.2">
      <c r="B59" s="2" t="s">
        <v>45</v>
      </c>
      <c r="D59" s="54">
        <v>4637.393</v>
      </c>
      <c r="E59" s="54">
        <v>6164.0749999999998</v>
      </c>
      <c r="F59" s="54">
        <v>7192.527</v>
      </c>
      <c r="G59" s="54">
        <v>8403.8619999999992</v>
      </c>
      <c r="H59" s="54">
        <v>10459.933999999999</v>
      </c>
      <c r="I59" s="54">
        <v>13560.647999999999</v>
      </c>
      <c r="J59" s="54">
        <f>16115.217</f>
        <v>16115.217000000001</v>
      </c>
      <c r="K59" s="54">
        <v>17125.834999999999</v>
      </c>
      <c r="L59" s="54">
        <v>19787.222000000002</v>
      </c>
      <c r="M59" s="427">
        <v>25454.005000000001</v>
      </c>
      <c r="N59" s="226">
        <f>N391</f>
        <v>30439.148802125903</v>
      </c>
      <c r="O59" s="7">
        <f t="shared" ref="O59:S59" si="54">O391</f>
        <v>32823.839079146011</v>
      </c>
      <c r="P59" s="7">
        <f t="shared" si="54"/>
        <v>35709.920300696307</v>
      </c>
      <c r="Q59" s="7">
        <f t="shared" si="54"/>
        <v>38804.115564720661</v>
      </c>
      <c r="R59" s="7">
        <f t="shared" si="54"/>
        <v>42269.19762195777</v>
      </c>
      <c r="S59" s="7">
        <f t="shared" si="54"/>
        <v>46046.015763482865</v>
      </c>
      <c r="U59" s="79">
        <v>4447.1379999999999</v>
      </c>
      <c r="V59" s="79">
        <v>4726.6540000000005</v>
      </c>
      <c r="W59" s="79">
        <v>4695.049</v>
      </c>
      <c r="X59" s="481">
        <v>5421.2949999999983</v>
      </c>
      <c r="Y59" s="79">
        <v>5483.1869999999999</v>
      </c>
      <c r="Z59" s="79">
        <v>5898.46</v>
      </c>
      <c r="AA59" s="79">
        <v>6494.3789999999999</v>
      </c>
      <c r="AB59" s="481">
        <v>6954.632999999998</v>
      </c>
      <c r="AC59" s="79">
        <v>6806.598</v>
      </c>
      <c r="AD59" s="79">
        <v>7542.5720000000001</v>
      </c>
      <c r="AE59" s="79">
        <v>7540.5860000000002</v>
      </c>
      <c r="AF59" s="511">
        <f>AF391</f>
        <v>7803.9650531641937</v>
      </c>
    </row>
    <row r="60" spans="1:32" x14ac:dyDescent="0.2">
      <c r="B60" s="2" t="s">
        <v>46</v>
      </c>
      <c r="D60" s="54">
        <v>0</v>
      </c>
      <c r="E60" s="54">
        <v>0</v>
      </c>
      <c r="F60" s="54">
        <v>0</v>
      </c>
      <c r="G60" s="54">
        <v>0</v>
      </c>
      <c r="H60" s="54">
        <v>147</v>
      </c>
      <c r="I60" s="54">
        <v>175.018</v>
      </c>
      <c r="J60" s="54">
        <v>211.94</v>
      </c>
      <c r="K60" s="54">
        <v>290.83699999999999</v>
      </c>
      <c r="L60" s="54">
        <v>383.80099999999999</v>
      </c>
      <c r="M60" s="427">
        <v>628.45799999999997</v>
      </c>
      <c r="N60" s="7">
        <f>SUM(AC60:AF60)*(1+'Adj from Unconsol to Consol'!F59)</f>
        <v>946.79578704879214</v>
      </c>
      <c r="O60" s="7">
        <f>(O56-O59-O61)*Assumptions!P106</f>
        <v>707.1855680185015</v>
      </c>
      <c r="P60" s="7">
        <f ca="1">(P56-P59-P61)*Assumptions!Q106</f>
        <v>873.8131330066451</v>
      </c>
      <c r="Q60" s="7">
        <f ca="1">(Q56-Q59-Q61)*Assumptions!R106</f>
        <v>967.66212879713748</v>
      </c>
      <c r="R60" s="7">
        <f ca="1">(R56-R59-R61)*Assumptions!S106</f>
        <v>1126.6101508216941</v>
      </c>
      <c r="S60" s="7">
        <f ca="1">(S56-S59-S61)*Assumptions!T106</f>
        <v>1311.49903161359</v>
      </c>
      <c r="U60" s="79">
        <v>60.000999999999998</v>
      </c>
      <c r="V60" s="79">
        <v>98.82</v>
      </c>
      <c r="W60" s="79">
        <v>98.228999999999999</v>
      </c>
      <c r="X60" s="481">
        <v>105.95099999999996</v>
      </c>
      <c r="Y60" s="79">
        <v>126.422</v>
      </c>
      <c r="Z60" s="79">
        <v>211.102</v>
      </c>
      <c r="AA60" s="79">
        <v>97.67</v>
      </c>
      <c r="AB60" s="481">
        <v>174.32999999999998</v>
      </c>
      <c r="AC60" s="79">
        <v>220.94900000000001</v>
      </c>
      <c r="AD60" s="79">
        <v>238.54900000000001</v>
      </c>
      <c r="AE60" s="79">
        <v>233.45099999999999</v>
      </c>
      <c r="AF60" s="511">
        <f>(AF56-AF59-AF61)*Assumptions!AG106</f>
        <v>225.32199870656109</v>
      </c>
    </row>
    <row r="61" spans="1:32" x14ac:dyDescent="0.2">
      <c r="B61" s="2" t="s">
        <v>47</v>
      </c>
      <c r="D61" s="54">
        <v>67.897999999999996</v>
      </c>
      <c r="E61" s="54">
        <v>-0.85899999999999999</v>
      </c>
      <c r="F61" s="54">
        <v>0.189</v>
      </c>
      <c r="G61" s="54">
        <v>4.8860000000000001</v>
      </c>
      <c r="H61" s="54">
        <v>49.433</v>
      </c>
      <c r="I61" s="54">
        <v>4.0670000000000002</v>
      </c>
      <c r="J61" s="54">
        <v>3.6</v>
      </c>
      <c r="K61" s="54">
        <f>10.824</f>
        <v>10.824</v>
      </c>
      <c r="L61" s="54">
        <v>16.419</v>
      </c>
      <c r="M61" s="427">
        <v>82.275000000000006</v>
      </c>
      <c r="N61" s="7">
        <f>SUM(AC61:AF61)*(1+'Adj from Unconsol to Consol'!F60)</f>
        <v>85.420000000000016</v>
      </c>
      <c r="O61" s="7">
        <f>GEOMEAN(J61:L61)</f>
        <v>8.616793046237083</v>
      </c>
      <c r="P61" s="7">
        <f>O61</f>
        <v>8.616793046237083</v>
      </c>
      <c r="Q61" s="7">
        <f t="shared" ref="Q61:S61" si="55">P61</f>
        <v>8.616793046237083</v>
      </c>
      <c r="R61" s="7">
        <f t="shared" si="55"/>
        <v>8.616793046237083</v>
      </c>
      <c r="S61" s="7">
        <f t="shared" si="55"/>
        <v>8.616793046237083</v>
      </c>
      <c r="U61" s="79">
        <v>0.751</v>
      </c>
      <c r="V61" s="79">
        <v>5.3999999999999999E-2</v>
      </c>
      <c r="W61" s="79">
        <v>1.556</v>
      </c>
      <c r="X61" s="481">
        <v>14.058</v>
      </c>
      <c r="Y61" s="79">
        <v>1.3680000000000001</v>
      </c>
      <c r="Z61" s="79">
        <v>0.78700000000000003</v>
      </c>
      <c r="AA61" s="79">
        <v>66.959000000000003</v>
      </c>
      <c r="AB61" s="481">
        <v>13.161000000000001</v>
      </c>
      <c r="AC61" s="79">
        <v>83.179000000000002</v>
      </c>
      <c r="AD61" s="79">
        <v>0.50700000000000001</v>
      </c>
      <c r="AE61" s="79">
        <v>0.86699999999999999</v>
      </c>
      <c r="AF61" s="511">
        <f>AE61</f>
        <v>0.86699999999999999</v>
      </c>
    </row>
    <row r="62" spans="1:32" s="65" customFormat="1" x14ac:dyDescent="0.2">
      <c r="A62" s="80"/>
      <c r="B62" s="65" t="s">
        <v>48</v>
      </c>
      <c r="D62" s="64">
        <f t="shared" ref="D62:J62" si="56">SUM(D59:D61)</f>
        <v>4705.2910000000002</v>
      </c>
      <c r="E62" s="64">
        <f t="shared" si="56"/>
        <v>6163.2159999999994</v>
      </c>
      <c r="F62" s="64">
        <f t="shared" si="56"/>
        <v>7192.7160000000003</v>
      </c>
      <c r="G62" s="64">
        <f t="shared" si="56"/>
        <v>8408.7479999999996</v>
      </c>
      <c r="H62" s="64">
        <f t="shared" si="56"/>
        <v>10656.367</v>
      </c>
      <c r="I62" s="64">
        <f t="shared" si="56"/>
        <v>13739.732999999998</v>
      </c>
      <c r="J62" s="64">
        <f t="shared" si="56"/>
        <v>16330.757000000001</v>
      </c>
      <c r="K62" s="64">
        <f t="shared" ref="K62" si="57">SUM(K59:K61)</f>
        <v>17427.495999999999</v>
      </c>
      <c r="L62" s="64">
        <f>(SUM(L59:L61))</f>
        <v>20187.442000000003</v>
      </c>
      <c r="M62" s="428">
        <f>(SUM(M59:M61))</f>
        <v>26164.738000000001</v>
      </c>
      <c r="N62" s="65">
        <f t="shared" ref="N62:O62" si="58">(SUM(N59:N61))</f>
        <v>31471.364589174693</v>
      </c>
      <c r="O62" s="65">
        <f t="shared" si="58"/>
        <v>33539.641440210755</v>
      </c>
      <c r="P62" s="65">
        <f ca="1">(SUM(P59:P61))</f>
        <v>36592.350226749193</v>
      </c>
      <c r="Q62" s="65">
        <f ca="1">(SUM(Q59:Q61))</f>
        <v>39780.394486564037</v>
      </c>
      <c r="R62" s="65">
        <f ca="1">(SUM(R59:R61))</f>
        <v>43404.424565825706</v>
      </c>
      <c r="S62" s="65">
        <f ca="1">(SUM(S59:S61))</f>
        <v>47366.131588142693</v>
      </c>
      <c r="T62" s="417"/>
      <c r="U62" s="66">
        <f>(SUM(U59:U61))</f>
        <v>4507.8900000000003</v>
      </c>
      <c r="V62" s="66">
        <f t="shared" ref="V62:AF62" si="59">(SUM(V59:V61))</f>
        <v>4825.5280000000002</v>
      </c>
      <c r="W62" s="66">
        <f t="shared" si="59"/>
        <v>4794.8339999999998</v>
      </c>
      <c r="X62" s="478">
        <f t="shared" si="59"/>
        <v>5541.3039999999983</v>
      </c>
      <c r="Y62" s="66">
        <f t="shared" si="59"/>
        <v>5610.9769999999999</v>
      </c>
      <c r="Z62" s="66">
        <f t="shared" si="59"/>
        <v>6110.3490000000002</v>
      </c>
      <c r="AA62" s="66">
        <f t="shared" si="59"/>
        <v>6659.0079999999998</v>
      </c>
      <c r="AB62" s="478">
        <f t="shared" si="59"/>
        <v>7142.123999999998</v>
      </c>
      <c r="AC62" s="67">
        <f t="shared" si="59"/>
        <v>7110.7259999999997</v>
      </c>
      <c r="AD62" s="67">
        <f t="shared" si="59"/>
        <v>7781.6279999999997</v>
      </c>
      <c r="AE62" s="67">
        <f t="shared" si="59"/>
        <v>7774.9040000000005</v>
      </c>
      <c r="AF62" s="523">
        <f t="shared" si="59"/>
        <v>8030.1540518707552</v>
      </c>
    </row>
    <row r="63" spans="1:32" x14ac:dyDescent="0.2">
      <c r="E63" s="54"/>
      <c r="F63" s="54"/>
      <c r="G63" s="54"/>
      <c r="H63" s="54"/>
      <c r="I63" s="54"/>
      <c r="J63" s="54"/>
      <c r="K63" s="54"/>
      <c r="L63" s="54"/>
      <c r="M63" s="427"/>
      <c r="U63" s="66"/>
      <c r="V63" s="66"/>
      <c r="W63" s="66"/>
      <c r="X63" s="478"/>
      <c r="Y63" s="66"/>
      <c r="Z63" s="66"/>
      <c r="AA63" s="66"/>
      <c r="AB63" s="478"/>
      <c r="AC63" s="67"/>
      <c r="AD63" s="67"/>
      <c r="AE63" s="67"/>
    </row>
    <row r="64" spans="1:32" x14ac:dyDescent="0.2">
      <c r="B64" s="81" t="s">
        <v>49</v>
      </c>
      <c r="D64" s="54">
        <v>297.42500000000001</v>
      </c>
      <c r="E64" s="54">
        <v>521.58199999999999</v>
      </c>
      <c r="F64" s="54">
        <v>0</v>
      </c>
      <c r="G64" s="54">
        <v>0</v>
      </c>
      <c r="H64" s="54">
        <v>0</v>
      </c>
      <c r="I64" s="54">
        <v>0</v>
      </c>
      <c r="J64" s="54">
        <v>1166.4670000000001</v>
      </c>
      <c r="K64" s="54">
        <v>-963.18600000000004</v>
      </c>
      <c r="L64" s="54">
        <v>-298.03100000000001</v>
      </c>
      <c r="M64" s="427">
        <v>301.29500000000002</v>
      </c>
      <c r="N64" s="7">
        <f t="shared" ref="N64:N65" si="60">SUM(AC64:AF64)</f>
        <v>0</v>
      </c>
      <c r="O64" s="7">
        <f>N64</f>
        <v>0</v>
      </c>
      <c r="P64" s="7">
        <f t="shared" ref="P64:S64" si="61">O64</f>
        <v>0</v>
      </c>
      <c r="Q64" s="7">
        <f t="shared" si="61"/>
        <v>0</v>
      </c>
      <c r="R64" s="7">
        <f t="shared" si="61"/>
        <v>0</v>
      </c>
      <c r="S64" s="7">
        <f t="shared" si="61"/>
        <v>0</v>
      </c>
      <c r="U64" s="19">
        <v>0</v>
      </c>
      <c r="V64" s="19">
        <v>0</v>
      </c>
      <c r="W64" s="82">
        <v>0</v>
      </c>
      <c r="X64" s="470">
        <v>0</v>
      </c>
      <c r="Y64" s="82">
        <v>0</v>
      </c>
      <c r="Z64" s="82">
        <v>0</v>
      </c>
      <c r="AA64" s="82">
        <v>0</v>
      </c>
      <c r="AB64" s="470">
        <v>0</v>
      </c>
      <c r="AC64" s="82">
        <v>0</v>
      </c>
      <c r="AD64" s="82">
        <v>0</v>
      </c>
      <c r="AE64" s="82">
        <v>0</v>
      </c>
      <c r="AF64" s="511">
        <v>0</v>
      </c>
    </row>
    <row r="65" spans="1:32" x14ac:dyDescent="0.2">
      <c r="B65" s="2" t="s">
        <v>50</v>
      </c>
      <c r="D65" s="54">
        <v>0</v>
      </c>
      <c r="E65" s="54">
        <v>0</v>
      </c>
      <c r="F65" s="54">
        <v>0</v>
      </c>
      <c r="G65" s="54">
        <v>0</v>
      </c>
      <c r="H65" s="54">
        <v>0</v>
      </c>
      <c r="I65" s="54">
        <v>0</v>
      </c>
      <c r="J65" s="54">
        <v>0</v>
      </c>
      <c r="K65" s="54">
        <v>0</v>
      </c>
      <c r="L65" s="54">
        <v>0</v>
      </c>
      <c r="M65" s="427">
        <v>0</v>
      </c>
      <c r="N65" s="7">
        <f t="shared" si="60"/>
        <v>0</v>
      </c>
      <c r="O65" s="7">
        <f>N65</f>
        <v>0</v>
      </c>
      <c r="P65" s="7">
        <f t="shared" ref="P65:S65" si="62">O65</f>
        <v>0</v>
      </c>
      <c r="Q65" s="7">
        <f t="shared" si="62"/>
        <v>0</v>
      </c>
      <c r="R65" s="7">
        <f t="shared" si="62"/>
        <v>0</v>
      </c>
      <c r="S65" s="7">
        <f t="shared" si="62"/>
        <v>0</v>
      </c>
      <c r="U65" s="83">
        <v>0</v>
      </c>
      <c r="V65" s="83">
        <v>0</v>
      </c>
      <c r="W65" s="83">
        <v>0</v>
      </c>
      <c r="X65" s="484">
        <v>0</v>
      </c>
      <c r="Y65" s="83">
        <v>0</v>
      </c>
      <c r="Z65" s="83">
        <v>0</v>
      </c>
      <c r="AA65" s="83">
        <v>0</v>
      </c>
      <c r="AB65" s="484">
        <v>0</v>
      </c>
      <c r="AC65" s="84">
        <v>0</v>
      </c>
      <c r="AD65" s="84">
        <v>0</v>
      </c>
      <c r="AE65" s="84">
        <v>0</v>
      </c>
      <c r="AF65" s="511">
        <v>0</v>
      </c>
    </row>
    <row r="66" spans="1:32" s="65" customFormat="1" x14ac:dyDescent="0.2">
      <c r="A66" s="80"/>
      <c r="B66" s="65" t="s">
        <v>51</v>
      </c>
      <c r="D66" s="64">
        <f t="shared" ref="D66:S66" si="63">D56-D62+D64+D65</f>
        <v>2443.2820000000002</v>
      </c>
      <c r="E66" s="64">
        <f t="shared" si="63"/>
        <v>4121.435000000004</v>
      </c>
      <c r="F66" s="64">
        <f t="shared" si="63"/>
        <v>5230.2260000000024</v>
      </c>
      <c r="G66" s="64">
        <f t="shared" si="63"/>
        <v>5646.6640000000007</v>
      </c>
      <c r="H66" s="64">
        <f t="shared" si="63"/>
        <v>6898.5340000000015</v>
      </c>
      <c r="I66" s="64">
        <f t="shared" si="63"/>
        <v>8451.2530000000061</v>
      </c>
      <c r="J66" s="64">
        <f t="shared" si="63"/>
        <v>10517.090999999997</v>
      </c>
      <c r="K66" s="64">
        <f t="shared" si="63"/>
        <v>9932.8439999999991</v>
      </c>
      <c r="L66" s="64">
        <f t="shared" si="63"/>
        <v>15179.99</v>
      </c>
      <c r="M66" s="428">
        <f t="shared" si="63"/>
        <v>26977.745999999996</v>
      </c>
      <c r="N66" s="65">
        <f t="shared" si="63"/>
        <v>41043.978172587806</v>
      </c>
      <c r="O66" s="65">
        <f t="shared" si="63"/>
        <v>34652.092832906572</v>
      </c>
      <c r="P66" s="65">
        <f t="shared" ca="1" si="63"/>
        <v>42816.843517325608</v>
      </c>
      <c r="Q66" s="65">
        <f t="shared" ca="1" si="63"/>
        <v>47415.444311059735</v>
      </c>
      <c r="R66" s="65">
        <f t="shared" ca="1" si="63"/>
        <v>55203.897390263002</v>
      </c>
      <c r="S66" s="65">
        <f t="shared" ca="1" si="63"/>
        <v>64263.452549065907</v>
      </c>
      <c r="T66" s="417"/>
      <c r="U66" s="66">
        <f t="shared" ref="U66" si="64">U56-U62+U64+U65</f>
        <v>2980.0359999999991</v>
      </c>
      <c r="V66" s="66">
        <f t="shared" ref="V66" si="65">V56-V62+V64+V65</f>
        <v>3860.41</v>
      </c>
      <c r="W66" s="66">
        <f t="shared" ref="W66" si="66">W56-W62+W64+W65</f>
        <v>3481.4890000000005</v>
      </c>
      <c r="X66" s="478">
        <f t="shared" ref="X66" si="67">X56-X62+X64+X65</f>
        <v>4470.4710000000032</v>
      </c>
      <c r="Y66" s="66">
        <f t="shared" ref="Y66" si="68">Y56-Y62+Y64+Y65</f>
        <v>5535.777000000001</v>
      </c>
      <c r="Z66" s="66">
        <f t="shared" ref="Z66" si="69">Z56-Z62+Z64+Z65</f>
        <v>6901.3669999999984</v>
      </c>
      <c r="AA66" s="66">
        <f t="shared" ref="AA66" si="70">AA56-AA62+AA64+AA65</f>
        <v>6561.009</v>
      </c>
      <c r="AB66" s="478">
        <f t="shared" ref="AB66" si="71">AB56-AB62+AB64+AB65</f>
        <v>7152.5259999999871</v>
      </c>
      <c r="AC66" s="67">
        <f t="shared" ref="AC66" si="72">AC56-AC62+AC64+AC65</f>
        <v>9160.9199999999983</v>
      </c>
      <c r="AD66" s="67">
        <f t="shared" ref="AD66" si="73">AD56-AD62+AD64+AD65</f>
        <v>10230.345999999998</v>
      </c>
      <c r="AE66" s="67">
        <f t="shared" ref="AE66" si="74">AE56-AE62+AE64+AE65</f>
        <v>10673.540999999999</v>
      </c>
      <c r="AF66" s="523">
        <f t="shared" ref="AF66" si="75">AF56-AF62+AF64+AF65</f>
        <v>11040.777936621493</v>
      </c>
    </row>
    <row r="67" spans="1:32" x14ac:dyDescent="0.2">
      <c r="E67" s="54"/>
      <c r="F67" s="54"/>
      <c r="G67" s="54"/>
      <c r="H67" s="54"/>
      <c r="I67" s="54"/>
      <c r="J67" s="54"/>
      <c r="K67" s="636"/>
      <c r="L67" s="636"/>
      <c r="M67" s="637"/>
      <c r="U67" s="85"/>
      <c r="V67" s="85"/>
      <c r="W67" s="85"/>
      <c r="X67" s="485"/>
      <c r="Y67" s="85"/>
      <c r="Z67" s="85"/>
      <c r="AA67" s="85"/>
      <c r="AB67" s="485"/>
      <c r="AC67" s="50"/>
      <c r="AD67" s="50"/>
    </row>
    <row r="68" spans="1:32" x14ac:dyDescent="0.2">
      <c r="B68" s="2" t="s">
        <v>52</v>
      </c>
      <c r="D68" s="54">
        <v>543.5</v>
      </c>
      <c r="E68" s="54">
        <v>1075.3779999999999</v>
      </c>
      <c r="F68" s="54">
        <v>1722.11</v>
      </c>
      <c r="G68" s="54">
        <v>1689.8879999999999</v>
      </c>
      <c r="H68" s="54">
        <v>2328.4479999999999</v>
      </c>
      <c r="I68" s="54">
        <v>3428.7440000000001</v>
      </c>
      <c r="J68" s="54">
        <v>3914.6680000000001</v>
      </c>
      <c r="K68" s="54">
        <v>4152.8509999999997</v>
      </c>
      <c r="L68" s="54">
        <v>6046.08</v>
      </c>
      <c r="M68" s="427">
        <v>11198.107</v>
      </c>
      <c r="N68" s="7">
        <f>SUM(AC68:AF68)*(1+'Adj from Unconsol to Consol'!F67)</f>
        <v>16824.70091669981</v>
      </c>
      <c r="O68" s="7">
        <f>O66*Assumptions!P104</f>
        <v>13860.837133162629</v>
      </c>
      <c r="P68" s="7">
        <f ca="1">P66*Assumptions!Q104</f>
        <v>17126.737406930242</v>
      </c>
      <c r="Q68" s="7">
        <f ca="1">Q66*Assumptions!R104</f>
        <v>18966.177724423895</v>
      </c>
      <c r="R68" s="7">
        <f ca="1">R66*Assumptions!S104</f>
        <v>22081.558956105204</v>
      </c>
      <c r="S68" s="7">
        <f ca="1">S66*Assumptions!T104</f>
        <v>25705.381019626366</v>
      </c>
      <c r="U68" s="85">
        <v>1065.097</v>
      </c>
      <c r="V68" s="85">
        <v>1649.0540000000001</v>
      </c>
      <c r="W68" s="85">
        <v>1360.2149999999999</v>
      </c>
      <c r="X68" s="485">
        <v>1755.8400000000001</v>
      </c>
      <c r="Y68" s="85">
        <v>2684.4349999999999</v>
      </c>
      <c r="Z68" s="85">
        <v>2750.962</v>
      </c>
      <c r="AA68" s="85">
        <v>2622.7060000000001</v>
      </c>
      <c r="AB68" s="485">
        <v>2860.5019999999995</v>
      </c>
      <c r="AC68" s="63">
        <v>3655.4639999999999</v>
      </c>
      <c r="AD68" s="63">
        <v>4058.8539999999998</v>
      </c>
      <c r="AE68" s="63">
        <v>4271.7340000000004</v>
      </c>
      <c r="AF68" s="511">
        <f>AF66*Assumptions!AG104</f>
        <v>4418.7085146640538</v>
      </c>
    </row>
    <row r="69" spans="1:32" x14ac:dyDescent="0.2">
      <c r="B69" s="3" t="s">
        <v>53</v>
      </c>
      <c r="C69" s="3"/>
      <c r="D69" s="64">
        <f t="shared" ref="D69:I69" si="76">D66-D68</f>
        <v>1899.7820000000002</v>
      </c>
      <c r="E69" s="64">
        <f t="shared" si="76"/>
        <v>3046.0570000000043</v>
      </c>
      <c r="F69" s="64">
        <f t="shared" si="76"/>
        <v>3508.1160000000027</v>
      </c>
      <c r="G69" s="64">
        <f t="shared" si="76"/>
        <v>3956.7760000000007</v>
      </c>
      <c r="H69" s="64">
        <f t="shared" si="76"/>
        <v>4570.0860000000011</v>
      </c>
      <c r="I69" s="64">
        <f t="shared" si="76"/>
        <v>5022.5090000000055</v>
      </c>
      <c r="J69" s="64">
        <f t="shared" ref="J69:K69" si="77">J66-J68</f>
        <v>6602.422999999997</v>
      </c>
      <c r="K69" s="64">
        <f t="shared" si="77"/>
        <v>5779.9929999999995</v>
      </c>
      <c r="L69" s="64">
        <f>L66-L68</f>
        <v>9133.91</v>
      </c>
      <c r="M69" s="428">
        <f t="shared" ref="M69:O69" si="78">M66-M68</f>
        <v>15779.638999999996</v>
      </c>
      <c r="N69" s="65">
        <f t="shared" si="78"/>
        <v>24219.277255887995</v>
      </c>
      <c r="O69" s="65">
        <f t="shared" si="78"/>
        <v>20791.255699743942</v>
      </c>
      <c r="P69" s="65">
        <f ca="1">P66-P68</f>
        <v>25690.106110395365</v>
      </c>
      <c r="Q69" s="65">
        <f ca="1">Q66-Q68</f>
        <v>28449.26658663584</v>
      </c>
      <c r="R69" s="65">
        <f ca="1">R66-R68</f>
        <v>33122.338434157798</v>
      </c>
      <c r="S69" s="65">
        <f ca="1">S66-S68</f>
        <v>38558.071529439541</v>
      </c>
      <c r="U69" s="86">
        <f t="shared" ref="U69:AF69" si="79">U66-U68</f>
        <v>1914.9389999999992</v>
      </c>
      <c r="V69" s="86">
        <f t="shared" si="79"/>
        <v>2211.3559999999998</v>
      </c>
      <c r="W69" s="86">
        <f t="shared" si="79"/>
        <v>2121.2740000000003</v>
      </c>
      <c r="X69" s="486">
        <f t="shared" si="79"/>
        <v>2714.631000000003</v>
      </c>
      <c r="Y69" s="86">
        <f t="shared" si="79"/>
        <v>2851.342000000001</v>
      </c>
      <c r="Z69" s="86">
        <f t="shared" si="79"/>
        <v>4150.4049999999988</v>
      </c>
      <c r="AA69" s="86">
        <f t="shared" si="79"/>
        <v>3938.3029999999999</v>
      </c>
      <c r="AB69" s="486">
        <f t="shared" si="79"/>
        <v>4292.0239999999876</v>
      </c>
      <c r="AC69" s="67">
        <f t="shared" si="79"/>
        <v>5505.4559999999983</v>
      </c>
      <c r="AD69" s="67">
        <f t="shared" si="79"/>
        <v>6171.4919999999984</v>
      </c>
      <c r="AE69" s="67">
        <f t="shared" si="79"/>
        <v>6401.8069999999989</v>
      </c>
      <c r="AF69" s="523">
        <f t="shared" si="79"/>
        <v>6622.0694219574389</v>
      </c>
    </row>
    <row r="70" spans="1:32" x14ac:dyDescent="0.2">
      <c r="B70" s="2" t="s">
        <v>62</v>
      </c>
      <c r="C70" s="3"/>
      <c r="D70" s="54">
        <v>-74.027000000000001</v>
      </c>
      <c r="E70" s="54">
        <v>-100.179</v>
      </c>
      <c r="F70" s="54">
        <v>0</v>
      </c>
      <c r="G70" s="54">
        <v>0</v>
      </c>
      <c r="H70" s="54">
        <v>0</v>
      </c>
      <c r="I70" s="54">
        <v>0</v>
      </c>
      <c r="J70" s="54">
        <v>-420.52199999999999</v>
      </c>
      <c r="K70" s="54">
        <v>-161.48099999999999</v>
      </c>
      <c r="L70" s="54">
        <v>-176.41900000000001</v>
      </c>
      <c r="M70" s="427">
        <v>-195.19800000000001</v>
      </c>
      <c r="N70" s="226">
        <f>M70*(1+Assumptions!O84)</f>
        <v>-214.6154859933755</v>
      </c>
      <c r="O70" s="226">
        <f>N70*(1+Assumptions!P84)</f>
        <v>-236.71243549052784</v>
      </c>
      <c r="P70" s="226">
        <f>O70*(1+Assumptions!Q84)</f>
        <v>-260.67205312989404</v>
      </c>
      <c r="Q70" s="226">
        <f>P70*(1+Assumptions!R84)</f>
        <v>-287.28391893727218</v>
      </c>
      <c r="R70" s="226">
        <f>Q70*(1+Assumptions!S84)</f>
        <v>-316.48743443348781</v>
      </c>
      <c r="S70" s="226">
        <f>R70*(1+Assumptions!T84)</f>
        <v>-348.72853064263154</v>
      </c>
      <c r="U70" s="86">
        <v>0</v>
      </c>
      <c r="V70" s="86">
        <v>0</v>
      </c>
      <c r="W70" s="86">
        <v>0</v>
      </c>
      <c r="X70" s="486">
        <v>0</v>
      </c>
      <c r="Y70" s="86">
        <v>0</v>
      </c>
      <c r="Z70" s="86">
        <v>0</v>
      </c>
      <c r="AA70" s="86">
        <v>0</v>
      </c>
      <c r="AB70" s="486">
        <v>0</v>
      </c>
      <c r="AC70" s="67">
        <v>0</v>
      </c>
      <c r="AD70" s="67">
        <v>0</v>
      </c>
      <c r="AE70" s="67">
        <v>0</v>
      </c>
      <c r="AF70" s="511">
        <v>0</v>
      </c>
    </row>
    <row r="71" spans="1:32" s="3" customFormat="1" x14ac:dyDescent="0.2">
      <c r="A71" s="87"/>
      <c r="B71" s="3" t="s">
        <v>63</v>
      </c>
      <c r="D71" s="64">
        <f t="shared" ref="D71:S71" si="80">SUM(D69:D70)</f>
        <v>1825.7550000000001</v>
      </c>
      <c r="E71" s="64">
        <f t="shared" si="80"/>
        <v>2945.8780000000042</v>
      </c>
      <c r="F71" s="64">
        <f t="shared" si="80"/>
        <v>3508.1160000000027</v>
      </c>
      <c r="G71" s="64">
        <f t="shared" si="80"/>
        <v>3956.7760000000007</v>
      </c>
      <c r="H71" s="64">
        <f t="shared" si="80"/>
        <v>4570.0860000000011</v>
      </c>
      <c r="I71" s="64">
        <f t="shared" si="80"/>
        <v>5022.5090000000055</v>
      </c>
      <c r="J71" s="64">
        <f t="shared" si="80"/>
        <v>6181.9009999999971</v>
      </c>
      <c r="K71" s="64">
        <f t="shared" si="80"/>
        <v>5618.5119999999997</v>
      </c>
      <c r="L71" s="64">
        <f t="shared" si="80"/>
        <v>8957.491</v>
      </c>
      <c r="M71" s="428">
        <f t="shared" si="80"/>
        <v>15584.440999999995</v>
      </c>
      <c r="N71" s="65">
        <f t="shared" si="80"/>
        <v>24004.661769894621</v>
      </c>
      <c r="O71" s="65">
        <f t="shared" si="80"/>
        <v>20554.543264253414</v>
      </c>
      <c r="P71" s="65">
        <f t="shared" ca="1" si="80"/>
        <v>25429.434057265473</v>
      </c>
      <c r="Q71" s="65">
        <f t="shared" ca="1" si="80"/>
        <v>28161.982667698569</v>
      </c>
      <c r="R71" s="65">
        <f t="shared" ca="1" si="80"/>
        <v>32805.850999724309</v>
      </c>
      <c r="S71" s="65">
        <f t="shared" ca="1" si="80"/>
        <v>38209.342998796907</v>
      </c>
      <c r="T71" s="418"/>
      <c r="U71" s="86">
        <f>U69</f>
        <v>1914.9389999999992</v>
      </c>
      <c r="V71" s="86">
        <f t="shared" ref="V71:AE71" si="81">V69</f>
        <v>2211.3559999999998</v>
      </c>
      <c r="W71" s="86">
        <f t="shared" si="81"/>
        <v>2121.2740000000003</v>
      </c>
      <c r="X71" s="486">
        <f t="shared" si="81"/>
        <v>2714.631000000003</v>
      </c>
      <c r="Y71" s="86">
        <f t="shared" si="81"/>
        <v>2851.342000000001</v>
      </c>
      <c r="Z71" s="86">
        <f t="shared" si="81"/>
        <v>4150.4049999999988</v>
      </c>
      <c r="AA71" s="86">
        <f t="shared" si="81"/>
        <v>3938.3029999999999</v>
      </c>
      <c r="AB71" s="486">
        <f t="shared" si="81"/>
        <v>4292.0239999999876</v>
      </c>
      <c r="AC71" s="67">
        <f t="shared" si="81"/>
        <v>5505.4559999999983</v>
      </c>
      <c r="AD71" s="67">
        <f t="shared" si="81"/>
        <v>6171.4919999999984</v>
      </c>
      <c r="AE71" s="67">
        <f t="shared" si="81"/>
        <v>6401.8069999999989</v>
      </c>
      <c r="AF71" s="523">
        <f>AF69</f>
        <v>6622.0694219574389</v>
      </c>
    </row>
    <row r="72" spans="1:32" s="89" customFormat="1" x14ac:dyDescent="0.2">
      <c r="A72" s="88"/>
      <c r="B72" s="89" t="s">
        <v>54</v>
      </c>
      <c r="D72" s="90">
        <f>D71/D76</f>
        <v>2.6147394023942714</v>
      </c>
      <c r="E72" s="90">
        <f t="shared" ref="E72:AF72" si="82">E71/E76</f>
        <v>3.6686208506519242</v>
      </c>
      <c r="F72" s="90">
        <f t="shared" si="82"/>
        <v>3.8833764828280493</v>
      </c>
      <c r="G72" s="90">
        <f t="shared" si="82"/>
        <v>3.9459723420545512</v>
      </c>
      <c r="H72" s="90">
        <f t="shared" si="82"/>
        <v>4.5576077485333304</v>
      </c>
      <c r="I72" s="90">
        <f t="shared" si="82"/>
        <v>5.0087954439978608</v>
      </c>
      <c r="J72" s="90">
        <f t="shared" si="82"/>
        <v>6.1650218175907243</v>
      </c>
      <c r="K72" s="90">
        <f t="shared" si="82"/>
        <v>5.2860104806936468</v>
      </c>
      <c r="L72" s="90">
        <f t="shared" si="82"/>
        <v>7.661263449882159</v>
      </c>
      <c r="M72" s="431">
        <f t="shared" si="82"/>
        <v>12.117487108751122</v>
      </c>
      <c r="N72" s="91">
        <f t="shared" si="82"/>
        <v>16.967749914813961</v>
      </c>
      <c r="O72" s="92">
        <f t="shared" si="82"/>
        <v>14.529025781087135</v>
      </c>
      <c r="P72" s="92">
        <f ca="1">P71/P76</f>
        <v>17.97485345534313</v>
      </c>
      <c r="Q72" s="92">
        <f ca="1">Q71/Q76</f>
        <v>19.906361672219983</v>
      </c>
      <c r="R72" s="92">
        <f ca="1">R71/R76</f>
        <v>23.188890593079797</v>
      </c>
      <c r="S72" s="92">
        <f ca="1">S71/S76</f>
        <v>27.008361235317654</v>
      </c>
      <c r="T72" s="419"/>
      <c r="U72" s="93">
        <f t="shared" si="82"/>
        <v>1.6378305230174257</v>
      </c>
      <c r="V72" s="93">
        <f t="shared" si="82"/>
        <v>1.891353382043879</v>
      </c>
      <c r="W72" s="93">
        <f t="shared" si="82"/>
        <v>1.8143070379177975</v>
      </c>
      <c r="X72" s="487">
        <f t="shared" si="82"/>
        <v>2.3218000732813548</v>
      </c>
      <c r="Y72" s="93">
        <f t="shared" si="82"/>
        <v>2.2170252964248554</v>
      </c>
      <c r="Z72" s="93">
        <f t="shared" si="82"/>
        <v>3.2270954783425472</v>
      </c>
      <c r="AA72" s="93">
        <f t="shared" si="82"/>
        <v>3.062178222039269</v>
      </c>
      <c r="AB72" s="487">
        <f t="shared" si="82"/>
        <v>3.3372095598713032</v>
      </c>
      <c r="AC72" s="94">
        <f t="shared" si="82"/>
        <v>3.89154412882286</v>
      </c>
      <c r="AD72" s="94">
        <f t="shared" si="82"/>
        <v>4.3623331943216419</v>
      </c>
      <c r="AE72" s="94">
        <f t="shared" si="82"/>
        <v>4.5251318773062739</v>
      </c>
      <c r="AF72" s="487">
        <f t="shared" si="82"/>
        <v>4.6808248725765615</v>
      </c>
    </row>
    <row r="73" spans="1:32" s="89" customFormat="1" x14ac:dyDescent="0.2">
      <c r="A73" s="88"/>
      <c r="B73" s="89" t="s">
        <v>55</v>
      </c>
      <c r="D73" s="95">
        <v>0</v>
      </c>
      <c r="E73" s="90">
        <v>1</v>
      </c>
      <c r="F73" s="90">
        <v>1.5</v>
      </c>
      <c r="G73" s="90">
        <v>1.5</v>
      </c>
      <c r="H73" s="90">
        <v>2.75</v>
      </c>
      <c r="I73" s="90">
        <v>3</v>
      </c>
      <c r="J73" s="90">
        <v>3</v>
      </c>
      <c r="K73" s="90">
        <v>3</v>
      </c>
      <c r="L73" s="90">
        <v>3.5</v>
      </c>
      <c r="M73" s="431">
        <v>5</v>
      </c>
      <c r="N73" s="91">
        <f ca="1">SUM(AC73:AF73)</f>
        <v>8</v>
      </c>
      <c r="O73" s="91">
        <f>ROUND(O72*O75,0)</f>
        <v>7</v>
      </c>
      <c r="P73" s="91">
        <f ca="1">ROUND(P72*P75,0)</f>
        <v>7</v>
      </c>
      <c r="Q73" s="91">
        <f ca="1">ROUND(Q72*Q75,0)</f>
        <v>8</v>
      </c>
      <c r="R73" s="91">
        <f ca="1">ROUND(R72*R75,0)</f>
        <v>9</v>
      </c>
      <c r="S73" s="91">
        <f ca="1">ROUND(S72*S75,0)</f>
        <v>11</v>
      </c>
      <c r="T73" s="419"/>
      <c r="U73" s="96">
        <v>0</v>
      </c>
      <c r="V73" s="96">
        <v>1.5</v>
      </c>
      <c r="W73" s="97">
        <v>0</v>
      </c>
      <c r="X73" s="488">
        <v>2</v>
      </c>
      <c r="Y73" s="96">
        <v>1</v>
      </c>
      <c r="Z73" s="96">
        <v>1</v>
      </c>
      <c r="AA73" s="96">
        <v>1</v>
      </c>
      <c r="AB73" s="488">
        <v>2</v>
      </c>
      <c r="AC73" s="96">
        <f ca="1">AC72*AC75</f>
        <v>0</v>
      </c>
      <c r="AD73" s="96">
        <f>AD72*AD75</f>
        <v>0</v>
      </c>
      <c r="AE73" s="91">
        <v>4</v>
      </c>
      <c r="AF73" s="487">
        <f>ROUND(AF72*AF75,0)</f>
        <v>4</v>
      </c>
    </row>
    <row r="74" spans="1:32" x14ac:dyDescent="0.2">
      <c r="B74" s="2" t="s">
        <v>56</v>
      </c>
      <c r="E74" s="54">
        <f>E73*E76</f>
        <v>802.99330999999995</v>
      </c>
      <c r="F74" s="54">
        <f t="shared" ref="F74:M74" si="83">F73*F76</f>
        <v>1355.0512094999999</v>
      </c>
      <c r="G74" s="54">
        <f t="shared" si="83"/>
        <v>1504.1068424999999</v>
      </c>
      <c r="H74" s="54">
        <f t="shared" si="83"/>
        <v>2757.5292112500001</v>
      </c>
      <c r="I74" s="54">
        <f t="shared" si="83"/>
        <v>3008.2136849999997</v>
      </c>
      <c r="J74" s="54">
        <f t="shared" si="83"/>
        <v>3008.2136849999997</v>
      </c>
      <c r="K74" s="54">
        <f t="shared" si="83"/>
        <v>3188.7065040000002</v>
      </c>
      <c r="L74" s="54">
        <f t="shared" si="83"/>
        <v>4092.1733999999997</v>
      </c>
      <c r="M74" s="427">
        <f t="shared" si="83"/>
        <v>6430.5581099999999</v>
      </c>
      <c r="N74" s="7">
        <f ca="1">N73*N76</f>
        <v>11317.781976</v>
      </c>
      <c r="O74" s="7">
        <f t="shared" ref="O74" si="84">O73*O76</f>
        <v>9903.0592290000004</v>
      </c>
      <c r="P74" s="7">
        <f ca="1">P73*P76</f>
        <v>9903.0592290000004</v>
      </c>
      <c r="Q74" s="7">
        <f ca="1">Q73*Q76</f>
        <v>11317.781976</v>
      </c>
      <c r="R74" s="7">
        <f ca="1">R73*R76</f>
        <v>12732.504723</v>
      </c>
      <c r="S74" s="7">
        <f ca="1">S73*S76</f>
        <v>15561.950217</v>
      </c>
      <c r="U74" s="62">
        <f t="shared" ref="U74:AF74" si="85">U73*U76</f>
        <v>0</v>
      </c>
      <c r="V74" s="62">
        <f t="shared" si="85"/>
        <v>1753.7885999999999</v>
      </c>
      <c r="W74" s="62">
        <f t="shared" si="85"/>
        <v>0</v>
      </c>
      <c r="X74" s="477">
        <f t="shared" si="85"/>
        <v>2338.3847999999998</v>
      </c>
      <c r="Y74" s="62">
        <f t="shared" si="85"/>
        <v>1286.1116219999999</v>
      </c>
      <c r="Z74" s="62">
        <f t="shared" si="85"/>
        <v>1286.1116219999999</v>
      </c>
      <c r="AA74" s="62">
        <f t="shared" si="85"/>
        <v>1286.1116219999999</v>
      </c>
      <c r="AB74" s="477">
        <f t="shared" si="85"/>
        <v>2572.2232439999998</v>
      </c>
      <c r="AC74" s="63">
        <f ca="1">AC73*AC76</f>
        <v>0</v>
      </c>
      <c r="AD74" s="63">
        <f t="shared" si="85"/>
        <v>0</v>
      </c>
      <c r="AE74" s="63">
        <f t="shared" si="85"/>
        <v>5658.8909880000001</v>
      </c>
      <c r="AF74" s="511">
        <f t="shared" si="85"/>
        <v>5658.8909880000001</v>
      </c>
    </row>
    <row r="75" spans="1:32" x14ac:dyDescent="0.2">
      <c r="B75" s="2" t="s">
        <v>57</v>
      </c>
      <c r="D75" s="54">
        <v>0</v>
      </c>
      <c r="E75" s="98">
        <f>E73/E72</f>
        <v>0.27258199762515584</v>
      </c>
      <c r="F75" s="98">
        <f t="shared" ref="F75:K75" si="86">F73/F72</f>
        <v>0.38626180248885694</v>
      </c>
      <c r="G75" s="98">
        <f t="shared" si="86"/>
        <v>0.38013444342060299</v>
      </c>
      <c r="H75" s="98">
        <f t="shared" si="86"/>
        <v>0.60338672209888378</v>
      </c>
      <c r="I75" s="98">
        <f t="shared" si="86"/>
        <v>0.59894640009604694</v>
      </c>
      <c r="J75" s="98">
        <f t="shared" si="86"/>
        <v>0.48661628275832974</v>
      </c>
      <c r="K75" s="98">
        <f t="shared" si="86"/>
        <v>0.56753576462949629</v>
      </c>
      <c r="L75" s="98">
        <f>L73/L72</f>
        <v>0.4568437076855561</v>
      </c>
      <c r="M75" s="432">
        <f>M73/M72</f>
        <v>0.41262680579945099</v>
      </c>
      <c r="N75" s="98">
        <f ca="1">N73/N72</f>
        <v>0.47148266801218436</v>
      </c>
      <c r="O75" s="98">
        <v>0.45</v>
      </c>
      <c r="P75" s="98">
        <v>0.4</v>
      </c>
      <c r="Q75" s="98">
        <f>P75</f>
        <v>0.4</v>
      </c>
      <c r="R75" s="98">
        <f t="shared" ref="R75:S75" si="87">Q75</f>
        <v>0.4</v>
      </c>
      <c r="S75" s="98">
        <f t="shared" si="87"/>
        <v>0.4</v>
      </c>
      <c r="U75" s="99">
        <f t="shared" ref="U75:AB75" si="88">U73/U72</f>
        <v>0</v>
      </c>
      <c r="V75" s="99">
        <f t="shared" si="88"/>
        <v>0.79308288669938265</v>
      </c>
      <c r="W75" s="99">
        <f t="shared" si="88"/>
        <v>0</v>
      </c>
      <c r="X75" s="489">
        <f t="shared" si="88"/>
        <v>0.86140061024868475</v>
      </c>
      <c r="Y75" s="99">
        <f t="shared" si="88"/>
        <v>0.45105484435048454</v>
      </c>
      <c r="Z75" s="99">
        <f t="shared" si="88"/>
        <v>0.30987617401193385</v>
      </c>
      <c r="AA75" s="99">
        <f t="shared" si="88"/>
        <v>0.3265649245372943</v>
      </c>
      <c r="AB75" s="489">
        <f t="shared" si="88"/>
        <v>0.59930308963789747</v>
      </c>
      <c r="AC75" s="100">
        <f ca="1">AC73/AC72</f>
        <v>0</v>
      </c>
      <c r="AD75" s="100">
        <v>0</v>
      </c>
      <c r="AE75" s="100">
        <f>AE73/AE72</f>
        <v>0.88395213851339183</v>
      </c>
      <c r="AF75" s="525">
        <v>0.9</v>
      </c>
    </row>
    <row r="76" spans="1:32" x14ac:dyDescent="0.2">
      <c r="B76" s="2" t="s">
        <v>58</v>
      </c>
      <c r="D76" s="54">
        <f>D285</f>
        <v>698.25505299999998</v>
      </c>
      <c r="E76" s="54">
        <f t="shared" ref="E76:M76" si="89">E285</f>
        <v>802.99330999999995</v>
      </c>
      <c r="F76" s="54">
        <f t="shared" si="89"/>
        <v>903.36747300000002</v>
      </c>
      <c r="G76" s="54">
        <f t="shared" si="89"/>
        <v>1002.737895</v>
      </c>
      <c r="H76" s="54">
        <f t="shared" si="89"/>
        <v>1002.737895</v>
      </c>
      <c r="I76" s="54">
        <f t="shared" si="89"/>
        <v>1002.737895</v>
      </c>
      <c r="J76" s="54">
        <f t="shared" si="89"/>
        <v>1002.737895</v>
      </c>
      <c r="K76" s="54">
        <f t="shared" si="89"/>
        <v>1062.9021680000001</v>
      </c>
      <c r="L76" s="54">
        <f t="shared" si="89"/>
        <v>1169.1923999999999</v>
      </c>
      <c r="M76" s="427">
        <f t="shared" si="89"/>
        <v>1286.1116219999999</v>
      </c>
      <c r="N76" s="7">
        <v>1414.722747</v>
      </c>
      <c r="O76" s="7">
        <f>N76</f>
        <v>1414.722747</v>
      </c>
      <c r="P76" s="7">
        <f t="shared" ref="P76:S76" si="90">O76</f>
        <v>1414.722747</v>
      </c>
      <c r="Q76" s="7">
        <f>P76</f>
        <v>1414.722747</v>
      </c>
      <c r="R76" s="7">
        <f t="shared" si="90"/>
        <v>1414.722747</v>
      </c>
      <c r="S76" s="7">
        <f t="shared" si="90"/>
        <v>1414.722747</v>
      </c>
      <c r="U76" s="62">
        <f>L285</f>
        <v>1169.1923999999999</v>
      </c>
      <c r="V76" s="62">
        <f>L285</f>
        <v>1169.1923999999999</v>
      </c>
      <c r="W76" s="62">
        <f>L285</f>
        <v>1169.1923999999999</v>
      </c>
      <c r="X76" s="477">
        <f>L285</f>
        <v>1169.1923999999999</v>
      </c>
      <c r="Y76" s="62">
        <f>M285</f>
        <v>1286.1116219999999</v>
      </c>
      <c r="Z76" s="62">
        <f>M285</f>
        <v>1286.1116219999999</v>
      </c>
      <c r="AA76" s="62">
        <f>M285</f>
        <v>1286.1116219999999</v>
      </c>
      <c r="AB76" s="477">
        <f>M285</f>
        <v>1286.1116219999999</v>
      </c>
      <c r="AC76" s="63">
        <f>N76</f>
        <v>1414.722747</v>
      </c>
      <c r="AD76" s="63">
        <f>AC76</f>
        <v>1414.722747</v>
      </c>
      <c r="AE76" s="63">
        <f t="shared" ref="AE76:AF76" si="91">AD76</f>
        <v>1414.722747</v>
      </c>
      <c r="AF76" s="511">
        <f t="shared" si="91"/>
        <v>1414.722747</v>
      </c>
    </row>
    <row r="77" spans="1:32" s="36" customFormat="1" x14ac:dyDescent="0.2">
      <c r="A77" s="101"/>
      <c r="B77" s="102" t="s">
        <v>59</v>
      </c>
      <c r="D77" s="103">
        <v>0</v>
      </c>
      <c r="E77" s="104">
        <f>E76/D76-1</f>
        <v>0.14999999863946556</v>
      </c>
      <c r="F77" s="104">
        <f t="shared" ref="F77:M77" si="92">F76/E76-1</f>
        <v>0.1249999990659949</v>
      </c>
      <c r="G77" s="104">
        <f t="shared" si="92"/>
        <v>0.10999999996679088</v>
      </c>
      <c r="H77" s="104">
        <f t="shared" si="92"/>
        <v>0</v>
      </c>
      <c r="I77" s="104">
        <f t="shared" si="92"/>
        <v>0</v>
      </c>
      <c r="J77" s="104">
        <f t="shared" si="92"/>
        <v>0</v>
      </c>
      <c r="K77" s="104">
        <f t="shared" si="92"/>
        <v>5.9999999301911355E-2</v>
      </c>
      <c r="L77" s="104">
        <f t="shared" si="92"/>
        <v>0.10000001430046934</v>
      </c>
      <c r="M77" s="433">
        <f t="shared" si="92"/>
        <v>9.9999984604757897E-2</v>
      </c>
      <c r="N77" s="104">
        <f t="shared" ref="N77" si="93">N76/M76-1</f>
        <v>9.9999971075605654E-2</v>
      </c>
      <c r="O77" s="104">
        <f t="shared" ref="O77:Q77" si="94">O76/N76-1</f>
        <v>0</v>
      </c>
      <c r="P77" s="104">
        <f t="shared" si="94"/>
        <v>0</v>
      </c>
      <c r="Q77" s="104">
        <f t="shared" si="94"/>
        <v>0</v>
      </c>
      <c r="R77" s="104">
        <f t="shared" ref="R77" si="95">R76/Q76-1</f>
        <v>0</v>
      </c>
      <c r="S77" s="104">
        <f t="shared" ref="S77" si="96">S76/R76-1</f>
        <v>0</v>
      </c>
      <c r="T77" s="420"/>
      <c r="W77" s="105"/>
      <c r="X77" s="490"/>
      <c r="AB77" s="490"/>
      <c r="AF77" s="526"/>
    </row>
    <row r="78" spans="1:32" x14ac:dyDescent="0.2">
      <c r="J78" s="5"/>
      <c r="W78" s="50"/>
    </row>
    <row r="79" spans="1:32" s="106" customFormat="1" ht="11.1" customHeight="1" x14ac:dyDescent="0.2">
      <c r="B79" s="58" t="s">
        <v>100</v>
      </c>
      <c r="C79" s="4"/>
      <c r="D79" s="352"/>
      <c r="E79" s="353"/>
      <c r="F79" s="353"/>
      <c r="G79" s="353"/>
      <c r="H79" s="353"/>
      <c r="I79" s="353"/>
      <c r="J79" s="353"/>
      <c r="K79" s="353"/>
      <c r="L79" s="353"/>
      <c r="M79" s="434"/>
      <c r="N79" s="213"/>
      <c r="O79" s="213"/>
      <c r="P79" s="213"/>
      <c r="Q79" s="213"/>
      <c r="R79" s="213"/>
      <c r="S79" s="213"/>
      <c r="T79" s="354"/>
      <c r="U79" s="213"/>
      <c r="V79" s="213"/>
      <c r="W79" s="354"/>
      <c r="X79" s="491"/>
      <c r="Y79" s="213"/>
      <c r="Z79" s="213"/>
      <c r="AA79" s="213"/>
      <c r="AB79" s="491"/>
      <c r="AC79" s="213"/>
      <c r="AD79" s="213"/>
      <c r="AE79" s="213"/>
      <c r="AF79" s="527"/>
    </row>
    <row r="80" spans="1:32" s="113" customFormat="1" ht="13.5" customHeight="1" x14ac:dyDescent="0.2">
      <c r="A80" s="107"/>
      <c r="B80" s="108" t="s">
        <v>65</v>
      </c>
      <c r="C80" s="2"/>
      <c r="D80" s="109">
        <f t="shared" ref="D80:N80" si="97">SUM(D81:D82)</f>
        <v>3560.3379999999997</v>
      </c>
      <c r="E80" s="109">
        <f t="shared" si="97"/>
        <v>5045.9920000000002</v>
      </c>
      <c r="F80" s="109">
        <f t="shared" si="97"/>
        <v>5370.0080000000007</v>
      </c>
      <c r="G80" s="109">
        <f t="shared" si="97"/>
        <v>7155.4159999999993</v>
      </c>
      <c r="H80" s="110">
        <f t="shared" si="97"/>
        <v>8518.8719999999994</v>
      </c>
      <c r="I80" s="110">
        <f t="shared" si="97"/>
        <v>12503.531999999999</v>
      </c>
      <c r="J80" s="110">
        <f t="shared" si="97"/>
        <v>16884.733</v>
      </c>
      <c r="K80" s="110">
        <f t="shared" si="97"/>
        <v>18760.314999999999</v>
      </c>
      <c r="L80" s="110">
        <f t="shared" si="97"/>
        <v>12877.212</v>
      </c>
      <c r="M80" s="435">
        <f t="shared" si="97"/>
        <v>16341.647000000001</v>
      </c>
      <c r="N80" s="65">
        <f t="shared" si="97"/>
        <v>16862.03508828882</v>
      </c>
      <c r="O80" s="65">
        <f ca="1">SUM(O81:O82)</f>
        <v>19631.073930800732</v>
      </c>
      <c r="P80" s="65">
        <f ca="1">SUM(P81:P82)</f>
        <v>21481.676970299875</v>
      </c>
      <c r="Q80" s="65">
        <f ca="1">SUM(Q81:Q82)</f>
        <v>26076.631336953622</v>
      </c>
      <c r="R80" s="65">
        <f ca="1">SUM(R81:R82)</f>
        <v>30563.529886543183</v>
      </c>
      <c r="S80" s="65">
        <f ca="1">SUM(S81:S82)</f>
        <v>35337.718020145629</v>
      </c>
      <c r="T80" s="273"/>
      <c r="U80" s="111">
        <f>SUM(U81:U82)</f>
        <v>15243.280999999999</v>
      </c>
      <c r="V80" s="111">
        <f t="shared" ref="V80:AF80" si="98">SUM(V81:V82)</f>
        <v>16597.815999999999</v>
      </c>
      <c r="W80" s="111">
        <f t="shared" si="98"/>
        <v>13588.543</v>
      </c>
      <c r="X80" s="492">
        <f t="shared" si="98"/>
        <v>12877.212</v>
      </c>
      <c r="Y80" s="112">
        <f t="shared" si="98"/>
        <v>12889.116</v>
      </c>
      <c r="Z80" s="112">
        <f t="shared" si="98"/>
        <v>19309.488000000001</v>
      </c>
      <c r="AA80" s="112">
        <f t="shared" si="98"/>
        <v>16312.661</v>
      </c>
      <c r="AB80" s="445">
        <f t="shared" si="98"/>
        <v>16341.187</v>
      </c>
      <c r="AC80" s="111">
        <f t="shared" si="98"/>
        <v>21462.781999999999</v>
      </c>
      <c r="AD80" s="111">
        <f t="shared" si="98"/>
        <v>22740.724999999999</v>
      </c>
      <c r="AE80" s="111">
        <f t="shared" si="98"/>
        <v>29944.547000000002</v>
      </c>
      <c r="AF80" s="528">
        <f t="shared" si="98"/>
        <v>28476.706779325061</v>
      </c>
    </row>
    <row r="81" spans="1:32" s="113" customFormat="1" ht="13.5" customHeight="1" x14ac:dyDescent="0.2">
      <c r="A81" s="107"/>
      <c r="B81" s="114" t="s">
        <v>66</v>
      </c>
      <c r="C81" s="2"/>
      <c r="D81" s="115">
        <v>3069.8609999999999</v>
      </c>
      <c r="E81" s="115">
        <v>4475.6030000000001</v>
      </c>
      <c r="F81" s="115">
        <v>4396.8280000000004</v>
      </c>
      <c r="G81" s="116">
        <v>5991.11</v>
      </c>
      <c r="H81" s="116">
        <v>7304.82</v>
      </c>
      <c r="I81" s="116">
        <v>10796.938</v>
      </c>
      <c r="J81" s="116">
        <v>14725.216</v>
      </c>
      <c r="K81" s="116">
        <v>16244.57</v>
      </c>
      <c r="L81" s="116">
        <v>10754.777</v>
      </c>
      <c r="M81" s="436">
        <v>14487.566000000001</v>
      </c>
      <c r="N81" s="7">
        <f t="shared" ref="N81:S82" si="99">M81/M$89*N$89</f>
        <v>14948.912201805613</v>
      </c>
      <c r="O81" s="7">
        <f t="shared" ca="1" si="99"/>
        <v>17403.783059526071</v>
      </c>
      <c r="P81" s="7">
        <f t="shared" ca="1" si="99"/>
        <v>19044.42146485599</v>
      </c>
      <c r="Q81" s="7">
        <f t="shared" ca="1" si="99"/>
        <v>23118.044194185804</v>
      </c>
      <c r="R81" s="7">
        <f t="shared" ca="1" si="99"/>
        <v>27095.870839962881</v>
      </c>
      <c r="S81" s="7">
        <f t="shared" ca="1" si="99"/>
        <v>31328.39193664195</v>
      </c>
      <c r="T81" s="273"/>
      <c r="U81" s="117">
        <v>13224.757</v>
      </c>
      <c r="V81" s="117">
        <v>14554.861000000001</v>
      </c>
      <c r="W81" s="117">
        <v>11662.198</v>
      </c>
      <c r="X81" s="493">
        <v>10754.777</v>
      </c>
      <c r="Y81" s="118">
        <v>10412.134</v>
      </c>
      <c r="Z81" s="118">
        <v>14506.609</v>
      </c>
      <c r="AA81" s="118">
        <f>14026.702</f>
        <v>14026.701999999999</v>
      </c>
      <c r="AB81" s="446">
        <v>14487.106</v>
      </c>
      <c r="AC81" s="117">
        <v>19766.307000000001</v>
      </c>
      <c r="AD81" s="117">
        <v>20143.957999999999</v>
      </c>
      <c r="AE81" s="117">
        <v>24952.848000000002</v>
      </c>
      <c r="AF81" s="529">
        <f>AE81/AE$89*AF$89</f>
        <v>23729.693950790701</v>
      </c>
    </row>
    <row r="82" spans="1:32" s="113" customFormat="1" ht="13.5" customHeight="1" x14ac:dyDescent="0.2">
      <c r="A82" s="107"/>
      <c r="B82" s="114" t="s">
        <v>67</v>
      </c>
      <c r="C82" s="2"/>
      <c r="D82" s="115">
        <v>490.47699999999998</v>
      </c>
      <c r="E82" s="115">
        <v>570.38900000000001</v>
      </c>
      <c r="F82" s="115">
        <v>973.18</v>
      </c>
      <c r="G82" s="116">
        <v>1164.306</v>
      </c>
      <c r="H82" s="116">
        <v>1214.0519999999999</v>
      </c>
      <c r="I82" s="116">
        <v>1706.5940000000001</v>
      </c>
      <c r="J82" s="116">
        <v>2159.5169999999998</v>
      </c>
      <c r="K82" s="116">
        <v>2515.7449999999999</v>
      </c>
      <c r="L82" s="116">
        <v>2122.4349999999999</v>
      </c>
      <c r="M82" s="436">
        <v>1854.0809999999999</v>
      </c>
      <c r="N82" s="7">
        <f t="shared" si="99"/>
        <v>1913.1228864832055</v>
      </c>
      <c r="O82" s="7">
        <f t="shared" ca="1" si="99"/>
        <v>2227.2908712746607</v>
      </c>
      <c r="P82" s="7">
        <f t="shared" ca="1" si="99"/>
        <v>2437.2555054438858</v>
      </c>
      <c r="Q82" s="7">
        <f t="shared" ca="1" si="99"/>
        <v>2958.5871427678194</v>
      </c>
      <c r="R82" s="7">
        <f t="shared" ca="1" si="99"/>
        <v>3467.6590465803029</v>
      </c>
      <c r="S82" s="7">
        <f t="shared" ca="1" si="99"/>
        <v>4009.3260835036776</v>
      </c>
      <c r="T82" s="273"/>
      <c r="U82" s="117">
        <v>2018.5239999999999</v>
      </c>
      <c r="V82" s="117">
        <v>2042.9549999999999</v>
      </c>
      <c r="W82" s="117">
        <v>1926.345</v>
      </c>
      <c r="X82" s="493">
        <v>2122.4349999999999</v>
      </c>
      <c r="Y82" s="118">
        <v>2476.982</v>
      </c>
      <c r="Z82" s="118">
        <v>4802.8789999999999</v>
      </c>
      <c r="AA82" s="118">
        <v>2285.9589999999998</v>
      </c>
      <c r="AB82" s="446">
        <v>1854.0809999999999</v>
      </c>
      <c r="AC82" s="117">
        <v>1696.4749999999999</v>
      </c>
      <c r="AD82" s="117">
        <v>2596.7669999999998</v>
      </c>
      <c r="AE82" s="117">
        <v>4991.6989999999996</v>
      </c>
      <c r="AF82" s="529">
        <f>AE82/AE$89*AF$89</f>
        <v>4747.0128285343608</v>
      </c>
    </row>
    <row r="83" spans="1:32" s="113" customFormat="1" ht="13.5" customHeight="1" x14ac:dyDescent="0.2">
      <c r="A83" s="107"/>
      <c r="B83" s="108" t="s">
        <v>68</v>
      </c>
      <c r="C83" s="2"/>
      <c r="D83" s="109">
        <f t="shared" ref="D83:N83" si="100">SUM(D84:D85)</f>
        <v>7378.9979999999996</v>
      </c>
      <c r="E83" s="109">
        <f t="shared" si="100"/>
        <v>8210.5560000000005</v>
      </c>
      <c r="F83" s="109">
        <f t="shared" si="100"/>
        <v>9312.3349999999991</v>
      </c>
      <c r="G83" s="109">
        <f t="shared" si="100"/>
        <v>15183.564</v>
      </c>
      <c r="H83" s="109">
        <f t="shared" si="100"/>
        <v>12476.1721</v>
      </c>
      <c r="I83" s="110">
        <f t="shared" si="100"/>
        <v>18546.673000000003</v>
      </c>
      <c r="J83" s="110">
        <f t="shared" si="100"/>
        <v>23461.569000000003</v>
      </c>
      <c r="K83" s="110">
        <f t="shared" si="100"/>
        <v>29111.909</v>
      </c>
      <c r="L83" s="110">
        <f t="shared" si="100"/>
        <v>30435.394</v>
      </c>
      <c r="M83" s="435">
        <f t="shared" si="100"/>
        <v>40591.32</v>
      </c>
      <c r="N83" s="65">
        <f t="shared" si="100"/>
        <v>41883.921621851187</v>
      </c>
      <c r="O83" s="65">
        <f ca="1">SUM(O84:O85)</f>
        <v>48761.988547959096</v>
      </c>
      <c r="P83" s="65">
        <f ca="1">SUM(P84:P85)</f>
        <v>53358.735752771579</v>
      </c>
      <c r="Q83" s="65">
        <f ca="1">SUM(Q84:Q85)</f>
        <v>64772.228106525123</v>
      </c>
      <c r="R83" s="65">
        <f ca="1">SUM(R84:R85)</f>
        <v>75917.318612636634</v>
      </c>
      <c r="S83" s="65">
        <f ca="1">SUM(S84:S85)</f>
        <v>87776.013043574945</v>
      </c>
      <c r="T83" s="273"/>
      <c r="U83" s="119">
        <f>SUM(U84:U85)</f>
        <v>30404.735999999997</v>
      </c>
      <c r="V83" s="119">
        <f t="shared" ref="V83:AF83" si="101">SUM(V84:V85)</f>
        <v>29449.752</v>
      </c>
      <c r="W83" s="119">
        <f t="shared" si="101"/>
        <v>36589.040999999997</v>
      </c>
      <c r="X83" s="492">
        <f t="shared" si="101"/>
        <v>30435.394</v>
      </c>
      <c r="Y83" s="112">
        <f t="shared" si="101"/>
        <v>43815.686000000002</v>
      </c>
      <c r="Z83" s="112">
        <f t="shared" si="101"/>
        <v>53413.535000000003</v>
      </c>
      <c r="AA83" s="112">
        <f t="shared" si="101"/>
        <v>34766.710999999996</v>
      </c>
      <c r="AB83" s="445">
        <f t="shared" si="101"/>
        <v>40591.32</v>
      </c>
      <c r="AC83" s="111">
        <f t="shared" si="101"/>
        <v>64366.02</v>
      </c>
      <c r="AD83" s="111">
        <f t="shared" si="101"/>
        <v>58665.235000000001</v>
      </c>
      <c r="AE83" s="111">
        <f t="shared" si="101"/>
        <v>50645.777000000002</v>
      </c>
      <c r="AF83" s="528">
        <f t="shared" si="101"/>
        <v>48163.191155975248</v>
      </c>
    </row>
    <row r="84" spans="1:32" s="113" customFormat="1" ht="13.5" customHeight="1" x14ac:dyDescent="0.2">
      <c r="A84" s="107"/>
      <c r="B84" s="120" t="s">
        <v>69</v>
      </c>
      <c r="C84" s="2"/>
      <c r="D84" s="115">
        <v>6586.3509999999997</v>
      </c>
      <c r="E84" s="115">
        <v>7298.835</v>
      </c>
      <c r="F84" s="115">
        <v>7776.5540000000001</v>
      </c>
      <c r="G84" s="116">
        <v>13250.945</v>
      </c>
      <c r="H84" s="116">
        <v>9852.6520999999993</v>
      </c>
      <c r="I84" s="116">
        <v>15508.004000000001</v>
      </c>
      <c r="J84" s="116">
        <v>20323.435000000001</v>
      </c>
      <c r="K84" s="116">
        <v>25011.106</v>
      </c>
      <c r="L84" s="116">
        <v>25130.062000000002</v>
      </c>
      <c r="M84" s="436">
        <v>33981.832999999999</v>
      </c>
      <c r="N84" s="7">
        <f t="shared" ref="N84:N85" si="102">M84/M$89*N$89</f>
        <v>35063.960224472525</v>
      </c>
      <c r="O84" s="7">
        <f t="shared" ref="O84:S85" ca="1" si="103">N84/N$89*O$89</f>
        <v>40822.071112362406</v>
      </c>
      <c r="P84" s="7">
        <f t="shared" ca="1" si="103"/>
        <v>44670.329702059775</v>
      </c>
      <c r="Q84" s="7">
        <f t="shared" ca="1" si="103"/>
        <v>54225.362431028181</v>
      </c>
      <c r="R84" s="7">
        <f t="shared" ca="1" si="103"/>
        <v>63555.697200840223</v>
      </c>
      <c r="S84" s="7">
        <f t="shared" ca="1" si="103"/>
        <v>73483.439726832861</v>
      </c>
      <c r="T84" s="273"/>
      <c r="U84" s="117">
        <v>26013.690999999999</v>
      </c>
      <c r="V84" s="117">
        <v>24861.118999999999</v>
      </c>
      <c r="W84" s="117">
        <v>31955.851999999999</v>
      </c>
      <c r="X84" s="493">
        <v>25130.062000000002</v>
      </c>
      <c r="Y84" s="118">
        <v>38222.453000000001</v>
      </c>
      <c r="Z84" s="118">
        <v>46605.04</v>
      </c>
      <c r="AA84" s="118">
        <v>27900.748</v>
      </c>
      <c r="AB84" s="446">
        <v>33981.832999999999</v>
      </c>
      <c r="AC84" s="117">
        <v>57405.813999999998</v>
      </c>
      <c r="AD84" s="117">
        <v>51309.697</v>
      </c>
      <c r="AE84" s="117">
        <v>42837.972000000002</v>
      </c>
      <c r="AF84" s="511">
        <f t="shared" ref="AF84:AF88" si="104">AE84/AE$89*AF$89</f>
        <v>40738.113943247736</v>
      </c>
    </row>
    <row r="85" spans="1:32" s="113" customFormat="1" ht="13.5" customHeight="1" x14ac:dyDescent="0.2">
      <c r="A85" s="107"/>
      <c r="B85" s="120" t="s">
        <v>70</v>
      </c>
      <c r="C85" s="2"/>
      <c r="D85" s="115">
        <v>792.64700000000005</v>
      </c>
      <c r="E85" s="115">
        <v>911.721</v>
      </c>
      <c r="F85" s="115">
        <v>1535.7809999999999</v>
      </c>
      <c r="G85" s="116">
        <v>1932.6189999999999</v>
      </c>
      <c r="H85" s="116">
        <v>2623.52</v>
      </c>
      <c r="I85" s="116">
        <v>3038.6689999999999</v>
      </c>
      <c r="J85" s="116">
        <v>3138.134</v>
      </c>
      <c r="K85" s="116">
        <v>4100.8029999999999</v>
      </c>
      <c r="L85" s="116">
        <v>5305.3320000000003</v>
      </c>
      <c r="M85" s="436">
        <v>6609.4870000000001</v>
      </c>
      <c r="N85" s="7">
        <f t="shared" si="102"/>
        <v>6819.9613973786609</v>
      </c>
      <c r="O85" s="7">
        <f t="shared" ca="1" si="103"/>
        <v>7939.9174355966888</v>
      </c>
      <c r="P85" s="7">
        <f t="shared" ca="1" si="103"/>
        <v>8688.4060507118029</v>
      </c>
      <c r="Q85" s="7">
        <f t="shared" ca="1" si="103"/>
        <v>10546.865675496942</v>
      </c>
      <c r="R85" s="7">
        <f t="shared" ca="1" si="103"/>
        <v>12361.621411796414</v>
      </c>
      <c r="S85" s="7">
        <f t="shared" ca="1" si="103"/>
        <v>14292.573316742079</v>
      </c>
      <c r="T85" s="273"/>
      <c r="U85" s="117">
        <v>4391.0450000000001</v>
      </c>
      <c r="V85" s="117">
        <v>4588.6329999999998</v>
      </c>
      <c r="W85" s="117">
        <v>4633.1890000000003</v>
      </c>
      <c r="X85" s="493">
        <v>5305.3320000000003</v>
      </c>
      <c r="Y85" s="118">
        <v>5593.2330000000002</v>
      </c>
      <c r="Z85" s="118">
        <v>6808.4949999999999</v>
      </c>
      <c r="AA85" s="118">
        <v>6865.9629999999997</v>
      </c>
      <c r="AB85" s="446">
        <v>6609.4870000000001</v>
      </c>
      <c r="AC85" s="117">
        <v>6960.2060000000001</v>
      </c>
      <c r="AD85" s="117">
        <v>7355.5379999999996</v>
      </c>
      <c r="AE85" s="117">
        <v>7807.8050000000003</v>
      </c>
      <c r="AF85" s="511">
        <f t="shared" si="104"/>
        <v>7425.0772127275159</v>
      </c>
    </row>
    <row r="86" spans="1:32" s="113" customFormat="1" ht="13.5" customHeight="1" x14ac:dyDescent="0.2">
      <c r="A86" s="107"/>
      <c r="B86" s="108" t="s">
        <v>71</v>
      </c>
      <c r="C86" s="2"/>
      <c r="D86" s="121">
        <f t="shared" ref="D86:I86" si="105">SUM(D87:D88)</f>
        <v>1841.615</v>
      </c>
      <c r="E86" s="121">
        <f t="shared" si="105"/>
        <v>3384.6469999999999</v>
      </c>
      <c r="F86" s="121">
        <f t="shared" si="105"/>
        <v>4443.058</v>
      </c>
      <c r="G86" s="121">
        <f t="shared" si="105"/>
        <v>6243.6459999999997</v>
      </c>
      <c r="H86" s="121">
        <f t="shared" si="105"/>
        <v>8733.7209999999995</v>
      </c>
      <c r="I86" s="121">
        <f t="shared" si="105"/>
        <v>12635.431</v>
      </c>
      <c r="J86" s="110">
        <f t="shared" ref="J86:N86" si="106">SUM(J87)</f>
        <v>15690.741</v>
      </c>
      <c r="K86" s="110">
        <f t="shared" si="106"/>
        <v>16684.185000000001</v>
      </c>
      <c r="L86" s="110">
        <f t="shared" si="106"/>
        <v>21709.435000000001</v>
      </c>
      <c r="M86" s="435">
        <f t="shared" si="106"/>
        <v>35077.79</v>
      </c>
      <c r="N86" s="65">
        <f t="shared" si="106"/>
        <v>36194.817193127878</v>
      </c>
      <c r="O86" s="65">
        <f ca="1">SUM(O87)</f>
        <v>42138.634424002827</v>
      </c>
      <c r="P86" s="65">
        <f ca="1">SUM(P87)</f>
        <v>46111.00420979692</v>
      </c>
      <c r="Q86" s="65">
        <f ca="1">SUM(Q87)</f>
        <v>55974.198802916151</v>
      </c>
      <c r="R86" s="65">
        <f ca="1">SUM(R87)</f>
        <v>65605.448644122938</v>
      </c>
      <c r="S86" s="65">
        <f ca="1">SUM(S87)</f>
        <v>75853.373395587623</v>
      </c>
      <c r="T86" s="273"/>
      <c r="U86" s="119">
        <f>SUM(U87)</f>
        <v>8892.5529999999999</v>
      </c>
      <c r="V86" s="119">
        <f t="shared" ref="V86:AF86" si="107">SUM(V87)</f>
        <v>17662.186000000002</v>
      </c>
      <c r="W86" s="119">
        <f t="shared" si="107"/>
        <v>7661.8410000000003</v>
      </c>
      <c r="X86" s="492">
        <f t="shared" si="107"/>
        <v>21709.435000000001</v>
      </c>
      <c r="Y86" s="112">
        <f t="shared" si="107"/>
        <v>12380.083000000001</v>
      </c>
      <c r="Z86" s="112">
        <f t="shared" si="107"/>
        <v>21569.366000000002</v>
      </c>
      <c r="AA86" s="112">
        <f t="shared" si="107"/>
        <v>14556.796</v>
      </c>
      <c r="AB86" s="445">
        <f t="shared" si="107"/>
        <v>35077.733999999997</v>
      </c>
      <c r="AC86" s="111">
        <f t="shared" si="107"/>
        <v>4291.2</v>
      </c>
      <c r="AD86" s="111">
        <f t="shared" si="107"/>
        <v>21065.638999999999</v>
      </c>
      <c r="AE86" s="111">
        <f t="shared" si="107"/>
        <v>19429.690999999999</v>
      </c>
      <c r="AF86" s="528">
        <f t="shared" si="107"/>
        <v>18477.274457345808</v>
      </c>
    </row>
    <row r="87" spans="1:32" s="113" customFormat="1" ht="13.5" customHeight="1" x14ac:dyDescent="0.2">
      <c r="A87" s="107"/>
      <c r="B87" s="120" t="s">
        <v>69</v>
      </c>
      <c r="C87" s="2"/>
      <c r="D87" s="115">
        <v>1841.615</v>
      </c>
      <c r="E87" s="115">
        <v>3384.6469999999999</v>
      </c>
      <c r="F87" s="115">
        <v>4443.058</v>
      </c>
      <c r="G87" s="116">
        <v>6243.6459999999997</v>
      </c>
      <c r="H87" s="116">
        <v>8733.7209999999995</v>
      </c>
      <c r="I87" s="116">
        <v>12635.431</v>
      </c>
      <c r="J87" s="116">
        <v>15690.741</v>
      </c>
      <c r="K87" s="116">
        <v>16684.185000000001</v>
      </c>
      <c r="L87" s="116">
        <v>21709.435000000001</v>
      </c>
      <c r="M87" s="436">
        <v>35077.79</v>
      </c>
      <c r="N87" s="7">
        <f t="shared" ref="N87:N88" si="108">M87/M$89*N$89</f>
        <v>36194.817193127878</v>
      </c>
      <c r="O87" s="7">
        <f t="shared" ref="O87:S88" ca="1" si="109">N87/N$89*O$89</f>
        <v>42138.634424002827</v>
      </c>
      <c r="P87" s="7">
        <f t="shared" ca="1" si="109"/>
        <v>46111.00420979692</v>
      </c>
      <c r="Q87" s="7">
        <f t="shared" ca="1" si="109"/>
        <v>55974.198802916151</v>
      </c>
      <c r="R87" s="7">
        <f t="shared" ca="1" si="109"/>
        <v>65605.448644122938</v>
      </c>
      <c r="S87" s="7">
        <f t="shared" ca="1" si="109"/>
        <v>75853.373395587623</v>
      </c>
      <c r="T87" s="273"/>
      <c r="U87" s="117">
        <v>8892.5529999999999</v>
      </c>
      <c r="V87" s="117">
        <v>17662.186000000002</v>
      </c>
      <c r="W87" s="117">
        <v>7661.8410000000003</v>
      </c>
      <c r="X87" s="493">
        <v>21709.435000000001</v>
      </c>
      <c r="Y87" s="118">
        <v>12380.083000000001</v>
      </c>
      <c r="Z87" s="118">
        <v>21569.366000000002</v>
      </c>
      <c r="AA87" s="118">
        <v>14556.796</v>
      </c>
      <c r="AB87" s="446">
        <v>35077.733999999997</v>
      </c>
      <c r="AC87" s="117">
        <v>4291.2</v>
      </c>
      <c r="AD87" s="117">
        <v>21065.638999999999</v>
      </c>
      <c r="AE87" s="117">
        <v>19429.690999999999</v>
      </c>
      <c r="AF87" s="511">
        <f t="shared" si="104"/>
        <v>18477.274457345808</v>
      </c>
    </row>
    <row r="88" spans="1:32" s="156" customFormat="1" ht="13.5" customHeight="1" x14ac:dyDescent="0.2">
      <c r="A88" s="154"/>
      <c r="B88" s="108" t="s">
        <v>72</v>
      </c>
      <c r="C88" s="3"/>
      <c r="D88" s="121">
        <v>0</v>
      </c>
      <c r="E88" s="131">
        <v>0</v>
      </c>
      <c r="F88" s="131">
        <v>0</v>
      </c>
      <c r="G88" s="110"/>
      <c r="H88" s="110"/>
      <c r="I88" s="110"/>
      <c r="J88" s="110">
        <v>0</v>
      </c>
      <c r="K88" s="110">
        <v>0</v>
      </c>
      <c r="L88" s="110">
        <v>0</v>
      </c>
      <c r="M88" s="439">
        <v>183.12</v>
      </c>
      <c r="N88" s="65">
        <f t="shared" si="108"/>
        <v>188.95132573647248</v>
      </c>
      <c r="O88" s="65">
        <f t="shared" ca="1" si="109"/>
        <v>219.98041312532507</v>
      </c>
      <c r="P88" s="65">
        <f t="shared" ca="1" si="109"/>
        <v>240.71776160636148</v>
      </c>
      <c r="Q88" s="65">
        <f t="shared" ca="1" si="109"/>
        <v>292.20755597174178</v>
      </c>
      <c r="R88" s="65">
        <f t="shared" ca="1" si="109"/>
        <v>342.48650658185107</v>
      </c>
      <c r="S88" s="65">
        <f t="shared" ca="1" si="109"/>
        <v>395.98474522482746</v>
      </c>
      <c r="T88" s="418"/>
      <c r="U88" s="111">
        <v>0</v>
      </c>
      <c r="V88" s="111">
        <v>0</v>
      </c>
      <c r="W88" s="111">
        <v>0</v>
      </c>
      <c r="X88" s="492">
        <v>0</v>
      </c>
      <c r="Y88" s="112"/>
      <c r="Z88" s="112">
        <v>2045.76</v>
      </c>
      <c r="AA88" s="112">
        <v>478.68</v>
      </c>
      <c r="AB88" s="445">
        <v>183.12</v>
      </c>
      <c r="AC88" s="111">
        <v>60.56</v>
      </c>
      <c r="AD88" s="111">
        <v>22.88</v>
      </c>
      <c r="AE88" s="111">
        <v>12.64</v>
      </c>
      <c r="AF88" s="523">
        <f t="shared" si="104"/>
        <v>12.020404706428478</v>
      </c>
    </row>
    <row r="89" spans="1:32" s="113" customFormat="1" ht="13.5" customHeight="1" x14ac:dyDescent="0.2">
      <c r="A89" s="107"/>
      <c r="B89" s="108" t="s">
        <v>73</v>
      </c>
      <c r="C89" s="2"/>
      <c r="D89" s="121">
        <f t="shared" ref="D89:M89" si="110">SUM(D80+D83+D86+D88)</f>
        <v>12780.950999999999</v>
      </c>
      <c r="E89" s="121">
        <f t="shared" si="110"/>
        <v>16641.195</v>
      </c>
      <c r="F89" s="121">
        <f t="shared" si="110"/>
        <v>19125.401000000002</v>
      </c>
      <c r="G89" s="121">
        <f t="shared" si="110"/>
        <v>28582.626</v>
      </c>
      <c r="H89" s="121">
        <f t="shared" si="110"/>
        <v>29728.765099999997</v>
      </c>
      <c r="I89" s="121">
        <f t="shared" si="110"/>
        <v>43685.635999999999</v>
      </c>
      <c r="J89" s="121">
        <f t="shared" si="110"/>
        <v>56037.043000000005</v>
      </c>
      <c r="K89" s="121">
        <f t="shared" si="110"/>
        <v>64556.409</v>
      </c>
      <c r="L89" s="121">
        <f t="shared" si="110"/>
        <v>65022.040999999997</v>
      </c>
      <c r="M89" s="428">
        <f t="shared" si="110"/>
        <v>92193.877000000008</v>
      </c>
      <c r="N89" s="65">
        <f>AF89*(1+'Adj from Unconsol to Consol'!F6)</f>
        <v>95129.725229004369</v>
      </c>
      <c r="O89" s="65">
        <f ca="1">(O19+O20+O21+O22+O23+O24+O30+O31+O32+O33+O35)-(O8+O9+O10+O11+O12+O13+O14+O15)</f>
        <v>110751.677315888</v>
      </c>
      <c r="P89" s="65">
        <f ca="1">(P19+P20+P21+P22+P23+P24+P30+P31+P32+P33+P35)-(P8+P9+P10+P11+P12+P13+P14+P15)</f>
        <v>121192.13469447475</v>
      </c>
      <c r="Q89" s="65">
        <f ca="1">(Q19+Q20+Q21+Q22+Q23+Q24+Q30+Q31+Q32+Q33+Q35)-(Q8+Q9+Q10+Q11+Q12+Q13+Q14+Q15)</f>
        <v>147115.26580236666</v>
      </c>
      <c r="R89" s="65">
        <f ca="1">(R19+R20+R21+R22+R23+R24+R30+R31+R32+R33+R35)-(R8+R9+R10+R11+R12+R13+R14+R15)</f>
        <v>172428.78364988463</v>
      </c>
      <c r="S89" s="65">
        <f ca="1">(S19+S20+S21+S22+S23+S24+S30+S31+S32+S33+S35)-(S8+S9+S10+S11+S12+S13+S14+S15)</f>
        <v>199363.08920453303</v>
      </c>
      <c r="T89" s="273"/>
      <c r="U89" s="111">
        <f>SUM(U80+U83+U86+U88)</f>
        <v>54540.569999999992</v>
      </c>
      <c r="V89" s="111">
        <f t="shared" ref="V89:X89" si="111">SUM(V80+V83+V86+V88)</f>
        <v>63709.754000000001</v>
      </c>
      <c r="W89" s="111">
        <f t="shared" si="111"/>
        <v>57839.424999999996</v>
      </c>
      <c r="X89" s="494">
        <f t="shared" si="111"/>
        <v>65022.040999999997</v>
      </c>
      <c r="Y89" s="112">
        <f t="shared" ref="Y89:AE89" si="112">Y88+Y86+Y83+Y80</f>
        <v>69084.884999999995</v>
      </c>
      <c r="Z89" s="112">
        <f t="shared" si="112"/>
        <v>96338.149000000005</v>
      </c>
      <c r="AA89" s="112">
        <f t="shared" si="112"/>
        <v>66114.847999999998</v>
      </c>
      <c r="AB89" s="445">
        <f t="shared" si="112"/>
        <v>92193.361000000004</v>
      </c>
      <c r="AC89" s="111">
        <f t="shared" si="112"/>
        <v>90180.562000000005</v>
      </c>
      <c r="AD89" s="111">
        <f t="shared" si="112"/>
        <v>102494.47899999999</v>
      </c>
      <c r="AE89" s="111">
        <f t="shared" si="112"/>
        <v>100032.65500000001</v>
      </c>
      <c r="AF89" s="523">
        <f>(AF19+AF20+AF21+AF22+AF23+AF24+AF30+AF31+AF33)-(AF8+AF9+AF10+AF11+AF12+AF13+AF14+AF15)</f>
        <v>95129.19279735256</v>
      </c>
    </row>
    <row r="90" spans="1:32" x14ac:dyDescent="0.2">
      <c r="W90" s="50"/>
    </row>
    <row r="91" spans="1:32" s="123" customFormat="1" x14ac:dyDescent="0.2">
      <c r="A91" s="122"/>
      <c r="B91" s="123" t="s">
        <v>101</v>
      </c>
      <c r="D91" s="124">
        <f>D89</f>
        <v>12780.950999999999</v>
      </c>
      <c r="E91" s="125">
        <f t="shared" ref="E91:M91" si="113">E89</f>
        <v>16641.195</v>
      </c>
      <c r="F91" s="125">
        <f t="shared" si="113"/>
        <v>19125.401000000002</v>
      </c>
      <c r="G91" s="125">
        <f t="shared" si="113"/>
        <v>28582.626</v>
      </c>
      <c r="H91" s="125">
        <f t="shared" si="113"/>
        <v>29728.765099999997</v>
      </c>
      <c r="I91" s="125">
        <f t="shared" si="113"/>
        <v>43685.635999999999</v>
      </c>
      <c r="J91" s="125">
        <f t="shared" si="113"/>
        <v>56037.043000000005</v>
      </c>
      <c r="K91" s="125">
        <f t="shared" si="113"/>
        <v>64556.409</v>
      </c>
      <c r="L91" s="125">
        <f t="shared" si="113"/>
        <v>65022.040999999997</v>
      </c>
      <c r="M91" s="437">
        <f t="shared" si="113"/>
        <v>92193.877000000008</v>
      </c>
      <c r="N91" s="126">
        <f t="shared" ref="N91" si="114">N89</f>
        <v>95129.725229004369</v>
      </c>
      <c r="O91" s="126">
        <f ca="1">O89</f>
        <v>110751.677315888</v>
      </c>
      <c r="P91" s="126">
        <f ca="1">P89</f>
        <v>121192.13469447475</v>
      </c>
      <c r="Q91" s="126">
        <f ca="1">Q89</f>
        <v>147115.26580236666</v>
      </c>
      <c r="R91" s="126">
        <f ca="1">R89</f>
        <v>172428.78364988463</v>
      </c>
      <c r="S91" s="126">
        <f ca="1">S89</f>
        <v>199363.08920453303</v>
      </c>
      <c r="T91" s="421"/>
      <c r="U91" s="125">
        <f>U89</f>
        <v>54540.569999999992</v>
      </c>
      <c r="V91" s="125">
        <f t="shared" ref="V91:AE91" si="115">V89</f>
        <v>63709.754000000001</v>
      </c>
      <c r="W91" s="127">
        <f t="shared" si="115"/>
        <v>57839.424999999996</v>
      </c>
      <c r="X91" s="442">
        <f t="shared" si="115"/>
        <v>65022.040999999997</v>
      </c>
      <c r="Y91" s="125">
        <f t="shared" si="115"/>
        <v>69084.884999999995</v>
      </c>
      <c r="Z91" s="125">
        <f t="shared" si="115"/>
        <v>96338.149000000005</v>
      </c>
      <c r="AA91" s="125">
        <f t="shared" si="115"/>
        <v>66114.847999999998</v>
      </c>
      <c r="AB91" s="442">
        <f t="shared" si="115"/>
        <v>92193.361000000004</v>
      </c>
      <c r="AC91" s="125">
        <f t="shared" si="115"/>
        <v>90180.562000000005</v>
      </c>
      <c r="AD91" s="125">
        <f t="shared" si="115"/>
        <v>102494.47899999999</v>
      </c>
      <c r="AE91" s="125">
        <f t="shared" si="115"/>
        <v>100032.65500000001</v>
      </c>
      <c r="AF91" s="530">
        <f t="shared" ref="AF91" si="116">AF89</f>
        <v>95129.19279735256</v>
      </c>
    </row>
    <row r="92" spans="1:32" s="89" customFormat="1" x14ac:dyDescent="0.2">
      <c r="A92" s="88"/>
      <c r="B92" s="89" t="s">
        <v>102</v>
      </c>
      <c r="D92" s="95">
        <f t="shared" ref="D92:M92" si="117">D7</f>
        <v>12780.950999999999</v>
      </c>
      <c r="E92" s="128">
        <f t="shared" si="117"/>
        <v>16641.195</v>
      </c>
      <c r="F92" s="128">
        <f t="shared" si="117"/>
        <v>19125.401000000002</v>
      </c>
      <c r="G92" s="128">
        <f t="shared" si="117"/>
        <v>28582.626</v>
      </c>
      <c r="H92" s="128">
        <f t="shared" si="117"/>
        <v>29728.763999999999</v>
      </c>
      <c r="I92" s="128">
        <f t="shared" si="117"/>
        <v>43685.635999999999</v>
      </c>
      <c r="J92" s="128">
        <f t="shared" si="117"/>
        <v>56037.042999999998</v>
      </c>
      <c r="K92" s="128">
        <f t="shared" si="117"/>
        <v>64556.409</v>
      </c>
      <c r="L92" s="128">
        <f t="shared" si="117"/>
        <v>65022.411999999997</v>
      </c>
      <c r="M92" s="438">
        <f t="shared" si="117"/>
        <v>92193.876999999993</v>
      </c>
      <c r="N92" s="129">
        <f t="shared" ref="N92" si="118">N7</f>
        <v>95129.725229004369</v>
      </c>
      <c r="O92" s="129">
        <f ca="1">O7</f>
        <v>110751.677315888</v>
      </c>
      <c r="P92" s="129">
        <f ca="1">P7</f>
        <v>121192.13469447475</v>
      </c>
      <c r="Q92" s="129">
        <f ca="1">Q7</f>
        <v>147115.26580236666</v>
      </c>
      <c r="R92" s="129">
        <f ca="1">R7</f>
        <v>172428.78364988463</v>
      </c>
      <c r="S92" s="129">
        <f ca="1">S7</f>
        <v>199363.08920453303</v>
      </c>
      <c r="T92" s="419"/>
      <c r="U92" s="128">
        <f>U7</f>
        <v>54540.57</v>
      </c>
      <c r="V92" s="128">
        <f t="shared" ref="V92:AE92" si="119">V7</f>
        <v>63709.754000000001</v>
      </c>
      <c r="W92" s="130">
        <f t="shared" si="119"/>
        <v>57839.425000000003</v>
      </c>
      <c r="X92" s="443">
        <f t="shared" si="119"/>
        <v>65022.040999999997</v>
      </c>
      <c r="Y92" s="128">
        <f t="shared" si="119"/>
        <v>69084.884999999995</v>
      </c>
      <c r="Z92" s="128">
        <f t="shared" si="119"/>
        <v>96338.149000000005</v>
      </c>
      <c r="AA92" s="128">
        <f t="shared" si="119"/>
        <v>66114.847999999998</v>
      </c>
      <c r="AB92" s="443">
        <f t="shared" si="119"/>
        <v>92193.361000000004</v>
      </c>
      <c r="AC92" s="128">
        <f t="shared" si="119"/>
        <v>90180.562000000005</v>
      </c>
      <c r="AD92" s="128">
        <f t="shared" si="119"/>
        <v>102494.47900000001</v>
      </c>
      <c r="AE92" s="128">
        <f t="shared" si="119"/>
        <v>100032.655</v>
      </c>
      <c r="AF92" s="531">
        <f t="shared" ref="AF92" si="120">AF7</f>
        <v>95129.19279735256</v>
      </c>
    </row>
    <row r="93" spans="1:32" x14ac:dyDescent="0.2">
      <c r="W93" s="50"/>
    </row>
    <row r="94" spans="1:32" s="106" customFormat="1" ht="11.1" customHeight="1" x14ac:dyDescent="0.2">
      <c r="B94" s="58" t="s">
        <v>103</v>
      </c>
      <c r="C94" s="4"/>
      <c r="D94" s="352"/>
      <c r="E94" s="353"/>
      <c r="F94" s="353"/>
      <c r="G94" s="353"/>
      <c r="H94" s="353"/>
      <c r="I94" s="353"/>
      <c r="J94" s="353"/>
      <c r="K94" s="353"/>
      <c r="L94" s="353"/>
      <c r="M94" s="434"/>
      <c r="N94" s="213"/>
      <c r="O94" s="213"/>
      <c r="P94" s="213"/>
      <c r="Q94" s="213"/>
      <c r="R94" s="213"/>
      <c r="S94" s="213"/>
      <c r="T94" s="354"/>
      <c r="U94" s="213"/>
      <c r="V94" s="213"/>
      <c r="W94" s="354"/>
      <c r="X94" s="491"/>
      <c r="Y94" s="213"/>
      <c r="Z94" s="213"/>
      <c r="AA94" s="213"/>
      <c r="AB94" s="491"/>
      <c r="AC94" s="213"/>
      <c r="AD94" s="213"/>
      <c r="AE94" s="213"/>
      <c r="AF94" s="527"/>
    </row>
    <row r="95" spans="1:32" s="113" customFormat="1" ht="13.5" customHeight="1" x14ac:dyDescent="0.2">
      <c r="A95" s="107"/>
      <c r="B95" s="108" t="s">
        <v>75</v>
      </c>
      <c r="C95" s="2"/>
      <c r="D95" s="121">
        <f t="shared" ref="D95:S95" si="121">SUM(D96:D97)</f>
        <v>8824.0630000000001</v>
      </c>
      <c r="E95" s="131">
        <f t="shared" si="121"/>
        <v>1665.434</v>
      </c>
      <c r="F95" s="131">
        <f t="shared" si="121"/>
        <v>982.654</v>
      </c>
      <c r="G95" s="110">
        <f t="shared" si="121"/>
        <v>1355.6949999999999</v>
      </c>
      <c r="H95" s="110">
        <f t="shared" si="121"/>
        <v>3539.136</v>
      </c>
      <c r="I95" s="110">
        <f t="shared" si="121"/>
        <v>5978.0039999999999</v>
      </c>
      <c r="J95" s="110">
        <f t="shared" si="121"/>
        <v>11046.545</v>
      </c>
      <c r="K95" s="110">
        <f t="shared" si="121"/>
        <v>3743.6510000000003</v>
      </c>
      <c r="L95" s="110">
        <f t="shared" si="121"/>
        <v>5858.6459999999997</v>
      </c>
      <c r="M95" s="435">
        <f t="shared" si="121"/>
        <v>11516.512000000001</v>
      </c>
      <c r="N95" s="65">
        <f t="shared" si="121"/>
        <v>12023.749438267234</v>
      </c>
      <c r="O95" s="65">
        <f t="shared" si="121"/>
        <v>10790.25051504411</v>
      </c>
      <c r="P95" s="65">
        <f t="shared" si="121"/>
        <v>13661.04416814527</v>
      </c>
      <c r="Q95" s="65">
        <f t="shared" si="121"/>
        <v>16227.154325322579</v>
      </c>
      <c r="R95" s="65">
        <f t="shared" si="121"/>
        <v>17549.123200460937</v>
      </c>
      <c r="S95" s="65">
        <f t="shared" si="121"/>
        <v>19469.436346259314</v>
      </c>
      <c r="T95" s="273"/>
      <c r="U95" s="111">
        <f>SUM(U96:U97)</f>
        <v>3329.8829999999998</v>
      </c>
      <c r="V95" s="111">
        <f t="shared" ref="V95:W95" si="122">SUM(V96:V97)</f>
        <v>4968.7139999999999</v>
      </c>
      <c r="W95" s="111">
        <f t="shared" si="122"/>
        <v>4634.8090000000002</v>
      </c>
      <c r="X95" s="456">
        <f>SUM(X96)</f>
        <v>5858.6459999999997</v>
      </c>
      <c r="Y95" s="112">
        <f t="shared" ref="Y95:AF95" si="123">SUM(Y96:Y97)</f>
        <v>5927.3940000000002</v>
      </c>
      <c r="Z95" s="112">
        <f t="shared" si="123"/>
        <v>9633.7610000000004</v>
      </c>
      <c r="AA95" s="112">
        <f t="shared" si="123"/>
        <v>6466.0969999999998</v>
      </c>
      <c r="AB95" s="445">
        <f t="shared" si="123"/>
        <v>11473.912</v>
      </c>
      <c r="AC95" s="111">
        <f t="shared" si="123"/>
        <v>2745.1120000000001</v>
      </c>
      <c r="AD95" s="111">
        <f t="shared" si="123"/>
        <v>13750.276</v>
      </c>
      <c r="AE95" s="111">
        <f t="shared" si="123"/>
        <v>10645.018</v>
      </c>
      <c r="AF95" s="523">
        <f t="shared" si="123"/>
        <v>9560.5694806082283</v>
      </c>
    </row>
    <row r="96" spans="1:32" s="113" customFormat="1" ht="13.5" customHeight="1" x14ac:dyDescent="0.2">
      <c r="A96" s="107"/>
      <c r="B96" s="120" t="s">
        <v>76</v>
      </c>
      <c r="C96" s="2"/>
      <c r="D96" s="115">
        <v>1474.0630000000001</v>
      </c>
      <c r="E96" s="115">
        <v>1665.434</v>
      </c>
      <c r="F96" s="115">
        <v>982.654</v>
      </c>
      <c r="G96" s="116">
        <v>1355.6949999999999</v>
      </c>
      <c r="H96" s="116">
        <v>1539.136</v>
      </c>
      <c r="I96" s="116">
        <v>1978.0039999999999</v>
      </c>
      <c r="J96" s="116">
        <v>2046.5450000000001</v>
      </c>
      <c r="K96" s="116">
        <v>3742.8240000000001</v>
      </c>
      <c r="L96" s="116">
        <v>5858.6459999999997</v>
      </c>
      <c r="M96" s="436">
        <v>7764.509</v>
      </c>
      <c r="N96" s="638">
        <f>M96/M$101*N$101</f>
        <v>8106.4918551008222</v>
      </c>
      <c r="O96" s="7">
        <f>N96/N$101*O$101</f>
        <v>7274.8586756402137</v>
      </c>
      <c r="P96" s="7">
        <f t="shared" ref="P96:S96" si="124">O96/O$101*P$101</f>
        <v>9210.3668535196648</v>
      </c>
      <c r="Q96" s="7">
        <f t="shared" si="124"/>
        <v>10940.455391646021</v>
      </c>
      <c r="R96" s="7">
        <f t="shared" si="124"/>
        <v>11831.735601203536</v>
      </c>
      <c r="S96" s="7">
        <f t="shared" si="124"/>
        <v>13126.423498317681</v>
      </c>
      <c r="T96" s="273"/>
      <c r="U96" s="117">
        <v>3329.8829999999998</v>
      </c>
      <c r="V96" s="117">
        <v>4968.7139999999999</v>
      </c>
      <c r="W96" s="117">
        <v>3993.5520000000001</v>
      </c>
      <c r="X96" s="493">
        <v>5858.6459999999997</v>
      </c>
      <c r="Y96" s="118">
        <v>5927.3940000000002</v>
      </c>
      <c r="Z96" s="118">
        <v>6363.7610000000004</v>
      </c>
      <c r="AA96" s="118">
        <v>6054.0969999999998</v>
      </c>
      <c r="AB96" s="446">
        <v>7723.9120000000003</v>
      </c>
      <c r="AC96" s="117">
        <v>2725.1120000000001</v>
      </c>
      <c r="AD96" s="117">
        <v>11475.276</v>
      </c>
      <c r="AE96" s="117">
        <v>10645.018</v>
      </c>
      <c r="AF96" s="529">
        <f>AE96/AE$101*AF$101</f>
        <v>9560.5694806082283</v>
      </c>
    </row>
    <row r="97" spans="1:32" s="113" customFormat="1" ht="13.5" customHeight="1" x14ac:dyDescent="0.2">
      <c r="A97" s="107"/>
      <c r="B97" s="120" t="s">
        <v>77</v>
      </c>
      <c r="C97" s="2"/>
      <c r="D97" s="115">
        <v>7350</v>
      </c>
      <c r="E97" s="132">
        <v>0</v>
      </c>
      <c r="F97" s="1">
        <v>0</v>
      </c>
      <c r="G97" s="116">
        <v>0</v>
      </c>
      <c r="H97" s="116">
        <v>2000</v>
      </c>
      <c r="I97" s="116">
        <v>4000</v>
      </c>
      <c r="J97" s="116">
        <v>9000</v>
      </c>
      <c r="K97" s="116">
        <v>0.82699999999999996</v>
      </c>
      <c r="L97" s="116">
        <v>0</v>
      </c>
      <c r="M97" s="436">
        <v>3752.0030000000002</v>
      </c>
      <c r="N97" s="7">
        <f>M97/M$101*N$101</f>
        <v>3917.2575831664117</v>
      </c>
      <c r="O97" s="7">
        <f t="shared" ref="O97:S100" si="125">N97/N$101*O$101</f>
        <v>3515.3918394038969</v>
      </c>
      <c r="P97" s="7">
        <f t="shared" si="125"/>
        <v>4450.6773146256055</v>
      </c>
      <c r="Q97" s="7">
        <f t="shared" si="125"/>
        <v>5286.6989336765591</v>
      </c>
      <c r="R97" s="7">
        <f t="shared" si="125"/>
        <v>5717.3875992574003</v>
      </c>
      <c r="S97" s="7">
        <f t="shared" si="125"/>
        <v>6343.0128479416326</v>
      </c>
      <c r="T97" s="273"/>
      <c r="U97" s="117">
        <v>0</v>
      </c>
      <c r="V97" s="117">
        <v>0</v>
      </c>
      <c r="W97" s="117">
        <v>641.25699999999995</v>
      </c>
      <c r="X97" s="493">
        <v>0</v>
      </c>
      <c r="Y97" s="118"/>
      <c r="Z97" s="118">
        <v>3270</v>
      </c>
      <c r="AA97" s="118">
        <v>412</v>
      </c>
      <c r="AB97" s="446">
        <v>3750</v>
      </c>
      <c r="AC97" s="117">
        <v>20</v>
      </c>
      <c r="AD97" s="117">
        <v>2275</v>
      </c>
      <c r="AE97" s="117">
        <v>0</v>
      </c>
      <c r="AF97" s="511">
        <f t="shared" ref="AF97" si="126">AE97/AE$101*AF$101</f>
        <v>0</v>
      </c>
    </row>
    <row r="98" spans="1:32" s="113" customFormat="1" ht="13.5" customHeight="1" x14ac:dyDescent="0.2">
      <c r="A98" s="107"/>
      <c r="B98" s="108" t="s">
        <v>78</v>
      </c>
      <c r="C98" s="2"/>
      <c r="D98" s="121">
        <f t="shared" ref="D98:S98" si="127">SUM(D99:D100)</f>
        <v>1133.694</v>
      </c>
      <c r="E98" s="131">
        <f t="shared" si="127"/>
        <v>689.47400000000005</v>
      </c>
      <c r="F98" s="131">
        <f t="shared" si="127"/>
        <v>2868.4959999999996</v>
      </c>
      <c r="G98" s="110">
        <f t="shared" si="127"/>
        <v>2198.5390000000002</v>
      </c>
      <c r="H98" s="110">
        <f t="shared" si="127"/>
        <v>1961.9409999999998</v>
      </c>
      <c r="I98" s="110">
        <f t="shared" si="127"/>
        <v>5197.0560000000005</v>
      </c>
      <c r="J98" s="110">
        <f t="shared" si="127"/>
        <v>1021.3100000000001</v>
      </c>
      <c r="K98" s="110">
        <f t="shared" si="127"/>
        <v>1196.4390000000001</v>
      </c>
      <c r="L98" s="110">
        <f t="shared" si="127"/>
        <v>2396.5410000000002</v>
      </c>
      <c r="M98" s="435">
        <f t="shared" si="127"/>
        <v>3898.3209999999999</v>
      </c>
      <c r="N98" s="65">
        <f t="shared" si="127"/>
        <v>4070.0200663130781</v>
      </c>
      <c r="O98" s="65">
        <f t="shared" si="127"/>
        <v>3652.4826421452321</v>
      </c>
      <c r="P98" s="65">
        <f t="shared" si="127"/>
        <v>4624.2417289721252</v>
      </c>
      <c r="Q98" s="65">
        <f t="shared" si="127"/>
        <v>5492.8659368952895</v>
      </c>
      <c r="R98" s="65">
        <f t="shared" si="127"/>
        <v>5940.3502991134883</v>
      </c>
      <c r="S98" s="65">
        <f t="shared" si="127"/>
        <v>6590.3732455439595</v>
      </c>
      <c r="T98" s="273"/>
      <c r="U98" s="111">
        <f>SUM(U99:U100)</f>
        <v>803.55</v>
      </c>
      <c r="V98" s="111">
        <f t="shared" ref="V98:AF98" si="128">SUM(V99:V100)</f>
        <v>1229.9939999999999</v>
      </c>
      <c r="W98" s="111">
        <f t="shared" si="128"/>
        <v>43.863</v>
      </c>
      <c r="X98" s="492">
        <f t="shared" si="128"/>
        <v>2396.5410000000002</v>
      </c>
      <c r="Y98" s="112">
        <f t="shared" si="128"/>
        <v>2465.319</v>
      </c>
      <c r="Z98" s="112">
        <f t="shared" si="128"/>
        <v>3572.8069999999998</v>
      </c>
      <c r="AA98" s="112">
        <f t="shared" si="128"/>
        <v>2111.6440000000002</v>
      </c>
      <c r="AB98" s="445">
        <f t="shared" si="128"/>
        <v>3898.3209999999999</v>
      </c>
      <c r="AC98" s="111">
        <f t="shared" si="128"/>
        <v>1246.2280000000001</v>
      </c>
      <c r="AD98" s="111">
        <f t="shared" si="128"/>
        <v>5437.5039999999999</v>
      </c>
      <c r="AE98" s="111">
        <f t="shared" si="128"/>
        <v>7224.7350000000006</v>
      </c>
      <c r="AF98" s="523">
        <f t="shared" si="128"/>
        <v>6488.7237340962783</v>
      </c>
    </row>
    <row r="99" spans="1:32" s="113" customFormat="1" ht="13.5" customHeight="1" x14ac:dyDescent="0.2">
      <c r="A99" s="107"/>
      <c r="B99" s="120" t="s">
        <v>76</v>
      </c>
      <c r="C99" s="2"/>
      <c r="D99" s="115">
        <v>1115.963</v>
      </c>
      <c r="E99" s="115">
        <v>689.04300000000001</v>
      </c>
      <c r="F99" s="115">
        <v>714.72699999999998</v>
      </c>
      <c r="G99" s="116">
        <v>1205.5360000000001</v>
      </c>
      <c r="H99" s="116">
        <v>852.178</v>
      </c>
      <c r="I99" s="116">
        <v>2089.623</v>
      </c>
      <c r="J99" s="116">
        <v>814.33500000000004</v>
      </c>
      <c r="K99" s="116">
        <v>1084.5340000000001</v>
      </c>
      <c r="L99" s="116">
        <v>2089.54</v>
      </c>
      <c r="M99" s="436">
        <v>1876.3779999999999</v>
      </c>
      <c r="N99" s="7">
        <f t="shared" ref="N99:N100" si="129">M99/M$101*N$101</f>
        <v>1959.0218742859811</v>
      </c>
      <c r="O99" s="7">
        <f t="shared" si="125"/>
        <v>1758.0486766233939</v>
      </c>
      <c r="P99" s="7">
        <f t="shared" ref="P99:S99" si="130">O99/O$101*P$101</f>
        <v>2225.7852667661946</v>
      </c>
      <c r="Q99" s="7">
        <f t="shared" si="130"/>
        <v>2643.8799680528382</v>
      </c>
      <c r="R99" s="7">
        <f t="shared" si="130"/>
        <v>2859.2675189010779</v>
      </c>
      <c r="S99" s="7">
        <f t="shared" si="130"/>
        <v>3172.1429224856761</v>
      </c>
      <c r="T99" s="273"/>
      <c r="U99" s="117">
        <v>733.00699999999995</v>
      </c>
      <c r="V99" s="117">
        <v>1229.9939999999999</v>
      </c>
      <c r="W99" s="117">
        <v>43.863</v>
      </c>
      <c r="X99" s="493">
        <v>2089.54</v>
      </c>
      <c r="Y99" s="118">
        <v>2432.8919999999998</v>
      </c>
      <c r="Z99" s="118">
        <v>2766.74</v>
      </c>
      <c r="AA99" s="118">
        <v>1231.0250000000001</v>
      </c>
      <c r="AB99" s="446">
        <v>1876.3779999999999</v>
      </c>
      <c r="AC99" s="117">
        <v>1043.4349999999999</v>
      </c>
      <c r="AD99" s="117">
        <v>2797.2139999999999</v>
      </c>
      <c r="AE99" s="117">
        <v>2887.3290000000002</v>
      </c>
      <c r="AF99" s="511">
        <f>AE99/AE$101*AF$101</f>
        <v>2593.1857999559115</v>
      </c>
    </row>
    <row r="100" spans="1:32" s="113" customFormat="1" ht="13.5" customHeight="1" x14ac:dyDescent="0.2">
      <c r="A100" s="107"/>
      <c r="B100" s="120" t="s">
        <v>77</v>
      </c>
      <c r="C100" s="2"/>
      <c r="D100" s="115">
        <v>17.731000000000002</v>
      </c>
      <c r="E100" s="133">
        <v>0.43099999999999999</v>
      </c>
      <c r="F100" s="115">
        <v>2153.7689999999998</v>
      </c>
      <c r="G100" s="116">
        <v>993.00300000000004</v>
      </c>
      <c r="H100" s="116">
        <v>1109.7629999999999</v>
      </c>
      <c r="I100" s="116">
        <v>3107.433</v>
      </c>
      <c r="J100" s="116">
        <v>206.97499999999999</v>
      </c>
      <c r="K100" s="116">
        <v>111.905</v>
      </c>
      <c r="L100" s="116">
        <v>307.00099999999998</v>
      </c>
      <c r="M100" s="436">
        <v>2021.943</v>
      </c>
      <c r="N100" s="7">
        <f t="shared" si="129"/>
        <v>2110.998192027097</v>
      </c>
      <c r="O100" s="7">
        <f t="shared" si="125"/>
        <v>1894.4339655218382</v>
      </c>
      <c r="P100" s="7">
        <f t="shared" ref="P100:S100" si="131">O100/O$101*P$101</f>
        <v>2398.4564622059311</v>
      </c>
      <c r="Q100" s="7">
        <f t="shared" si="131"/>
        <v>2848.9859688424513</v>
      </c>
      <c r="R100" s="7">
        <f t="shared" si="131"/>
        <v>3081.0827802124109</v>
      </c>
      <c r="S100" s="7">
        <f t="shared" si="131"/>
        <v>3418.2303230582834</v>
      </c>
      <c r="T100" s="273"/>
      <c r="U100" s="117">
        <v>70.543000000000006</v>
      </c>
      <c r="V100" s="117">
        <v>0</v>
      </c>
      <c r="W100" s="117">
        <v>0</v>
      </c>
      <c r="X100" s="493">
        <v>307.00099999999998</v>
      </c>
      <c r="Y100" s="118">
        <v>32.427</v>
      </c>
      <c r="Z100" s="118">
        <v>806.06700000000001</v>
      </c>
      <c r="AA100" s="118">
        <v>880.61900000000003</v>
      </c>
      <c r="AB100" s="446">
        <v>2021.943</v>
      </c>
      <c r="AC100" s="117">
        <v>202.79300000000001</v>
      </c>
      <c r="AD100" s="117">
        <v>2640.29</v>
      </c>
      <c r="AE100" s="117">
        <v>4337.4059999999999</v>
      </c>
      <c r="AF100" s="511">
        <f t="shared" ref="AF100" si="132">AE100/AE$101*AF$101</f>
        <v>3895.5379341403664</v>
      </c>
    </row>
    <row r="101" spans="1:32" s="113" customFormat="1" ht="13.5" customHeight="1" x14ac:dyDescent="0.2">
      <c r="A101" s="107"/>
      <c r="B101" s="108" t="s">
        <v>79</v>
      </c>
      <c r="C101" s="2"/>
      <c r="D101" s="121">
        <f t="shared" ref="D101:F101" si="133">SUM(D95+D98)</f>
        <v>9957.7569999999996</v>
      </c>
      <c r="E101" s="121">
        <f t="shared" si="133"/>
        <v>2354.9079999999999</v>
      </c>
      <c r="F101" s="121">
        <f t="shared" si="133"/>
        <v>3851.1499999999996</v>
      </c>
      <c r="G101" s="110">
        <f t="shared" ref="G101:M101" si="134">G95+G98</f>
        <v>3554.2340000000004</v>
      </c>
      <c r="H101" s="110">
        <f t="shared" si="134"/>
        <v>5501.0769999999993</v>
      </c>
      <c r="I101" s="110">
        <f t="shared" si="134"/>
        <v>11175.060000000001</v>
      </c>
      <c r="J101" s="110">
        <f t="shared" si="134"/>
        <v>12067.855</v>
      </c>
      <c r="K101" s="110">
        <f t="shared" si="134"/>
        <v>4940.09</v>
      </c>
      <c r="L101" s="110">
        <f t="shared" si="134"/>
        <v>8255.1869999999999</v>
      </c>
      <c r="M101" s="435">
        <f t="shared" si="134"/>
        <v>15414.833000000001</v>
      </c>
      <c r="N101" s="65">
        <f>AF101*(1+'Adj from Unconsol to Consol'!F7)</f>
        <v>16093.769504580312</v>
      </c>
      <c r="O101" s="65">
        <f>O267*Assumptions!P40</f>
        <v>14442.733157189343</v>
      </c>
      <c r="P101" s="65">
        <f>P267*Assumptions!Q40</f>
        <v>18285.285897117396</v>
      </c>
      <c r="Q101" s="65">
        <f>Q267*Assumptions!R40</f>
        <v>21720.020262217869</v>
      </c>
      <c r="R101" s="65">
        <f>R267*Assumptions!S40</f>
        <v>23489.473499574426</v>
      </c>
      <c r="S101" s="65">
        <f>S267*Assumptions!T40</f>
        <v>26059.809591803274</v>
      </c>
      <c r="T101" s="273"/>
      <c r="U101" s="111">
        <f>SUM(U95+U98)</f>
        <v>4133.433</v>
      </c>
      <c r="V101" s="111">
        <f t="shared" ref="V101:W101" si="135">SUM(V95+V98)</f>
        <v>6198.7079999999996</v>
      </c>
      <c r="W101" s="111">
        <f t="shared" si="135"/>
        <v>4678.6720000000005</v>
      </c>
      <c r="X101" s="492">
        <f t="shared" ref="X101:AE101" si="136">X95+X98</f>
        <v>8255.1869999999999</v>
      </c>
      <c r="Y101" s="112">
        <f t="shared" si="136"/>
        <v>8392.7129999999997</v>
      </c>
      <c r="Z101" s="112">
        <f t="shared" si="136"/>
        <v>13206.567999999999</v>
      </c>
      <c r="AA101" s="112">
        <f t="shared" si="136"/>
        <v>8577.741</v>
      </c>
      <c r="AB101" s="445">
        <f t="shared" si="136"/>
        <v>15372.233</v>
      </c>
      <c r="AC101" s="111">
        <f t="shared" si="136"/>
        <v>3991.34</v>
      </c>
      <c r="AD101" s="111">
        <f t="shared" si="136"/>
        <v>19187.78</v>
      </c>
      <c r="AE101" s="111">
        <f t="shared" si="136"/>
        <v>17869.753000000001</v>
      </c>
      <c r="AF101" s="523">
        <f>AF267*Assumptions!AG40</f>
        <v>16049.293214704509</v>
      </c>
    </row>
    <row r="102" spans="1:32" x14ac:dyDescent="0.2">
      <c r="W102" s="50"/>
    </row>
    <row r="103" spans="1:32" s="123" customFormat="1" x14ac:dyDescent="0.2">
      <c r="A103" s="122"/>
      <c r="B103" s="123" t="s">
        <v>101</v>
      </c>
      <c r="D103" s="124">
        <f>D101</f>
        <v>9957.7569999999996</v>
      </c>
      <c r="E103" s="125">
        <f t="shared" ref="E103:M103" si="137">E101</f>
        <v>2354.9079999999999</v>
      </c>
      <c r="F103" s="125">
        <f t="shared" si="137"/>
        <v>3851.1499999999996</v>
      </c>
      <c r="G103" s="125">
        <f t="shared" si="137"/>
        <v>3554.2340000000004</v>
      </c>
      <c r="H103" s="125">
        <f t="shared" si="137"/>
        <v>5501.0769999999993</v>
      </c>
      <c r="I103" s="125">
        <f t="shared" si="137"/>
        <v>11175.060000000001</v>
      </c>
      <c r="J103" s="125">
        <f t="shared" si="137"/>
        <v>12067.855</v>
      </c>
      <c r="K103" s="125">
        <f t="shared" si="137"/>
        <v>4940.09</v>
      </c>
      <c r="L103" s="125">
        <f t="shared" si="137"/>
        <v>8255.1869999999999</v>
      </c>
      <c r="M103" s="437">
        <f t="shared" si="137"/>
        <v>15414.833000000001</v>
      </c>
      <c r="N103" s="126">
        <f t="shared" ref="N103:S103" si="138">N101</f>
        <v>16093.769504580312</v>
      </c>
      <c r="O103" s="126">
        <f t="shared" si="138"/>
        <v>14442.733157189343</v>
      </c>
      <c r="P103" s="126">
        <f t="shared" si="138"/>
        <v>18285.285897117396</v>
      </c>
      <c r="Q103" s="126">
        <f t="shared" si="138"/>
        <v>21720.020262217869</v>
      </c>
      <c r="R103" s="126">
        <f t="shared" si="138"/>
        <v>23489.473499574426</v>
      </c>
      <c r="S103" s="126">
        <f t="shared" si="138"/>
        <v>26059.809591803274</v>
      </c>
      <c r="T103" s="421"/>
      <c r="U103" s="125">
        <f>U101</f>
        <v>4133.433</v>
      </c>
      <c r="V103" s="125">
        <f t="shared" ref="V103:AE103" si="139">V101</f>
        <v>6198.7079999999996</v>
      </c>
      <c r="W103" s="127">
        <f t="shared" si="139"/>
        <v>4678.6720000000005</v>
      </c>
      <c r="X103" s="442">
        <f t="shared" si="139"/>
        <v>8255.1869999999999</v>
      </c>
      <c r="Y103" s="125">
        <f t="shared" si="139"/>
        <v>8392.7129999999997</v>
      </c>
      <c r="Z103" s="125">
        <f t="shared" si="139"/>
        <v>13206.567999999999</v>
      </c>
      <c r="AA103" s="125">
        <f t="shared" si="139"/>
        <v>8577.741</v>
      </c>
      <c r="AB103" s="442">
        <f t="shared" si="139"/>
        <v>15372.233</v>
      </c>
      <c r="AC103" s="125">
        <f t="shared" si="139"/>
        <v>3991.34</v>
      </c>
      <c r="AD103" s="125">
        <f t="shared" si="139"/>
        <v>19187.78</v>
      </c>
      <c r="AE103" s="125">
        <f t="shared" si="139"/>
        <v>17869.753000000001</v>
      </c>
      <c r="AF103" s="530">
        <f t="shared" ref="AF103" si="140">AF101</f>
        <v>16049.293214704509</v>
      </c>
    </row>
    <row r="104" spans="1:32" s="89" customFormat="1" x14ac:dyDescent="0.2">
      <c r="A104" s="88"/>
      <c r="B104" s="89" t="s">
        <v>102</v>
      </c>
      <c r="D104" s="95">
        <f t="shared" ref="D104:M104" si="141">D8</f>
        <v>9957.7569999999996</v>
      </c>
      <c r="E104" s="128">
        <f t="shared" si="141"/>
        <v>2354.9079999999999</v>
      </c>
      <c r="F104" s="128">
        <f t="shared" si="141"/>
        <v>3851.15</v>
      </c>
      <c r="G104" s="128">
        <f t="shared" si="141"/>
        <v>3554.2339999999999</v>
      </c>
      <c r="H104" s="128">
        <f t="shared" si="141"/>
        <v>5501.0770000000002</v>
      </c>
      <c r="I104" s="128">
        <f t="shared" si="141"/>
        <v>11175.06</v>
      </c>
      <c r="J104" s="128">
        <f t="shared" si="141"/>
        <v>12067.855</v>
      </c>
      <c r="K104" s="128">
        <f t="shared" si="141"/>
        <v>4940.09</v>
      </c>
      <c r="L104" s="128">
        <f t="shared" si="141"/>
        <v>8277.1460000000006</v>
      </c>
      <c r="M104" s="438">
        <f t="shared" si="141"/>
        <v>15414.833000000001</v>
      </c>
      <c r="N104" s="129">
        <f t="shared" ref="N104:S104" si="142">N8</f>
        <v>16093.769504580312</v>
      </c>
      <c r="O104" s="129">
        <f t="shared" si="142"/>
        <v>14442.733157189343</v>
      </c>
      <c r="P104" s="129">
        <f t="shared" si="142"/>
        <v>18285.285897117396</v>
      </c>
      <c r="Q104" s="129">
        <f t="shared" si="142"/>
        <v>21720.020262217869</v>
      </c>
      <c r="R104" s="129">
        <f t="shared" si="142"/>
        <v>23489.473499574426</v>
      </c>
      <c r="S104" s="129">
        <f t="shared" si="142"/>
        <v>26059.809591803274</v>
      </c>
      <c r="T104" s="419"/>
      <c r="U104" s="128">
        <f>U8</f>
        <v>4133.433</v>
      </c>
      <c r="V104" s="128">
        <f t="shared" ref="V104:AE104" si="143">V8</f>
        <v>6198.7079999999996</v>
      </c>
      <c r="W104" s="130">
        <f t="shared" si="143"/>
        <v>4678.6719999999996</v>
      </c>
      <c r="X104" s="443">
        <f t="shared" si="143"/>
        <v>8255.1869999999999</v>
      </c>
      <c r="Y104" s="128">
        <f t="shared" si="143"/>
        <v>8392.7129999999997</v>
      </c>
      <c r="Z104" s="128">
        <f t="shared" si="143"/>
        <v>13206.567999999999</v>
      </c>
      <c r="AA104" s="128">
        <f t="shared" si="143"/>
        <v>8577.741</v>
      </c>
      <c r="AB104" s="443">
        <f t="shared" si="143"/>
        <v>15372.233</v>
      </c>
      <c r="AC104" s="128">
        <f t="shared" si="143"/>
        <v>3991.34</v>
      </c>
      <c r="AD104" s="128">
        <f t="shared" si="143"/>
        <v>19187.78</v>
      </c>
      <c r="AE104" s="128">
        <f t="shared" si="143"/>
        <v>17869.753000000001</v>
      </c>
      <c r="AF104" s="531">
        <f t="shared" ref="AF104" si="144">AF8</f>
        <v>16049.293214704509</v>
      </c>
    </row>
    <row r="105" spans="1:32" x14ac:dyDescent="0.2">
      <c r="W105" s="50"/>
    </row>
    <row r="106" spans="1:32" s="106" customFormat="1" ht="11.1" customHeight="1" x14ac:dyDescent="0.2">
      <c r="B106" s="58" t="s">
        <v>104</v>
      </c>
      <c r="C106" s="4"/>
      <c r="D106" s="352"/>
      <c r="E106" s="353"/>
      <c r="F106" s="353"/>
      <c r="G106" s="353"/>
      <c r="H106" s="353"/>
      <c r="I106" s="353"/>
      <c r="J106" s="353"/>
      <c r="K106" s="353"/>
      <c r="L106" s="353"/>
      <c r="M106" s="434"/>
      <c r="N106" s="213"/>
      <c r="O106" s="213"/>
      <c r="P106" s="213"/>
      <c r="Q106" s="213"/>
      <c r="R106" s="213"/>
      <c r="S106" s="213"/>
      <c r="T106" s="354"/>
      <c r="U106" s="213"/>
      <c r="V106" s="213"/>
      <c r="W106" s="354"/>
      <c r="X106" s="491"/>
      <c r="Y106" s="213"/>
      <c r="Z106" s="213"/>
      <c r="AA106" s="213"/>
      <c r="AB106" s="491"/>
      <c r="AC106" s="213"/>
      <c r="AD106" s="213"/>
      <c r="AE106" s="213"/>
      <c r="AF106" s="527"/>
    </row>
    <row r="107" spans="1:32" s="113" customFormat="1" ht="13.5" customHeight="1" x14ac:dyDescent="0.2">
      <c r="A107" s="107"/>
      <c r="B107" s="2"/>
      <c r="C107" s="2"/>
      <c r="D107" s="60"/>
      <c r="E107" s="1"/>
      <c r="F107" s="1"/>
      <c r="G107" s="1"/>
      <c r="H107" s="1"/>
      <c r="I107" s="1"/>
      <c r="J107" s="1"/>
      <c r="K107" s="1"/>
      <c r="L107" s="1"/>
      <c r="M107" s="423"/>
      <c r="N107" s="2"/>
      <c r="O107" s="2"/>
      <c r="P107" s="2"/>
      <c r="Q107" s="2"/>
      <c r="R107" s="2"/>
      <c r="S107" s="2"/>
      <c r="T107" s="273"/>
      <c r="U107" s="2"/>
      <c r="V107" s="2"/>
      <c r="W107" s="50"/>
      <c r="X107" s="440"/>
      <c r="Y107" s="2"/>
      <c r="Z107" s="2"/>
      <c r="AA107" s="2"/>
      <c r="AB107" s="440"/>
      <c r="AC107" s="2"/>
      <c r="AD107" s="2"/>
      <c r="AE107" s="2"/>
      <c r="AF107" s="511"/>
    </row>
    <row r="108" spans="1:32" s="113" customFormat="1" ht="13.5" customHeight="1" x14ac:dyDescent="0.2">
      <c r="A108" s="107"/>
      <c r="B108" s="108" t="s">
        <v>80</v>
      </c>
      <c r="C108" s="2"/>
      <c r="D108" s="60"/>
      <c r="E108" s="1"/>
      <c r="F108" s="1"/>
      <c r="G108" s="1"/>
      <c r="H108" s="1"/>
      <c r="I108" s="1"/>
      <c r="J108" s="1"/>
      <c r="K108" s="1"/>
      <c r="L108" s="1"/>
      <c r="M108" s="423"/>
      <c r="N108" s="2"/>
      <c r="O108" s="2"/>
      <c r="P108" s="2"/>
      <c r="Q108" s="2"/>
      <c r="R108" s="2"/>
      <c r="S108" s="2"/>
      <c r="T108" s="273"/>
      <c r="U108" s="111"/>
      <c r="V108" s="111"/>
      <c r="W108" s="111"/>
      <c r="X108" s="456"/>
      <c r="Y108" s="134"/>
      <c r="Z108" s="134"/>
      <c r="AA108" s="134"/>
      <c r="AB108" s="456"/>
      <c r="AC108" s="117"/>
      <c r="AD108" s="134"/>
      <c r="AE108" s="117"/>
      <c r="AF108" s="511"/>
    </row>
    <row r="109" spans="1:32" s="113" customFormat="1" ht="13.5" customHeight="1" x14ac:dyDescent="0.2">
      <c r="A109" s="107"/>
      <c r="B109" s="135" t="s">
        <v>81</v>
      </c>
      <c r="C109" s="2"/>
      <c r="D109" s="136">
        <v>0</v>
      </c>
      <c r="E109" s="1">
        <v>0</v>
      </c>
      <c r="F109" s="1">
        <v>0</v>
      </c>
      <c r="G109" s="1">
        <v>0</v>
      </c>
      <c r="H109" s="1">
        <v>0</v>
      </c>
      <c r="I109" s="116">
        <v>78334.591</v>
      </c>
      <c r="J109" s="116">
        <v>31413.174999999999</v>
      </c>
      <c r="K109" s="116">
        <v>0</v>
      </c>
      <c r="L109" s="116">
        <v>0</v>
      </c>
      <c r="M109" s="436">
        <v>13682.451999999999</v>
      </c>
      <c r="N109" s="638">
        <f>M109/M$119*N$119</f>
        <v>16363.480776497654</v>
      </c>
      <c r="O109" s="7">
        <f>N109/N$119*O$119</f>
        <v>14400.975964383513</v>
      </c>
      <c r="P109" s="7">
        <f t="shared" ref="P109:S109" si="145">O109/O$119*P$119</f>
        <v>13676.618235596374</v>
      </c>
      <c r="Q109" s="7">
        <f t="shared" si="145"/>
        <v>13466.207970020578</v>
      </c>
      <c r="R109" s="7">
        <f t="shared" si="145"/>
        <v>14143.970617593224</v>
      </c>
      <c r="S109" s="7">
        <f t="shared" si="145"/>
        <v>14811.325510304649</v>
      </c>
      <c r="T109" s="273"/>
      <c r="U109" s="117">
        <v>0</v>
      </c>
      <c r="V109" s="117">
        <v>0</v>
      </c>
      <c r="W109" s="117">
        <v>0</v>
      </c>
      <c r="X109" s="493">
        <v>0</v>
      </c>
      <c r="Y109" s="118">
        <v>42321.908000000003</v>
      </c>
      <c r="Z109" s="118">
        <v>42321.908000000003</v>
      </c>
      <c r="AA109" s="118">
        <v>13682.451999999999</v>
      </c>
      <c r="AB109" s="493">
        <v>13682.451999999999</v>
      </c>
      <c r="AC109" s="137">
        <v>0</v>
      </c>
      <c r="AD109" s="117">
        <v>0</v>
      </c>
      <c r="AE109" s="117">
        <v>0</v>
      </c>
      <c r="AF109" s="511">
        <f>AE109/AE$119*AF$119</f>
        <v>0</v>
      </c>
    </row>
    <row r="110" spans="1:32" s="113" customFormat="1" ht="13.5" customHeight="1" x14ac:dyDescent="0.2">
      <c r="A110" s="107"/>
      <c r="B110" s="135" t="s">
        <v>82</v>
      </c>
      <c r="C110" s="2"/>
      <c r="D110" s="60">
        <v>0</v>
      </c>
      <c r="E110" s="1">
        <v>0</v>
      </c>
      <c r="F110" s="1">
        <v>0</v>
      </c>
      <c r="G110" s="1">
        <v>0</v>
      </c>
      <c r="H110" s="1">
        <v>0</v>
      </c>
      <c r="I110" s="1">
        <v>0</v>
      </c>
      <c r="J110" s="116">
        <v>77829.747000000003</v>
      </c>
      <c r="K110" s="116">
        <v>142229.22099999999</v>
      </c>
      <c r="L110" s="116">
        <v>184814.6</v>
      </c>
      <c r="M110" s="436">
        <v>208096.87299999999</v>
      </c>
      <c r="N110" s="7">
        <f t="shared" ref="N110:N112" si="146">M110/M$119*N$119</f>
        <v>248872.72990139294</v>
      </c>
      <c r="O110" s="7">
        <f t="shared" ref="O110:S112" si="147">N110/N$119*O$119</f>
        <v>219024.92815881016</v>
      </c>
      <c r="P110" s="7">
        <f t="shared" si="147"/>
        <v>208008.14708082896</v>
      </c>
      <c r="Q110" s="7">
        <f t="shared" si="147"/>
        <v>204808.01026957447</v>
      </c>
      <c r="R110" s="7">
        <f t="shared" si="147"/>
        <v>215116.12518903983</v>
      </c>
      <c r="S110" s="7">
        <f t="shared" si="147"/>
        <v>225265.94821451057</v>
      </c>
      <c r="T110" s="273"/>
      <c r="U110" s="117">
        <v>148510.49900000001</v>
      </c>
      <c r="V110" s="117">
        <v>197994.353</v>
      </c>
      <c r="W110" s="117">
        <v>180595.83199999999</v>
      </c>
      <c r="X110" s="493">
        <v>184814.6</v>
      </c>
      <c r="Y110" s="118">
        <v>43925.02</v>
      </c>
      <c r="Z110" s="118">
        <v>80332.233999999997</v>
      </c>
      <c r="AA110" s="118">
        <v>167002.74400000001</v>
      </c>
      <c r="AB110" s="493">
        <v>208096.87299999999</v>
      </c>
      <c r="AC110" s="117">
        <v>277401.27500000002</v>
      </c>
      <c r="AD110" s="117">
        <v>266856.891</v>
      </c>
      <c r="AE110" s="117">
        <v>270038.79700000002</v>
      </c>
      <c r="AF110" s="511">
        <f t="shared" ref="AF110:AF118" si="148">AE110/AE$119*AF$119</f>
        <v>255581.74383690843</v>
      </c>
    </row>
    <row r="111" spans="1:32" s="113" customFormat="1" ht="13.5" customHeight="1" x14ac:dyDescent="0.2">
      <c r="A111" s="107"/>
      <c r="B111" s="135" t="s">
        <v>83</v>
      </c>
      <c r="C111" s="2"/>
      <c r="D111" s="60">
        <v>0</v>
      </c>
      <c r="E111" s="1">
        <v>0</v>
      </c>
      <c r="F111" s="1">
        <v>0</v>
      </c>
      <c r="G111" s="1">
        <v>0</v>
      </c>
      <c r="H111" s="1">
        <v>0</v>
      </c>
      <c r="I111" s="116">
        <v>69394.945999999996</v>
      </c>
      <c r="J111" s="1">
        <v>0</v>
      </c>
      <c r="K111" s="1">
        <v>0</v>
      </c>
      <c r="L111" s="1">
        <v>0</v>
      </c>
      <c r="M111" s="423">
        <v>0</v>
      </c>
      <c r="N111" s="7">
        <f t="shared" si="146"/>
        <v>0</v>
      </c>
      <c r="O111" s="7">
        <f t="shared" si="147"/>
        <v>0</v>
      </c>
      <c r="P111" s="7">
        <f t="shared" si="147"/>
        <v>0</v>
      </c>
      <c r="Q111" s="7">
        <f t="shared" si="147"/>
        <v>0</v>
      </c>
      <c r="R111" s="7">
        <f t="shared" si="147"/>
        <v>0</v>
      </c>
      <c r="S111" s="7">
        <f t="shared" si="147"/>
        <v>0</v>
      </c>
      <c r="T111" s="273"/>
      <c r="U111" s="117">
        <v>0</v>
      </c>
      <c r="V111" s="117">
        <v>0</v>
      </c>
      <c r="W111" s="117">
        <v>0</v>
      </c>
      <c r="X111" s="493">
        <v>0</v>
      </c>
      <c r="Y111" s="118">
        <v>0</v>
      </c>
      <c r="Z111" s="118">
        <v>0</v>
      </c>
      <c r="AA111" s="118">
        <v>0</v>
      </c>
      <c r="AB111" s="493">
        <v>0</v>
      </c>
      <c r="AC111" s="117">
        <v>0</v>
      </c>
      <c r="AD111" s="117">
        <v>0</v>
      </c>
      <c r="AE111" s="117">
        <v>0</v>
      </c>
      <c r="AF111" s="511">
        <f t="shared" si="148"/>
        <v>0</v>
      </c>
    </row>
    <row r="112" spans="1:32" s="113" customFormat="1" ht="13.5" customHeight="1" x14ac:dyDescent="0.2">
      <c r="A112" s="107"/>
      <c r="B112" s="135" t="s">
        <v>84</v>
      </c>
      <c r="C112" s="2"/>
      <c r="D112" s="60">
        <v>0</v>
      </c>
      <c r="E112" s="1">
        <v>0</v>
      </c>
      <c r="F112" s="1">
        <v>0</v>
      </c>
      <c r="G112" s="1">
        <v>0</v>
      </c>
      <c r="H112" s="1">
        <v>0</v>
      </c>
      <c r="I112" s="116">
        <v>21885.384999999998</v>
      </c>
      <c r="J112" s="116">
        <v>19887.742999999999</v>
      </c>
      <c r="K112" s="116">
        <v>15.5</v>
      </c>
      <c r="L112" s="116">
        <v>15.5</v>
      </c>
      <c r="M112" s="436">
        <v>15.5</v>
      </c>
      <c r="N112" s="7">
        <f t="shared" si="146"/>
        <v>18.537170971673326</v>
      </c>
      <c r="O112" s="7">
        <f t="shared" si="147"/>
        <v>16.313971168906306</v>
      </c>
      <c r="P112" s="7">
        <f t="shared" si="147"/>
        <v>15.493391290665137</v>
      </c>
      <c r="Q112" s="7">
        <f t="shared" si="147"/>
        <v>15.255030570201813</v>
      </c>
      <c r="R112" s="7">
        <f t="shared" si="147"/>
        <v>16.022825775138472</v>
      </c>
      <c r="S112" s="7">
        <f t="shared" si="147"/>
        <v>16.778830681059361</v>
      </c>
      <c r="T112" s="273"/>
      <c r="U112" s="117">
        <v>15.5</v>
      </c>
      <c r="V112" s="117">
        <v>15.5</v>
      </c>
      <c r="W112" s="117">
        <v>15.5</v>
      </c>
      <c r="X112" s="493">
        <v>15.5</v>
      </c>
      <c r="Y112" s="118">
        <v>15.5</v>
      </c>
      <c r="Z112" s="118">
        <v>15.5</v>
      </c>
      <c r="AA112" s="118">
        <v>15.5</v>
      </c>
      <c r="AB112" s="493">
        <v>15.5</v>
      </c>
      <c r="AC112" s="117">
        <v>15.5</v>
      </c>
      <c r="AD112" s="117">
        <v>15.5</v>
      </c>
      <c r="AE112" s="117">
        <v>15.5</v>
      </c>
      <c r="AF112" s="511">
        <f t="shared" si="148"/>
        <v>14.670177298531218</v>
      </c>
    </row>
    <row r="113" spans="1:32" s="113" customFormat="1" ht="13.5" customHeight="1" x14ac:dyDescent="0.2">
      <c r="A113" s="107"/>
      <c r="B113" s="138" t="s">
        <v>85</v>
      </c>
      <c r="C113" s="2"/>
      <c r="D113" s="109">
        <v>7966.0789999999997</v>
      </c>
      <c r="E113" s="109">
        <v>4040.239</v>
      </c>
      <c r="F113" s="109">
        <v>15.5</v>
      </c>
      <c r="G113" s="110">
        <v>6958.232</v>
      </c>
      <c r="H113" s="110">
        <v>90781.797000000006</v>
      </c>
      <c r="I113" s="110">
        <f t="shared" ref="I113:S113" si="149">SUM(I109:I112)</f>
        <v>169614.92200000002</v>
      </c>
      <c r="J113" s="110">
        <f t="shared" si="149"/>
        <v>129130.66500000001</v>
      </c>
      <c r="K113" s="110">
        <f t="shared" si="149"/>
        <v>142244.72099999999</v>
      </c>
      <c r="L113" s="110">
        <f t="shared" si="149"/>
        <v>184830.1</v>
      </c>
      <c r="M113" s="439">
        <f t="shared" si="149"/>
        <v>221794.82499999998</v>
      </c>
      <c r="N113" s="65">
        <f t="shared" si="149"/>
        <v>265254.74784886226</v>
      </c>
      <c r="O113" s="65">
        <f t="shared" si="149"/>
        <v>233442.21809436259</v>
      </c>
      <c r="P113" s="65">
        <f t="shared" si="149"/>
        <v>221700.25870771598</v>
      </c>
      <c r="Q113" s="65">
        <f t="shared" si="149"/>
        <v>218289.47327016524</v>
      </c>
      <c r="R113" s="65">
        <f t="shared" si="149"/>
        <v>229276.11863240821</v>
      </c>
      <c r="S113" s="65">
        <f t="shared" si="149"/>
        <v>240094.05255549628</v>
      </c>
      <c r="T113" s="273"/>
      <c r="U113" s="111">
        <f>SUM(U109:U112)</f>
        <v>148525.99900000001</v>
      </c>
      <c r="V113" s="111">
        <f t="shared" ref="V113:AF113" si="150">SUM(V109:V112)</f>
        <v>198009.853</v>
      </c>
      <c r="W113" s="111">
        <f t="shared" si="150"/>
        <v>180611.33199999999</v>
      </c>
      <c r="X113" s="492">
        <f t="shared" si="150"/>
        <v>184830.1</v>
      </c>
      <c r="Y113" s="112">
        <f t="shared" si="150"/>
        <v>86262.428</v>
      </c>
      <c r="Z113" s="112">
        <f t="shared" si="150"/>
        <v>122669.64199999999</v>
      </c>
      <c r="AA113" s="139">
        <f t="shared" si="150"/>
        <v>180700.696</v>
      </c>
      <c r="AB113" s="492">
        <f t="shared" si="150"/>
        <v>221794.82499999998</v>
      </c>
      <c r="AC113" s="111">
        <f t="shared" si="150"/>
        <v>277416.77500000002</v>
      </c>
      <c r="AD113" s="111">
        <f t="shared" si="150"/>
        <v>266872.391</v>
      </c>
      <c r="AE113" s="140">
        <f t="shared" si="150"/>
        <v>270054.29700000002</v>
      </c>
      <c r="AF113" s="523">
        <f t="shared" si="150"/>
        <v>255596.41401420697</v>
      </c>
    </row>
    <row r="114" spans="1:32" s="113" customFormat="1" ht="13.5" customHeight="1" x14ac:dyDescent="0.2">
      <c r="A114" s="107"/>
      <c r="B114" s="135" t="s">
        <v>472</v>
      </c>
      <c r="C114" s="2"/>
      <c r="D114" s="60">
        <f>45.775+1500</f>
        <v>1545.7750000000001</v>
      </c>
      <c r="E114" s="1">
        <v>0</v>
      </c>
      <c r="F114" s="115">
        <v>500</v>
      </c>
      <c r="G114" s="116">
        <v>500</v>
      </c>
      <c r="H114" s="116">
        <v>0</v>
      </c>
      <c r="I114" s="116">
        <v>875</v>
      </c>
      <c r="J114" s="116">
        <v>0</v>
      </c>
      <c r="K114" s="116">
        <v>5000</v>
      </c>
      <c r="L114" s="116">
        <v>0</v>
      </c>
      <c r="M114" s="436">
        <v>1910</v>
      </c>
      <c r="N114" s="7">
        <f t="shared" ref="N114:N118" si="151">M114/M$119*N$119</f>
        <v>2284.2578423158748</v>
      </c>
      <c r="O114" s="7">
        <f t="shared" ref="O114:S114" si="152">N114/N$119*O$119</f>
        <v>2010.302253716842</v>
      </c>
      <c r="P114" s="7">
        <f t="shared" si="152"/>
        <v>1909.1856364626074</v>
      </c>
      <c r="Q114" s="7">
        <f t="shared" si="152"/>
        <v>1879.8134444571269</v>
      </c>
      <c r="R114" s="7">
        <f t="shared" si="152"/>
        <v>1974.4256277751283</v>
      </c>
      <c r="S114" s="7">
        <f t="shared" si="152"/>
        <v>2067.5849419886058</v>
      </c>
      <c r="T114" s="273"/>
      <c r="U114" s="117">
        <v>5000</v>
      </c>
      <c r="V114" s="117">
        <v>5000</v>
      </c>
      <c r="W114" s="117">
        <v>5000</v>
      </c>
      <c r="X114" s="493">
        <v>0</v>
      </c>
      <c r="Y114" s="118">
        <v>1500</v>
      </c>
      <c r="Z114" s="118">
        <v>8600</v>
      </c>
      <c r="AA114" s="141">
        <v>0</v>
      </c>
      <c r="AB114" s="493">
        <v>1910</v>
      </c>
      <c r="AC114" s="117">
        <v>1250</v>
      </c>
      <c r="AD114" s="117">
        <v>7500</v>
      </c>
      <c r="AE114" s="117">
        <v>9300</v>
      </c>
      <c r="AF114" s="511">
        <f t="shared" si="148"/>
        <v>8802.1063791187316</v>
      </c>
    </row>
    <row r="115" spans="1:32" s="113" customFormat="1" ht="13.5" customHeight="1" x14ac:dyDescent="0.2">
      <c r="A115" s="107"/>
      <c r="B115" s="135" t="s">
        <v>473</v>
      </c>
      <c r="C115" s="2"/>
      <c r="D115" s="60"/>
      <c r="E115" s="1"/>
      <c r="F115" s="115"/>
      <c r="G115" s="116"/>
      <c r="H115" s="116"/>
      <c r="I115" s="116"/>
      <c r="J115" s="116"/>
      <c r="K115" s="116"/>
      <c r="L115" s="116"/>
      <c r="M115" s="436"/>
      <c r="N115" s="7">
        <f t="shared" si="151"/>
        <v>0</v>
      </c>
      <c r="O115" s="7">
        <f t="shared" ref="O115:S115" si="153">N115/N$119*O$119</f>
        <v>0</v>
      </c>
      <c r="P115" s="7">
        <f t="shared" si="153"/>
        <v>0</v>
      </c>
      <c r="Q115" s="7">
        <f t="shared" si="153"/>
        <v>0</v>
      </c>
      <c r="R115" s="7">
        <f t="shared" si="153"/>
        <v>0</v>
      </c>
      <c r="S115" s="7">
        <f t="shared" si="153"/>
        <v>0</v>
      </c>
      <c r="T115" s="273"/>
      <c r="U115" s="117">
        <v>0</v>
      </c>
      <c r="V115" s="117">
        <v>0</v>
      </c>
      <c r="W115" s="117">
        <v>500</v>
      </c>
      <c r="X115" s="493">
        <v>0</v>
      </c>
      <c r="Y115" s="118">
        <v>500</v>
      </c>
      <c r="Z115" s="141">
        <v>0</v>
      </c>
      <c r="AA115" s="118">
        <v>500</v>
      </c>
      <c r="AB115" s="493">
        <v>0</v>
      </c>
      <c r="AC115" s="141">
        <v>0</v>
      </c>
      <c r="AD115" s="141">
        <v>0</v>
      </c>
      <c r="AE115" s="117">
        <v>3314.0419999999999</v>
      </c>
      <c r="AF115" s="511">
        <f t="shared" si="148"/>
        <v>3136.6183041792901</v>
      </c>
    </row>
    <row r="116" spans="1:32" s="113" customFormat="1" ht="13.5" customHeight="1" x14ac:dyDescent="0.2">
      <c r="A116" s="107"/>
      <c r="B116" s="135" t="s">
        <v>86</v>
      </c>
      <c r="C116" s="2"/>
      <c r="D116" s="115">
        <v>1094.501</v>
      </c>
      <c r="E116" s="115">
        <v>78.302000000000007</v>
      </c>
      <c r="F116" s="115">
        <v>27.564</v>
      </c>
      <c r="G116" s="116">
        <v>26.366</v>
      </c>
      <c r="H116" s="116">
        <v>26.065999999999999</v>
      </c>
      <c r="I116" s="116">
        <v>26.065999999999999</v>
      </c>
      <c r="J116" s="116">
        <v>26.065999999999999</v>
      </c>
      <c r="K116" s="116">
        <v>26.065999999999999</v>
      </c>
      <c r="L116" s="116">
        <v>26.065999999999999</v>
      </c>
      <c r="M116" s="436">
        <v>26.065999999999999</v>
      </c>
      <c r="N116" s="7">
        <f t="shared" si="151"/>
        <v>31.173541841783027</v>
      </c>
      <c r="O116" s="7">
        <f t="shared" ref="O116:S116" si="154">N116/N$119*O$119</f>
        <v>27.434836934755602</v>
      </c>
      <c r="P116" s="7">
        <f t="shared" si="154"/>
        <v>26.05488628274048</v>
      </c>
      <c r="Q116" s="7">
        <f t="shared" si="154"/>
        <v>25.654040441476155</v>
      </c>
      <c r="R116" s="7">
        <f t="shared" si="154"/>
        <v>26.945224300307057</v>
      </c>
      <c r="S116" s="7">
        <f t="shared" si="154"/>
        <v>28.216580679515697</v>
      </c>
      <c r="T116" s="273"/>
      <c r="U116" s="117">
        <v>26.065999999999999</v>
      </c>
      <c r="V116" s="117">
        <v>26.065999999999999</v>
      </c>
      <c r="W116" s="117">
        <v>26.065999999999999</v>
      </c>
      <c r="X116" s="493">
        <v>26.065999999999999</v>
      </c>
      <c r="Y116" s="118">
        <v>26.065999999999999</v>
      </c>
      <c r="Z116" s="118">
        <v>26.065999999999999</v>
      </c>
      <c r="AA116" s="118">
        <v>26.065999999999999</v>
      </c>
      <c r="AB116" s="493">
        <v>26.065999999999999</v>
      </c>
      <c r="AC116" s="117">
        <v>26.065999999999999</v>
      </c>
      <c r="AD116" s="117">
        <v>26.065999999999999</v>
      </c>
      <c r="AE116" s="117">
        <v>26.065999999999999</v>
      </c>
      <c r="AF116" s="511">
        <f t="shared" si="148"/>
        <v>24.670505900871916</v>
      </c>
    </row>
    <row r="117" spans="1:32" s="113" customFormat="1" ht="13.5" customHeight="1" x14ac:dyDescent="0.2">
      <c r="A117" s="107"/>
      <c r="B117" s="138"/>
      <c r="C117" s="2"/>
      <c r="D117" s="60"/>
      <c r="E117" s="1"/>
      <c r="F117" s="1"/>
      <c r="G117" s="2"/>
      <c r="H117" s="2"/>
      <c r="I117" s="2"/>
      <c r="J117" s="2"/>
      <c r="K117" s="2"/>
      <c r="L117" s="2"/>
      <c r="M117" s="440"/>
      <c r="N117" s="7">
        <f t="shared" si="151"/>
        <v>0</v>
      </c>
      <c r="O117" s="7">
        <f t="shared" ref="O117:S117" si="155">N117/N$119*O$119</f>
        <v>0</v>
      </c>
      <c r="P117" s="7">
        <f t="shared" si="155"/>
        <v>0</v>
      </c>
      <c r="Q117" s="7">
        <f t="shared" si="155"/>
        <v>0</v>
      </c>
      <c r="R117" s="7">
        <f t="shared" si="155"/>
        <v>0</v>
      </c>
      <c r="S117" s="7">
        <f t="shared" si="155"/>
        <v>0</v>
      </c>
      <c r="T117" s="273"/>
      <c r="U117" s="111"/>
      <c r="V117" s="111"/>
      <c r="W117" s="111"/>
      <c r="X117" s="456"/>
      <c r="Y117" s="111"/>
      <c r="Z117" s="111"/>
      <c r="AA117" s="111"/>
      <c r="AB117" s="456"/>
      <c r="AC117" s="111"/>
      <c r="AD117" s="111"/>
      <c r="AE117" s="111"/>
      <c r="AF117" s="523">
        <f t="shared" si="148"/>
        <v>0</v>
      </c>
    </row>
    <row r="118" spans="1:32" s="113" customFormat="1" ht="13.5" customHeight="1" x14ac:dyDescent="0.2">
      <c r="A118" s="107"/>
      <c r="B118" s="135" t="s">
        <v>87</v>
      </c>
      <c r="C118" s="2"/>
      <c r="D118" s="136">
        <v>-94.5</v>
      </c>
      <c r="E118" s="136">
        <v>-53.134999999999998</v>
      </c>
      <c r="F118" s="142">
        <v>-43.064</v>
      </c>
      <c r="G118" s="143">
        <v>-41.866</v>
      </c>
      <c r="H118" s="143">
        <v>-41.566000000000003</v>
      </c>
      <c r="I118" s="143">
        <v>-41.566000000000003</v>
      </c>
      <c r="J118" s="143">
        <v>-41.566000000000003</v>
      </c>
      <c r="K118" s="143">
        <v>-41.566000000000003</v>
      </c>
      <c r="L118" s="143">
        <v>-41.566000000000003</v>
      </c>
      <c r="M118" s="441">
        <v>-41.566000000000003</v>
      </c>
      <c r="N118" s="7">
        <f t="shared" si="151"/>
        <v>-49.710712813456354</v>
      </c>
      <c r="O118" s="7">
        <f t="shared" ref="O118:S118" si="156">N118/N$119*O$119</f>
        <v>-43.748808103661915</v>
      </c>
      <c r="P118" s="7">
        <f t="shared" si="156"/>
        <v>-41.548277573405628</v>
      </c>
      <c r="Q118" s="7">
        <f t="shared" si="156"/>
        <v>-40.90907101167798</v>
      </c>
      <c r="R118" s="7">
        <f t="shared" si="156"/>
        <v>-42.968050075445547</v>
      </c>
      <c r="S118" s="7">
        <f t="shared" si="156"/>
        <v>-44.995411360575069</v>
      </c>
      <c r="T118" s="273"/>
      <c r="U118" s="117">
        <v>-41.566000000000003</v>
      </c>
      <c r="V118" s="117">
        <v>-41.566000000000003</v>
      </c>
      <c r="W118" s="117">
        <v>-41.566000000000003</v>
      </c>
      <c r="X118" s="495">
        <v>-41.566000000000003</v>
      </c>
      <c r="Y118" s="144">
        <v>-41.566000000000003</v>
      </c>
      <c r="Z118" s="144">
        <v>-41.566000000000003</v>
      </c>
      <c r="AA118" s="144">
        <v>-41.566000000000003</v>
      </c>
      <c r="AB118" s="495">
        <v>-41.566000000000003</v>
      </c>
      <c r="AC118" s="145">
        <v>-41.566000000000003</v>
      </c>
      <c r="AD118" s="145">
        <v>-41.566000000000003</v>
      </c>
      <c r="AE118" s="145">
        <v>-41.566000000000003</v>
      </c>
      <c r="AF118" s="532">
        <f t="shared" si="148"/>
        <v>-39.340683199403138</v>
      </c>
    </row>
    <row r="119" spans="1:32" s="113" customFormat="1" ht="13.5" customHeight="1" x14ac:dyDescent="0.2">
      <c r="A119" s="107"/>
      <c r="B119" s="3" t="s">
        <v>88</v>
      </c>
      <c r="C119" s="2"/>
      <c r="D119" s="121">
        <f t="shared" ref="D119:M119" si="157">SUM(D113:D118)</f>
        <v>10511.855</v>
      </c>
      <c r="E119" s="121">
        <f t="shared" si="157"/>
        <v>4065.4059999999999</v>
      </c>
      <c r="F119" s="121">
        <f t="shared" si="157"/>
        <v>499.99999999999994</v>
      </c>
      <c r="G119" s="121">
        <f t="shared" si="157"/>
        <v>7442.732</v>
      </c>
      <c r="H119" s="121">
        <f t="shared" si="157"/>
        <v>90766.297000000006</v>
      </c>
      <c r="I119" s="121">
        <f t="shared" si="157"/>
        <v>170474.42200000002</v>
      </c>
      <c r="J119" s="121">
        <f t="shared" si="157"/>
        <v>129115.16500000001</v>
      </c>
      <c r="K119" s="121">
        <f t="shared" si="157"/>
        <v>147229.22099999999</v>
      </c>
      <c r="L119" s="121">
        <f t="shared" si="157"/>
        <v>184814.6</v>
      </c>
      <c r="M119" s="428">
        <f t="shared" si="157"/>
        <v>223689.32499999998</v>
      </c>
      <c r="N119" s="65">
        <f>AF119*(1+'Adj from Unconsol to Consol'!F8)</f>
        <v>267520.46852020646</v>
      </c>
      <c r="O119" s="65">
        <f>O267*Assumptions!P41</f>
        <v>235436.2063769105</v>
      </c>
      <c r="P119" s="65">
        <f>P267*Assumptions!Q41</f>
        <v>223593.95095288794</v>
      </c>
      <c r="Q119" s="65">
        <f>Q267*Assumptions!R41</f>
        <v>220154.03168405217</v>
      </c>
      <c r="R119" s="65">
        <f>R267*Assumptions!S41</f>
        <v>231234.52143440818</v>
      </c>
      <c r="S119" s="65">
        <f>S267*Assumptions!T41</f>
        <v>242144.8586668038</v>
      </c>
      <c r="T119" s="273"/>
      <c r="U119" s="111">
        <f>SUM(U113:U118)</f>
        <v>153510.49900000001</v>
      </c>
      <c r="V119" s="111">
        <f t="shared" ref="V119:AE119" si="158">SUM(V113:V118)</f>
        <v>202994.353</v>
      </c>
      <c r="W119" s="111">
        <f t="shared" si="158"/>
        <v>186095.83199999999</v>
      </c>
      <c r="X119" s="456">
        <f t="shared" si="158"/>
        <v>184814.6</v>
      </c>
      <c r="Y119" s="111">
        <f t="shared" si="158"/>
        <v>88246.928</v>
      </c>
      <c r="Z119" s="111">
        <f t="shared" si="158"/>
        <v>131254.14199999999</v>
      </c>
      <c r="AA119" s="111">
        <f t="shared" si="158"/>
        <v>181185.196</v>
      </c>
      <c r="AB119" s="494">
        <f t="shared" si="158"/>
        <v>223689.32499999998</v>
      </c>
      <c r="AC119" s="111">
        <f t="shared" si="158"/>
        <v>278651.27500000002</v>
      </c>
      <c r="AD119" s="111">
        <f t="shared" si="158"/>
        <v>274356.891</v>
      </c>
      <c r="AE119" s="111">
        <f t="shared" si="158"/>
        <v>282652.83900000004</v>
      </c>
      <c r="AF119" s="523">
        <f>AF267*Assumptions!AG41</f>
        <v>267520.46852020646</v>
      </c>
    </row>
    <row r="120" spans="1:32" x14ac:dyDescent="0.2">
      <c r="W120" s="50"/>
    </row>
    <row r="121" spans="1:32" s="123" customFormat="1" x14ac:dyDescent="0.2">
      <c r="A121" s="122"/>
      <c r="B121" s="123" t="s">
        <v>101</v>
      </c>
      <c r="D121" s="124">
        <f>D119</f>
        <v>10511.855</v>
      </c>
      <c r="E121" s="125">
        <f t="shared" ref="E121:M121" si="159">E119</f>
        <v>4065.4059999999999</v>
      </c>
      <c r="F121" s="125">
        <f t="shared" si="159"/>
        <v>499.99999999999994</v>
      </c>
      <c r="G121" s="125">
        <f t="shared" si="159"/>
        <v>7442.732</v>
      </c>
      <c r="H121" s="125">
        <f t="shared" si="159"/>
        <v>90766.297000000006</v>
      </c>
      <c r="I121" s="125">
        <f t="shared" si="159"/>
        <v>170474.42200000002</v>
      </c>
      <c r="J121" s="125">
        <f t="shared" si="159"/>
        <v>129115.16500000001</v>
      </c>
      <c r="K121" s="125">
        <f t="shared" si="159"/>
        <v>147229.22099999999</v>
      </c>
      <c r="L121" s="125">
        <f t="shared" si="159"/>
        <v>184814.6</v>
      </c>
      <c r="M121" s="442">
        <f t="shared" si="159"/>
        <v>223689.32499999998</v>
      </c>
      <c r="N121" s="125">
        <f t="shared" ref="N121:S121" si="160">N119</f>
        <v>267520.46852020646</v>
      </c>
      <c r="O121" s="125">
        <f t="shared" si="160"/>
        <v>235436.2063769105</v>
      </c>
      <c r="P121" s="125">
        <f t="shared" si="160"/>
        <v>223593.95095288794</v>
      </c>
      <c r="Q121" s="125">
        <f t="shared" si="160"/>
        <v>220154.03168405217</v>
      </c>
      <c r="R121" s="125">
        <f t="shared" si="160"/>
        <v>231234.52143440818</v>
      </c>
      <c r="S121" s="125">
        <f t="shared" si="160"/>
        <v>242144.8586668038</v>
      </c>
      <c r="T121" s="421"/>
      <c r="U121" s="125">
        <f>U119</f>
        <v>153510.49900000001</v>
      </c>
      <c r="V121" s="125">
        <f t="shared" ref="V121:AE121" si="161">V119</f>
        <v>202994.353</v>
      </c>
      <c r="W121" s="127">
        <f t="shared" si="161"/>
        <v>186095.83199999999</v>
      </c>
      <c r="X121" s="442">
        <f t="shared" si="161"/>
        <v>184814.6</v>
      </c>
      <c r="Y121" s="125">
        <f t="shared" si="161"/>
        <v>88246.928</v>
      </c>
      <c r="Z121" s="125">
        <f t="shared" si="161"/>
        <v>131254.14199999999</v>
      </c>
      <c r="AA121" s="125">
        <f t="shared" si="161"/>
        <v>181185.196</v>
      </c>
      <c r="AB121" s="442">
        <f t="shared" si="161"/>
        <v>223689.32499999998</v>
      </c>
      <c r="AC121" s="125">
        <f t="shared" si="161"/>
        <v>278651.27500000002</v>
      </c>
      <c r="AD121" s="125">
        <f t="shared" si="161"/>
        <v>274356.891</v>
      </c>
      <c r="AE121" s="125">
        <f t="shared" si="161"/>
        <v>282652.83900000004</v>
      </c>
      <c r="AF121" s="533">
        <f t="shared" ref="AF121" si="162">AF119</f>
        <v>267520.46852020646</v>
      </c>
    </row>
    <row r="122" spans="1:32" s="89" customFormat="1" x14ac:dyDescent="0.2">
      <c r="A122" s="88"/>
      <c r="B122" s="89" t="s">
        <v>102</v>
      </c>
      <c r="D122" s="95">
        <f t="shared" ref="D122:M122" si="163">D9</f>
        <v>10511.855</v>
      </c>
      <c r="E122" s="128">
        <f t="shared" si="163"/>
        <v>4065.4059999999999</v>
      </c>
      <c r="F122" s="128">
        <f t="shared" si="163"/>
        <v>500</v>
      </c>
      <c r="G122" s="128">
        <f t="shared" si="163"/>
        <v>7442.732</v>
      </c>
      <c r="H122" s="128">
        <f t="shared" si="163"/>
        <v>90766.297000000006</v>
      </c>
      <c r="I122" s="128">
        <f t="shared" si="163"/>
        <v>170474.42199999999</v>
      </c>
      <c r="J122" s="128">
        <f t="shared" si="163"/>
        <v>129115.16499999999</v>
      </c>
      <c r="K122" s="128">
        <f t="shared" si="163"/>
        <v>147229.22099999999</v>
      </c>
      <c r="L122" s="128">
        <f t="shared" si="163"/>
        <v>184814.6</v>
      </c>
      <c r="M122" s="443">
        <f t="shared" si="163"/>
        <v>223689.32500000001</v>
      </c>
      <c r="N122" s="128">
        <f t="shared" ref="N122:S122" si="164">N9</f>
        <v>267520.46852020646</v>
      </c>
      <c r="O122" s="128">
        <f t="shared" si="164"/>
        <v>235436.2063769105</v>
      </c>
      <c r="P122" s="128">
        <f t="shared" si="164"/>
        <v>223593.95095288794</v>
      </c>
      <c r="Q122" s="128">
        <f t="shared" si="164"/>
        <v>220154.03168405217</v>
      </c>
      <c r="R122" s="128">
        <f t="shared" si="164"/>
        <v>231234.52143440818</v>
      </c>
      <c r="S122" s="128">
        <f t="shared" si="164"/>
        <v>242144.8586668038</v>
      </c>
      <c r="T122" s="419"/>
      <c r="U122" s="128">
        <f>U9</f>
        <v>153510.49900000001</v>
      </c>
      <c r="V122" s="128">
        <f t="shared" ref="V122:AE122" si="165">V9</f>
        <v>202994.353</v>
      </c>
      <c r="W122" s="130">
        <f t="shared" si="165"/>
        <v>186095.83199999999</v>
      </c>
      <c r="X122" s="443">
        <f t="shared" si="165"/>
        <v>184814.6</v>
      </c>
      <c r="Y122" s="128">
        <f t="shared" si="165"/>
        <v>88246.928</v>
      </c>
      <c r="Z122" s="128">
        <f t="shared" si="165"/>
        <v>131254.23199999999</v>
      </c>
      <c r="AA122" s="128">
        <f t="shared" si="165"/>
        <v>181185.196</v>
      </c>
      <c r="AB122" s="443">
        <f t="shared" si="165"/>
        <v>223689.32500000001</v>
      </c>
      <c r="AC122" s="128">
        <f t="shared" si="165"/>
        <v>278651.27500000002</v>
      </c>
      <c r="AD122" s="128">
        <f t="shared" si="165"/>
        <v>274356.891</v>
      </c>
      <c r="AE122" s="128">
        <f t="shared" si="165"/>
        <v>282652.83899999998</v>
      </c>
      <c r="AF122" s="534">
        <f t="shared" ref="AF122" si="166">AF9</f>
        <v>267520.46852020646</v>
      </c>
    </row>
    <row r="123" spans="1:32" x14ac:dyDescent="0.2">
      <c r="W123" s="50"/>
    </row>
    <row r="124" spans="1:32" s="106" customFormat="1" ht="11.1" customHeight="1" x14ac:dyDescent="0.2">
      <c r="B124" s="58" t="s">
        <v>105</v>
      </c>
      <c r="C124" s="4"/>
      <c r="D124" s="352"/>
      <c r="E124" s="353"/>
      <c r="F124" s="353"/>
      <c r="G124" s="353"/>
      <c r="H124" s="353"/>
      <c r="I124" s="353"/>
      <c r="J124" s="353"/>
      <c r="K124" s="353"/>
      <c r="L124" s="353"/>
      <c r="M124" s="434"/>
      <c r="N124" s="213"/>
      <c r="O124" s="213"/>
      <c r="P124" s="213"/>
      <c r="Q124" s="213"/>
      <c r="R124" s="213"/>
      <c r="S124" s="213"/>
      <c r="T124" s="354"/>
      <c r="U124" s="213"/>
      <c r="V124" s="213"/>
      <c r="W124" s="354"/>
      <c r="X124" s="491"/>
      <c r="Y124" s="213"/>
      <c r="Z124" s="213"/>
      <c r="AA124" s="213"/>
      <c r="AB124" s="491"/>
      <c r="AC124" s="213"/>
      <c r="AD124" s="213"/>
      <c r="AE124" s="213"/>
      <c r="AF124" s="527"/>
    </row>
    <row r="125" spans="1:32" s="113" customFormat="1" ht="13.5" customHeight="1" x14ac:dyDescent="0.2">
      <c r="A125" s="107"/>
      <c r="B125" s="3"/>
      <c r="C125" s="2"/>
      <c r="D125" s="60"/>
      <c r="E125" s="1"/>
      <c r="F125" s="1"/>
      <c r="G125" s="1"/>
      <c r="H125" s="1"/>
      <c r="I125" s="1"/>
      <c r="J125" s="1"/>
      <c r="K125" s="1"/>
      <c r="L125" s="1"/>
      <c r="M125" s="423"/>
      <c r="N125" s="2"/>
      <c r="O125" s="2"/>
      <c r="P125" s="2"/>
      <c r="Q125" s="2"/>
      <c r="R125" s="2"/>
      <c r="S125" s="2"/>
      <c r="T125" s="273"/>
      <c r="U125" s="2"/>
      <c r="V125" s="2"/>
      <c r="W125" s="50"/>
      <c r="X125" s="440"/>
      <c r="Y125" s="2"/>
      <c r="Z125" s="2"/>
      <c r="AA125" s="2"/>
      <c r="AB125" s="440"/>
      <c r="AC125" s="2"/>
      <c r="AD125" s="2"/>
      <c r="AE125" s="2"/>
      <c r="AF125" s="511"/>
    </row>
    <row r="126" spans="1:32" s="113" customFormat="1" ht="13.5" customHeight="1" x14ac:dyDescent="0.2">
      <c r="A126" s="107"/>
      <c r="B126" s="3" t="s">
        <v>89</v>
      </c>
      <c r="C126" s="2"/>
      <c r="D126" s="60"/>
      <c r="E126" s="1"/>
      <c r="F126" s="1"/>
      <c r="G126" s="1"/>
      <c r="H126" s="1"/>
      <c r="I126" s="1"/>
      <c r="J126" s="1"/>
      <c r="K126" s="1"/>
      <c r="L126" s="1"/>
      <c r="M126" s="423"/>
      <c r="N126" s="2"/>
      <c r="O126" s="2"/>
      <c r="P126" s="2"/>
      <c r="Q126" s="2"/>
      <c r="R126" s="2"/>
      <c r="S126" s="2"/>
      <c r="T126" s="273"/>
      <c r="U126" s="2"/>
      <c r="V126" s="2"/>
      <c r="W126" s="50"/>
      <c r="X126" s="440"/>
      <c r="Y126" s="2"/>
      <c r="Z126" s="2"/>
      <c r="AA126" s="2"/>
      <c r="AB126" s="440"/>
      <c r="AC126" s="2"/>
      <c r="AD126" s="2"/>
      <c r="AE126" s="2"/>
      <c r="AF126" s="511"/>
    </row>
    <row r="127" spans="1:32" s="113" customFormat="1" ht="13.5" customHeight="1" x14ac:dyDescent="0.2">
      <c r="A127" s="107"/>
      <c r="B127" s="3"/>
      <c r="C127" s="2"/>
      <c r="D127" s="60"/>
      <c r="E127" s="1"/>
      <c r="F127" s="1"/>
      <c r="G127" s="1"/>
      <c r="J127" s="1"/>
      <c r="K127" s="1"/>
      <c r="L127" s="1"/>
      <c r="M127" s="423"/>
      <c r="N127" s="2"/>
      <c r="O127" s="2"/>
      <c r="P127" s="2"/>
      <c r="Q127" s="2"/>
      <c r="R127" s="2"/>
      <c r="S127" s="2"/>
      <c r="T127" s="273"/>
      <c r="U127" s="2"/>
      <c r="V127" s="2"/>
      <c r="W127" s="50"/>
      <c r="X127" s="440"/>
      <c r="Y127" s="2"/>
      <c r="Z127" s="2"/>
      <c r="AA127" s="2"/>
      <c r="AB127" s="440"/>
      <c r="AC127" s="2"/>
      <c r="AD127" s="2"/>
      <c r="AE127" s="2"/>
      <c r="AF127" s="511"/>
    </row>
    <row r="128" spans="1:32" s="113" customFormat="1" ht="13.5" customHeight="1" x14ac:dyDescent="0.2">
      <c r="A128" s="107"/>
      <c r="B128" s="146" t="s">
        <v>90</v>
      </c>
      <c r="C128" s="2"/>
      <c r="D128" s="121">
        <f>D138</f>
        <v>45986.851000000002</v>
      </c>
      <c r="E128" s="121">
        <f t="shared" ref="E128:M128" si="167">E138</f>
        <v>88919.914999999994</v>
      </c>
      <c r="F128" s="121">
        <f t="shared" si="167"/>
        <v>143548.481</v>
      </c>
      <c r="G128" s="121">
        <f t="shared" si="167"/>
        <v>143554.587</v>
      </c>
      <c r="H128" s="121">
        <f t="shared" si="167"/>
        <v>110042.531</v>
      </c>
      <c r="I128" s="121">
        <f t="shared" si="167"/>
        <v>74212.928</v>
      </c>
      <c r="J128" s="121">
        <f t="shared" si="167"/>
        <v>96997.914999999994</v>
      </c>
      <c r="K128" s="121">
        <f t="shared" si="167"/>
        <v>89113.296000000002</v>
      </c>
      <c r="L128" s="121">
        <f t="shared" si="167"/>
        <v>94845.055999999997</v>
      </c>
      <c r="M128" s="428">
        <f t="shared" si="167"/>
        <v>224748.351</v>
      </c>
      <c r="N128" s="65">
        <f t="shared" ref="N128:S128" si="168">N138</f>
        <v>377796.1522956877</v>
      </c>
      <c r="O128" s="65">
        <f t="shared" si="168"/>
        <v>465893.75782883319</v>
      </c>
      <c r="P128" s="65">
        <f t="shared" si="168"/>
        <v>553984.03551065084</v>
      </c>
      <c r="Q128" s="65">
        <f t="shared" si="168"/>
        <v>623992.53225783585</v>
      </c>
      <c r="R128" s="65">
        <f t="shared" si="168"/>
        <v>706451.00102769572</v>
      </c>
      <c r="S128" s="65">
        <f t="shared" si="168"/>
        <v>802085.20584854938</v>
      </c>
      <c r="T128" s="273"/>
      <c r="U128" s="111">
        <v>88931.528000000006</v>
      </c>
      <c r="V128" s="111">
        <v>91859.038</v>
      </c>
      <c r="W128" s="111">
        <v>93951.548999999999</v>
      </c>
      <c r="X128" s="456">
        <f>X138</f>
        <v>94845.055999999997</v>
      </c>
      <c r="Y128" s="111">
        <f t="shared" ref="Y128:AE128" si="169">Y138</f>
        <v>217857.39500000002</v>
      </c>
      <c r="Z128" s="111">
        <f t="shared" si="169"/>
        <v>216261.94900000002</v>
      </c>
      <c r="AA128" s="111">
        <f t="shared" si="169"/>
        <v>213599.47299999997</v>
      </c>
      <c r="AB128" s="456">
        <f t="shared" si="169"/>
        <v>224748.351</v>
      </c>
      <c r="AC128" s="111">
        <f t="shared" si="169"/>
        <v>214000.693</v>
      </c>
      <c r="AD128" s="111">
        <f t="shared" si="169"/>
        <v>305602.54600000003</v>
      </c>
      <c r="AE128" s="140">
        <f t="shared" si="169"/>
        <v>350940.36300000001</v>
      </c>
      <c r="AF128" s="523">
        <f t="shared" ref="AF128" si="170">AF138</f>
        <v>364132.80862846423</v>
      </c>
    </row>
    <row r="129" spans="1:32" s="113" customFormat="1" ht="13.5" customHeight="1" x14ac:dyDescent="0.2">
      <c r="A129" s="107"/>
      <c r="B129" s="147" t="s">
        <v>211</v>
      </c>
      <c r="C129" s="2"/>
      <c r="D129" s="248">
        <f t="shared" ref="D129:L129" si="171">SUM(D130:D131)</f>
        <v>45986.851000000002</v>
      </c>
      <c r="E129" s="248">
        <f t="shared" si="171"/>
        <v>88919.914999999994</v>
      </c>
      <c r="F129" s="248">
        <f t="shared" si="171"/>
        <v>142021.644</v>
      </c>
      <c r="G129" s="248">
        <f t="shared" si="171"/>
        <v>141366.342</v>
      </c>
      <c r="H129" s="248">
        <f t="shared" si="171"/>
        <v>107139.30100000001</v>
      </c>
      <c r="I129" s="248">
        <f t="shared" si="171"/>
        <v>70191.432000000001</v>
      </c>
      <c r="J129" s="248">
        <f t="shared" si="171"/>
        <v>92574.002999999997</v>
      </c>
      <c r="K129" s="248">
        <f t="shared" si="171"/>
        <v>83842.156000000003</v>
      </c>
      <c r="L129" s="248">
        <f t="shared" si="171"/>
        <v>61148.934999999998</v>
      </c>
      <c r="M129" s="428">
        <f>SUM(M130:M131)</f>
        <v>96444.494999999995</v>
      </c>
      <c r="N129" s="65">
        <f t="shared" ref="N129:S129" si="172">SUM(N130:N131)</f>
        <v>162120.69614295271</v>
      </c>
      <c r="O129" s="65">
        <f t="shared" si="172"/>
        <v>199925.3298078886</v>
      </c>
      <c r="P129" s="65">
        <f t="shared" si="172"/>
        <v>237726.81892952701</v>
      </c>
      <c r="Q129" s="65">
        <f t="shared" si="172"/>
        <v>267769.0153881404</v>
      </c>
      <c r="R129" s="65">
        <f t="shared" si="172"/>
        <v>303153.77057587658</v>
      </c>
      <c r="S129" s="65">
        <f t="shared" si="172"/>
        <v>344192.52591105504</v>
      </c>
      <c r="T129" s="273"/>
      <c r="U129" s="111">
        <v>0</v>
      </c>
      <c r="V129" s="111">
        <v>0</v>
      </c>
      <c r="W129" s="111">
        <v>0</v>
      </c>
      <c r="X129" s="447">
        <v>61148.934999999998</v>
      </c>
      <c r="Y129" s="112">
        <f>SUM(Y130:Y131)</f>
        <v>99140.084000000003</v>
      </c>
      <c r="Z129" s="119">
        <f>SUM(Z130:Z131)</f>
        <v>97904.967000000004</v>
      </c>
      <c r="AA129" s="119">
        <f>SUM(AA130:AA131)</f>
        <v>96276.673999999999</v>
      </c>
      <c r="AB129" s="445">
        <f>SUM(AB130:AB131)</f>
        <v>96444.494999999995</v>
      </c>
      <c r="AC129" s="112">
        <f t="shared" ref="AC129:AE129" si="173">SUM(AC130:AC131)</f>
        <v>96514.713000000003</v>
      </c>
      <c r="AD129" s="112">
        <f t="shared" si="173"/>
        <v>158120.155</v>
      </c>
      <c r="AE129" s="150">
        <f t="shared" si="173"/>
        <v>200700.05900000001</v>
      </c>
      <c r="AF129" s="523">
        <f t="shared" ref="AF129" si="174">SUM(AF130:AF131)</f>
        <v>208244.71585666109</v>
      </c>
    </row>
    <row r="130" spans="1:32" s="113" customFormat="1" ht="13.5" customHeight="1" x14ac:dyDescent="0.2">
      <c r="A130" s="107"/>
      <c r="B130" s="151" t="s">
        <v>212</v>
      </c>
      <c r="C130" s="2"/>
      <c r="D130" s="115">
        <v>45986.851000000002</v>
      </c>
      <c r="E130" s="152">
        <v>88919.914999999994</v>
      </c>
      <c r="F130" s="115">
        <v>142021.644</v>
      </c>
      <c r="G130" s="115">
        <v>141366.342</v>
      </c>
      <c r="H130" s="152">
        <v>107139.30100000001</v>
      </c>
      <c r="I130" s="152">
        <v>70191.432000000001</v>
      </c>
      <c r="J130" s="115">
        <v>92574.002999999997</v>
      </c>
      <c r="K130" s="115">
        <v>83842.156000000003</v>
      </c>
      <c r="L130" s="153">
        <v>61148.934999999998</v>
      </c>
      <c r="M130" s="444">
        <v>12792.286</v>
      </c>
      <c r="N130" s="1">
        <f t="shared" ref="N130:N131" si="175">(M130/(M$166-SUM(M$153,M$156,M$159)))*(N$166-SUM(N$153,N$156,N$159))</f>
        <v>21503.501175258869</v>
      </c>
      <c r="O130" s="7">
        <f t="shared" ref="N130:S137" si="176">(N130/(N$166-SUM(N$153,N$156,N$159)))*(O$166-SUM(O$153,O$156,O$159))</f>
        <v>26517.863954255099</v>
      </c>
      <c r="P130" s="7">
        <f t="shared" si="176"/>
        <v>31531.809644674107</v>
      </c>
      <c r="Q130" s="7">
        <f t="shared" si="176"/>
        <v>35516.571752317155</v>
      </c>
      <c r="R130" s="7">
        <f t="shared" si="176"/>
        <v>40209.964655680946</v>
      </c>
      <c r="S130" s="7">
        <f t="shared" si="176"/>
        <v>45653.297583409258</v>
      </c>
      <c r="T130" s="273"/>
      <c r="U130" s="111">
        <v>0</v>
      </c>
      <c r="V130" s="111">
        <v>0</v>
      </c>
      <c r="W130" s="111">
        <v>0</v>
      </c>
      <c r="X130" s="496">
        <v>0</v>
      </c>
      <c r="Y130" s="118">
        <v>15487.875</v>
      </c>
      <c r="Z130" s="118">
        <v>14252.758</v>
      </c>
      <c r="AA130" s="118">
        <v>12624.465</v>
      </c>
      <c r="AB130" s="444">
        <v>12792.286</v>
      </c>
      <c r="AC130" s="117">
        <v>12862.504000000001</v>
      </c>
      <c r="AD130" s="117">
        <v>51243.250999999997</v>
      </c>
      <c r="AE130" s="7">
        <v>93823.154999999999</v>
      </c>
      <c r="AF130" s="511">
        <f>(AE130/(AE$166-SUM(AE$153,AE$156,AE$159)))*(AF$166-SUM(AF$153,AF$156,AF$159))</f>
        <v>97350.127105595282</v>
      </c>
    </row>
    <row r="131" spans="1:32" s="113" customFormat="1" ht="13.5" customHeight="1" x14ac:dyDescent="0.2">
      <c r="A131" s="107"/>
      <c r="B131" s="151" t="s">
        <v>213</v>
      </c>
      <c r="C131" s="2"/>
      <c r="D131" s="60">
        <v>0</v>
      </c>
      <c r="E131" s="60">
        <v>0</v>
      </c>
      <c r="F131" s="60">
        <v>0</v>
      </c>
      <c r="G131" s="60">
        <v>0</v>
      </c>
      <c r="H131" s="60">
        <v>0</v>
      </c>
      <c r="I131" s="60">
        <v>0</v>
      </c>
      <c r="J131" s="60">
        <v>0</v>
      </c>
      <c r="K131" s="60">
        <v>0</v>
      </c>
      <c r="L131" s="60">
        <v>0</v>
      </c>
      <c r="M131" s="444">
        <v>83652.209000000003</v>
      </c>
      <c r="N131" s="1">
        <f t="shared" si="175"/>
        <v>140617.19496769385</v>
      </c>
      <c r="O131" s="7">
        <f t="shared" si="176"/>
        <v>173407.4658536335</v>
      </c>
      <c r="P131" s="7">
        <f t="shared" si="176"/>
        <v>206195.00928485292</v>
      </c>
      <c r="Q131" s="7">
        <f t="shared" si="176"/>
        <v>232252.44363582326</v>
      </c>
      <c r="R131" s="7">
        <f t="shared" si="176"/>
        <v>262943.80592019565</v>
      </c>
      <c r="S131" s="7">
        <f t="shared" si="176"/>
        <v>298539.2283276458</v>
      </c>
      <c r="T131" s="273"/>
      <c r="U131" s="111">
        <v>0</v>
      </c>
      <c r="V131" s="111">
        <v>0</v>
      </c>
      <c r="W131" s="111">
        <v>0</v>
      </c>
      <c r="X131" s="496">
        <v>0</v>
      </c>
      <c r="Y131" s="118">
        <v>83652.209000000003</v>
      </c>
      <c r="Z131" s="118">
        <v>83652.209000000003</v>
      </c>
      <c r="AA131" s="118">
        <v>83652.209000000003</v>
      </c>
      <c r="AB131" s="444">
        <v>83652.209000000003</v>
      </c>
      <c r="AC131" s="117">
        <v>83652.209000000003</v>
      </c>
      <c r="AD131" s="117">
        <v>106876.90399999999</v>
      </c>
      <c r="AE131" s="7">
        <v>106876.90399999999</v>
      </c>
      <c r="AF131" s="511">
        <f>(AE131/(AE$166-SUM(AE$153,AE$156,AE$159)))*(AF$166-SUM(AF$153,AF$156,AF$159))</f>
        <v>110894.58875106581</v>
      </c>
    </row>
    <row r="132" spans="1:32" s="156" customFormat="1" ht="13.5" customHeight="1" x14ac:dyDescent="0.2">
      <c r="A132" s="154"/>
      <c r="B132" s="147" t="s">
        <v>214</v>
      </c>
      <c r="C132" s="3"/>
      <c r="D132" s="121">
        <f>SUM(D133:D134)</f>
        <v>0</v>
      </c>
      <c r="E132" s="121">
        <v>0</v>
      </c>
      <c r="F132" s="121">
        <v>0</v>
      </c>
      <c r="G132" s="121">
        <v>0</v>
      </c>
      <c r="H132" s="121">
        <v>0</v>
      </c>
      <c r="I132" s="121">
        <v>0</v>
      </c>
      <c r="J132" s="121">
        <v>0</v>
      </c>
      <c r="K132" s="121">
        <v>0</v>
      </c>
      <c r="L132" s="155">
        <v>21076.097000000002</v>
      </c>
      <c r="M132" s="445">
        <v>113927.13</v>
      </c>
      <c r="N132" s="131">
        <f t="shared" si="176"/>
        <v>191508.55240798011</v>
      </c>
      <c r="O132" s="65">
        <f t="shared" ref="O132" si="177">(N132/(N$166-SUM(N$153,N$156,N$159)))*(O$166-SUM(O$153,O$156,O$159))</f>
        <v>236166.08744041019</v>
      </c>
      <c r="P132" s="65">
        <f t="shared" ref="P132" si="178">(O132/(O$166-SUM(O$153,O$156,O$159)))*(P$166-SUM(P$153,P$156,P$159))</f>
        <v>280819.90791356924</v>
      </c>
      <c r="Q132" s="65">
        <f t="shared" ref="Q132" si="179">(P132/(P$166-SUM(P$153,P$156,P$159)))*(Q$166-SUM(Q$153,Q$156,Q$159))</f>
        <v>316307.89736725437</v>
      </c>
      <c r="R132" s="65">
        <f t="shared" ref="R132" si="180">(Q132/(Q$166-SUM(Q$153,Q$156,Q$159)))*(R$166-SUM(R$153,R$156,R$159))</f>
        <v>358106.89900328754</v>
      </c>
      <c r="S132" s="65">
        <f t="shared" ref="S132" si="181">(R132/(R$166-SUM(R$153,R$156,R$159)))*(S$166-SUM(S$153,S$156,S$159))</f>
        <v>406584.8096824722</v>
      </c>
      <c r="T132" s="418"/>
      <c r="U132" s="111">
        <v>0</v>
      </c>
      <c r="V132" s="111">
        <v>0</v>
      </c>
      <c r="W132" s="111">
        <v>0</v>
      </c>
      <c r="X132" s="447">
        <v>21076.097000000002</v>
      </c>
      <c r="Y132" s="112">
        <f>SUM(Y133:Y135)</f>
        <v>105360.978</v>
      </c>
      <c r="Z132" s="112">
        <f>SUM(Z133:Z135)</f>
        <v>104165.72100000001</v>
      </c>
      <c r="AA132" s="112">
        <f>SUM(AA133:AA135)</f>
        <v>104384.887</v>
      </c>
      <c r="AB132" s="445">
        <v>113927.13</v>
      </c>
      <c r="AC132" s="111">
        <f>SUM(AC133:AC135)</f>
        <v>104679.97</v>
      </c>
      <c r="AD132" s="111">
        <f t="shared" ref="AD132:AF132" si="182">SUM(AD133:AD135)</f>
        <v>132617.60800000001</v>
      </c>
      <c r="AE132" s="140">
        <f t="shared" si="182"/>
        <v>134067.63500000001</v>
      </c>
      <c r="AF132" s="523">
        <f t="shared" si="182"/>
        <v>139107.46561439501</v>
      </c>
    </row>
    <row r="133" spans="1:32" s="113" customFormat="1" ht="13.5" customHeight="1" x14ac:dyDescent="0.2">
      <c r="A133" s="107"/>
      <c r="B133" s="151" t="s">
        <v>215</v>
      </c>
      <c r="C133" s="2"/>
      <c r="D133" s="60">
        <v>0</v>
      </c>
      <c r="E133" s="60">
        <v>0</v>
      </c>
      <c r="F133" s="60">
        <v>0</v>
      </c>
      <c r="G133" s="60">
        <v>0</v>
      </c>
      <c r="H133" s="60">
        <v>0</v>
      </c>
      <c r="I133" s="60">
        <v>0</v>
      </c>
      <c r="J133" s="60">
        <v>0</v>
      </c>
      <c r="K133" s="60">
        <v>0</v>
      </c>
      <c r="L133" s="111">
        <v>0</v>
      </c>
      <c r="M133" s="446">
        <v>0</v>
      </c>
      <c r="N133" s="1"/>
      <c r="O133" s="7"/>
      <c r="P133" s="7"/>
      <c r="Q133" s="7"/>
      <c r="R133" s="7"/>
      <c r="S133" s="7"/>
      <c r="T133" s="273"/>
      <c r="U133" s="111">
        <v>0</v>
      </c>
      <c r="V133" s="111">
        <v>0</v>
      </c>
      <c r="W133" s="111">
        <v>0</v>
      </c>
      <c r="X133" s="456">
        <v>0</v>
      </c>
      <c r="Y133" s="118">
        <v>85000</v>
      </c>
      <c r="Z133" s="118">
        <v>85000</v>
      </c>
      <c r="AA133" s="118">
        <v>85000</v>
      </c>
      <c r="AB133" s="446">
        <v>0</v>
      </c>
      <c r="AC133" s="117">
        <v>88259.775999999998</v>
      </c>
      <c r="AD133" s="117">
        <v>117100.505</v>
      </c>
      <c r="AE133" s="7">
        <v>118694.818</v>
      </c>
      <c r="AF133" s="511">
        <f>(AE133/(AE$166-SUM(AE$153,AE$156,AE$159)))*(AF$166-SUM(AF$153,AF$156,AF$159))</f>
        <v>123156.75825520362</v>
      </c>
    </row>
    <row r="134" spans="1:32" s="113" customFormat="1" ht="13.5" customHeight="1" x14ac:dyDescent="0.2">
      <c r="A134" s="107"/>
      <c r="B134" s="157" t="s">
        <v>216</v>
      </c>
      <c r="C134" s="2"/>
      <c r="D134" s="60">
        <v>0</v>
      </c>
      <c r="E134" s="60">
        <v>0</v>
      </c>
      <c r="F134" s="60">
        <v>0</v>
      </c>
      <c r="G134" s="60">
        <v>0</v>
      </c>
      <c r="H134" s="60">
        <v>0</v>
      </c>
      <c r="I134" s="60">
        <v>0</v>
      </c>
      <c r="J134" s="60">
        <v>0</v>
      </c>
      <c r="K134" s="60">
        <v>0</v>
      </c>
      <c r="L134" s="111">
        <v>0</v>
      </c>
      <c r="M134" s="446">
        <v>0</v>
      </c>
      <c r="N134" s="1"/>
      <c r="O134" s="7"/>
      <c r="P134" s="7"/>
      <c r="Q134" s="7"/>
      <c r="R134" s="7"/>
      <c r="S134" s="7"/>
      <c r="T134" s="273"/>
      <c r="U134" s="111">
        <v>0</v>
      </c>
      <c r="V134" s="111">
        <v>0</v>
      </c>
      <c r="W134" s="111">
        <v>0</v>
      </c>
      <c r="X134" s="456">
        <v>0</v>
      </c>
      <c r="Y134" s="118">
        <v>14128.47</v>
      </c>
      <c r="Z134" s="118">
        <v>13784.72</v>
      </c>
      <c r="AA134" s="118">
        <v>13784.72</v>
      </c>
      <c r="AB134" s="446">
        <v>0</v>
      </c>
      <c r="AC134" s="117">
        <v>11690.97</v>
      </c>
      <c r="AD134" s="117">
        <v>11097.22</v>
      </c>
      <c r="AE134" s="117">
        <v>11097.22</v>
      </c>
      <c r="AF134" s="511">
        <f>(AE134/(AE$166-SUM(AE$153,AE$156,AE$159)))*(AF$166-SUM(AF$153,AF$156,AF$159))</f>
        <v>11514.38338988658</v>
      </c>
    </row>
    <row r="135" spans="1:32" s="113" customFormat="1" ht="13.5" customHeight="1" x14ac:dyDescent="0.2">
      <c r="A135" s="107"/>
      <c r="B135" s="157" t="s">
        <v>217</v>
      </c>
      <c r="C135" s="2"/>
      <c r="D135" s="60">
        <v>0</v>
      </c>
      <c r="E135" s="60">
        <v>0</v>
      </c>
      <c r="F135" s="60">
        <v>0</v>
      </c>
      <c r="G135" s="60">
        <v>0</v>
      </c>
      <c r="H135" s="60">
        <v>0</v>
      </c>
      <c r="I135" s="60">
        <v>0</v>
      </c>
      <c r="J135" s="60">
        <v>0</v>
      </c>
      <c r="K135" s="60">
        <v>0</v>
      </c>
      <c r="L135" s="111">
        <v>0</v>
      </c>
      <c r="M135" s="446">
        <v>0</v>
      </c>
      <c r="N135" s="1"/>
      <c r="O135" s="7"/>
      <c r="P135" s="7"/>
      <c r="Q135" s="7"/>
      <c r="R135" s="7"/>
      <c r="S135" s="7"/>
      <c r="T135" s="273"/>
      <c r="U135" s="111">
        <v>0</v>
      </c>
      <c r="V135" s="111">
        <v>0</v>
      </c>
      <c r="W135" s="111">
        <v>0</v>
      </c>
      <c r="X135" s="456">
        <v>0</v>
      </c>
      <c r="Y135" s="118">
        <v>6232.5079999999998</v>
      </c>
      <c r="Z135" s="118">
        <v>5381.0010000000002</v>
      </c>
      <c r="AA135" s="118">
        <v>5600.1670000000004</v>
      </c>
      <c r="AB135" s="446">
        <v>0</v>
      </c>
      <c r="AC135" s="117">
        <v>4729.2240000000002</v>
      </c>
      <c r="AD135" s="117">
        <v>4419.8829999999998</v>
      </c>
      <c r="AE135" s="117">
        <v>4275.5969999999998</v>
      </c>
      <c r="AF135" s="511">
        <f>(AE135/(AE$166-SUM(AE$153,AE$156,AE$159)))*(AF$166-SUM(AF$153,AF$156,AF$159))</f>
        <v>4436.3239693048245</v>
      </c>
    </row>
    <row r="136" spans="1:32" s="156" customFormat="1" ht="14.25" customHeight="1" x14ac:dyDescent="0.2">
      <c r="A136" s="154"/>
      <c r="B136" s="147" t="s">
        <v>218</v>
      </c>
      <c r="C136" s="3"/>
      <c r="D136" s="121">
        <v>0</v>
      </c>
      <c r="E136" s="121">
        <v>0</v>
      </c>
      <c r="F136" s="121">
        <v>0</v>
      </c>
      <c r="G136" s="121">
        <v>0</v>
      </c>
      <c r="H136" s="121">
        <v>0</v>
      </c>
      <c r="I136" s="121">
        <v>0</v>
      </c>
      <c r="J136" s="121">
        <v>0</v>
      </c>
      <c r="K136" s="121">
        <v>0</v>
      </c>
      <c r="L136" s="155">
        <v>7465.817</v>
      </c>
      <c r="M136" s="445">
        <v>8093.5550000000003</v>
      </c>
      <c r="N136" s="131">
        <f t="shared" ref="N136:N137" si="183">(M136/(M$166-SUM(M$153,M$156,M$159)))*(N$166-SUM(N$153,N$156,N$159))</f>
        <v>13605.056160761438</v>
      </c>
      <c r="O136" s="65">
        <f t="shared" si="176"/>
        <v>16777.594747043735</v>
      </c>
      <c r="P136" s="65">
        <f t="shared" ref="P136:S136" si="184">(O136/(O$166-SUM(O$153,O$156,O$159)))*(P$166-SUM(P$153,P$156,P$159))</f>
        <v>19949.869445437689</v>
      </c>
      <c r="Q136" s="65">
        <f t="shared" si="184"/>
        <v>22470.989695573197</v>
      </c>
      <c r="R136" s="65">
        <f t="shared" si="184"/>
        <v>25440.453761650562</v>
      </c>
      <c r="S136" s="65">
        <f t="shared" si="184"/>
        <v>28884.397591070898</v>
      </c>
      <c r="T136" s="418"/>
      <c r="U136" s="111">
        <v>0</v>
      </c>
      <c r="V136" s="111">
        <v>0</v>
      </c>
      <c r="W136" s="111">
        <v>0</v>
      </c>
      <c r="X136" s="447">
        <v>7465.817</v>
      </c>
      <c r="Y136" s="112">
        <v>7867.2550000000001</v>
      </c>
      <c r="Z136" s="112">
        <v>9104.0409999999993</v>
      </c>
      <c r="AA136" s="112">
        <v>8212.0519999999997</v>
      </c>
      <c r="AB136" s="445">
        <v>8093.5550000000003</v>
      </c>
      <c r="AC136" s="111">
        <v>8416.3760000000002</v>
      </c>
      <c r="AD136" s="111">
        <v>8900.3870000000006</v>
      </c>
      <c r="AE136" s="111">
        <v>8856.9680000000008</v>
      </c>
      <c r="AF136" s="523">
        <f>(AE136/(AE$166-SUM(AE$153,AE$156,AE$159)))*(AF$166-SUM(AF$153,AF$156,AF$159))</f>
        <v>9189.91650376914</v>
      </c>
    </row>
    <row r="137" spans="1:32" s="156" customFormat="1" ht="14.25" customHeight="1" x14ac:dyDescent="0.2">
      <c r="A137" s="154"/>
      <c r="B137" s="147" t="s">
        <v>219</v>
      </c>
      <c r="C137" s="3"/>
      <c r="D137" s="121">
        <v>0</v>
      </c>
      <c r="E137" s="121">
        <v>0</v>
      </c>
      <c r="F137" s="109">
        <v>1526.837</v>
      </c>
      <c r="G137" s="109">
        <v>2188.2449999999999</v>
      </c>
      <c r="H137" s="140">
        <v>2903.23</v>
      </c>
      <c r="I137" s="140">
        <v>4021.4960000000001</v>
      </c>
      <c r="J137" s="109">
        <v>4423.9120000000003</v>
      </c>
      <c r="K137" s="109">
        <v>5271.14</v>
      </c>
      <c r="L137" s="155">
        <v>5154.2070000000003</v>
      </c>
      <c r="M137" s="447">
        <v>6283.1710000000003</v>
      </c>
      <c r="N137" s="131">
        <f t="shared" si="183"/>
        <v>10561.847583993389</v>
      </c>
      <c r="O137" s="65">
        <f t="shared" si="176"/>
        <v>13024.745833490666</v>
      </c>
      <c r="P137" s="65">
        <f t="shared" ref="P137:S137" si="185">(O137/(O$166-SUM(O$153,O$156,O$159)))*(P$166-SUM(P$153,P$156,P$159))</f>
        <v>15487.43922211688</v>
      </c>
      <c r="Q137" s="65">
        <f t="shared" si="185"/>
        <v>17444.629806867855</v>
      </c>
      <c r="R137" s="65">
        <f t="shared" si="185"/>
        <v>19749.877686880947</v>
      </c>
      <c r="S137" s="65">
        <f t="shared" si="185"/>
        <v>22423.472663951321</v>
      </c>
      <c r="T137" s="418"/>
      <c r="U137" s="111">
        <v>0</v>
      </c>
      <c r="V137" s="111">
        <v>0</v>
      </c>
      <c r="W137" s="111">
        <v>0</v>
      </c>
      <c r="X137" s="447">
        <v>5154.2070000000003</v>
      </c>
      <c r="Y137" s="112">
        <v>5489.0780000000004</v>
      </c>
      <c r="Z137" s="112">
        <v>5087.22</v>
      </c>
      <c r="AA137" s="112">
        <v>4725.8599999999997</v>
      </c>
      <c r="AB137" s="447">
        <v>6283.1710000000003</v>
      </c>
      <c r="AC137" s="111">
        <v>4389.634</v>
      </c>
      <c r="AD137" s="111">
        <v>5964.3959999999997</v>
      </c>
      <c r="AE137" s="111">
        <v>7315.701</v>
      </c>
      <c r="AF137" s="523">
        <f>(AE137/(AE$166-SUM(AE$153,AE$156,AE$159)))*(AF$166-SUM(AF$153,AF$156,AF$159))</f>
        <v>7590.7106536390784</v>
      </c>
    </row>
    <row r="138" spans="1:32" s="113" customFormat="1" ht="14.25" customHeight="1" x14ac:dyDescent="0.2">
      <c r="A138" s="107"/>
      <c r="B138" s="146" t="s">
        <v>263</v>
      </c>
      <c r="C138" s="2"/>
      <c r="D138" s="158">
        <f t="shared" ref="D138:M138" si="186">D129+D132+D136+D137</f>
        <v>45986.851000000002</v>
      </c>
      <c r="E138" s="158">
        <f t="shared" si="186"/>
        <v>88919.914999999994</v>
      </c>
      <c r="F138" s="158">
        <f t="shared" si="186"/>
        <v>143548.481</v>
      </c>
      <c r="G138" s="158">
        <f t="shared" si="186"/>
        <v>143554.587</v>
      </c>
      <c r="H138" s="158">
        <f t="shared" si="186"/>
        <v>110042.531</v>
      </c>
      <c r="I138" s="158">
        <f t="shared" si="186"/>
        <v>74212.928</v>
      </c>
      <c r="J138" s="158">
        <f t="shared" si="186"/>
        <v>96997.914999999994</v>
      </c>
      <c r="K138" s="158">
        <f t="shared" si="186"/>
        <v>89113.296000000002</v>
      </c>
      <c r="L138" s="158">
        <f t="shared" si="186"/>
        <v>94845.055999999997</v>
      </c>
      <c r="M138" s="448">
        <f t="shared" si="186"/>
        <v>224748.351</v>
      </c>
      <c r="N138" s="159">
        <f>N129+N132+N136+N137</f>
        <v>377796.1522956877</v>
      </c>
      <c r="O138" s="159">
        <f t="shared" ref="O138:S138" si="187">O129+O132+O136+O137</f>
        <v>465893.75782883319</v>
      </c>
      <c r="P138" s="159">
        <f t="shared" si="187"/>
        <v>553984.03551065084</v>
      </c>
      <c r="Q138" s="159">
        <f t="shared" si="187"/>
        <v>623992.53225783585</v>
      </c>
      <c r="R138" s="159">
        <f t="shared" si="187"/>
        <v>706451.00102769572</v>
      </c>
      <c r="S138" s="159">
        <f t="shared" si="187"/>
        <v>802085.20584854938</v>
      </c>
      <c r="T138" s="273"/>
      <c r="U138" s="160">
        <f>U128</f>
        <v>88931.528000000006</v>
      </c>
      <c r="V138" s="160">
        <f>V128</f>
        <v>91859.038</v>
      </c>
      <c r="W138" s="160">
        <f>W128</f>
        <v>93951.548999999999</v>
      </c>
      <c r="X138" s="497">
        <f t="shared" ref="X138:AC138" si="188">SUM(X129+X132+X136+X137)</f>
        <v>94845.055999999997</v>
      </c>
      <c r="Y138" s="161">
        <f t="shared" si="188"/>
        <v>217857.39500000002</v>
      </c>
      <c r="Z138" s="161">
        <f t="shared" si="188"/>
        <v>216261.94900000002</v>
      </c>
      <c r="AA138" s="161">
        <f t="shared" si="188"/>
        <v>213599.47299999997</v>
      </c>
      <c r="AB138" s="517">
        <f t="shared" si="188"/>
        <v>224748.351</v>
      </c>
      <c r="AC138" s="160">
        <f t="shared" si="188"/>
        <v>214000.693</v>
      </c>
      <c r="AD138" s="160">
        <f t="shared" ref="AD138:AF138" si="189">SUM(AD129+AD132+AD136+AD137)</f>
        <v>305602.54600000003</v>
      </c>
      <c r="AE138" s="162">
        <f t="shared" si="189"/>
        <v>350940.36300000001</v>
      </c>
      <c r="AF138" s="535">
        <f t="shared" si="189"/>
        <v>364132.80862846423</v>
      </c>
    </row>
    <row r="139" spans="1:32" s="113" customFormat="1" ht="14.25" customHeight="1" x14ac:dyDescent="0.2">
      <c r="A139" s="107"/>
      <c r="B139" s="147"/>
      <c r="C139" s="2"/>
      <c r="D139" s="148"/>
      <c r="E139" s="148"/>
      <c r="F139" s="148"/>
      <c r="G139" s="148"/>
      <c r="H139" s="148"/>
      <c r="I139" s="148"/>
      <c r="J139" s="148"/>
      <c r="K139" s="148"/>
      <c r="L139" s="148"/>
      <c r="M139" s="449"/>
      <c r="N139" s="2"/>
      <c r="O139" s="7"/>
      <c r="P139" s="7"/>
      <c r="Q139" s="7"/>
      <c r="R139" s="7"/>
      <c r="S139" s="7"/>
      <c r="T139" s="273"/>
      <c r="U139" s="2"/>
      <c r="V139" s="2"/>
      <c r="W139" s="50"/>
      <c r="X139" s="440"/>
      <c r="Y139" s="2"/>
      <c r="Z139" s="2"/>
      <c r="AA139" s="2"/>
      <c r="AB139" s="440"/>
      <c r="AC139" s="2"/>
      <c r="AD139" s="2"/>
      <c r="AE139" s="2"/>
      <c r="AF139" s="511"/>
    </row>
    <row r="140" spans="1:32" s="113" customFormat="1" ht="14.25" customHeight="1" x14ac:dyDescent="0.2">
      <c r="A140" s="107"/>
      <c r="B140" s="146" t="s">
        <v>91</v>
      </c>
      <c r="C140" s="2"/>
      <c r="D140" s="163">
        <f>SUM(D141:D142)</f>
        <v>1150</v>
      </c>
      <c r="E140" s="163">
        <f t="shared" ref="E140:S140" si="190">SUM(E141:E142)</f>
        <v>1150</v>
      </c>
      <c r="F140" s="163">
        <f t="shared" si="190"/>
        <v>0</v>
      </c>
      <c r="G140" s="163">
        <f t="shared" si="190"/>
        <v>0</v>
      </c>
      <c r="H140" s="163">
        <f t="shared" si="190"/>
        <v>0</v>
      </c>
      <c r="I140" s="163">
        <f t="shared" si="190"/>
        <v>0</v>
      </c>
      <c r="J140" s="163">
        <f t="shared" si="190"/>
        <v>28000</v>
      </c>
      <c r="K140" s="163">
        <f t="shared" si="190"/>
        <v>28000</v>
      </c>
      <c r="L140" s="163">
        <f t="shared" si="190"/>
        <v>28074.307000000001</v>
      </c>
      <c r="M140" s="450">
        <f t="shared" si="190"/>
        <v>49.707000000000001</v>
      </c>
      <c r="N140" s="65">
        <f t="shared" si="190"/>
        <v>83.556178537486787</v>
      </c>
      <c r="O140" s="65">
        <f t="shared" si="190"/>
        <v>103.04049358919573</v>
      </c>
      <c r="P140" s="65">
        <f t="shared" si="190"/>
        <v>122.52318795935425</v>
      </c>
      <c r="Q140" s="65">
        <f t="shared" si="190"/>
        <v>138.00678253225647</v>
      </c>
      <c r="R140" s="65">
        <f t="shared" si="190"/>
        <v>156.24390457967661</v>
      </c>
      <c r="S140" s="65">
        <f t="shared" si="190"/>
        <v>177.39506941750085</v>
      </c>
      <c r="T140" s="273"/>
      <c r="U140" s="164">
        <f>SUM(U141:U142)</f>
        <v>28000</v>
      </c>
      <c r="V140" s="164">
        <f t="shared" ref="V140:AF140" si="191">SUM(V141:V142)</f>
        <v>28000</v>
      </c>
      <c r="W140" s="164">
        <f t="shared" si="191"/>
        <v>28000</v>
      </c>
      <c r="X140" s="498">
        <f t="shared" si="191"/>
        <v>28000</v>
      </c>
      <c r="Y140" s="164">
        <f t="shared" si="191"/>
        <v>0</v>
      </c>
      <c r="Z140" s="164">
        <f t="shared" si="191"/>
        <v>0</v>
      </c>
      <c r="AA140" s="164">
        <f t="shared" si="191"/>
        <v>0</v>
      </c>
      <c r="AB140" s="498">
        <f t="shared" si="191"/>
        <v>0</v>
      </c>
      <c r="AC140" s="164">
        <f t="shared" si="191"/>
        <v>0</v>
      </c>
      <c r="AD140" s="164">
        <f t="shared" si="191"/>
        <v>0</v>
      </c>
      <c r="AE140" s="165">
        <f t="shared" si="191"/>
        <v>10608.316999999999</v>
      </c>
      <c r="AF140" s="523">
        <f t="shared" si="191"/>
        <v>11007.101693888328</v>
      </c>
    </row>
    <row r="141" spans="1:32" s="113" customFormat="1" ht="14.25" customHeight="1" x14ac:dyDescent="0.2">
      <c r="A141" s="107"/>
      <c r="B141" s="151" t="s">
        <v>220</v>
      </c>
      <c r="C141" s="2"/>
      <c r="D141" s="152">
        <v>1150</v>
      </c>
      <c r="E141" s="152">
        <v>1150</v>
      </c>
      <c r="F141" s="1"/>
      <c r="G141" s="1"/>
      <c r="H141" s="152"/>
      <c r="I141" s="152"/>
      <c r="J141" s="1">
        <v>28000</v>
      </c>
      <c r="K141" s="166">
        <v>28000</v>
      </c>
      <c r="L141" s="153">
        <v>28000</v>
      </c>
      <c r="M141" s="446">
        <v>0</v>
      </c>
      <c r="N141" s="1">
        <f t="shared" ref="N141:N142" si="192">(M141/(M$166-SUM(M$153,M$156,M$159)))*(N$166-SUM(N$153,N$156,N$159))</f>
        <v>0</v>
      </c>
      <c r="O141" s="7">
        <f t="shared" ref="O141:S142" si="193">(N141/(N$166-SUM(N$153,N$156,N$159)))*(O$166-SUM(O$153,O$156,O$159))</f>
        <v>0</v>
      </c>
      <c r="P141" s="7">
        <f t="shared" si="193"/>
        <v>0</v>
      </c>
      <c r="Q141" s="7">
        <f t="shared" si="193"/>
        <v>0</v>
      </c>
      <c r="R141" s="7">
        <f t="shared" si="193"/>
        <v>0</v>
      </c>
      <c r="S141" s="7">
        <f t="shared" si="193"/>
        <v>0</v>
      </c>
      <c r="T141" s="273"/>
      <c r="U141" s="117">
        <v>28000</v>
      </c>
      <c r="V141" s="117">
        <v>28000</v>
      </c>
      <c r="W141" s="117">
        <v>28000</v>
      </c>
      <c r="X141" s="444">
        <v>28000</v>
      </c>
      <c r="Y141" s="118">
        <v>0</v>
      </c>
      <c r="Z141" s="118">
        <v>0</v>
      </c>
      <c r="AA141" s="118">
        <v>0</v>
      </c>
      <c r="AB141" s="446">
        <v>0</v>
      </c>
      <c r="AC141" s="118">
        <v>0</v>
      </c>
      <c r="AD141" s="117">
        <v>0</v>
      </c>
      <c r="AE141" s="117">
        <v>10608.316999999999</v>
      </c>
      <c r="AF141" s="511">
        <f>(AE141/(AE$166-SUM(AE$153,AE$156,AE$159)))*(AF$166-SUM(AF$153,AF$156,AF$159))</f>
        <v>11007.101693888328</v>
      </c>
    </row>
    <row r="142" spans="1:32" s="113" customFormat="1" ht="14.25" customHeight="1" x14ac:dyDescent="0.2">
      <c r="A142" s="107"/>
      <c r="B142" s="151" t="s">
        <v>214</v>
      </c>
      <c r="C142" s="2"/>
      <c r="D142" s="152">
        <v>0</v>
      </c>
      <c r="E142" s="152">
        <v>0</v>
      </c>
      <c r="F142" s="152">
        <v>0</v>
      </c>
      <c r="G142" s="152">
        <v>0</v>
      </c>
      <c r="H142" s="152">
        <v>0</v>
      </c>
      <c r="I142" s="152">
        <v>0</v>
      </c>
      <c r="J142" s="152">
        <v>0</v>
      </c>
      <c r="K142" s="152">
        <v>0</v>
      </c>
      <c r="L142" s="167">
        <v>74.307000000000002</v>
      </c>
      <c r="M142" s="446">
        <v>49.707000000000001</v>
      </c>
      <c r="N142" s="1">
        <f t="shared" si="192"/>
        <v>83.556178537486787</v>
      </c>
      <c r="O142" s="7">
        <f t="shared" si="193"/>
        <v>103.04049358919573</v>
      </c>
      <c r="P142" s="7">
        <f t="shared" si="193"/>
        <v>122.52318795935425</v>
      </c>
      <c r="Q142" s="7">
        <f t="shared" si="193"/>
        <v>138.00678253225647</v>
      </c>
      <c r="R142" s="7">
        <f t="shared" si="193"/>
        <v>156.24390457967661</v>
      </c>
      <c r="S142" s="7">
        <f t="shared" si="193"/>
        <v>177.39506941750085</v>
      </c>
      <c r="T142" s="273"/>
      <c r="U142" s="2"/>
      <c r="V142" s="2"/>
      <c r="W142" s="50"/>
      <c r="X142" s="440"/>
      <c r="Y142" s="2"/>
      <c r="Z142" s="2"/>
      <c r="AA142" s="2"/>
      <c r="AB142" s="440"/>
      <c r="AC142" s="2"/>
      <c r="AD142" s="2"/>
      <c r="AE142" s="2"/>
      <c r="AF142" s="511"/>
    </row>
    <row r="143" spans="1:32" s="113" customFormat="1" ht="14.25" customHeight="1" x14ac:dyDescent="0.2">
      <c r="A143" s="107"/>
      <c r="B143" s="151"/>
      <c r="C143" s="2"/>
      <c r="D143" s="152"/>
      <c r="E143" s="152"/>
      <c r="F143" s="152"/>
      <c r="G143" s="152"/>
      <c r="H143" s="152"/>
      <c r="I143" s="152"/>
      <c r="J143" s="152"/>
      <c r="K143" s="152"/>
      <c r="L143" s="167"/>
      <c r="M143" s="446"/>
      <c r="N143" s="2"/>
      <c r="O143" s="7"/>
      <c r="P143" s="7"/>
      <c r="Q143" s="7"/>
      <c r="R143" s="7"/>
      <c r="S143" s="7"/>
      <c r="T143" s="273"/>
      <c r="U143" s="2"/>
      <c r="V143" s="2"/>
      <c r="W143" s="50"/>
      <c r="X143" s="440"/>
      <c r="Y143" s="2"/>
      <c r="Z143" s="2"/>
      <c r="AA143" s="2"/>
      <c r="AB143" s="440"/>
      <c r="AC143" s="2"/>
      <c r="AD143" s="2"/>
      <c r="AE143" s="2"/>
      <c r="AF143" s="511"/>
    </row>
    <row r="144" spans="1:32" s="113" customFormat="1" ht="14.25" customHeight="1" x14ac:dyDescent="0.2">
      <c r="A144" s="107"/>
      <c r="B144" s="146" t="s">
        <v>221</v>
      </c>
      <c r="C144" s="2"/>
      <c r="D144" s="163">
        <f>D145</f>
        <v>3.5009999999999999</v>
      </c>
      <c r="E144" s="163">
        <f t="shared" ref="E144:S144" si="194">E145</f>
        <v>0</v>
      </c>
      <c r="F144" s="163">
        <f t="shared" si="194"/>
        <v>0</v>
      </c>
      <c r="G144" s="163">
        <f t="shared" si="194"/>
        <v>0</v>
      </c>
      <c r="H144" s="163">
        <f t="shared" si="194"/>
        <v>0</v>
      </c>
      <c r="I144" s="163">
        <f t="shared" si="194"/>
        <v>0</v>
      </c>
      <c r="J144" s="163">
        <f t="shared" si="194"/>
        <v>0</v>
      </c>
      <c r="K144" s="163">
        <f t="shared" si="194"/>
        <v>102.474</v>
      </c>
      <c r="L144" s="163">
        <f t="shared" si="194"/>
        <v>0</v>
      </c>
      <c r="M144" s="450">
        <f t="shared" si="194"/>
        <v>0</v>
      </c>
      <c r="N144" s="65">
        <f t="shared" si="194"/>
        <v>0</v>
      </c>
      <c r="O144" s="65">
        <f t="shared" si="194"/>
        <v>0</v>
      </c>
      <c r="P144" s="65">
        <f t="shared" si="194"/>
        <v>0</v>
      </c>
      <c r="Q144" s="65">
        <f t="shared" si="194"/>
        <v>0</v>
      </c>
      <c r="R144" s="65">
        <f t="shared" si="194"/>
        <v>0</v>
      </c>
      <c r="S144" s="65">
        <f t="shared" si="194"/>
        <v>0</v>
      </c>
      <c r="T144" s="273"/>
      <c r="U144" s="165">
        <f t="shared" ref="U144:AF144" si="195">U145</f>
        <v>0</v>
      </c>
      <c r="V144" s="65">
        <f t="shared" si="195"/>
        <v>0</v>
      </c>
      <c r="W144" s="168">
        <f t="shared" si="195"/>
        <v>0</v>
      </c>
      <c r="X144" s="468">
        <f t="shared" si="195"/>
        <v>0</v>
      </c>
      <c r="Y144" s="65">
        <f t="shared" si="195"/>
        <v>0</v>
      </c>
      <c r="Z144" s="65">
        <f t="shared" si="195"/>
        <v>0</v>
      </c>
      <c r="AA144" s="65">
        <f t="shared" si="195"/>
        <v>0</v>
      </c>
      <c r="AB144" s="468">
        <f t="shared" si="195"/>
        <v>0</v>
      </c>
      <c r="AC144" s="65">
        <f t="shared" si="195"/>
        <v>0</v>
      </c>
      <c r="AD144" s="65">
        <f t="shared" si="195"/>
        <v>0</v>
      </c>
      <c r="AE144" s="65">
        <f t="shared" si="195"/>
        <v>0</v>
      </c>
      <c r="AF144" s="523">
        <f t="shared" si="195"/>
        <v>0</v>
      </c>
    </row>
    <row r="145" spans="1:32" s="113" customFormat="1" ht="14.25" customHeight="1" x14ac:dyDescent="0.2">
      <c r="A145" s="107"/>
      <c r="B145" s="151" t="s">
        <v>222</v>
      </c>
      <c r="C145" s="2"/>
      <c r="D145" s="115">
        <v>3.5009999999999999</v>
      </c>
      <c r="E145" s="152">
        <v>0</v>
      </c>
      <c r="F145" s="152">
        <v>0</v>
      </c>
      <c r="G145" s="152">
        <v>0</v>
      </c>
      <c r="H145" s="152">
        <v>0</v>
      </c>
      <c r="I145" s="152">
        <v>0</v>
      </c>
      <c r="J145" s="152">
        <v>0</v>
      </c>
      <c r="K145" s="115">
        <v>102.474</v>
      </c>
      <c r="L145" s="152">
        <v>0</v>
      </c>
      <c r="M145" s="451">
        <v>0</v>
      </c>
      <c r="N145" s="1">
        <f t="shared" ref="N145" si="196">(M145/(M$166-SUM(M$153,M$156,M$159)))*(N$166-SUM(N$153,N$156,N$159))</f>
        <v>0</v>
      </c>
      <c r="O145" s="7">
        <f t="shared" ref="O145:S145" si="197">(N145/(N$166-SUM(N$153,N$156,N$159)))*(O$166-SUM(O$153,O$156,O$159))</f>
        <v>0</v>
      </c>
      <c r="P145" s="7">
        <f t="shared" si="197"/>
        <v>0</v>
      </c>
      <c r="Q145" s="7">
        <f t="shared" si="197"/>
        <v>0</v>
      </c>
      <c r="R145" s="7">
        <f t="shared" si="197"/>
        <v>0</v>
      </c>
      <c r="S145" s="7">
        <f t="shared" si="197"/>
        <v>0</v>
      </c>
      <c r="T145" s="273"/>
      <c r="U145" s="111">
        <v>0</v>
      </c>
      <c r="V145" s="111">
        <v>0</v>
      </c>
      <c r="W145" s="111">
        <v>0</v>
      </c>
      <c r="X145" s="456">
        <v>0</v>
      </c>
      <c r="Y145" s="111">
        <v>0</v>
      </c>
      <c r="Z145" s="111">
        <v>0</v>
      </c>
      <c r="AA145" s="111">
        <v>0</v>
      </c>
      <c r="AB145" s="456">
        <v>0</v>
      </c>
      <c r="AC145" s="111">
        <v>0</v>
      </c>
      <c r="AD145" s="111">
        <v>0</v>
      </c>
      <c r="AE145" s="111">
        <v>0</v>
      </c>
      <c r="AF145" s="511">
        <f>(AE145/(AE$166-SUM(AE$153,AE$156,AE$159)))*(AF$166-SUM(AF$153,AF$156,AF$159))</f>
        <v>0</v>
      </c>
    </row>
    <row r="146" spans="1:32" s="113" customFormat="1" ht="14.25" customHeight="1" x14ac:dyDescent="0.2">
      <c r="A146" s="107"/>
      <c r="B146" s="151"/>
      <c r="C146" s="2"/>
      <c r="D146" s="115"/>
      <c r="E146" s="152"/>
      <c r="F146" s="152"/>
      <c r="G146" s="152"/>
      <c r="H146" s="152"/>
      <c r="I146" s="152"/>
      <c r="J146" s="152"/>
      <c r="K146" s="115"/>
      <c r="L146" s="152"/>
      <c r="M146" s="451"/>
      <c r="N146" s="2"/>
      <c r="O146" s="7"/>
      <c r="P146" s="7"/>
      <c r="Q146" s="7"/>
      <c r="R146" s="7"/>
      <c r="S146" s="7"/>
      <c r="T146" s="273"/>
      <c r="U146" s="2"/>
      <c r="V146" s="2"/>
      <c r="W146" s="50"/>
      <c r="X146" s="440"/>
      <c r="Y146" s="2"/>
      <c r="Z146" s="2"/>
      <c r="AA146" s="2"/>
      <c r="AB146" s="440"/>
      <c r="AC146" s="2"/>
      <c r="AD146" s="2"/>
      <c r="AE146" s="2"/>
      <c r="AF146" s="511"/>
    </row>
    <row r="147" spans="1:32" s="113" customFormat="1" ht="14.25" customHeight="1" x14ac:dyDescent="0.2">
      <c r="A147" s="107"/>
      <c r="B147" s="169" t="s">
        <v>285</v>
      </c>
      <c r="C147" s="2"/>
      <c r="D147" s="115"/>
      <c r="E147" s="152"/>
      <c r="F147" s="152"/>
      <c r="G147" s="152"/>
      <c r="H147" s="152"/>
      <c r="I147" s="152"/>
      <c r="J147" s="152"/>
      <c r="K147" s="115"/>
      <c r="L147" s="152"/>
      <c r="M147" s="451"/>
      <c r="N147" s="2"/>
      <c r="O147" s="7"/>
      <c r="P147" s="7"/>
      <c r="Q147" s="7"/>
      <c r="R147" s="7"/>
      <c r="S147" s="7"/>
      <c r="T147" s="273"/>
      <c r="U147" s="2"/>
      <c r="V147" s="2"/>
      <c r="W147" s="50"/>
      <c r="X147" s="440"/>
      <c r="Y147" s="2"/>
      <c r="Z147" s="2"/>
      <c r="AA147" s="2"/>
      <c r="AB147" s="440"/>
      <c r="AC147" s="2"/>
      <c r="AD147" s="2"/>
      <c r="AE147" s="2"/>
      <c r="AF147" s="511"/>
    </row>
    <row r="148" spans="1:32" s="113" customFormat="1" ht="14.25" customHeight="1" x14ac:dyDescent="0.2">
      <c r="A148" s="107"/>
      <c r="B148" s="170" t="s">
        <v>211</v>
      </c>
      <c r="C148" s="2"/>
      <c r="D148" s="115">
        <f>D130+D141+D145</f>
        <v>47140.351999999999</v>
      </c>
      <c r="E148" s="115">
        <f t="shared" ref="E148:L148" si="198">E130+E141+E145</f>
        <v>90069.914999999994</v>
      </c>
      <c r="F148" s="115">
        <f t="shared" si="198"/>
        <v>142021.644</v>
      </c>
      <c r="G148" s="115">
        <f t="shared" si="198"/>
        <v>141366.342</v>
      </c>
      <c r="H148" s="115">
        <f t="shared" si="198"/>
        <v>107139.30100000001</v>
      </c>
      <c r="I148" s="115">
        <f t="shared" si="198"/>
        <v>70191.432000000001</v>
      </c>
      <c r="J148" s="115">
        <f t="shared" si="198"/>
        <v>120574.003</v>
      </c>
      <c r="K148" s="115">
        <f t="shared" si="198"/>
        <v>111944.63</v>
      </c>
      <c r="L148" s="115">
        <f t="shared" si="198"/>
        <v>89148.934999999998</v>
      </c>
      <c r="M148" s="452">
        <f>M129+M141+M145</f>
        <v>96444.494999999995</v>
      </c>
      <c r="N148" s="1">
        <f t="shared" ref="N148:S148" si="199">N129+N141+N145</f>
        <v>162120.69614295271</v>
      </c>
      <c r="O148" s="7">
        <f t="shared" si="199"/>
        <v>199925.3298078886</v>
      </c>
      <c r="P148" s="7">
        <f t="shared" si="199"/>
        <v>237726.81892952701</v>
      </c>
      <c r="Q148" s="7">
        <f t="shared" si="199"/>
        <v>267769.0153881404</v>
      </c>
      <c r="R148" s="7">
        <f t="shared" si="199"/>
        <v>303153.77057587658</v>
      </c>
      <c r="S148" s="7">
        <f t="shared" si="199"/>
        <v>344192.52591105504</v>
      </c>
      <c r="T148" s="273"/>
      <c r="U148" s="1">
        <f>U128+U141+U145</f>
        <v>116931.52800000001</v>
      </c>
      <c r="V148" s="1">
        <f t="shared" ref="V148:W148" si="200">V128+V141+V145</f>
        <v>119859.038</v>
      </c>
      <c r="W148" s="1">
        <f t="shared" si="200"/>
        <v>121951.549</v>
      </c>
      <c r="X148" s="423">
        <f t="shared" ref="X148:AE148" si="201">X129+X141+X145</f>
        <v>89148.934999999998</v>
      </c>
      <c r="Y148" s="1">
        <f t="shared" si="201"/>
        <v>99140.084000000003</v>
      </c>
      <c r="Z148" s="1">
        <f t="shared" si="201"/>
        <v>97904.967000000004</v>
      </c>
      <c r="AA148" s="1">
        <f t="shared" si="201"/>
        <v>96276.673999999999</v>
      </c>
      <c r="AB148" s="423">
        <f t="shared" si="201"/>
        <v>96444.494999999995</v>
      </c>
      <c r="AC148" s="1">
        <f t="shared" si="201"/>
        <v>96514.713000000003</v>
      </c>
      <c r="AD148" s="1">
        <f t="shared" si="201"/>
        <v>158120.155</v>
      </c>
      <c r="AE148" s="7">
        <f t="shared" si="201"/>
        <v>211308.37600000002</v>
      </c>
      <c r="AF148" s="511">
        <f t="shared" ref="AF148" si="202">AF129+AF141+AF145</f>
        <v>219251.81755054943</v>
      </c>
    </row>
    <row r="149" spans="1:32" s="113" customFormat="1" ht="14.25" customHeight="1" x14ac:dyDescent="0.2">
      <c r="A149" s="107"/>
      <c r="B149" s="170" t="s">
        <v>214</v>
      </c>
      <c r="C149" s="2"/>
      <c r="D149" s="142">
        <f>D132+D142</f>
        <v>0</v>
      </c>
      <c r="E149" s="142">
        <f t="shared" ref="E149:M149" si="203">E132+E142</f>
        <v>0</v>
      </c>
      <c r="F149" s="142">
        <f t="shared" si="203"/>
        <v>0</v>
      </c>
      <c r="G149" s="142">
        <f t="shared" si="203"/>
        <v>0</v>
      </c>
      <c r="H149" s="142">
        <f t="shared" si="203"/>
        <v>0</v>
      </c>
      <c r="I149" s="142">
        <f t="shared" si="203"/>
        <v>0</v>
      </c>
      <c r="J149" s="142">
        <f t="shared" si="203"/>
        <v>0</v>
      </c>
      <c r="K149" s="142">
        <f t="shared" si="203"/>
        <v>0</v>
      </c>
      <c r="L149" s="115">
        <f t="shared" si="203"/>
        <v>21150.404000000002</v>
      </c>
      <c r="M149" s="452">
        <f t="shared" si="203"/>
        <v>113976.837</v>
      </c>
      <c r="N149" s="1">
        <f t="shared" ref="N149:S149" si="204">N132+N142</f>
        <v>191592.1085865176</v>
      </c>
      <c r="O149" s="7">
        <f t="shared" si="204"/>
        <v>236269.12793399938</v>
      </c>
      <c r="P149" s="7">
        <f t="shared" si="204"/>
        <v>280942.43110152858</v>
      </c>
      <c r="Q149" s="7">
        <f t="shared" si="204"/>
        <v>316445.90414978663</v>
      </c>
      <c r="R149" s="7">
        <f t="shared" si="204"/>
        <v>358263.14290786721</v>
      </c>
      <c r="S149" s="7">
        <f t="shared" si="204"/>
        <v>406762.20475188969</v>
      </c>
      <c r="T149" s="273"/>
      <c r="U149" s="1">
        <f>U132+U142</f>
        <v>0</v>
      </c>
      <c r="V149" s="1">
        <f t="shared" ref="V149:AE149" si="205">V132+V142</f>
        <v>0</v>
      </c>
      <c r="W149" s="1">
        <f t="shared" si="205"/>
        <v>0</v>
      </c>
      <c r="X149" s="423">
        <f t="shared" si="205"/>
        <v>21076.097000000002</v>
      </c>
      <c r="Y149" s="1">
        <f t="shared" si="205"/>
        <v>105360.978</v>
      </c>
      <c r="Z149" s="1">
        <f t="shared" si="205"/>
        <v>104165.72100000001</v>
      </c>
      <c r="AA149" s="1">
        <f t="shared" si="205"/>
        <v>104384.887</v>
      </c>
      <c r="AB149" s="423">
        <f t="shared" si="205"/>
        <v>113927.13</v>
      </c>
      <c r="AC149" s="1">
        <f t="shared" si="205"/>
        <v>104679.97</v>
      </c>
      <c r="AD149" s="1">
        <f>AD132+AD142</f>
        <v>132617.60800000001</v>
      </c>
      <c r="AE149" s="7">
        <f t="shared" si="205"/>
        <v>134067.63500000001</v>
      </c>
      <c r="AF149" s="511">
        <f t="shared" ref="AF149" si="206">AF132+AF142</f>
        <v>139107.46561439501</v>
      </c>
    </row>
    <row r="150" spans="1:32" s="113" customFormat="1" ht="14.25" customHeight="1" x14ac:dyDescent="0.2">
      <c r="A150" s="107"/>
      <c r="B150" s="170" t="s">
        <v>218</v>
      </c>
      <c r="C150" s="2"/>
      <c r="D150" s="142">
        <f>D136</f>
        <v>0</v>
      </c>
      <c r="E150" s="142">
        <f t="shared" ref="E150:M150" si="207">E136</f>
        <v>0</v>
      </c>
      <c r="F150" s="142">
        <f t="shared" si="207"/>
        <v>0</v>
      </c>
      <c r="G150" s="142">
        <f t="shared" si="207"/>
        <v>0</v>
      </c>
      <c r="H150" s="142">
        <f t="shared" si="207"/>
        <v>0</v>
      </c>
      <c r="I150" s="142">
        <f t="shared" si="207"/>
        <v>0</v>
      </c>
      <c r="J150" s="142">
        <f t="shared" si="207"/>
        <v>0</v>
      </c>
      <c r="K150" s="142">
        <f t="shared" si="207"/>
        <v>0</v>
      </c>
      <c r="L150" s="142">
        <f t="shared" si="207"/>
        <v>7465.817</v>
      </c>
      <c r="M150" s="453">
        <f t="shared" si="207"/>
        <v>8093.5550000000003</v>
      </c>
      <c r="N150" s="1">
        <f t="shared" ref="N150:S150" si="208">N136</f>
        <v>13605.056160761438</v>
      </c>
      <c r="O150" s="7">
        <f t="shared" si="208"/>
        <v>16777.594747043735</v>
      </c>
      <c r="P150" s="7">
        <f t="shared" si="208"/>
        <v>19949.869445437689</v>
      </c>
      <c r="Q150" s="7">
        <f t="shared" si="208"/>
        <v>22470.989695573197</v>
      </c>
      <c r="R150" s="7">
        <f t="shared" si="208"/>
        <v>25440.453761650562</v>
      </c>
      <c r="S150" s="7">
        <f t="shared" si="208"/>
        <v>28884.397591070898</v>
      </c>
      <c r="T150" s="273"/>
      <c r="U150" s="1">
        <f>U136</f>
        <v>0</v>
      </c>
      <c r="V150" s="1">
        <f t="shared" ref="V150:AE150" si="209">V136</f>
        <v>0</v>
      </c>
      <c r="W150" s="1">
        <f t="shared" si="209"/>
        <v>0</v>
      </c>
      <c r="X150" s="423">
        <f t="shared" si="209"/>
        <v>7465.817</v>
      </c>
      <c r="Y150" s="1">
        <f t="shared" si="209"/>
        <v>7867.2550000000001</v>
      </c>
      <c r="Z150" s="1">
        <f t="shared" si="209"/>
        <v>9104.0409999999993</v>
      </c>
      <c r="AA150" s="1">
        <f t="shared" si="209"/>
        <v>8212.0519999999997</v>
      </c>
      <c r="AB150" s="423">
        <f t="shared" si="209"/>
        <v>8093.5550000000003</v>
      </c>
      <c r="AC150" s="1">
        <f t="shared" si="209"/>
        <v>8416.3760000000002</v>
      </c>
      <c r="AD150" s="1">
        <f t="shared" si="209"/>
        <v>8900.3870000000006</v>
      </c>
      <c r="AE150" s="7">
        <f t="shared" si="209"/>
        <v>8856.9680000000008</v>
      </c>
      <c r="AF150" s="511">
        <f t="shared" ref="AF150" si="210">AF136</f>
        <v>9189.91650376914</v>
      </c>
    </row>
    <row r="151" spans="1:32" s="113" customFormat="1" ht="14.25" customHeight="1" x14ac:dyDescent="0.2">
      <c r="A151" s="107"/>
      <c r="B151" s="170" t="s">
        <v>219</v>
      </c>
      <c r="C151" s="2"/>
      <c r="D151" s="142">
        <f>D137</f>
        <v>0</v>
      </c>
      <c r="E151" s="142">
        <f t="shared" ref="E151:M151" si="211">E137</f>
        <v>0</v>
      </c>
      <c r="F151" s="142">
        <f t="shared" si="211"/>
        <v>1526.837</v>
      </c>
      <c r="G151" s="142">
        <f t="shared" si="211"/>
        <v>2188.2449999999999</v>
      </c>
      <c r="H151" s="142">
        <f t="shared" si="211"/>
        <v>2903.23</v>
      </c>
      <c r="I151" s="142">
        <f t="shared" si="211"/>
        <v>4021.4960000000001</v>
      </c>
      <c r="J151" s="142">
        <f t="shared" si="211"/>
        <v>4423.9120000000003</v>
      </c>
      <c r="K151" s="142">
        <f t="shared" si="211"/>
        <v>5271.14</v>
      </c>
      <c r="L151" s="142">
        <f t="shared" si="211"/>
        <v>5154.2070000000003</v>
      </c>
      <c r="M151" s="453">
        <f t="shared" si="211"/>
        <v>6283.1710000000003</v>
      </c>
      <c r="N151" s="1">
        <f t="shared" ref="N151:S151" si="212">N137</f>
        <v>10561.847583993389</v>
      </c>
      <c r="O151" s="7">
        <f t="shared" si="212"/>
        <v>13024.745833490666</v>
      </c>
      <c r="P151" s="7">
        <f t="shared" si="212"/>
        <v>15487.43922211688</v>
      </c>
      <c r="Q151" s="7">
        <f t="shared" si="212"/>
        <v>17444.629806867855</v>
      </c>
      <c r="R151" s="7">
        <f t="shared" si="212"/>
        <v>19749.877686880947</v>
      </c>
      <c r="S151" s="7">
        <f t="shared" si="212"/>
        <v>22423.472663951321</v>
      </c>
      <c r="T151" s="273"/>
      <c r="U151" s="1">
        <f>U137</f>
        <v>0</v>
      </c>
      <c r="V151" s="1">
        <f t="shared" ref="V151:AE151" si="213">V137</f>
        <v>0</v>
      </c>
      <c r="W151" s="1">
        <f t="shared" si="213"/>
        <v>0</v>
      </c>
      <c r="X151" s="423">
        <f t="shared" si="213"/>
        <v>5154.2070000000003</v>
      </c>
      <c r="Y151" s="1">
        <f t="shared" si="213"/>
        <v>5489.0780000000004</v>
      </c>
      <c r="Z151" s="1">
        <f t="shared" si="213"/>
        <v>5087.22</v>
      </c>
      <c r="AA151" s="1">
        <f t="shared" si="213"/>
        <v>4725.8599999999997</v>
      </c>
      <c r="AB151" s="423">
        <f t="shared" si="213"/>
        <v>6283.1710000000003</v>
      </c>
      <c r="AC151" s="1">
        <f t="shared" si="213"/>
        <v>4389.634</v>
      </c>
      <c r="AD151" s="1">
        <f t="shared" si="213"/>
        <v>5964.3959999999997</v>
      </c>
      <c r="AE151" s="7">
        <f t="shared" si="213"/>
        <v>7315.701</v>
      </c>
      <c r="AF151" s="511">
        <f t="shared" ref="AF151" si="214">AF137</f>
        <v>7590.7106536390784</v>
      </c>
    </row>
    <row r="152" spans="1:32" s="113" customFormat="1" ht="14.25" customHeight="1" x14ac:dyDescent="0.2">
      <c r="A152" s="107"/>
      <c r="B152" s="147"/>
      <c r="C152" s="2"/>
      <c r="D152" s="115"/>
      <c r="E152" s="152"/>
      <c r="F152" s="152"/>
      <c r="G152" s="152"/>
      <c r="H152" s="152"/>
      <c r="I152" s="152"/>
      <c r="J152" s="152"/>
      <c r="K152" s="115"/>
      <c r="L152" s="152"/>
      <c r="M152" s="451"/>
      <c r="N152" s="2"/>
      <c r="O152" s="7"/>
      <c r="P152" s="7"/>
      <c r="Q152" s="7"/>
      <c r="R152" s="7"/>
      <c r="S152" s="7"/>
      <c r="T152" s="273"/>
      <c r="U152" s="2"/>
      <c r="V152" s="2"/>
      <c r="W152" s="50"/>
      <c r="X152" s="440"/>
      <c r="Y152" s="2"/>
      <c r="Z152" s="2"/>
      <c r="AA152" s="2"/>
      <c r="AB152" s="440"/>
      <c r="AC152" s="2"/>
      <c r="AD152" s="2"/>
      <c r="AE152" s="2"/>
      <c r="AF152" s="511"/>
    </row>
    <row r="153" spans="1:32" s="156" customFormat="1" ht="14.25" customHeight="1" x14ac:dyDescent="0.2">
      <c r="A153" s="154"/>
      <c r="B153" s="171" t="s">
        <v>92</v>
      </c>
      <c r="C153" s="3"/>
      <c r="D153" s="163">
        <f>D154</f>
        <v>0</v>
      </c>
      <c r="E153" s="163">
        <f t="shared" ref="E153:S153" si="215">E154</f>
        <v>0</v>
      </c>
      <c r="F153" s="163">
        <f t="shared" si="215"/>
        <v>63.05</v>
      </c>
      <c r="G153" s="163">
        <f t="shared" si="215"/>
        <v>63.05</v>
      </c>
      <c r="H153" s="163">
        <f t="shared" si="215"/>
        <v>63.05</v>
      </c>
      <c r="I153" s="163">
        <f t="shared" si="215"/>
        <v>63.05</v>
      </c>
      <c r="J153" s="163">
        <f t="shared" si="215"/>
        <v>0</v>
      </c>
      <c r="K153" s="163">
        <f t="shared" si="215"/>
        <v>0</v>
      </c>
      <c r="L153" s="163">
        <f t="shared" si="215"/>
        <v>0</v>
      </c>
      <c r="M153" s="454">
        <f t="shared" si="215"/>
        <v>0</v>
      </c>
      <c r="N153" s="65">
        <f t="shared" si="215"/>
        <v>0</v>
      </c>
      <c r="O153" s="65">
        <f t="shared" si="215"/>
        <v>0</v>
      </c>
      <c r="P153" s="65">
        <f t="shared" si="215"/>
        <v>0</v>
      </c>
      <c r="Q153" s="65">
        <f t="shared" si="215"/>
        <v>0</v>
      </c>
      <c r="R153" s="65">
        <f t="shared" si="215"/>
        <v>0</v>
      </c>
      <c r="S153" s="65">
        <f t="shared" si="215"/>
        <v>0</v>
      </c>
      <c r="T153" s="418"/>
      <c r="U153" s="164">
        <f>U154</f>
        <v>63.05</v>
      </c>
      <c r="V153" s="164">
        <f t="shared" ref="V153:AF153" si="216">V154</f>
        <v>63.05</v>
      </c>
      <c r="W153" s="164">
        <f t="shared" si="216"/>
        <v>63.05</v>
      </c>
      <c r="X153" s="498">
        <f t="shared" si="216"/>
        <v>63.05</v>
      </c>
      <c r="Y153" s="164">
        <f t="shared" si="216"/>
        <v>63.05</v>
      </c>
      <c r="Z153" s="164">
        <f t="shared" si="216"/>
        <v>63.05</v>
      </c>
      <c r="AA153" s="164">
        <f t="shared" si="216"/>
        <v>63.05</v>
      </c>
      <c r="AB153" s="498">
        <f t="shared" si="216"/>
        <v>63.05</v>
      </c>
      <c r="AC153" s="164">
        <f t="shared" si="216"/>
        <v>63.05</v>
      </c>
      <c r="AD153" s="164">
        <f t="shared" si="216"/>
        <v>63.05</v>
      </c>
      <c r="AE153" s="164">
        <f t="shared" si="216"/>
        <v>63.05</v>
      </c>
      <c r="AF153" s="523">
        <f t="shared" si="216"/>
        <v>63.05</v>
      </c>
    </row>
    <row r="154" spans="1:32" s="113" customFormat="1" ht="14.25" customHeight="1" x14ac:dyDescent="0.2">
      <c r="A154" s="107"/>
      <c r="B154" s="172" t="s">
        <v>223</v>
      </c>
      <c r="C154" s="2"/>
      <c r="D154" s="60">
        <v>0</v>
      </c>
      <c r="E154" s="60">
        <v>0</v>
      </c>
      <c r="F154" s="115">
        <v>63.05</v>
      </c>
      <c r="G154" s="115">
        <v>63.05</v>
      </c>
      <c r="H154" s="152">
        <v>63.05</v>
      </c>
      <c r="I154" s="152">
        <v>63.05</v>
      </c>
      <c r="J154" s="1">
        <v>0</v>
      </c>
      <c r="K154" s="1">
        <v>0</v>
      </c>
      <c r="L154" s="112">
        <v>0</v>
      </c>
      <c r="M154" s="446">
        <v>0</v>
      </c>
      <c r="N154" s="1">
        <f>M154</f>
        <v>0</v>
      </c>
      <c r="O154" s="7">
        <f>N154</f>
        <v>0</v>
      </c>
      <c r="P154" s="7">
        <f t="shared" ref="P154:S154" si="217">O154</f>
        <v>0</v>
      </c>
      <c r="Q154" s="7">
        <f t="shared" si="217"/>
        <v>0</v>
      </c>
      <c r="R154" s="7">
        <f t="shared" si="217"/>
        <v>0</v>
      </c>
      <c r="S154" s="7">
        <f t="shared" si="217"/>
        <v>0</v>
      </c>
      <c r="T154" s="273"/>
      <c r="U154" s="118">
        <v>63.05</v>
      </c>
      <c r="V154" s="117">
        <v>63.05</v>
      </c>
      <c r="W154" s="117">
        <v>63.05</v>
      </c>
      <c r="X154" s="446">
        <v>63.05</v>
      </c>
      <c r="Y154" s="118">
        <v>63.05</v>
      </c>
      <c r="Z154" s="118">
        <v>63.05</v>
      </c>
      <c r="AA154" s="118">
        <v>63.05</v>
      </c>
      <c r="AB154" s="446">
        <v>63.05</v>
      </c>
      <c r="AC154" s="117">
        <v>63.05</v>
      </c>
      <c r="AD154" s="117">
        <v>63.05</v>
      </c>
      <c r="AE154" s="117">
        <v>63.05</v>
      </c>
      <c r="AF154" s="511">
        <f>AE154</f>
        <v>63.05</v>
      </c>
    </row>
    <row r="155" spans="1:32" s="113" customFormat="1" ht="14.25" customHeight="1" x14ac:dyDescent="0.2">
      <c r="A155" s="107"/>
      <c r="B155" s="172"/>
      <c r="C155" s="2"/>
      <c r="D155" s="60"/>
      <c r="E155" s="60"/>
      <c r="F155" s="115"/>
      <c r="G155" s="115"/>
      <c r="H155" s="152"/>
      <c r="I155" s="152"/>
      <c r="J155" s="1"/>
      <c r="K155" s="1"/>
      <c r="L155" s="112"/>
      <c r="M155" s="446"/>
      <c r="N155" s="2"/>
      <c r="O155" s="7"/>
      <c r="P155" s="7"/>
      <c r="Q155" s="7"/>
      <c r="R155" s="7"/>
      <c r="S155" s="7"/>
      <c r="T155" s="273"/>
      <c r="U155" s="2"/>
      <c r="V155" s="2"/>
      <c r="W155" s="50"/>
      <c r="X155" s="440"/>
      <c r="Y155" s="2"/>
      <c r="Z155" s="2"/>
      <c r="AA155" s="2"/>
      <c r="AB155" s="440"/>
      <c r="AC155" s="2"/>
      <c r="AD155" s="2"/>
      <c r="AE155" s="2"/>
      <c r="AF155" s="511"/>
    </row>
    <row r="156" spans="1:32" s="113" customFormat="1" ht="13.5" customHeight="1" x14ac:dyDescent="0.2">
      <c r="A156" s="107"/>
      <c r="B156" s="146" t="s">
        <v>224</v>
      </c>
      <c r="C156" s="2"/>
      <c r="D156" s="163">
        <f>D157</f>
        <v>2796.4360000000001</v>
      </c>
      <c r="E156" s="163">
        <f t="shared" ref="E156:S156" si="218">E157</f>
        <v>9510.1370000000006</v>
      </c>
      <c r="F156" s="163">
        <f t="shared" si="218"/>
        <v>7688.8429999999998</v>
      </c>
      <c r="G156" s="163">
        <f t="shared" si="218"/>
        <v>6925.6440000000002</v>
      </c>
      <c r="H156" s="163">
        <f t="shared" si="218"/>
        <v>3409.2860000000001</v>
      </c>
      <c r="I156" s="163">
        <f t="shared" si="218"/>
        <v>1835.346</v>
      </c>
      <c r="J156" s="163">
        <f t="shared" si="218"/>
        <v>6605.4470000000001</v>
      </c>
      <c r="K156" s="163">
        <f t="shared" si="218"/>
        <v>5779.7</v>
      </c>
      <c r="L156" s="163">
        <f t="shared" si="218"/>
        <v>4196.0129999999999</v>
      </c>
      <c r="M156" s="642">
        <f t="shared" si="218"/>
        <v>4869.0140000000001</v>
      </c>
      <c r="N156" s="80">
        <f t="shared" si="218"/>
        <v>4869.0140000000001</v>
      </c>
      <c r="O156" s="65">
        <f t="shared" si="218"/>
        <v>4869.0140000000001</v>
      </c>
      <c r="P156" s="65">
        <f t="shared" si="218"/>
        <v>4869.0140000000001</v>
      </c>
      <c r="Q156" s="65">
        <f t="shared" si="218"/>
        <v>4869.0140000000001</v>
      </c>
      <c r="R156" s="65">
        <f t="shared" si="218"/>
        <v>4869.0140000000001</v>
      </c>
      <c r="S156" s="65">
        <f t="shared" si="218"/>
        <v>4869.0140000000001</v>
      </c>
      <c r="T156" s="273"/>
      <c r="U156" s="164">
        <f>U157</f>
        <v>834.76099999999997</v>
      </c>
      <c r="V156" s="164">
        <f t="shared" ref="V156:AF156" si="219">V157</f>
        <v>834.76099999999997</v>
      </c>
      <c r="W156" s="164">
        <f t="shared" si="219"/>
        <v>834.76099999999997</v>
      </c>
      <c r="X156" s="498">
        <f t="shared" si="219"/>
        <v>834.76099999999997</v>
      </c>
      <c r="Y156" s="164">
        <f t="shared" si="219"/>
        <v>834.76099999999997</v>
      </c>
      <c r="Z156" s="164">
        <f t="shared" si="219"/>
        <v>834.76099999999997</v>
      </c>
      <c r="AA156" s="164">
        <f t="shared" si="219"/>
        <v>834.76099999999997</v>
      </c>
      <c r="AB156" s="498">
        <f t="shared" si="219"/>
        <v>834.76099999999997</v>
      </c>
      <c r="AC156" s="164">
        <f t="shared" si="219"/>
        <v>834.76099999999997</v>
      </c>
      <c r="AD156" s="164">
        <f t="shared" si="219"/>
        <v>844.76599999999996</v>
      </c>
      <c r="AE156" s="164">
        <f t="shared" si="219"/>
        <v>844.76599999999996</v>
      </c>
      <c r="AF156" s="523">
        <f t="shared" si="219"/>
        <v>844.76599999999996</v>
      </c>
    </row>
    <row r="157" spans="1:32" s="113" customFormat="1" ht="13.5" customHeight="1" x14ac:dyDescent="0.2">
      <c r="A157" s="107"/>
      <c r="B157" s="173" t="s">
        <v>225</v>
      </c>
      <c r="C157" s="2"/>
      <c r="D157" s="115">
        <v>2796.4360000000001</v>
      </c>
      <c r="E157" s="115">
        <v>9510.1370000000006</v>
      </c>
      <c r="F157" s="115">
        <v>7688.8429999999998</v>
      </c>
      <c r="G157" s="115">
        <v>6925.6440000000002</v>
      </c>
      <c r="H157" s="115">
        <v>3409.2860000000001</v>
      </c>
      <c r="I157" s="152">
        <v>1835.346</v>
      </c>
      <c r="J157" s="115">
        <v>6605.4470000000001</v>
      </c>
      <c r="K157" s="115">
        <v>5779.7</v>
      </c>
      <c r="L157" s="115">
        <v>4196.0129999999999</v>
      </c>
      <c r="M157" s="452">
        <v>4869.0140000000001</v>
      </c>
      <c r="N157" s="1">
        <f>M157</f>
        <v>4869.0140000000001</v>
      </c>
      <c r="O157" s="7">
        <f t="shared" ref="O157:S157" si="220">N157</f>
        <v>4869.0140000000001</v>
      </c>
      <c r="P157" s="7">
        <f t="shared" si="220"/>
        <v>4869.0140000000001</v>
      </c>
      <c r="Q157" s="7">
        <f t="shared" si="220"/>
        <v>4869.0140000000001</v>
      </c>
      <c r="R157" s="7">
        <f t="shared" si="220"/>
        <v>4869.0140000000001</v>
      </c>
      <c r="S157" s="7">
        <f t="shared" si="220"/>
        <v>4869.0140000000001</v>
      </c>
      <c r="T157" s="273"/>
      <c r="U157" s="118">
        <v>834.76099999999997</v>
      </c>
      <c r="V157" s="117">
        <v>834.76099999999997</v>
      </c>
      <c r="W157" s="117">
        <v>834.76099999999997</v>
      </c>
      <c r="X157" s="446">
        <v>834.76099999999997</v>
      </c>
      <c r="Y157" s="118">
        <v>834.76099999999997</v>
      </c>
      <c r="Z157" s="118">
        <v>834.76099999999997</v>
      </c>
      <c r="AA157" s="118">
        <v>834.76099999999997</v>
      </c>
      <c r="AB157" s="446">
        <v>834.76099999999997</v>
      </c>
      <c r="AC157" s="117">
        <v>834.76099999999997</v>
      </c>
      <c r="AD157" s="117">
        <v>844.76599999999996</v>
      </c>
      <c r="AE157" s="117">
        <v>844.76599999999996</v>
      </c>
      <c r="AF157" s="511">
        <f>AE157</f>
        <v>844.76599999999996</v>
      </c>
    </row>
    <row r="158" spans="1:32" s="113" customFormat="1" ht="13.5" customHeight="1" x14ac:dyDescent="0.2">
      <c r="A158" s="107"/>
      <c r="B158" s="173"/>
      <c r="C158" s="2"/>
      <c r="D158" s="115"/>
      <c r="E158" s="115"/>
      <c r="F158" s="115"/>
      <c r="G158" s="115"/>
      <c r="H158" s="115"/>
      <c r="I158" s="152"/>
      <c r="J158" s="115"/>
      <c r="K158" s="115"/>
      <c r="L158" s="115"/>
      <c r="M158" s="452"/>
      <c r="N158" s="2"/>
      <c r="O158" s="7"/>
      <c r="P158" s="7"/>
      <c r="Q158" s="7"/>
      <c r="R158" s="7"/>
      <c r="S158" s="7"/>
      <c r="T158" s="273"/>
      <c r="U158" s="2"/>
      <c r="V158" s="2"/>
      <c r="W158" s="50"/>
      <c r="X158" s="440"/>
      <c r="Y158" s="2"/>
      <c r="Z158" s="2"/>
      <c r="AA158" s="2"/>
      <c r="AB158" s="440"/>
      <c r="AC158" s="2"/>
      <c r="AD158" s="2"/>
      <c r="AE158" s="2"/>
      <c r="AF158" s="511"/>
    </row>
    <row r="159" spans="1:32" s="113" customFormat="1" ht="13.5" customHeight="1" x14ac:dyDescent="0.2">
      <c r="A159" s="107"/>
      <c r="B159" s="146" t="s">
        <v>226</v>
      </c>
      <c r="C159" s="2"/>
      <c r="D159" s="174">
        <f>D160</f>
        <v>265.99900000000002</v>
      </c>
      <c r="E159" s="174">
        <f t="shared" ref="E159:S159" si="221">E160</f>
        <v>125.164</v>
      </c>
      <c r="F159" s="174">
        <f t="shared" si="221"/>
        <v>128</v>
      </c>
      <c r="G159" s="174">
        <f t="shared" si="221"/>
        <v>40</v>
      </c>
      <c r="H159" s="174">
        <f t="shared" si="221"/>
        <v>28.125</v>
      </c>
      <c r="I159" s="174">
        <f t="shared" si="221"/>
        <v>28.125</v>
      </c>
      <c r="J159" s="163">
        <f t="shared" si="221"/>
        <v>0</v>
      </c>
      <c r="K159" s="163">
        <f t="shared" si="221"/>
        <v>0</v>
      </c>
      <c r="L159" s="163">
        <f t="shared" si="221"/>
        <v>0</v>
      </c>
      <c r="M159" s="450">
        <f t="shared" si="221"/>
        <v>0</v>
      </c>
      <c r="N159" s="65">
        <f t="shared" si="221"/>
        <v>0</v>
      </c>
      <c r="O159" s="65">
        <f t="shared" si="221"/>
        <v>0</v>
      </c>
      <c r="P159" s="65">
        <f t="shared" si="221"/>
        <v>0</v>
      </c>
      <c r="Q159" s="65">
        <f t="shared" si="221"/>
        <v>0</v>
      </c>
      <c r="R159" s="65">
        <f t="shared" si="221"/>
        <v>0</v>
      </c>
      <c r="S159" s="65">
        <f t="shared" si="221"/>
        <v>0</v>
      </c>
      <c r="T159" s="273"/>
      <c r="U159" s="65">
        <f t="shared" ref="U159:AE159" si="222">U160</f>
        <v>0</v>
      </c>
      <c r="V159" s="65">
        <f t="shared" si="222"/>
        <v>0</v>
      </c>
      <c r="W159" s="168">
        <f t="shared" si="222"/>
        <v>0</v>
      </c>
      <c r="X159" s="468">
        <f t="shared" si="222"/>
        <v>0</v>
      </c>
      <c r="Y159" s="65">
        <f t="shared" si="222"/>
        <v>0</v>
      </c>
      <c r="Z159" s="65">
        <f t="shared" si="222"/>
        <v>0</v>
      </c>
      <c r="AA159" s="65">
        <f t="shared" si="222"/>
        <v>0</v>
      </c>
      <c r="AB159" s="468">
        <f t="shared" si="222"/>
        <v>0</v>
      </c>
      <c r="AC159" s="65">
        <f t="shared" si="222"/>
        <v>0</v>
      </c>
      <c r="AD159" s="65">
        <f t="shared" si="222"/>
        <v>0</v>
      </c>
      <c r="AE159" s="65">
        <f t="shared" si="222"/>
        <v>0</v>
      </c>
      <c r="AF159" s="511">
        <f>AE159</f>
        <v>0</v>
      </c>
    </row>
    <row r="160" spans="1:32" s="113" customFormat="1" ht="13.5" customHeight="1" x14ac:dyDescent="0.2">
      <c r="A160" s="107"/>
      <c r="B160" s="173" t="s">
        <v>227</v>
      </c>
      <c r="C160" s="2"/>
      <c r="D160" s="115">
        <v>265.99900000000002</v>
      </c>
      <c r="E160" s="115">
        <v>125.164</v>
      </c>
      <c r="F160" s="115">
        <v>128</v>
      </c>
      <c r="G160" s="115">
        <v>40</v>
      </c>
      <c r="H160" s="115">
        <v>28.125</v>
      </c>
      <c r="I160" s="152">
        <v>28.125</v>
      </c>
      <c r="J160" s="152">
        <v>0</v>
      </c>
      <c r="K160" s="152">
        <v>0</v>
      </c>
      <c r="L160" s="152">
        <v>0</v>
      </c>
      <c r="M160" s="451">
        <v>0</v>
      </c>
      <c r="N160" s="1">
        <f>M160</f>
        <v>0</v>
      </c>
      <c r="O160" s="7">
        <f>N160</f>
        <v>0</v>
      </c>
      <c r="P160" s="7">
        <f t="shared" ref="P160:S160" si="223">O160</f>
        <v>0</v>
      </c>
      <c r="Q160" s="7">
        <f t="shared" si="223"/>
        <v>0</v>
      </c>
      <c r="R160" s="7">
        <f t="shared" si="223"/>
        <v>0</v>
      </c>
      <c r="S160" s="7">
        <f t="shared" si="223"/>
        <v>0</v>
      </c>
      <c r="T160" s="273"/>
      <c r="U160" s="2"/>
      <c r="V160" s="2"/>
      <c r="W160" s="50"/>
      <c r="X160" s="440"/>
      <c r="Y160" s="2"/>
      <c r="Z160" s="2"/>
      <c r="AA160" s="2"/>
      <c r="AB160" s="440"/>
      <c r="AC160" s="2"/>
      <c r="AD160" s="2"/>
      <c r="AE160" s="2"/>
      <c r="AF160" s="511"/>
    </row>
    <row r="161" spans="1:100" s="113" customFormat="1" ht="13.5" customHeight="1" x14ac:dyDescent="0.2">
      <c r="A161" s="107"/>
      <c r="B161" s="146" t="s">
        <v>228</v>
      </c>
      <c r="C161" s="2"/>
      <c r="D161" s="158">
        <f>D138+D140+D153+D144+D156+D159</f>
        <v>50202.787000000004</v>
      </c>
      <c r="E161" s="158">
        <f t="shared" ref="E161:S161" si="224">E138+E140+E153+E144+E156+E159</f>
        <v>99705.216</v>
      </c>
      <c r="F161" s="158">
        <f t="shared" si="224"/>
        <v>151428.37399999998</v>
      </c>
      <c r="G161" s="158">
        <f t="shared" si="224"/>
        <v>150583.28099999999</v>
      </c>
      <c r="H161" s="158">
        <f t="shared" si="224"/>
        <v>113542.992</v>
      </c>
      <c r="I161" s="158">
        <f t="shared" si="224"/>
        <v>76139.449000000008</v>
      </c>
      <c r="J161" s="158">
        <f t="shared" si="224"/>
        <v>131603.36199999999</v>
      </c>
      <c r="K161" s="158">
        <f t="shared" si="224"/>
        <v>122995.47</v>
      </c>
      <c r="L161" s="158">
        <f t="shared" si="224"/>
        <v>127115.376</v>
      </c>
      <c r="M161" s="448">
        <f t="shared" si="224"/>
        <v>229667.07199999999</v>
      </c>
      <c r="N161" s="159">
        <f t="shared" si="224"/>
        <v>382748.72247422521</v>
      </c>
      <c r="O161" s="159">
        <f t="shared" si="224"/>
        <v>470865.8123224224</v>
      </c>
      <c r="P161" s="159">
        <f t="shared" si="224"/>
        <v>558975.57269861014</v>
      </c>
      <c r="Q161" s="159">
        <f t="shared" si="224"/>
        <v>628999.55304036802</v>
      </c>
      <c r="R161" s="159">
        <f t="shared" si="224"/>
        <v>711476.25893227535</v>
      </c>
      <c r="S161" s="159">
        <f t="shared" si="224"/>
        <v>807131.61491796689</v>
      </c>
      <c r="T161" s="273"/>
      <c r="U161" s="175">
        <f>U138+U140+U144+U153+U156+U159</f>
        <v>117829.33900000001</v>
      </c>
      <c r="V161" s="175">
        <f t="shared" ref="V161:AF161" si="225">V138+V140+V144+V153+V156+V159</f>
        <v>120756.849</v>
      </c>
      <c r="W161" s="175">
        <f t="shared" si="225"/>
        <v>122849.36</v>
      </c>
      <c r="X161" s="499">
        <f t="shared" si="225"/>
        <v>123742.867</v>
      </c>
      <c r="Y161" s="175">
        <f t="shared" si="225"/>
        <v>218755.20600000001</v>
      </c>
      <c r="Z161" s="175">
        <f t="shared" si="225"/>
        <v>217159.76</v>
      </c>
      <c r="AA161" s="175">
        <f t="shared" si="225"/>
        <v>214497.28399999996</v>
      </c>
      <c r="AB161" s="499">
        <f t="shared" si="225"/>
        <v>225646.16199999998</v>
      </c>
      <c r="AC161" s="175">
        <f t="shared" si="225"/>
        <v>214898.50399999999</v>
      </c>
      <c r="AD161" s="175">
        <f t="shared" si="225"/>
        <v>306510.36200000002</v>
      </c>
      <c r="AE161" s="176">
        <f t="shared" si="225"/>
        <v>362456.49599999998</v>
      </c>
      <c r="AF161" s="535">
        <f t="shared" si="225"/>
        <v>376047.72632235254</v>
      </c>
    </row>
    <row r="162" spans="1:100" s="113" customFormat="1" ht="13.5" customHeight="1" x14ac:dyDescent="0.2">
      <c r="A162" s="107"/>
      <c r="B162" s="170" t="s">
        <v>229</v>
      </c>
      <c r="C162" s="2"/>
      <c r="D162" s="142">
        <v>-133.17400000000001</v>
      </c>
      <c r="E162" s="142">
        <v>-382.57100000000003</v>
      </c>
      <c r="F162" s="142">
        <v>-455.21899999999999</v>
      </c>
      <c r="G162" s="136">
        <v>-422.149</v>
      </c>
      <c r="H162" s="142">
        <v>-324.29199999999997</v>
      </c>
      <c r="I162" s="152">
        <v>-445.38499999999999</v>
      </c>
      <c r="J162" s="142">
        <v>-383.012</v>
      </c>
      <c r="K162" s="140">
        <v>-969.74400000000003</v>
      </c>
      <c r="L162" s="111">
        <v>0</v>
      </c>
      <c r="M162" s="445">
        <v>0</v>
      </c>
      <c r="N162" s="1">
        <f>AF162</f>
        <v>0</v>
      </c>
      <c r="O162" s="7">
        <f>(N162/(N$166-SUM(N$153,N$156,N$159)))*(O$166-SUM(O$153,O$156,O$159))</f>
        <v>0</v>
      </c>
      <c r="P162" s="7">
        <f t="shared" ref="O162:S165" si="226">(O162/(O$166-SUM(O$153,O$156,O$159)))*(P$166-SUM(P$153,P$156,P$159))</f>
        <v>0</v>
      </c>
      <c r="Q162" s="7">
        <f t="shared" si="226"/>
        <v>0</v>
      </c>
      <c r="R162" s="7">
        <f t="shared" si="226"/>
        <v>0</v>
      </c>
      <c r="S162" s="7">
        <f t="shared" si="226"/>
        <v>0</v>
      </c>
      <c r="T162" s="273"/>
      <c r="U162" s="117">
        <v>-917.72500000000002</v>
      </c>
      <c r="V162" s="117">
        <v>-977.98</v>
      </c>
      <c r="W162" s="111">
        <v>-1059.104</v>
      </c>
      <c r="X162" s="456">
        <v>0</v>
      </c>
      <c r="Y162" s="111">
        <v>0</v>
      </c>
      <c r="Z162" s="111">
        <v>0</v>
      </c>
      <c r="AA162" s="111">
        <v>0</v>
      </c>
      <c r="AB162" s="456">
        <v>0</v>
      </c>
      <c r="AC162" s="111">
        <v>0</v>
      </c>
      <c r="AD162" s="111">
        <v>0</v>
      </c>
      <c r="AE162" s="111">
        <v>0</v>
      </c>
      <c r="AF162" s="511">
        <f>(AE162/(AE$166-SUM(AE$153,AE$156,AE$159)))*(AF$166-SUM(AF$153,AF$156,AF$159))</f>
        <v>0</v>
      </c>
    </row>
    <row r="163" spans="1:100" s="156" customFormat="1" ht="13.5" customHeight="1" x14ac:dyDescent="0.2">
      <c r="A163" s="154"/>
      <c r="B163" s="146" t="s">
        <v>93</v>
      </c>
      <c r="C163" s="3"/>
      <c r="D163" s="177">
        <f>SUM(D161:D162)</f>
        <v>50069.613000000005</v>
      </c>
      <c r="E163" s="177">
        <f t="shared" ref="E163:S163" si="227">SUM(E161:E162)</f>
        <v>99322.645000000004</v>
      </c>
      <c r="F163" s="177">
        <f t="shared" si="227"/>
        <v>150973.15499999997</v>
      </c>
      <c r="G163" s="177">
        <f t="shared" si="227"/>
        <v>150161.13199999998</v>
      </c>
      <c r="H163" s="177">
        <f t="shared" si="227"/>
        <v>113218.7</v>
      </c>
      <c r="I163" s="177">
        <f t="shared" si="227"/>
        <v>75694.064000000013</v>
      </c>
      <c r="J163" s="177">
        <f t="shared" si="227"/>
        <v>131220.35</v>
      </c>
      <c r="K163" s="177">
        <f t="shared" si="227"/>
        <v>122025.726</v>
      </c>
      <c r="L163" s="177">
        <f t="shared" si="227"/>
        <v>127115.376</v>
      </c>
      <c r="M163" s="455">
        <f t="shared" si="227"/>
        <v>229667.07199999999</v>
      </c>
      <c r="N163" s="159">
        <f t="shared" si="227"/>
        <v>382748.72247422521</v>
      </c>
      <c r="O163" s="159">
        <f t="shared" si="227"/>
        <v>470865.8123224224</v>
      </c>
      <c r="P163" s="159">
        <f t="shared" si="227"/>
        <v>558975.57269861014</v>
      </c>
      <c r="Q163" s="159">
        <f t="shared" si="227"/>
        <v>628999.55304036802</v>
      </c>
      <c r="R163" s="159">
        <f t="shared" si="227"/>
        <v>711476.25893227535</v>
      </c>
      <c r="S163" s="159">
        <f t="shared" si="227"/>
        <v>807131.61491796689</v>
      </c>
      <c r="T163" s="418"/>
      <c r="U163" s="175">
        <f>SUM(U161:U162)</f>
        <v>116911.614</v>
      </c>
      <c r="V163" s="175">
        <f>SUM(V161:V162)</f>
        <v>119778.86900000001</v>
      </c>
      <c r="W163" s="175">
        <f>SUM(W161:W162)</f>
        <v>121790.25599999999</v>
      </c>
      <c r="X163" s="499">
        <f>X161</f>
        <v>123742.867</v>
      </c>
      <c r="Y163" s="175">
        <f t="shared" ref="Y163:AF163" si="228">Y161</f>
        <v>218755.20600000001</v>
      </c>
      <c r="Z163" s="175">
        <f t="shared" si="228"/>
        <v>217159.76</v>
      </c>
      <c r="AA163" s="175">
        <f t="shared" si="228"/>
        <v>214497.28399999996</v>
      </c>
      <c r="AB163" s="499">
        <f t="shared" si="228"/>
        <v>225646.16199999998</v>
      </c>
      <c r="AC163" s="175">
        <f t="shared" si="228"/>
        <v>214898.50399999999</v>
      </c>
      <c r="AD163" s="175">
        <f t="shared" si="228"/>
        <v>306510.36200000002</v>
      </c>
      <c r="AE163" s="176">
        <f t="shared" si="228"/>
        <v>362456.49599999998</v>
      </c>
      <c r="AF163" s="535">
        <f t="shared" si="228"/>
        <v>376047.72632235254</v>
      </c>
    </row>
    <row r="164" spans="1:100" s="113" customFormat="1" ht="13.5" customHeight="1" x14ac:dyDescent="0.2">
      <c r="A164" s="107"/>
      <c r="B164" s="170" t="s">
        <v>230</v>
      </c>
      <c r="C164" s="2"/>
      <c r="D164" s="115">
        <v>449.77699999999999</v>
      </c>
      <c r="E164" s="115">
        <v>626.89700000000005</v>
      </c>
      <c r="F164" s="115">
        <v>1486.7</v>
      </c>
      <c r="G164" s="115">
        <v>1452.8009999999999</v>
      </c>
      <c r="H164" s="115">
        <v>870.55200000000002</v>
      </c>
      <c r="I164" s="115">
        <v>1215.8869999999999</v>
      </c>
      <c r="J164" s="115">
        <v>3576.2240000000002</v>
      </c>
      <c r="K164" s="115">
        <v>1136.883</v>
      </c>
      <c r="L164" s="111">
        <v>0</v>
      </c>
      <c r="M164" s="456">
        <v>0</v>
      </c>
      <c r="N164" s="1">
        <f>AF164</f>
        <v>0</v>
      </c>
      <c r="O164" s="7">
        <f t="shared" si="226"/>
        <v>0</v>
      </c>
      <c r="P164" s="7">
        <f t="shared" si="226"/>
        <v>0</v>
      </c>
      <c r="Q164" s="7">
        <f t="shared" si="226"/>
        <v>0</v>
      </c>
      <c r="R164" s="7">
        <f t="shared" si="226"/>
        <v>0</v>
      </c>
      <c r="S164" s="7">
        <f t="shared" si="226"/>
        <v>0</v>
      </c>
      <c r="T164" s="273"/>
      <c r="U164" s="117">
        <v>809.91300000000001</v>
      </c>
      <c r="V164" s="111">
        <v>534.27599999999995</v>
      </c>
      <c r="W164" s="111">
        <v>-347.33499999999998</v>
      </c>
      <c r="X164" s="456">
        <v>0</v>
      </c>
      <c r="Y164" s="111">
        <v>0</v>
      </c>
      <c r="Z164" s="111">
        <v>0</v>
      </c>
      <c r="AA164" s="111">
        <v>0</v>
      </c>
      <c r="AB164" s="456">
        <v>0</v>
      </c>
      <c r="AC164" s="111">
        <v>0</v>
      </c>
      <c r="AD164" s="111">
        <v>0</v>
      </c>
      <c r="AE164" s="111">
        <v>0</v>
      </c>
      <c r="AF164" s="511">
        <f>AE164/AE$166*AF$166</f>
        <v>0</v>
      </c>
    </row>
    <row r="165" spans="1:100" s="113" customFormat="1" ht="13.5" customHeight="1" x14ac:dyDescent="0.2">
      <c r="A165" s="107"/>
      <c r="B165" s="2" t="s">
        <v>231</v>
      </c>
      <c r="C165" s="2"/>
      <c r="D165" s="136">
        <v>-0.4</v>
      </c>
      <c r="E165" s="140">
        <v>0</v>
      </c>
      <c r="F165" s="1">
        <v>0</v>
      </c>
      <c r="G165" s="1">
        <v>0</v>
      </c>
      <c r="H165" s="152">
        <v>0</v>
      </c>
      <c r="I165" s="152">
        <v>0</v>
      </c>
      <c r="J165" s="1">
        <v>0</v>
      </c>
      <c r="K165" s="142">
        <v>-1.708</v>
      </c>
      <c r="L165" s="178" t="s">
        <v>148</v>
      </c>
      <c r="M165" s="457" t="s">
        <v>148</v>
      </c>
      <c r="N165" s="1">
        <f>AF165</f>
        <v>0</v>
      </c>
      <c r="O165" s="7">
        <f t="shared" si="226"/>
        <v>0</v>
      </c>
      <c r="P165" s="7">
        <f t="shared" si="226"/>
        <v>0</v>
      </c>
      <c r="Q165" s="7">
        <f t="shared" si="226"/>
        <v>0</v>
      </c>
      <c r="R165" s="7">
        <f t="shared" si="226"/>
        <v>0</v>
      </c>
      <c r="S165" s="7">
        <f t="shared" si="226"/>
        <v>0</v>
      </c>
      <c r="T165" s="273"/>
      <c r="U165" s="111"/>
      <c r="V165" s="111"/>
      <c r="W165" s="111"/>
      <c r="X165" s="456"/>
      <c r="Y165" s="111"/>
      <c r="Z165" s="111"/>
      <c r="AA165" s="111"/>
      <c r="AB165" s="456"/>
      <c r="AC165" s="111"/>
      <c r="AD165" s="111"/>
      <c r="AE165" s="111"/>
      <c r="AF165" s="511"/>
      <c r="AG165" s="179"/>
      <c r="AH165" s="179"/>
      <c r="AI165" s="179"/>
      <c r="AJ165" s="179"/>
      <c r="AK165" s="179"/>
      <c r="AL165" s="179"/>
      <c r="AM165" s="179"/>
      <c r="AN165" s="179"/>
      <c r="AO165" s="179"/>
      <c r="AP165" s="179"/>
      <c r="AQ165" s="179"/>
      <c r="AR165" s="179"/>
      <c r="AS165" s="179"/>
      <c r="AT165" s="179"/>
      <c r="AU165" s="179"/>
      <c r="AV165" s="179"/>
      <c r="AW165" s="179"/>
      <c r="AX165" s="179"/>
      <c r="AY165" s="179"/>
      <c r="AZ165" s="179"/>
      <c r="BA165" s="179"/>
      <c r="BB165" s="179"/>
      <c r="BC165" s="179"/>
      <c r="BD165" s="179"/>
      <c r="BE165" s="179"/>
      <c r="BF165" s="179"/>
      <c r="BG165" s="179"/>
      <c r="BH165" s="179"/>
      <c r="BI165" s="179"/>
      <c r="BJ165" s="179"/>
      <c r="BK165" s="179"/>
      <c r="BL165" s="179"/>
      <c r="BM165" s="179"/>
      <c r="BN165" s="179"/>
      <c r="BO165" s="179"/>
      <c r="BP165" s="179"/>
      <c r="BQ165" s="179"/>
      <c r="BR165" s="179"/>
      <c r="BS165" s="179"/>
      <c r="BT165" s="179"/>
      <c r="BU165" s="179"/>
      <c r="BV165" s="179"/>
      <c r="BW165" s="179"/>
      <c r="BX165" s="179"/>
      <c r="BY165" s="179"/>
      <c r="BZ165" s="179"/>
      <c r="CA165" s="179"/>
      <c r="CB165" s="179"/>
      <c r="CC165" s="179"/>
      <c r="CD165" s="179"/>
      <c r="CE165" s="179"/>
      <c r="CF165" s="179"/>
      <c r="CG165" s="179"/>
      <c r="CH165" s="179"/>
      <c r="CI165" s="179"/>
      <c r="CJ165" s="179"/>
      <c r="CK165" s="179"/>
      <c r="CL165" s="179"/>
      <c r="CM165" s="179"/>
      <c r="CN165" s="179"/>
      <c r="CO165" s="179"/>
      <c r="CP165" s="179"/>
      <c r="CQ165" s="179"/>
      <c r="CR165" s="179"/>
      <c r="CS165" s="179"/>
      <c r="CT165" s="179"/>
      <c r="CU165" s="179"/>
      <c r="CV165" s="179"/>
    </row>
    <row r="166" spans="1:100" s="113" customFormat="1" ht="13.5" customHeight="1" x14ac:dyDescent="0.2">
      <c r="A166" s="107"/>
      <c r="B166" s="171" t="s">
        <v>94</v>
      </c>
      <c r="C166" s="2"/>
      <c r="D166" s="177">
        <f t="shared" ref="D166:M166" si="229">SUM(D163:D165)</f>
        <v>50518.990000000005</v>
      </c>
      <c r="E166" s="177">
        <f t="shared" si="229"/>
        <v>99949.542000000001</v>
      </c>
      <c r="F166" s="177">
        <f t="shared" si="229"/>
        <v>152459.85499999998</v>
      </c>
      <c r="G166" s="177">
        <f t="shared" si="229"/>
        <v>151613.93299999999</v>
      </c>
      <c r="H166" s="177">
        <f t="shared" si="229"/>
        <v>114089.25199999999</v>
      </c>
      <c r="I166" s="177">
        <f t="shared" si="229"/>
        <v>76909.951000000015</v>
      </c>
      <c r="J166" s="177">
        <f t="shared" si="229"/>
        <v>134796.57399999999</v>
      </c>
      <c r="K166" s="177">
        <f t="shared" si="229"/>
        <v>123160.901</v>
      </c>
      <c r="L166" s="177">
        <f t="shared" si="229"/>
        <v>127115.376</v>
      </c>
      <c r="M166" s="455">
        <f t="shared" si="229"/>
        <v>229667.07199999999</v>
      </c>
      <c r="N166" s="180">
        <f>AF166*(1+'Adj from Unconsol to Consol'!F9)</f>
        <v>382748.72247422516</v>
      </c>
      <c r="O166" s="159">
        <f>O267*Assumptions!P42</f>
        <v>470865.8123224224</v>
      </c>
      <c r="P166" s="159">
        <f>P267*Assumptions!Q42</f>
        <v>558975.57269861014</v>
      </c>
      <c r="Q166" s="159">
        <f>Q267*Assumptions!R42</f>
        <v>628999.55304036802</v>
      </c>
      <c r="R166" s="159">
        <f>R267*Assumptions!S42</f>
        <v>711476.25893227523</v>
      </c>
      <c r="S166" s="159">
        <f>S267*Assumptions!T42</f>
        <v>807131.61491796689</v>
      </c>
      <c r="T166" s="273"/>
      <c r="U166" s="181">
        <f t="shared" ref="U166:AE166" si="230">SUM(U163:U165)</f>
        <v>117721.527</v>
      </c>
      <c r="V166" s="181">
        <f t="shared" si="230"/>
        <v>120313.145</v>
      </c>
      <c r="W166" s="181">
        <f t="shared" si="230"/>
        <v>121442.92099999999</v>
      </c>
      <c r="X166" s="469">
        <f t="shared" si="230"/>
        <v>123742.867</v>
      </c>
      <c r="Y166" s="181">
        <f t="shared" si="230"/>
        <v>218755.20600000001</v>
      </c>
      <c r="Z166" s="181">
        <f t="shared" si="230"/>
        <v>217159.76</v>
      </c>
      <c r="AA166" s="181">
        <f t="shared" si="230"/>
        <v>214497.28399999996</v>
      </c>
      <c r="AB166" s="469">
        <f t="shared" si="230"/>
        <v>225646.16199999998</v>
      </c>
      <c r="AC166" s="181">
        <f t="shared" si="230"/>
        <v>214898.50399999999</v>
      </c>
      <c r="AD166" s="181">
        <f t="shared" si="230"/>
        <v>306510.36200000002</v>
      </c>
      <c r="AE166" s="181">
        <f t="shared" si="230"/>
        <v>362456.49599999998</v>
      </c>
      <c r="AF166" s="523">
        <f>AF267*Assumptions!AG42</f>
        <v>376047.72632235265</v>
      </c>
      <c r="AG166" s="179"/>
      <c r="AH166" s="179"/>
      <c r="AI166" s="179"/>
      <c r="AJ166" s="179"/>
      <c r="AK166" s="179"/>
      <c r="AL166" s="179"/>
      <c r="AM166" s="179"/>
      <c r="AN166" s="179"/>
      <c r="AO166" s="179"/>
      <c r="AP166" s="179"/>
      <c r="AQ166" s="179"/>
      <c r="AR166" s="179"/>
      <c r="AS166" s="179"/>
      <c r="AT166" s="179"/>
      <c r="AU166" s="179"/>
      <c r="AV166" s="179"/>
      <c r="AW166" s="179"/>
      <c r="AX166" s="179"/>
      <c r="AY166" s="179"/>
      <c r="AZ166" s="179"/>
      <c r="BA166" s="179"/>
      <c r="BB166" s="179"/>
      <c r="BC166" s="179"/>
      <c r="BD166" s="179"/>
      <c r="BE166" s="179"/>
      <c r="BF166" s="179"/>
      <c r="BG166" s="179"/>
      <c r="BH166" s="179"/>
      <c r="BI166" s="179"/>
      <c r="BJ166" s="179"/>
      <c r="BK166" s="179"/>
      <c r="BL166" s="179"/>
      <c r="BM166" s="179"/>
      <c r="BN166" s="179"/>
      <c r="BO166" s="179"/>
      <c r="BP166" s="179"/>
      <c r="BQ166" s="179"/>
      <c r="BR166" s="179"/>
      <c r="BS166" s="179"/>
      <c r="BT166" s="179"/>
      <c r="BU166" s="179"/>
      <c r="BV166" s="179"/>
      <c r="BW166" s="179"/>
      <c r="BX166" s="179"/>
      <c r="BY166" s="179"/>
      <c r="BZ166" s="179"/>
      <c r="CA166" s="179"/>
      <c r="CB166" s="179"/>
      <c r="CC166" s="179"/>
      <c r="CD166" s="179"/>
      <c r="CE166" s="179"/>
      <c r="CF166" s="179"/>
      <c r="CG166" s="179"/>
      <c r="CH166" s="179"/>
      <c r="CI166" s="179"/>
      <c r="CJ166" s="179"/>
      <c r="CK166" s="179"/>
      <c r="CL166" s="179"/>
      <c r="CM166" s="179"/>
      <c r="CN166" s="179"/>
      <c r="CO166" s="179"/>
      <c r="CP166" s="179"/>
      <c r="CQ166" s="179"/>
      <c r="CR166" s="179"/>
      <c r="CS166" s="179"/>
      <c r="CT166" s="179"/>
      <c r="CU166" s="179"/>
      <c r="CV166" s="179"/>
    </row>
    <row r="167" spans="1:100" x14ac:dyDescent="0.2">
      <c r="B167" s="171"/>
      <c r="D167" s="60"/>
      <c r="E167" s="140"/>
      <c r="F167" s="182"/>
      <c r="G167" s="182"/>
      <c r="H167" s="140"/>
      <c r="I167" s="140"/>
      <c r="J167" s="181"/>
      <c r="K167" s="140"/>
      <c r="L167" s="140"/>
      <c r="M167" s="458"/>
      <c r="W167" s="50"/>
    </row>
    <row r="168" spans="1:100" s="123" customFormat="1" x14ac:dyDescent="0.2">
      <c r="A168" s="122"/>
      <c r="B168" s="183" t="s">
        <v>232</v>
      </c>
      <c r="D168" s="359">
        <f t="shared" ref="D168:M168" si="231">D166</f>
        <v>50518.990000000005</v>
      </c>
      <c r="E168" s="359">
        <f t="shared" si="231"/>
        <v>99949.542000000001</v>
      </c>
      <c r="F168" s="359">
        <f t="shared" si="231"/>
        <v>152459.85499999998</v>
      </c>
      <c r="G168" s="359">
        <f t="shared" si="231"/>
        <v>151613.93299999999</v>
      </c>
      <c r="H168" s="359">
        <f t="shared" si="231"/>
        <v>114089.25199999999</v>
      </c>
      <c r="I168" s="359">
        <f t="shared" si="231"/>
        <v>76909.951000000015</v>
      </c>
      <c r="J168" s="359">
        <f t="shared" si="231"/>
        <v>134796.57399999999</v>
      </c>
      <c r="K168" s="359">
        <f t="shared" si="231"/>
        <v>123160.901</v>
      </c>
      <c r="L168" s="359">
        <f t="shared" si="231"/>
        <v>127115.376</v>
      </c>
      <c r="M168" s="459">
        <f t="shared" si="231"/>
        <v>229667.07199999999</v>
      </c>
      <c r="N168" s="126">
        <f t="shared" ref="N168:S168" si="232">N166</f>
        <v>382748.72247422516</v>
      </c>
      <c r="O168" s="126">
        <f t="shared" si="232"/>
        <v>470865.8123224224</v>
      </c>
      <c r="P168" s="126">
        <f t="shared" si="232"/>
        <v>558975.57269861014</v>
      </c>
      <c r="Q168" s="126">
        <f t="shared" si="232"/>
        <v>628999.55304036802</v>
      </c>
      <c r="R168" s="126">
        <f t="shared" si="232"/>
        <v>711476.25893227523</v>
      </c>
      <c r="S168" s="126">
        <f t="shared" si="232"/>
        <v>807131.61491796689</v>
      </c>
      <c r="T168" s="421"/>
      <c r="U168" s="125">
        <f t="shared" ref="U168:AF168" si="233">U166</f>
        <v>117721.527</v>
      </c>
      <c r="V168" s="125">
        <f t="shared" si="233"/>
        <v>120313.145</v>
      </c>
      <c r="W168" s="127">
        <f t="shared" si="233"/>
        <v>121442.92099999999</v>
      </c>
      <c r="X168" s="442">
        <f t="shared" si="233"/>
        <v>123742.867</v>
      </c>
      <c r="Y168" s="125">
        <f t="shared" si="233"/>
        <v>218755.20600000001</v>
      </c>
      <c r="Z168" s="125">
        <f t="shared" si="233"/>
        <v>217159.76</v>
      </c>
      <c r="AA168" s="125">
        <f t="shared" si="233"/>
        <v>214497.28399999996</v>
      </c>
      <c r="AB168" s="442">
        <f t="shared" si="233"/>
        <v>225646.16199999998</v>
      </c>
      <c r="AC168" s="125">
        <f t="shared" si="233"/>
        <v>214898.50399999999</v>
      </c>
      <c r="AD168" s="125">
        <f t="shared" si="233"/>
        <v>306510.36200000002</v>
      </c>
      <c r="AE168" s="125">
        <f t="shared" si="233"/>
        <v>362456.49599999998</v>
      </c>
      <c r="AF168" s="530">
        <f t="shared" si="233"/>
        <v>376047.72632235265</v>
      </c>
    </row>
    <row r="169" spans="1:100" s="89" customFormat="1" x14ac:dyDescent="0.2">
      <c r="A169" s="88"/>
      <c r="B169" s="184" t="s">
        <v>102</v>
      </c>
      <c r="D169" s="185">
        <f t="shared" ref="D169:S169" si="234">D10</f>
        <v>50519.385999999999</v>
      </c>
      <c r="E169" s="185">
        <f t="shared" si="234"/>
        <v>99949.542000000001</v>
      </c>
      <c r="F169" s="185">
        <f t="shared" si="234"/>
        <v>152459.85500000001</v>
      </c>
      <c r="G169" s="185">
        <f t="shared" si="234"/>
        <v>151613.93299999999</v>
      </c>
      <c r="H169" s="185">
        <f t="shared" si="234"/>
        <v>114089.25199999999</v>
      </c>
      <c r="I169" s="185">
        <f t="shared" si="234"/>
        <v>76909.951000000001</v>
      </c>
      <c r="J169" s="185">
        <f t="shared" si="234"/>
        <v>134796.57399999999</v>
      </c>
      <c r="K169" s="185">
        <f t="shared" si="234"/>
        <v>123160.901</v>
      </c>
      <c r="L169" s="185">
        <f t="shared" si="234"/>
        <v>127115.376</v>
      </c>
      <c r="M169" s="460">
        <f t="shared" si="234"/>
        <v>229667.07199999999</v>
      </c>
      <c r="N169" s="129">
        <f t="shared" si="234"/>
        <v>382748.72247422516</v>
      </c>
      <c r="O169" s="129">
        <f t="shared" si="234"/>
        <v>470865.8123224224</v>
      </c>
      <c r="P169" s="129">
        <f t="shared" si="234"/>
        <v>558975.57269861014</v>
      </c>
      <c r="Q169" s="129">
        <f t="shared" si="234"/>
        <v>628999.55304036802</v>
      </c>
      <c r="R169" s="129">
        <f t="shared" si="234"/>
        <v>711476.25893227523</v>
      </c>
      <c r="S169" s="129">
        <f t="shared" si="234"/>
        <v>807131.61491796689</v>
      </c>
      <c r="T169" s="419"/>
      <c r="U169" s="128">
        <f t="shared" ref="U169:AF169" si="235">U10</f>
        <v>117721.527</v>
      </c>
      <c r="V169" s="128">
        <f t="shared" si="235"/>
        <v>120313.145</v>
      </c>
      <c r="W169" s="130">
        <f t="shared" si="235"/>
        <v>121442.921</v>
      </c>
      <c r="X169" s="443">
        <f t="shared" si="235"/>
        <v>123742.867</v>
      </c>
      <c r="Y169" s="128">
        <f t="shared" si="235"/>
        <v>218755.20600000001</v>
      </c>
      <c r="Z169" s="128">
        <f t="shared" si="235"/>
        <v>217159.76</v>
      </c>
      <c r="AA169" s="128">
        <f t="shared" si="235"/>
        <v>214497.28400000001</v>
      </c>
      <c r="AB169" s="443">
        <f t="shared" si="235"/>
        <v>225646.16200000001</v>
      </c>
      <c r="AC169" s="128">
        <f t="shared" si="235"/>
        <v>214898.50399999999</v>
      </c>
      <c r="AD169" s="128">
        <f t="shared" si="235"/>
        <v>306510.36200000002</v>
      </c>
      <c r="AE169" s="128">
        <f t="shared" si="235"/>
        <v>362456.49599999998</v>
      </c>
      <c r="AF169" s="531">
        <f t="shared" si="235"/>
        <v>376047.72632235265</v>
      </c>
    </row>
    <row r="170" spans="1:100" x14ac:dyDescent="0.2">
      <c r="W170" s="50"/>
    </row>
    <row r="171" spans="1:100" s="106" customFormat="1" ht="11.1" customHeight="1" x14ac:dyDescent="0.2">
      <c r="B171" s="58" t="s">
        <v>106</v>
      </c>
      <c r="C171" s="4"/>
      <c r="D171" s="352"/>
      <c r="E171" s="353"/>
      <c r="F171" s="353"/>
      <c r="G171" s="353"/>
      <c r="H171" s="353"/>
      <c r="I171" s="353"/>
      <c r="J171" s="353"/>
      <c r="K171" s="353"/>
      <c r="L171" s="353"/>
      <c r="M171" s="434"/>
      <c r="N171" s="213"/>
      <c r="O171" s="213"/>
      <c r="P171" s="213"/>
      <c r="Q171" s="213"/>
      <c r="R171" s="213"/>
      <c r="S171" s="213"/>
      <c r="T171" s="354"/>
      <c r="U171" s="213"/>
      <c r="V171" s="213"/>
      <c r="W171" s="354"/>
      <c r="X171" s="491"/>
      <c r="Y171" s="213"/>
      <c r="Z171" s="213"/>
      <c r="AA171" s="213"/>
      <c r="AB171" s="491"/>
      <c r="AC171" s="213"/>
      <c r="AD171" s="213"/>
      <c r="AE171" s="213"/>
      <c r="AF171" s="527"/>
    </row>
    <row r="172" spans="1:100" s="113" customFormat="1" ht="13.5" customHeight="1" x14ac:dyDescent="0.2">
      <c r="A172" s="107"/>
      <c r="B172" s="2"/>
      <c r="C172" s="2"/>
      <c r="D172" s="60"/>
      <c r="E172" s="1"/>
      <c r="F172" s="1"/>
      <c r="G172" s="1"/>
      <c r="H172" s="1"/>
      <c r="I172" s="1"/>
      <c r="J172" s="1"/>
      <c r="K172" s="1"/>
      <c r="L172" s="1"/>
      <c r="M172" s="423"/>
      <c r="N172" s="2"/>
      <c r="O172" s="2"/>
      <c r="P172" s="2"/>
      <c r="Q172" s="2"/>
      <c r="R172" s="2"/>
      <c r="S172" s="2"/>
      <c r="T172" s="273"/>
      <c r="U172" s="2"/>
      <c r="V172" s="2"/>
      <c r="W172" s="50"/>
      <c r="X172" s="440"/>
      <c r="Y172" s="2"/>
      <c r="Z172" s="2"/>
      <c r="AA172" s="2"/>
      <c r="AB172" s="440"/>
      <c r="AC172" s="2"/>
      <c r="AD172" s="2"/>
      <c r="AE172" s="2"/>
      <c r="AF172" s="511"/>
    </row>
    <row r="173" spans="1:100" s="113" customFormat="1" ht="13.5" customHeight="1" x14ac:dyDescent="0.2">
      <c r="A173" s="107"/>
      <c r="B173" s="186" t="s">
        <v>233</v>
      </c>
      <c r="C173" s="2"/>
      <c r="D173" s="166">
        <v>21162.986000000001</v>
      </c>
      <c r="E173" s="115">
        <v>18911.832999999999</v>
      </c>
      <c r="F173" s="166">
        <v>26680.787999999997</v>
      </c>
      <c r="G173" s="166">
        <v>37238.995999999999</v>
      </c>
      <c r="H173" s="166">
        <v>27550.887000000002</v>
      </c>
      <c r="I173" s="166">
        <v>20636.003000000001</v>
      </c>
      <c r="J173" s="166">
        <v>17593.697</v>
      </c>
      <c r="K173" s="166">
        <v>19752.792000000001</v>
      </c>
      <c r="L173" s="166">
        <v>19973.003000000001</v>
      </c>
      <c r="M173" s="461">
        <v>16541.271000000001</v>
      </c>
      <c r="N173" s="7">
        <f>M173/M$192*N$192</f>
        <v>17677.726677163919</v>
      </c>
      <c r="O173" s="7">
        <f t="shared" ref="O173:S173" si="236">N173/N$192*O$192</f>
        <v>20044.683072138516</v>
      </c>
      <c r="P173" s="7">
        <f t="shared" si="236"/>
        <v>23057.841069553513</v>
      </c>
      <c r="Q173" s="7">
        <f t="shared" si="236"/>
        <v>26465.269474911143</v>
      </c>
      <c r="R173" s="7">
        <f t="shared" si="236"/>
        <v>30534.201563676786</v>
      </c>
      <c r="S173" s="7">
        <f t="shared" si="236"/>
        <v>35332.200465005873</v>
      </c>
      <c r="T173" s="273"/>
      <c r="U173" s="117">
        <v>14781.299000000001</v>
      </c>
      <c r="V173" s="117">
        <v>18881.77</v>
      </c>
      <c r="W173" s="117">
        <v>17846.879000000001</v>
      </c>
      <c r="X173" s="444">
        <v>19973.003000000001</v>
      </c>
      <c r="Y173" s="118">
        <v>17178.812999999998</v>
      </c>
      <c r="Z173" s="118">
        <v>17248.127</v>
      </c>
      <c r="AA173" s="118">
        <v>15082.380999999999</v>
      </c>
      <c r="AB173" s="446">
        <v>16541.271000000001</v>
      </c>
      <c r="AC173" s="117">
        <v>12849.803</v>
      </c>
      <c r="AD173" s="117">
        <v>13447.078</v>
      </c>
      <c r="AE173" s="117">
        <v>11406.253000000001</v>
      </c>
      <c r="AF173" s="529">
        <f>AE173/AE$192*AF$192</f>
        <v>12232.243535822798</v>
      </c>
    </row>
    <row r="174" spans="1:100" s="113" customFormat="1" ht="13.5" customHeight="1" x14ac:dyDescent="0.2">
      <c r="A174" s="107"/>
      <c r="B174" s="186" t="s">
        <v>234</v>
      </c>
      <c r="C174" s="2"/>
      <c r="D174" s="187">
        <v>0</v>
      </c>
      <c r="E174" s="78">
        <v>750</v>
      </c>
      <c r="F174" s="78">
        <v>1314</v>
      </c>
      <c r="G174" s="78">
        <v>10359.474</v>
      </c>
      <c r="H174" s="78">
        <v>28735.478000000003</v>
      </c>
      <c r="I174" s="166">
        <v>48345.235000000001</v>
      </c>
      <c r="J174" s="166">
        <v>78301.803</v>
      </c>
      <c r="K174" s="166">
        <v>145915.53700000001</v>
      </c>
      <c r="L174" s="166">
        <v>158863.25</v>
      </c>
      <c r="M174" s="461">
        <v>154143.83499999999</v>
      </c>
      <c r="N174" s="7">
        <f t="shared" ref="N174:S191" si="237">M174/M$192*N$192</f>
        <v>164734.17212618384</v>
      </c>
      <c r="O174" s="7">
        <f t="shared" si="237"/>
        <v>186791.2278384782</v>
      </c>
      <c r="P174" s="7">
        <f t="shared" si="237"/>
        <v>214870.06949354016</v>
      </c>
      <c r="Q174" s="7">
        <f t="shared" si="237"/>
        <v>246623.01531552442</v>
      </c>
      <c r="R174" s="7">
        <f t="shared" si="237"/>
        <v>284540.34322321042</v>
      </c>
      <c r="S174" s="7">
        <f t="shared" si="237"/>
        <v>329251.65657855367</v>
      </c>
      <c r="T174" s="273"/>
      <c r="U174" s="117">
        <v>142222.171</v>
      </c>
      <c r="V174" s="117">
        <v>117738.826</v>
      </c>
      <c r="W174" s="117">
        <v>140848.89000000001</v>
      </c>
      <c r="X174" s="444">
        <v>158863.25</v>
      </c>
      <c r="Y174" s="118">
        <v>162007.05300000001</v>
      </c>
      <c r="Z174" s="118">
        <v>158808.726</v>
      </c>
      <c r="AA174" s="118">
        <v>154304.57</v>
      </c>
      <c r="AB174" s="446">
        <v>154143.83499999999</v>
      </c>
      <c r="AC174" s="117">
        <v>130368.302</v>
      </c>
      <c r="AD174" s="117">
        <v>121922.106</v>
      </c>
      <c r="AE174" s="117">
        <v>142128.69200000001</v>
      </c>
      <c r="AF174" s="511">
        <f t="shared" ref="AF174:AF191" si="238">AE174/AE$192*AF$192</f>
        <v>152421.02502653142</v>
      </c>
    </row>
    <row r="175" spans="1:100" s="113" customFormat="1" ht="13.5" customHeight="1" x14ac:dyDescent="0.2">
      <c r="A175" s="107"/>
      <c r="B175" s="186" t="s">
        <v>235</v>
      </c>
      <c r="C175" s="2"/>
      <c r="D175" s="187">
        <v>9411.7049999999999</v>
      </c>
      <c r="E175" s="187">
        <v>13996.006000000001</v>
      </c>
      <c r="F175" s="187">
        <v>16558.712</v>
      </c>
      <c r="G175" s="187">
        <v>26544.667999999994</v>
      </c>
      <c r="H175" s="187">
        <v>40817.558999999994</v>
      </c>
      <c r="I175" s="166">
        <v>29006.241999999998</v>
      </c>
      <c r="J175" s="166">
        <v>41362.29</v>
      </c>
      <c r="K175" s="166">
        <v>57069.538999999997</v>
      </c>
      <c r="L175" s="166">
        <v>73454.789999999994</v>
      </c>
      <c r="M175" s="461">
        <v>58370.324999999997</v>
      </c>
      <c r="N175" s="7">
        <f t="shared" si="237"/>
        <v>62380.614609798002</v>
      </c>
      <c r="O175" s="7">
        <f t="shared" si="237"/>
        <v>70733.057057267462</v>
      </c>
      <c r="P175" s="7">
        <f t="shared" si="237"/>
        <v>81365.79571353292</v>
      </c>
      <c r="Q175" s="7">
        <f t="shared" si="237"/>
        <v>93389.823579043165</v>
      </c>
      <c r="R175" s="7">
        <f t="shared" si="237"/>
        <v>107748.14516292747</v>
      </c>
      <c r="S175" s="7">
        <f t="shared" si="237"/>
        <v>124679.17514364792</v>
      </c>
      <c r="T175" s="273"/>
      <c r="U175" s="117">
        <v>53693.474999999999</v>
      </c>
      <c r="V175" s="117">
        <v>37612.493000000002</v>
      </c>
      <c r="W175" s="117">
        <v>53916.616999999998</v>
      </c>
      <c r="X175" s="444">
        <v>73454.789999999994</v>
      </c>
      <c r="Y175" s="118">
        <v>63070.703999999998</v>
      </c>
      <c r="Z175" s="118">
        <v>49313.927000000003</v>
      </c>
      <c r="AA175" s="118">
        <v>47338.213000000003</v>
      </c>
      <c r="AB175" s="446">
        <v>58370.324999999997</v>
      </c>
      <c r="AC175" s="117">
        <v>75356.38</v>
      </c>
      <c r="AD175" s="117">
        <v>74708.596000000005</v>
      </c>
      <c r="AE175" s="117">
        <v>47046.593000000001</v>
      </c>
      <c r="AF175" s="511">
        <f t="shared" si="238"/>
        <v>50453.499769533089</v>
      </c>
    </row>
    <row r="176" spans="1:100" s="113" customFormat="1" ht="13.5" customHeight="1" x14ac:dyDescent="0.2">
      <c r="A176" s="107"/>
      <c r="B176" s="186" t="s">
        <v>236</v>
      </c>
      <c r="C176" s="2"/>
      <c r="D176" s="187">
        <v>1468.7360000000001</v>
      </c>
      <c r="E176" s="78">
        <v>485.97</v>
      </c>
      <c r="F176" s="78">
        <v>4162.241</v>
      </c>
      <c r="G176" s="78">
        <v>2468.3960000000002</v>
      </c>
      <c r="H176" s="78">
        <v>2254.393</v>
      </c>
      <c r="I176" s="166">
        <v>5331.4129999999996</v>
      </c>
      <c r="J176" s="166">
        <v>5991.2460000000001</v>
      </c>
      <c r="K176" s="166">
        <v>8184.3429999999998</v>
      </c>
      <c r="L176" s="166">
        <v>13401.689</v>
      </c>
      <c r="M176" s="461">
        <v>13018.671</v>
      </c>
      <c r="N176" s="7">
        <f t="shared" si="237"/>
        <v>13913.109073536143</v>
      </c>
      <c r="O176" s="7">
        <f t="shared" si="237"/>
        <v>15776.002594688196</v>
      </c>
      <c r="P176" s="7">
        <f t="shared" si="237"/>
        <v>18147.483760758489</v>
      </c>
      <c r="Q176" s="7">
        <f t="shared" si="237"/>
        <v>20829.27220164708</v>
      </c>
      <c r="R176" s="7">
        <f t="shared" si="237"/>
        <v>24031.691664152877</v>
      </c>
      <c r="S176" s="7">
        <f t="shared" si="237"/>
        <v>27807.917152192149</v>
      </c>
      <c r="T176" s="273"/>
      <c r="U176" s="117">
        <v>7765.2259999999997</v>
      </c>
      <c r="V176" s="117">
        <v>9119.8549999999996</v>
      </c>
      <c r="W176" s="117">
        <v>6779.4769999999999</v>
      </c>
      <c r="X176" s="444">
        <v>13401.689</v>
      </c>
      <c r="Y176" s="118">
        <v>17151.713</v>
      </c>
      <c r="Z176" s="118">
        <v>17751.223999999998</v>
      </c>
      <c r="AA176" s="118">
        <v>8858.107</v>
      </c>
      <c r="AB176" s="446">
        <v>13018.671</v>
      </c>
      <c r="AC176" s="117">
        <v>15239.598</v>
      </c>
      <c r="AD176" s="117">
        <v>7786.9229999999998</v>
      </c>
      <c r="AE176" s="117">
        <v>7465.2349999999997</v>
      </c>
      <c r="AF176" s="511">
        <f t="shared" si="238"/>
        <v>8005.8343938318822</v>
      </c>
    </row>
    <row r="177" spans="1:32" s="113" customFormat="1" ht="13.5" customHeight="1" x14ac:dyDescent="0.2">
      <c r="A177" s="107"/>
      <c r="B177" s="186" t="s">
        <v>237</v>
      </c>
      <c r="C177" s="2"/>
      <c r="D177" s="187">
        <v>0</v>
      </c>
      <c r="E177" s="78">
        <v>25.683</v>
      </c>
      <c r="F177" s="78">
        <v>181.298</v>
      </c>
      <c r="G177" s="78">
        <v>1561.896</v>
      </c>
      <c r="H177" s="78">
        <v>2405.915</v>
      </c>
      <c r="I177" s="166">
        <v>12384.875</v>
      </c>
      <c r="J177" s="166">
        <v>15194.414000000001</v>
      </c>
      <c r="K177" s="166">
        <v>19470.741999999998</v>
      </c>
      <c r="L177" s="166">
        <v>39846.444000000003</v>
      </c>
      <c r="M177" s="461">
        <v>27442.393</v>
      </c>
      <c r="N177" s="7">
        <f t="shared" si="237"/>
        <v>29327.802127255902</v>
      </c>
      <c r="O177" s="7">
        <f t="shared" si="237"/>
        <v>33254.643517180295</v>
      </c>
      <c r="P177" s="7">
        <f t="shared" si="237"/>
        <v>38253.549945601386</v>
      </c>
      <c r="Q177" s="7">
        <f t="shared" si="237"/>
        <v>43906.56109687189</v>
      </c>
      <c r="R177" s="7">
        <f t="shared" si="237"/>
        <v>50657.023831580591</v>
      </c>
      <c r="S177" s="7">
        <f t="shared" si="237"/>
        <v>58617.027114510965</v>
      </c>
      <c r="T177" s="273"/>
      <c r="U177" s="117">
        <v>20566.791000000001</v>
      </c>
      <c r="V177" s="117">
        <v>30068.185000000001</v>
      </c>
      <c r="W177" s="117">
        <v>27139.844000000001</v>
      </c>
      <c r="X177" s="444">
        <v>39846.444000000003</v>
      </c>
      <c r="Y177" s="118">
        <v>28165.598000000002</v>
      </c>
      <c r="Z177" s="118">
        <v>29942.11</v>
      </c>
      <c r="AA177" s="118">
        <v>26687.495999999999</v>
      </c>
      <c r="AB177" s="446">
        <v>27442.393</v>
      </c>
      <c r="AC177" s="117">
        <v>20980.469000000001</v>
      </c>
      <c r="AD177" s="117">
        <v>21596.870999999999</v>
      </c>
      <c r="AE177" s="117">
        <v>30097.418000000001</v>
      </c>
      <c r="AF177" s="511">
        <f t="shared" si="238"/>
        <v>32276.940269118764</v>
      </c>
    </row>
    <row r="178" spans="1:32" s="113" customFormat="1" ht="13.5" customHeight="1" x14ac:dyDescent="0.2">
      <c r="A178" s="107"/>
      <c r="B178" s="186" t="s">
        <v>238</v>
      </c>
      <c r="C178" s="2"/>
      <c r="D178" s="187">
        <v>744.18</v>
      </c>
      <c r="E178" s="78">
        <v>744.81899999999996</v>
      </c>
      <c r="F178" s="78">
        <v>864.58699999999999</v>
      </c>
      <c r="G178" s="142">
        <v>0</v>
      </c>
      <c r="H178" s="78">
        <v>10402.326999999999</v>
      </c>
      <c r="I178" s="166">
        <v>5000</v>
      </c>
      <c r="J178" s="166">
        <v>2000</v>
      </c>
      <c r="K178" s="166">
        <v>4137.4530000000004</v>
      </c>
      <c r="L178" s="166">
        <v>9530.4670000000006</v>
      </c>
      <c r="M178" s="461">
        <v>10468.566999999999</v>
      </c>
      <c r="N178" s="7">
        <f t="shared" si="237"/>
        <v>11187.802081688755</v>
      </c>
      <c r="O178" s="7">
        <f t="shared" si="237"/>
        <v>12685.791057679175</v>
      </c>
      <c r="P178" s="7">
        <f t="shared" si="237"/>
        <v>14592.745268001026</v>
      </c>
      <c r="Q178" s="7">
        <f t="shared" si="237"/>
        <v>16749.223603867085</v>
      </c>
      <c r="R178" s="7">
        <f t="shared" si="237"/>
        <v>19324.351487914995</v>
      </c>
      <c r="S178" s="7">
        <f t="shared" si="237"/>
        <v>22360.887976827482</v>
      </c>
      <c r="T178" s="273"/>
      <c r="U178" s="117">
        <v>3180.181</v>
      </c>
      <c r="V178" s="117">
        <v>6353.2460000000001</v>
      </c>
      <c r="W178" s="117">
        <v>5284.4629999999997</v>
      </c>
      <c r="X178" s="444">
        <v>9530.4670000000006</v>
      </c>
      <c r="Y178" s="118">
        <v>7841.5619999999999</v>
      </c>
      <c r="Z178" s="118">
        <v>8951.9449999999997</v>
      </c>
      <c r="AA178" s="118">
        <v>10373.228999999999</v>
      </c>
      <c r="AB178" s="446">
        <v>10468.566999999999</v>
      </c>
      <c r="AC178" s="117">
        <v>6163.076</v>
      </c>
      <c r="AD178" s="117">
        <v>6048.8530000000001</v>
      </c>
      <c r="AE178" s="117">
        <v>6287.1139999999996</v>
      </c>
      <c r="AF178" s="511">
        <f t="shared" si="238"/>
        <v>6742.3990670276207</v>
      </c>
    </row>
    <row r="179" spans="1:32" s="113" customFormat="1" ht="13.5" customHeight="1" x14ac:dyDescent="0.2">
      <c r="A179" s="107"/>
      <c r="B179" s="186" t="s">
        <v>239</v>
      </c>
      <c r="C179" s="2"/>
      <c r="D179" s="187">
        <v>100.717</v>
      </c>
      <c r="E179" s="78">
        <v>54.18</v>
      </c>
      <c r="F179" s="78">
        <v>2555.6659999999997</v>
      </c>
      <c r="G179" s="78">
        <v>5088.4440000000004</v>
      </c>
      <c r="H179" s="78">
        <v>6656.6469999999999</v>
      </c>
      <c r="I179" s="166">
        <v>7343.9</v>
      </c>
      <c r="J179" s="166">
        <v>13185.556</v>
      </c>
      <c r="K179" s="166">
        <v>11836.664000000001</v>
      </c>
      <c r="L179" s="166">
        <v>5726.8379999999997</v>
      </c>
      <c r="M179" s="461">
        <v>7463.4049999999997</v>
      </c>
      <c r="N179" s="7">
        <f t="shared" si="237"/>
        <v>7976.1726696200403</v>
      </c>
      <c r="O179" s="7">
        <f t="shared" si="237"/>
        <v>9044.1410375305459</v>
      </c>
      <c r="P179" s="7">
        <f t="shared" si="237"/>
        <v>10403.674924841691</v>
      </c>
      <c r="Q179" s="7">
        <f t="shared" si="237"/>
        <v>11941.103227520982</v>
      </c>
      <c r="R179" s="7">
        <f t="shared" si="237"/>
        <v>13777.001333292535</v>
      </c>
      <c r="S179" s="7">
        <f t="shared" si="237"/>
        <v>15941.853658738024</v>
      </c>
      <c r="T179" s="273"/>
      <c r="U179" s="117">
        <v>7394.92</v>
      </c>
      <c r="V179" s="117">
        <v>5431.7280000000001</v>
      </c>
      <c r="W179" s="117">
        <v>4710.8119999999999</v>
      </c>
      <c r="X179" s="444">
        <v>5726.8379999999997</v>
      </c>
      <c r="Y179" s="118">
        <v>5319.7539999999999</v>
      </c>
      <c r="Z179" s="118">
        <v>5736.5910000000003</v>
      </c>
      <c r="AA179" s="118">
        <v>6096.4989999999998</v>
      </c>
      <c r="AB179" s="446">
        <v>7463.4049999999997</v>
      </c>
      <c r="AC179" s="117">
        <v>6004.3389999999999</v>
      </c>
      <c r="AD179" s="117">
        <v>1869.24</v>
      </c>
      <c r="AE179" s="117">
        <v>2477.3270000000002</v>
      </c>
      <c r="AF179" s="511">
        <f t="shared" si="238"/>
        <v>2656.7240952720654</v>
      </c>
    </row>
    <row r="180" spans="1:32" s="113" customFormat="1" ht="13.5" customHeight="1" x14ac:dyDescent="0.2">
      <c r="A180" s="107"/>
      <c r="B180" s="186" t="s">
        <v>240</v>
      </c>
      <c r="C180" s="2"/>
      <c r="D180" s="187">
        <v>0</v>
      </c>
      <c r="E180" s="78">
        <v>999.30600000000004</v>
      </c>
      <c r="F180" s="78">
        <v>200.25800000000001</v>
      </c>
      <c r="G180" s="142">
        <v>0</v>
      </c>
      <c r="H180" s="78">
        <v>376.596</v>
      </c>
      <c r="I180" s="166">
        <v>863.63099999999997</v>
      </c>
      <c r="J180" s="166">
        <v>101.496</v>
      </c>
      <c r="K180" s="166">
        <v>605.70299999999997</v>
      </c>
      <c r="L180" s="166">
        <v>569.63199999999995</v>
      </c>
      <c r="M180" s="461">
        <v>1474.998</v>
      </c>
      <c r="N180" s="7">
        <f t="shared" si="237"/>
        <v>1576.3366366081195</v>
      </c>
      <c r="O180" s="7">
        <f t="shared" si="237"/>
        <v>1787.399979242113</v>
      </c>
      <c r="P180" s="7">
        <f t="shared" si="237"/>
        <v>2056.0856213473135</v>
      </c>
      <c r="Q180" s="7">
        <f t="shared" si="237"/>
        <v>2359.9286623715307</v>
      </c>
      <c r="R180" s="7">
        <f t="shared" si="237"/>
        <v>2722.7585013279895</v>
      </c>
      <c r="S180" s="7">
        <f t="shared" si="237"/>
        <v>3150.5997949905263</v>
      </c>
      <c r="T180" s="273"/>
      <c r="U180" s="117">
        <v>681.84500000000003</v>
      </c>
      <c r="V180" s="117">
        <v>570.10400000000004</v>
      </c>
      <c r="W180" s="111">
        <v>569.63199999999995</v>
      </c>
      <c r="X180" s="444">
        <v>569.63199999999995</v>
      </c>
      <c r="Y180" s="118">
        <v>569.63199999999995</v>
      </c>
      <c r="Z180" s="118">
        <v>569.63199999999995</v>
      </c>
      <c r="AA180" s="118">
        <v>1474.998</v>
      </c>
      <c r="AB180" s="446">
        <v>1474.998</v>
      </c>
      <c r="AC180" s="117">
        <v>1474.998</v>
      </c>
      <c r="AD180" s="117">
        <v>22011.370999999999</v>
      </c>
      <c r="AE180" s="117">
        <v>21759.238000000001</v>
      </c>
      <c r="AF180" s="511">
        <f t="shared" si="238"/>
        <v>23334.946048446389</v>
      </c>
    </row>
    <row r="181" spans="1:32" s="113" customFormat="1" ht="13.5" customHeight="1" x14ac:dyDescent="0.2">
      <c r="A181" s="107"/>
      <c r="B181" s="186" t="s">
        <v>241</v>
      </c>
      <c r="C181" s="2"/>
      <c r="D181" s="78">
        <v>7660.3619999999992</v>
      </c>
      <c r="E181" s="187">
        <v>7089.4880000000003</v>
      </c>
      <c r="F181" s="187">
        <v>7700.43</v>
      </c>
      <c r="G181" s="187">
        <v>9188.9169999999995</v>
      </c>
      <c r="H181" s="187">
        <v>11523.365000000002</v>
      </c>
      <c r="I181" s="166">
        <v>16392.061000000002</v>
      </c>
      <c r="J181" s="166">
        <v>24726.558000000001</v>
      </c>
      <c r="K181" s="166">
        <v>36532.652000000002</v>
      </c>
      <c r="L181" s="166">
        <v>53205.553999999996</v>
      </c>
      <c r="M181" s="461">
        <v>52511.749000000003</v>
      </c>
      <c r="N181" s="7">
        <f t="shared" si="237"/>
        <v>56119.529518731404</v>
      </c>
      <c r="O181" s="7">
        <f t="shared" si="237"/>
        <v>63633.644976174241</v>
      </c>
      <c r="P181" s="7">
        <f t="shared" si="237"/>
        <v>73199.185402759293</v>
      </c>
      <c r="Q181" s="7">
        <f t="shared" si="237"/>
        <v>84016.372616342225</v>
      </c>
      <c r="R181" s="7">
        <f t="shared" si="237"/>
        <v>96933.562628119878</v>
      </c>
      <c r="S181" s="7">
        <f t="shared" si="237"/>
        <v>112165.24065388156</v>
      </c>
      <c r="T181" s="273"/>
      <c r="U181" s="117">
        <v>34903.58</v>
      </c>
      <c r="V181" s="117">
        <v>39087.336000000003</v>
      </c>
      <c r="W181" s="117">
        <v>42207.915000000001</v>
      </c>
      <c r="X181" s="444">
        <v>53205.553999999996</v>
      </c>
      <c r="Y181" s="118">
        <v>53775.819000000003</v>
      </c>
      <c r="Z181" s="118">
        <v>54358.017999999996</v>
      </c>
      <c r="AA181" s="118">
        <v>53663.953999999998</v>
      </c>
      <c r="AB181" s="446">
        <v>52511.749000000003</v>
      </c>
      <c r="AC181" s="117">
        <v>51866.591999999997</v>
      </c>
      <c r="AD181" s="117">
        <v>46988.987000000001</v>
      </c>
      <c r="AE181" s="117">
        <v>47918.576000000001</v>
      </c>
      <c r="AF181" s="511">
        <f t="shared" si="238"/>
        <v>51388.627932576404</v>
      </c>
    </row>
    <row r="182" spans="1:32" s="113" customFormat="1" ht="13.5" customHeight="1" x14ac:dyDescent="0.2">
      <c r="A182" s="107"/>
      <c r="B182" s="186" t="s">
        <v>242</v>
      </c>
      <c r="C182" s="2"/>
      <c r="D182" s="78">
        <v>15777.424999999999</v>
      </c>
      <c r="E182" s="78">
        <v>19684.330999999998</v>
      </c>
      <c r="F182" s="78">
        <v>31166.949000000001</v>
      </c>
      <c r="G182" s="78">
        <v>38166.211000000003</v>
      </c>
      <c r="H182" s="78">
        <v>45761.833999999995</v>
      </c>
      <c r="I182" s="166">
        <v>65089.472999999998</v>
      </c>
      <c r="J182" s="166">
        <v>101825.43700000001</v>
      </c>
      <c r="K182" s="166">
        <v>84555.834000000003</v>
      </c>
      <c r="L182" s="166">
        <v>97933.267000000007</v>
      </c>
      <c r="M182" s="461">
        <v>114378.076</v>
      </c>
      <c r="N182" s="7">
        <f t="shared" si="237"/>
        <v>122236.3363364207</v>
      </c>
      <c r="O182" s="7">
        <f t="shared" si="237"/>
        <v>138603.15110132543</v>
      </c>
      <c r="P182" s="7">
        <f t="shared" si="237"/>
        <v>159438.26192372479</v>
      </c>
      <c r="Q182" s="7">
        <f t="shared" si="237"/>
        <v>182999.63789734576</v>
      </c>
      <c r="R182" s="7">
        <f t="shared" si="237"/>
        <v>211135.11936595087</v>
      </c>
      <c r="S182" s="7">
        <f t="shared" si="237"/>
        <v>244311.88570900486</v>
      </c>
      <c r="T182" s="273"/>
      <c r="U182" s="153">
        <v>88784.027000000002</v>
      </c>
      <c r="V182" s="117">
        <v>90426.024000000005</v>
      </c>
      <c r="W182" s="153">
        <v>92492.504000000001</v>
      </c>
      <c r="X182" s="444">
        <v>97933.267000000007</v>
      </c>
      <c r="Y182" s="118">
        <v>98666.444000000003</v>
      </c>
      <c r="Z182" s="118">
        <v>102120.519</v>
      </c>
      <c r="AA182" s="118">
        <v>108597.47199999999</v>
      </c>
      <c r="AB182" s="446">
        <v>114378.076</v>
      </c>
      <c r="AC182" s="117">
        <v>115396.762</v>
      </c>
      <c r="AD182" s="117">
        <v>123740.2</v>
      </c>
      <c r="AE182" s="117">
        <v>135079.70000000001</v>
      </c>
      <c r="AF182" s="511">
        <f t="shared" si="238"/>
        <v>144861.57611495053</v>
      </c>
    </row>
    <row r="183" spans="1:32" s="113" customFormat="1" ht="13.5" customHeight="1" x14ac:dyDescent="0.2">
      <c r="A183" s="107"/>
      <c r="B183" s="186" t="s">
        <v>243</v>
      </c>
      <c r="C183" s="2"/>
      <c r="D183" s="187">
        <v>70.531000000000006</v>
      </c>
      <c r="E183" s="187">
        <v>70.531000000000006</v>
      </c>
      <c r="F183" s="187">
        <v>70.531000000000006</v>
      </c>
      <c r="G183" s="187">
        <v>200</v>
      </c>
      <c r="H183" s="187">
        <v>0</v>
      </c>
      <c r="I183" s="166">
        <v>0</v>
      </c>
      <c r="J183" s="166">
        <v>746.64</v>
      </c>
      <c r="K183" s="166">
        <v>580.72</v>
      </c>
      <c r="L183" s="166">
        <v>414.8</v>
      </c>
      <c r="M183" s="461">
        <v>248.88</v>
      </c>
      <c r="N183" s="7">
        <f t="shared" si="237"/>
        <v>265.97911462864948</v>
      </c>
      <c r="O183" s="7">
        <f t="shared" si="237"/>
        <v>301.59234577523296</v>
      </c>
      <c r="P183" s="7">
        <f t="shared" si="237"/>
        <v>346.92832765937266</v>
      </c>
      <c r="Q183" s="7">
        <f t="shared" si="237"/>
        <v>398.1965029722254</v>
      </c>
      <c r="R183" s="7">
        <f t="shared" si="237"/>
        <v>459.41766416667008</v>
      </c>
      <c r="S183" s="7">
        <f t="shared" si="237"/>
        <v>531.60836623320313</v>
      </c>
      <c r="T183" s="273"/>
      <c r="U183" s="153">
        <v>580.72</v>
      </c>
      <c r="V183" s="117">
        <v>497.76</v>
      </c>
      <c r="W183" s="153">
        <v>497.76</v>
      </c>
      <c r="X183" s="444">
        <v>414.8</v>
      </c>
      <c r="Y183" s="118">
        <v>414.8</v>
      </c>
      <c r="Z183" s="118">
        <v>331.84</v>
      </c>
      <c r="AA183" s="118">
        <v>331.84</v>
      </c>
      <c r="AB183" s="446">
        <v>248.88</v>
      </c>
      <c r="AC183" s="117">
        <v>248.88</v>
      </c>
      <c r="AD183" s="117">
        <v>165.92</v>
      </c>
      <c r="AE183" s="117">
        <v>165.92</v>
      </c>
      <c r="AF183" s="511">
        <f t="shared" si="238"/>
        <v>177.935194622083</v>
      </c>
    </row>
    <row r="184" spans="1:32" s="113" customFormat="1" ht="13.5" customHeight="1" x14ac:dyDescent="0.2">
      <c r="A184" s="107"/>
      <c r="B184" s="186" t="s">
        <v>244</v>
      </c>
      <c r="C184" s="2"/>
      <c r="D184" s="187">
        <v>0</v>
      </c>
      <c r="E184" s="187">
        <v>0</v>
      </c>
      <c r="F184" s="187">
        <v>0</v>
      </c>
      <c r="G184" s="187">
        <v>0</v>
      </c>
      <c r="H184" s="187">
        <v>0</v>
      </c>
      <c r="I184" s="166">
        <v>0</v>
      </c>
      <c r="J184" s="166">
        <v>0</v>
      </c>
      <c r="K184" s="166">
        <v>0</v>
      </c>
      <c r="L184" s="166">
        <v>0</v>
      </c>
      <c r="M184" s="461">
        <v>40825.199999999997</v>
      </c>
      <c r="N184" s="7">
        <f t="shared" si="237"/>
        <v>43630.064892870221</v>
      </c>
      <c r="O184" s="7">
        <f t="shared" si="237"/>
        <v>49471.905475502404</v>
      </c>
      <c r="P184" s="7">
        <f t="shared" si="237"/>
        <v>56908.624085339994</v>
      </c>
      <c r="Q184" s="7">
        <f t="shared" si="237"/>
        <v>65318.434077232778</v>
      </c>
      <c r="R184" s="7">
        <f t="shared" si="237"/>
        <v>75360.888874707234</v>
      </c>
      <c r="S184" s="7">
        <f t="shared" si="237"/>
        <v>87202.739766729996</v>
      </c>
      <c r="T184" s="273"/>
      <c r="U184" s="188">
        <v>3000</v>
      </c>
      <c r="V184" s="117">
        <v>2500</v>
      </c>
      <c r="W184" s="153">
        <v>2500</v>
      </c>
      <c r="X184" s="496">
        <v>0</v>
      </c>
      <c r="Y184" s="118">
        <v>12750</v>
      </c>
      <c r="Z184" s="118">
        <v>12750</v>
      </c>
      <c r="AA184" s="118">
        <v>0</v>
      </c>
      <c r="AB184" s="446">
        <v>40825.199999999997</v>
      </c>
      <c r="AC184" s="117">
        <v>12750</v>
      </c>
      <c r="AD184" s="117">
        <v>18500</v>
      </c>
      <c r="AE184" s="117">
        <v>12750</v>
      </c>
      <c r="AF184" s="511">
        <f t="shared" si="238"/>
        <v>13673.298767065808</v>
      </c>
    </row>
    <row r="185" spans="1:32" s="113" customFormat="1" ht="13.5" customHeight="1" x14ac:dyDescent="0.2">
      <c r="A185" s="107"/>
      <c r="B185" s="186" t="s">
        <v>245</v>
      </c>
      <c r="C185" s="2"/>
      <c r="D185" s="187">
        <v>0</v>
      </c>
      <c r="E185" s="187">
        <v>0</v>
      </c>
      <c r="F185" s="187">
        <v>0</v>
      </c>
      <c r="G185" s="187">
        <v>0</v>
      </c>
      <c r="H185" s="187">
        <v>0</v>
      </c>
      <c r="I185" s="166">
        <v>0</v>
      </c>
      <c r="J185" s="166">
        <v>12750</v>
      </c>
      <c r="K185" s="166">
        <v>31250</v>
      </c>
      <c r="L185" s="166">
        <v>40825.199999999997</v>
      </c>
      <c r="M185" s="461">
        <v>0</v>
      </c>
      <c r="N185" s="7">
        <f t="shared" si="237"/>
        <v>0</v>
      </c>
      <c r="O185" s="7">
        <f t="shared" si="237"/>
        <v>0</v>
      </c>
      <c r="P185" s="7">
        <f t="shared" si="237"/>
        <v>0</v>
      </c>
      <c r="Q185" s="7">
        <f t="shared" si="237"/>
        <v>0</v>
      </c>
      <c r="R185" s="7">
        <f t="shared" si="237"/>
        <v>0</v>
      </c>
      <c r="S185" s="7">
        <f t="shared" si="237"/>
        <v>0</v>
      </c>
      <c r="T185" s="273"/>
      <c r="U185" s="153">
        <v>31250</v>
      </c>
      <c r="V185" s="117">
        <v>40825.199999999997</v>
      </c>
      <c r="W185" s="153">
        <v>40825.199999999997</v>
      </c>
      <c r="X185" s="444">
        <v>40825.199999999997</v>
      </c>
      <c r="Y185" s="118">
        <v>28075.200000000001</v>
      </c>
      <c r="Z185" s="118">
        <v>28075.200000000001</v>
      </c>
      <c r="AA185" s="118">
        <v>40825.199999999997</v>
      </c>
      <c r="AB185" s="446">
        <v>0</v>
      </c>
      <c r="AC185" s="117">
        <v>28075.200000000001</v>
      </c>
      <c r="AD185" s="117">
        <v>22325.200000000001</v>
      </c>
      <c r="AE185" s="117">
        <v>28075.200000000001</v>
      </c>
      <c r="AF185" s="511">
        <f t="shared" si="238"/>
        <v>30108.282160402036</v>
      </c>
    </row>
    <row r="186" spans="1:32" s="113" customFormat="1" ht="13.5" customHeight="1" x14ac:dyDescent="0.2">
      <c r="A186" s="107"/>
      <c r="B186" s="186" t="s">
        <v>246</v>
      </c>
      <c r="C186" s="2"/>
      <c r="D186" s="187">
        <v>0</v>
      </c>
      <c r="E186" s="187">
        <v>0</v>
      </c>
      <c r="F186" s="187">
        <v>0</v>
      </c>
      <c r="G186" s="187">
        <v>0</v>
      </c>
      <c r="H186" s="187">
        <v>0</v>
      </c>
      <c r="I186" s="166">
        <v>0</v>
      </c>
      <c r="J186" s="166">
        <v>0</v>
      </c>
      <c r="K186" s="166">
        <v>0</v>
      </c>
      <c r="L186" s="166">
        <v>475</v>
      </c>
      <c r="M186" s="461">
        <v>250</v>
      </c>
      <c r="N186" s="7">
        <f t="shared" si="237"/>
        <v>267.17606339264853</v>
      </c>
      <c r="O186" s="7">
        <f t="shared" si="237"/>
        <v>302.94955980315103</v>
      </c>
      <c r="P186" s="7">
        <f t="shared" si="237"/>
        <v>348.48956089216955</v>
      </c>
      <c r="Q186" s="7">
        <f t="shared" si="237"/>
        <v>399.98845123375258</v>
      </c>
      <c r="R186" s="7">
        <f t="shared" si="237"/>
        <v>461.48511749303884</v>
      </c>
      <c r="S186" s="7">
        <f t="shared" si="237"/>
        <v>534.00068932136276</v>
      </c>
      <c r="T186" s="273"/>
      <c r="U186" s="153">
        <v>400</v>
      </c>
      <c r="V186" s="117">
        <v>625</v>
      </c>
      <c r="W186" s="153">
        <v>550</v>
      </c>
      <c r="X186" s="444">
        <v>475</v>
      </c>
      <c r="Y186" s="118">
        <v>425</v>
      </c>
      <c r="Z186" s="118">
        <v>400</v>
      </c>
      <c r="AA186" s="118">
        <v>325</v>
      </c>
      <c r="AB186" s="446">
        <v>250</v>
      </c>
      <c r="AC186" s="117">
        <v>175</v>
      </c>
      <c r="AD186" s="117">
        <v>100</v>
      </c>
      <c r="AE186" s="117">
        <v>75</v>
      </c>
      <c r="AF186" s="511">
        <f t="shared" si="238"/>
        <v>80.431169218034157</v>
      </c>
    </row>
    <row r="187" spans="1:32" s="113" customFormat="1" ht="13.5" customHeight="1" x14ac:dyDescent="0.2">
      <c r="A187" s="107"/>
      <c r="B187" s="186" t="s">
        <v>247</v>
      </c>
      <c r="C187" s="2"/>
      <c r="D187" s="187">
        <v>0</v>
      </c>
      <c r="E187" s="187">
        <v>0</v>
      </c>
      <c r="F187" s="187">
        <v>1202.5150000000001</v>
      </c>
      <c r="G187" s="187">
        <v>566.32399999999996</v>
      </c>
      <c r="H187" s="187">
        <v>1103.412</v>
      </c>
      <c r="I187" s="166">
        <v>0</v>
      </c>
      <c r="J187" s="166">
        <v>718.75</v>
      </c>
      <c r="K187" s="166">
        <v>3000</v>
      </c>
      <c r="L187" s="166">
        <v>2000</v>
      </c>
      <c r="M187" s="461">
        <v>2765.0259999999998</v>
      </c>
      <c r="N187" s="7">
        <f t="shared" si="237"/>
        <v>2954.9950474332859</v>
      </c>
      <c r="O187" s="7">
        <f t="shared" si="237"/>
        <v>3350.6536381770702</v>
      </c>
      <c r="P187" s="7">
        <f t="shared" si="237"/>
        <v>3854.3307863817281</v>
      </c>
      <c r="Q187" s="7">
        <f t="shared" si="237"/>
        <v>4423.9138694442318</v>
      </c>
      <c r="R187" s="7">
        <f t="shared" si="237"/>
        <v>5104.0733939252295</v>
      </c>
      <c r="S187" s="7">
        <f t="shared" si="237"/>
        <v>5906.1031599659627</v>
      </c>
      <c r="T187" s="273"/>
      <c r="U187" s="153">
        <v>7017.6750000000002</v>
      </c>
      <c r="V187" s="117">
        <v>8750.8369999999995</v>
      </c>
      <c r="W187" s="153">
        <v>7705.4459999999999</v>
      </c>
      <c r="X187" s="444">
        <v>2000</v>
      </c>
      <c r="Y187" s="118">
        <v>2000</v>
      </c>
      <c r="Z187" s="118">
        <v>1500</v>
      </c>
      <c r="AA187" s="118">
        <v>3265.0259999999998</v>
      </c>
      <c r="AB187" s="446">
        <v>2765.0259999999998</v>
      </c>
      <c r="AC187" s="117">
        <v>2765.0259999999998</v>
      </c>
      <c r="AD187" s="117">
        <v>4758.1030000000001</v>
      </c>
      <c r="AE187" s="117">
        <v>4758.1030000000001</v>
      </c>
      <c r="AF187" s="511">
        <f t="shared" si="238"/>
        <v>5102.6638339978135</v>
      </c>
    </row>
    <row r="188" spans="1:32" s="113" customFormat="1" ht="13.5" customHeight="1" x14ac:dyDescent="0.2">
      <c r="A188" s="107"/>
      <c r="B188" s="186" t="s">
        <v>248</v>
      </c>
      <c r="C188" s="2"/>
      <c r="D188" s="115">
        <v>4.5469999999999997</v>
      </c>
      <c r="E188" s="187">
        <v>7.5449999999999999</v>
      </c>
      <c r="F188" s="187">
        <v>5.8940000000000001</v>
      </c>
      <c r="G188" s="187">
        <v>2.8610000000000002</v>
      </c>
      <c r="H188" s="187">
        <v>7.7960000000000003</v>
      </c>
      <c r="I188" s="166">
        <v>4.7249999999999996</v>
      </c>
      <c r="J188" s="166">
        <v>5.8710000000000004</v>
      </c>
      <c r="K188" s="166">
        <v>3.3820000000000001</v>
      </c>
      <c r="L188" s="166">
        <v>5.1529999999999996</v>
      </c>
      <c r="M188" s="461">
        <v>4.6719999999999997</v>
      </c>
      <c r="N188" s="7">
        <f t="shared" si="237"/>
        <v>4.9929862726818168</v>
      </c>
      <c r="O188" s="7">
        <f t="shared" si="237"/>
        <v>5.6615213736012873</v>
      </c>
      <c r="P188" s="7">
        <f t="shared" si="237"/>
        <v>6.512572913952865</v>
      </c>
      <c r="Q188" s="7">
        <f t="shared" si="237"/>
        <v>7.4749841766563687</v>
      </c>
      <c r="R188" s="7">
        <f t="shared" si="237"/>
        <v>8.6242338757099102</v>
      </c>
      <c r="S188" s="7">
        <f t="shared" si="237"/>
        <v>9.9794048820376293</v>
      </c>
      <c r="T188" s="273"/>
      <c r="U188" s="153">
        <v>4.5419999999999998</v>
      </c>
      <c r="V188" s="117">
        <v>4.66</v>
      </c>
      <c r="W188" s="153">
        <v>6.4429999999999996</v>
      </c>
      <c r="X188" s="444">
        <v>5.1529999999999996</v>
      </c>
      <c r="Y188" s="118">
        <v>3.4740000000000002</v>
      </c>
      <c r="Z188" s="118">
        <v>4.59</v>
      </c>
      <c r="AA188" s="118">
        <v>3.081</v>
      </c>
      <c r="AB188" s="446">
        <v>4.6719999999999997</v>
      </c>
      <c r="AC188" s="117">
        <v>5.3760000000000003</v>
      </c>
      <c r="AD188" s="117">
        <v>3.5339999999999998</v>
      </c>
      <c r="AE188" s="117">
        <v>2.0339999999999998</v>
      </c>
      <c r="AF188" s="511">
        <f t="shared" si="238"/>
        <v>2.1812933091930859</v>
      </c>
    </row>
    <row r="189" spans="1:32" s="113" customFormat="1" ht="13.5" customHeight="1" x14ac:dyDescent="0.2">
      <c r="A189" s="107"/>
      <c r="B189" s="170" t="s">
        <v>264</v>
      </c>
      <c r="C189" s="2"/>
      <c r="D189" s="115"/>
      <c r="E189" s="187"/>
      <c r="F189" s="187"/>
      <c r="G189" s="187"/>
      <c r="H189" s="187"/>
      <c r="I189" s="166"/>
      <c r="J189" s="166"/>
      <c r="K189" s="166"/>
      <c r="L189" s="166"/>
      <c r="M189" s="461"/>
      <c r="N189" s="7">
        <f t="shared" si="237"/>
        <v>0</v>
      </c>
      <c r="O189" s="7">
        <f t="shared" si="237"/>
        <v>0</v>
      </c>
      <c r="P189" s="7">
        <f t="shared" si="237"/>
        <v>0</v>
      </c>
      <c r="Q189" s="7">
        <f t="shared" si="237"/>
        <v>0</v>
      </c>
      <c r="R189" s="7">
        <f t="shared" si="237"/>
        <v>0</v>
      </c>
      <c r="S189" s="7">
        <f t="shared" si="237"/>
        <v>0</v>
      </c>
      <c r="T189" s="273"/>
      <c r="U189" s="189">
        <v>0</v>
      </c>
      <c r="V189" s="189">
        <v>0</v>
      </c>
      <c r="W189" s="189">
        <v>0</v>
      </c>
      <c r="X189" s="446">
        <v>0</v>
      </c>
      <c r="Y189" s="118">
        <v>0</v>
      </c>
      <c r="Z189" s="118">
        <v>0</v>
      </c>
      <c r="AA189" s="118">
        <v>0</v>
      </c>
      <c r="AB189" s="446">
        <v>0</v>
      </c>
      <c r="AC189" s="117">
        <v>0</v>
      </c>
      <c r="AD189" s="117">
        <v>239.405</v>
      </c>
      <c r="AE189" s="117">
        <v>339.45600000000002</v>
      </c>
      <c r="AF189" s="511">
        <f t="shared" si="238"/>
        <v>364.03790637436003</v>
      </c>
    </row>
    <row r="190" spans="1:32" s="113" customFormat="1" ht="13.5" customHeight="1" x14ac:dyDescent="0.2">
      <c r="A190" s="107"/>
      <c r="B190" s="186" t="s">
        <v>249</v>
      </c>
      <c r="C190" s="2"/>
      <c r="D190" s="115">
        <v>580.10500000000002</v>
      </c>
      <c r="E190" s="187">
        <v>710.11099999999999</v>
      </c>
      <c r="F190" s="187">
        <v>880.57899999999995</v>
      </c>
      <c r="G190" s="187">
        <v>1226.212</v>
      </c>
      <c r="H190" s="187">
        <v>1550.8620000000001</v>
      </c>
      <c r="I190" s="166">
        <v>2183.2440000000001</v>
      </c>
      <c r="J190" s="166">
        <v>2739.1039999999998</v>
      </c>
      <c r="K190" s="166">
        <v>3226.0259999999998</v>
      </c>
      <c r="L190" s="166">
        <v>3712.54</v>
      </c>
      <c r="M190" s="461">
        <v>4228.8689999999997</v>
      </c>
      <c r="N190" s="7">
        <f t="shared" si="237"/>
        <v>4519.4102880928258</v>
      </c>
      <c r="O190" s="7">
        <f t="shared" si="237"/>
        <v>5124.536008060767</v>
      </c>
      <c r="P190" s="7">
        <f t="shared" si="237"/>
        <v>5894.8668035220326</v>
      </c>
      <c r="Q190" s="7">
        <f t="shared" si="237"/>
        <v>6765.9950471217126</v>
      </c>
      <c r="R190" s="7">
        <f t="shared" si="237"/>
        <v>7806.2404293106792</v>
      </c>
      <c r="S190" s="7">
        <f t="shared" si="237"/>
        <v>9032.8758441989703</v>
      </c>
      <c r="T190" s="273"/>
      <c r="U190" s="153">
        <v>3361.51</v>
      </c>
      <c r="V190" s="117">
        <v>3418.39</v>
      </c>
      <c r="W190" s="153">
        <v>3500.4830000000002</v>
      </c>
      <c r="X190" s="444">
        <v>3712.54</v>
      </c>
      <c r="Y190" s="118">
        <v>3828.68</v>
      </c>
      <c r="Z190" s="118">
        <v>3960.1990000000001</v>
      </c>
      <c r="AA190" s="118">
        <v>4120.9049999999997</v>
      </c>
      <c r="AB190" s="446">
        <v>4228.8689999999997</v>
      </c>
      <c r="AC190" s="117">
        <v>4316.4139999999998</v>
      </c>
      <c r="AD190" s="117">
        <v>4325.3130000000001</v>
      </c>
      <c r="AE190" s="117">
        <v>4626.3940000000002</v>
      </c>
      <c r="AF190" s="511">
        <f t="shared" si="238"/>
        <v>4961.4170491106388</v>
      </c>
    </row>
    <row r="191" spans="1:32" s="113" customFormat="1" ht="13.5" customHeight="1" x14ac:dyDescent="0.2">
      <c r="A191" s="107"/>
      <c r="B191" s="186" t="s">
        <v>250</v>
      </c>
      <c r="C191" s="2"/>
      <c r="D191" s="115">
        <v>865.01499999999999</v>
      </c>
      <c r="E191" s="187">
        <v>746.91700000000003</v>
      </c>
      <c r="F191" s="187">
        <v>857.81899999999996</v>
      </c>
      <c r="G191" s="187">
        <v>862.31</v>
      </c>
      <c r="H191" s="187">
        <v>4139.4769999999999</v>
      </c>
      <c r="I191" s="166">
        <v>3194.123</v>
      </c>
      <c r="J191" s="166">
        <v>2374.002</v>
      </c>
      <c r="K191" s="166">
        <v>2612.2040000000002</v>
      </c>
      <c r="L191" s="166">
        <v>2326.136</v>
      </c>
      <c r="M191" s="461">
        <v>2376.6390000000001</v>
      </c>
      <c r="N191" s="7">
        <f t="shared" si="237"/>
        <v>2539.9242085017636</v>
      </c>
      <c r="O191" s="7">
        <f t="shared" si="237"/>
        <v>2880.0069554440047</v>
      </c>
      <c r="P191" s="7">
        <f t="shared" si="237"/>
        <v>3312.9355260368202</v>
      </c>
      <c r="Q191" s="7">
        <f t="shared" si="237"/>
        <v>3802.5126110069382</v>
      </c>
      <c r="R191" s="7">
        <f t="shared" si="237"/>
        <v>4387.1341126141542</v>
      </c>
      <c r="S191" s="7">
        <f t="shared" si="237"/>
        <v>5076.5074570721381</v>
      </c>
      <c r="T191" s="273"/>
      <c r="U191" s="153">
        <v>2480.6979999999999</v>
      </c>
      <c r="V191" s="117">
        <v>2493.3110000000001</v>
      </c>
      <c r="W191" s="153">
        <v>2543.056</v>
      </c>
      <c r="X191" s="444">
        <v>2326.136</v>
      </c>
      <c r="Y191" s="118">
        <v>2364.0909999999999</v>
      </c>
      <c r="Z191" s="118">
        <v>2318.942</v>
      </c>
      <c r="AA191" s="118">
        <v>2311.3470000000002</v>
      </c>
      <c r="AB191" s="446">
        <v>2376.6390000000001</v>
      </c>
      <c r="AC191" s="117">
        <v>2700.1309999999999</v>
      </c>
      <c r="AD191" s="117">
        <v>2853.9490000000001</v>
      </c>
      <c r="AE191" s="117">
        <v>2301.422</v>
      </c>
      <c r="AF191" s="511">
        <f t="shared" si="238"/>
        <v>2468.0808309880881</v>
      </c>
    </row>
    <row r="192" spans="1:32" s="113" customFormat="1" ht="13.5" customHeight="1" x14ac:dyDescent="0.2">
      <c r="A192" s="107"/>
      <c r="B192" s="146" t="s">
        <v>251</v>
      </c>
      <c r="C192" s="2"/>
      <c r="D192" s="180">
        <f t="shared" ref="D192:M192" si="239">SUM(D173:D191)</f>
        <v>57846.308999999994</v>
      </c>
      <c r="E192" s="190">
        <f t="shared" si="239"/>
        <v>64276.719999999994</v>
      </c>
      <c r="F192" s="190">
        <f t="shared" si="239"/>
        <v>94402.267000000007</v>
      </c>
      <c r="G192" s="190">
        <f t="shared" si="239"/>
        <v>133474.70899999997</v>
      </c>
      <c r="H192" s="190">
        <f t="shared" si="239"/>
        <v>183286.54800000001</v>
      </c>
      <c r="I192" s="191">
        <f t="shared" si="239"/>
        <v>215774.92499999999</v>
      </c>
      <c r="J192" s="191">
        <f t="shared" si="239"/>
        <v>319616.864</v>
      </c>
      <c r="K192" s="191">
        <f t="shared" si="239"/>
        <v>428733.59099999996</v>
      </c>
      <c r="L192" s="191">
        <f t="shared" si="239"/>
        <v>522263.76299999998</v>
      </c>
      <c r="M192" s="462">
        <f t="shared" si="239"/>
        <v>506512.57600000012</v>
      </c>
      <c r="N192" s="159">
        <f>AF192</f>
        <v>541312.14445819904</v>
      </c>
      <c r="O192" s="159">
        <f>O267*Assumptions!P43</f>
        <v>613791.04773584055</v>
      </c>
      <c r="P192" s="159">
        <f>P267*Assumptions!Q43</f>
        <v>706057.38078640681</v>
      </c>
      <c r="Q192" s="159">
        <f>Q267*Assumptions!R43</f>
        <v>810396.72321863379</v>
      </c>
      <c r="R192" s="159">
        <f>R267*Assumptions!S43</f>
        <v>934992.06258824735</v>
      </c>
      <c r="S192" s="159">
        <f>S267*Assumptions!T43</f>
        <v>1081912.258935757</v>
      </c>
      <c r="T192" s="273"/>
      <c r="U192" s="119">
        <f>SUM(U173:U191)</f>
        <v>422068.66</v>
      </c>
      <c r="V192" s="119">
        <f>SUM(V173:V191)</f>
        <v>414404.72500000003</v>
      </c>
      <c r="W192" s="119">
        <f>SUM(W173:W191)</f>
        <v>449925.42100000009</v>
      </c>
      <c r="X192" s="447">
        <f>SUM(X173:X191)</f>
        <v>522263.76299999998</v>
      </c>
      <c r="Y192" s="112">
        <f t="shared" ref="Y192:AE192" si="240">SUM(Y173:Y191)</f>
        <v>503608.337</v>
      </c>
      <c r="Z192" s="112">
        <f t="shared" si="240"/>
        <v>494141.59000000008</v>
      </c>
      <c r="AA192" s="112">
        <f t="shared" si="240"/>
        <v>483659.31800000014</v>
      </c>
      <c r="AB192" s="445">
        <f t="shared" si="240"/>
        <v>506512.57600000012</v>
      </c>
      <c r="AC192" s="111">
        <f t="shared" si="240"/>
        <v>486736.34600000002</v>
      </c>
      <c r="AD192" s="111">
        <f t="shared" si="240"/>
        <v>493391.64900000009</v>
      </c>
      <c r="AE192" s="111">
        <f t="shared" si="240"/>
        <v>504759.67500000005</v>
      </c>
      <c r="AF192" s="523">
        <f>MEBL!AF267*Assumptions!AG43</f>
        <v>541312.14445819904</v>
      </c>
    </row>
    <row r="193" spans="1:32" s="113" customFormat="1" ht="13.5" customHeight="1" x14ac:dyDescent="0.2">
      <c r="A193" s="107"/>
      <c r="B193" s="146"/>
      <c r="C193" s="2"/>
      <c r="D193" s="2"/>
      <c r="E193" s="2"/>
      <c r="F193" s="2"/>
      <c r="G193" s="2"/>
      <c r="H193" s="2"/>
      <c r="I193" s="166"/>
      <c r="J193" s="166"/>
      <c r="K193" s="166"/>
      <c r="L193" s="166"/>
      <c r="M193" s="461"/>
      <c r="N193" s="2"/>
      <c r="O193" s="2"/>
      <c r="P193" s="2"/>
      <c r="Q193" s="2"/>
      <c r="R193" s="2"/>
      <c r="S193" s="2"/>
      <c r="T193" s="273"/>
      <c r="U193" s="2"/>
      <c r="V193" s="2"/>
      <c r="W193" s="50"/>
      <c r="X193" s="440"/>
      <c r="Y193" s="2"/>
      <c r="Z193" s="2"/>
      <c r="AA193" s="2"/>
      <c r="AB193" s="440"/>
      <c r="AC193" s="2"/>
      <c r="AD193" s="2"/>
      <c r="AE193" s="2"/>
      <c r="AF193" s="511"/>
    </row>
    <row r="194" spans="1:32" s="113" customFormat="1" ht="13.5" customHeight="1" x14ac:dyDescent="0.2">
      <c r="A194" s="107"/>
      <c r="B194" s="192" t="s">
        <v>252</v>
      </c>
      <c r="C194" s="2"/>
      <c r="D194" s="2"/>
      <c r="E194" s="2"/>
      <c r="F194" s="2"/>
      <c r="G194" s="2"/>
      <c r="H194" s="2"/>
      <c r="I194" s="166"/>
      <c r="J194" s="166"/>
      <c r="K194" s="166"/>
      <c r="L194" s="166"/>
      <c r="M194" s="461"/>
      <c r="N194" s="2"/>
      <c r="O194" s="2"/>
      <c r="P194" s="2"/>
      <c r="Q194" s="2"/>
      <c r="R194" s="2"/>
      <c r="S194" s="2"/>
      <c r="T194" s="273"/>
      <c r="U194" s="134"/>
      <c r="V194" s="134"/>
      <c r="W194" s="134"/>
      <c r="X194" s="447"/>
      <c r="Y194" s="112"/>
      <c r="Z194" s="112"/>
      <c r="AA194" s="112"/>
      <c r="AB194" s="445"/>
      <c r="AC194" s="111"/>
      <c r="AD194" s="111"/>
      <c r="AE194" s="111"/>
      <c r="AF194" s="511"/>
    </row>
    <row r="195" spans="1:32" s="113" customFormat="1" ht="13.5" customHeight="1" x14ac:dyDescent="0.2">
      <c r="A195" s="107"/>
      <c r="B195" s="361" t="s">
        <v>253</v>
      </c>
      <c r="C195" s="2"/>
      <c r="D195" s="2"/>
      <c r="E195" s="2"/>
      <c r="F195" s="2"/>
      <c r="G195" s="2"/>
      <c r="H195" s="2"/>
      <c r="I195" s="166"/>
      <c r="J195" s="166"/>
      <c r="K195" s="166"/>
      <c r="L195" s="166"/>
      <c r="M195" s="461"/>
      <c r="N195" s="2"/>
      <c r="O195" s="2"/>
      <c r="P195" s="2"/>
      <c r="Q195" s="2"/>
      <c r="R195" s="2"/>
      <c r="S195" s="2"/>
      <c r="T195" s="273"/>
      <c r="U195" s="134"/>
      <c r="V195" s="134"/>
      <c r="W195" s="134"/>
      <c r="X195" s="447"/>
      <c r="Y195" s="112"/>
      <c r="Z195" s="112"/>
      <c r="AA195" s="112"/>
      <c r="AB195" s="445"/>
      <c r="AC195" s="111"/>
      <c r="AD195" s="111"/>
      <c r="AE195" s="111"/>
      <c r="AF195" s="511"/>
    </row>
    <row r="196" spans="1:32" s="113" customFormat="1" ht="13.5" customHeight="1" x14ac:dyDescent="0.2">
      <c r="A196" s="107"/>
      <c r="B196" s="193" t="s">
        <v>254</v>
      </c>
      <c r="C196" s="2"/>
      <c r="D196" s="131">
        <f>SUM(D197:D200)</f>
        <v>4318.3230000000003</v>
      </c>
      <c r="E196" s="131">
        <f t="shared" ref="E196:M196" si="241">SUM(E197:E200)</f>
        <v>4647.7920000000004</v>
      </c>
      <c r="F196" s="194">
        <f t="shared" si="241"/>
        <v>5000.0280000000002</v>
      </c>
      <c r="G196" s="109">
        <f t="shared" si="241"/>
        <v>4840.7560000000003</v>
      </c>
      <c r="H196" s="109">
        <f t="shared" si="241"/>
        <v>6912.3779999999997</v>
      </c>
      <c r="I196" s="150">
        <f t="shared" si="241"/>
        <v>7064.3819999999996</v>
      </c>
      <c r="J196" s="150">
        <f t="shared" si="241"/>
        <v>6847.2920000000004</v>
      </c>
      <c r="K196" s="150">
        <f t="shared" si="241"/>
        <v>6606.1289999999999</v>
      </c>
      <c r="L196" s="150">
        <f t="shared" si="241"/>
        <v>6985.2420000000002</v>
      </c>
      <c r="M196" s="463">
        <f t="shared" si="241"/>
        <v>8995.719000000001</v>
      </c>
      <c r="N196" s="65">
        <f>AF196</f>
        <v>10627.763241419703</v>
      </c>
      <c r="O196" s="65">
        <f>MEBL!O192*Assumptions!P97</f>
        <v>12889.612002452652</v>
      </c>
      <c r="P196" s="65">
        <f>MEBL!P192*Assumptions!Q97</f>
        <v>12370.165677630406</v>
      </c>
      <c r="Q196" s="65">
        <f>MEBL!Q192*Assumptions!R97</f>
        <v>14129.566404050827</v>
      </c>
      <c r="R196" s="65">
        <f>MEBL!R192*Assumptions!S97</f>
        <v>16696.795505403137</v>
      </c>
      <c r="S196" s="65">
        <f>MEBL!S192*Assumptions!T97</f>
        <v>20199.057948155973</v>
      </c>
      <c r="T196" s="273"/>
      <c r="U196" s="195">
        <f t="shared" ref="U196:AE196" si="242">SUM(U197:U200)</f>
        <v>6794.3239999999996</v>
      </c>
      <c r="V196" s="195">
        <f t="shared" si="242"/>
        <v>6721.35</v>
      </c>
      <c r="W196" s="195">
        <f t="shared" si="242"/>
        <v>6745.8429999999998</v>
      </c>
      <c r="X196" s="447">
        <f t="shared" si="242"/>
        <v>6985.2420000000002</v>
      </c>
      <c r="Y196" s="155">
        <f t="shared" si="242"/>
        <v>7082.6509999999998</v>
      </c>
      <c r="Z196" s="155">
        <f t="shared" si="242"/>
        <v>7887.9639999999999</v>
      </c>
      <c r="AA196" s="155">
        <f t="shared" si="242"/>
        <v>7989.5170000000007</v>
      </c>
      <c r="AB196" s="445">
        <f t="shared" si="242"/>
        <v>8995.719000000001</v>
      </c>
      <c r="AC196" s="112">
        <f t="shared" si="242"/>
        <v>9411.3240000000005</v>
      </c>
      <c r="AD196" s="112">
        <f t="shared" si="242"/>
        <v>11594.536</v>
      </c>
      <c r="AE196" s="112">
        <f t="shared" si="242"/>
        <v>10414.876</v>
      </c>
      <c r="AF196" s="523">
        <f>Assumptions!AG97*MEBL!AF192</f>
        <v>10627.763241419703</v>
      </c>
    </row>
    <row r="197" spans="1:32" s="113" customFormat="1" ht="13.5" customHeight="1" x14ac:dyDescent="0.2">
      <c r="A197" s="107"/>
      <c r="B197" s="196" t="s">
        <v>255</v>
      </c>
      <c r="C197" s="2"/>
      <c r="D197" s="197">
        <v>0</v>
      </c>
      <c r="E197" s="197">
        <v>0</v>
      </c>
      <c r="F197" s="197">
        <v>0</v>
      </c>
      <c r="G197" s="115">
        <v>5.6769999999999996</v>
      </c>
      <c r="H197" s="115">
        <v>9.86</v>
      </c>
      <c r="I197" s="115">
        <v>1.544</v>
      </c>
      <c r="J197" s="115">
        <v>16.018000000000001</v>
      </c>
      <c r="K197" s="115">
        <v>10.845000000000001</v>
      </c>
      <c r="L197" s="115">
        <v>28.157</v>
      </c>
      <c r="M197" s="452">
        <v>22.533999999999999</v>
      </c>
      <c r="N197" s="7">
        <f>M197/M$196*N$196</f>
        <v>26.622220734346143</v>
      </c>
      <c r="O197" s="7">
        <f t="shared" ref="O197:S197" si="243">N197/N$196*O$196</f>
        <v>32.2880824604757</v>
      </c>
      <c r="P197" s="7">
        <f t="shared" si="243"/>
        <v>30.986885359549749</v>
      </c>
      <c r="Q197" s="7">
        <f t="shared" si="243"/>
        <v>35.39413018002022</v>
      </c>
      <c r="R197" s="7">
        <f t="shared" si="243"/>
        <v>41.824960285970938</v>
      </c>
      <c r="S197" s="7">
        <f t="shared" si="243"/>
        <v>50.598020214253758</v>
      </c>
      <c r="T197" s="273"/>
      <c r="U197" s="198">
        <v>24.654</v>
      </c>
      <c r="V197" s="198">
        <v>24.559000000000001</v>
      </c>
      <c r="W197" s="153">
        <v>44.576999999999998</v>
      </c>
      <c r="X197" s="444">
        <v>28.157</v>
      </c>
      <c r="Y197" s="118">
        <v>31.588000000000001</v>
      </c>
      <c r="Z197" s="118">
        <v>23.57</v>
      </c>
      <c r="AA197" s="118">
        <v>18.568999999999999</v>
      </c>
      <c r="AB197" s="444">
        <v>22.533999999999999</v>
      </c>
      <c r="AC197" s="117">
        <v>263.80700000000002</v>
      </c>
      <c r="AD197" s="117">
        <v>484.14299999999997</v>
      </c>
      <c r="AE197" s="117">
        <v>91.584000000000003</v>
      </c>
      <c r="AF197" s="529">
        <f>AE197/AE$196*AF$196</f>
        <v>93.456040062520401</v>
      </c>
    </row>
    <row r="198" spans="1:32" s="113" customFormat="1" ht="13.5" customHeight="1" x14ac:dyDescent="0.2">
      <c r="A198" s="107"/>
      <c r="B198" s="196" t="s">
        <v>256</v>
      </c>
      <c r="C198" s="2"/>
      <c r="D198" s="115">
        <v>282.83100000000002</v>
      </c>
      <c r="E198" s="115">
        <v>112.976</v>
      </c>
      <c r="F198" s="115">
        <v>246.66200000000001</v>
      </c>
      <c r="G198" s="115">
        <v>24.163</v>
      </c>
      <c r="H198" s="115">
        <v>221.54300000000001</v>
      </c>
      <c r="I198" s="115">
        <v>227.92699999999999</v>
      </c>
      <c r="J198" s="115">
        <v>221.68799999999999</v>
      </c>
      <c r="K198" s="115">
        <v>176.553</v>
      </c>
      <c r="L198" s="115">
        <v>137.429</v>
      </c>
      <c r="M198" s="452">
        <v>557.67899999999997</v>
      </c>
      <c r="N198" s="7">
        <f t="shared" ref="N198:S200" si="244">M198/M$196*N$196</f>
        <v>658.85565975456745</v>
      </c>
      <c r="O198" s="7">
        <f t="shared" si="244"/>
        <v>799.07630862144447</v>
      </c>
      <c r="P198" s="7">
        <f t="shared" si="244"/>
        <v>766.87384576321767</v>
      </c>
      <c r="Q198" s="7">
        <f t="shared" si="244"/>
        <v>875.94582074480763</v>
      </c>
      <c r="R198" s="7">
        <f t="shared" si="244"/>
        <v>1035.0981639886388</v>
      </c>
      <c r="S198" s="7">
        <f t="shared" si="244"/>
        <v>1252.2167975088676</v>
      </c>
      <c r="T198" s="273"/>
      <c r="U198" s="153">
        <v>202.57900000000001</v>
      </c>
      <c r="V198" s="153">
        <v>97.762</v>
      </c>
      <c r="W198" s="153">
        <v>121.86</v>
      </c>
      <c r="X198" s="444">
        <v>137.429</v>
      </c>
      <c r="Y198" s="118">
        <v>296.17200000000003</v>
      </c>
      <c r="Z198" s="118">
        <v>456.09199999999998</v>
      </c>
      <c r="AA198" s="118">
        <v>450.88799999999998</v>
      </c>
      <c r="AB198" s="444">
        <v>557.67899999999997</v>
      </c>
      <c r="AC198" s="117">
        <v>761.62099999999998</v>
      </c>
      <c r="AD198" s="117">
        <v>710.75199999999995</v>
      </c>
      <c r="AE198" s="117">
        <v>580.17999999999995</v>
      </c>
      <c r="AF198" s="511">
        <f t="shared" ref="AF198:AF200" si="245">AE198/AE$196*AF$196</f>
        <v>592.03927895126958</v>
      </c>
    </row>
    <row r="199" spans="1:32" s="113" customFormat="1" ht="13.5" customHeight="1" x14ac:dyDescent="0.2">
      <c r="A199" s="107"/>
      <c r="B199" s="196" t="s">
        <v>257</v>
      </c>
      <c r="C199" s="2"/>
      <c r="D199" s="115">
        <v>755.17700000000002</v>
      </c>
      <c r="E199" s="115">
        <v>464.072</v>
      </c>
      <c r="F199" s="115">
        <v>401.09199999999998</v>
      </c>
      <c r="G199" s="115">
        <v>207.93799999999999</v>
      </c>
      <c r="H199" s="115">
        <v>753.05100000000004</v>
      </c>
      <c r="I199" s="115">
        <v>62.832000000000001</v>
      </c>
      <c r="J199" s="115">
        <v>48.472999999999999</v>
      </c>
      <c r="K199" s="115">
        <v>16.588000000000001</v>
      </c>
      <c r="L199" s="115">
        <v>49.514000000000003</v>
      </c>
      <c r="M199" s="452">
        <v>446.86599999999999</v>
      </c>
      <c r="N199" s="7">
        <f t="shared" si="244"/>
        <v>527.93846146597684</v>
      </c>
      <c r="O199" s="7">
        <f t="shared" si="244"/>
        <v>640.29671859336702</v>
      </c>
      <c r="P199" s="7">
        <f t="shared" si="244"/>
        <v>614.49301114229866</v>
      </c>
      <c r="Q199" s="7">
        <f t="shared" si="244"/>
        <v>701.89195779821216</v>
      </c>
      <c r="R199" s="7">
        <f t="shared" si="244"/>
        <v>829.42010753309171</v>
      </c>
      <c r="S199" s="7">
        <f t="shared" si="244"/>
        <v>1003.3964187921681</v>
      </c>
      <c r="T199" s="273"/>
      <c r="U199" s="153">
        <v>22.02</v>
      </c>
      <c r="V199" s="153">
        <v>62.447000000000003</v>
      </c>
      <c r="W199" s="153">
        <v>65.444999999999993</v>
      </c>
      <c r="X199" s="444">
        <v>49.514000000000003</v>
      </c>
      <c r="Y199" s="118">
        <v>52.682000000000002</v>
      </c>
      <c r="Z199" s="118">
        <v>108.449</v>
      </c>
      <c r="AA199" s="118">
        <v>369.17399999999998</v>
      </c>
      <c r="AB199" s="444">
        <v>446.86599999999999</v>
      </c>
      <c r="AC199" s="117">
        <v>457.697</v>
      </c>
      <c r="AD199" s="117">
        <v>2005.625</v>
      </c>
      <c r="AE199" s="117">
        <v>1139.7090000000001</v>
      </c>
      <c r="AF199" s="511">
        <f t="shared" si="245"/>
        <v>1163.0054372337422</v>
      </c>
    </row>
    <row r="200" spans="1:32" s="113" customFormat="1" ht="13.5" customHeight="1" x14ac:dyDescent="0.2">
      <c r="A200" s="107"/>
      <c r="B200" s="196" t="s">
        <v>258</v>
      </c>
      <c r="C200" s="2"/>
      <c r="D200" s="115">
        <v>3280.3150000000001</v>
      </c>
      <c r="E200" s="115">
        <v>4070.7440000000001</v>
      </c>
      <c r="F200" s="115">
        <v>4352.2740000000003</v>
      </c>
      <c r="G200" s="115">
        <v>4602.9780000000001</v>
      </c>
      <c r="H200" s="115">
        <v>5927.924</v>
      </c>
      <c r="I200" s="115">
        <v>6772.0789999999997</v>
      </c>
      <c r="J200" s="115">
        <v>6561.1130000000003</v>
      </c>
      <c r="K200" s="115">
        <v>6402.143</v>
      </c>
      <c r="L200" s="115">
        <v>6770.1419999999998</v>
      </c>
      <c r="M200" s="452">
        <v>7968.64</v>
      </c>
      <c r="N200" s="7">
        <f t="shared" si="244"/>
        <v>9414.3468994648119</v>
      </c>
      <c r="O200" s="7">
        <f t="shared" si="244"/>
        <v>11417.950892777364</v>
      </c>
      <c r="P200" s="7">
        <f t="shared" si="244"/>
        <v>10957.811935365338</v>
      </c>
      <c r="Q200" s="7">
        <f t="shared" si="244"/>
        <v>12516.334495327785</v>
      </c>
      <c r="R200" s="7">
        <f t="shared" si="244"/>
        <v>14790.452273595432</v>
      </c>
      <c r="S200" s="7">
        <f t="shared" si="244"/>
        <v>17892.846711640679</v>
      </c>
      <c r="T200" s="273"/>
      <c r="U200" s="153">
        <v>6545.0709999999999</v>
      </c>
      <c r="V200" s="153">
        <v>6536.5820000000003</v>
      </c>
      <c r="W200" s="153">
        <v>6513.9610000000002</v>
      </c>
      <c r="X200" s="444">
        <v>6770.1419999999998</v>
      </c>
      <c r="Y200" s="118">
        <v>6702.2089999999998</v>
      </c>
      <c r="Z200" s="118">
        <v>7299.8530000000001</v>
      </c>
      <c r="AA200" s="118">
        <v>7150.8860000000004</v>
      </c>
      <c r="AB200" s="444">
        <v>7968.64</v>
      </c>
      <c r="AC200" s="117">
        <v>7928.1989999999996</v>
      </c>
      <c r="AD200" s="117">
        <v>8394.0159999999996</v>
      </c>
      <c r="AE200" s="117">
        <v>8603.4030000000002</v>
      </c>
      <c r="AF200" s="511">
        <f t="shared" si="245"/>
        <v>8779.2624851721703</v>
      </c>
    </row>
    <row r="201" spans="1:32" s="113" customFormat="1" ht="13.5" customHeight="1" x14ac:dyDescent="0.2">
      <c r="A201" s="107"/>
      <c r="B201" s="196"/>
      <c r="C201" s="2"/>
      <c r="D201" s="2"/>
      <c r="E201" s="2"/>
      <c r="F201" s="2"/>
      <c r="G201" s="2"/>
      <c r="H201" s="2"/>
      <c r="I201" s="166"/>
      <c r="J201" s="166"/>
      <c r="K201" s="166"/>
      <c r="L201" s="166"/>
      <c r="M201" s="461"/>
      <c r="N201" s="2"/>
      <c r="O201" s="2"/>
      <c r="P201" s="2"/>
      <c r="Q201" s="2"/>
      <c r="R201" s="2"/>
      <c r="S201" s="2"/>
      <c r="T201" s="273"/>
      <c r="U201" s="134"/>
      <c r="V201" s="134"/>
      <c r="W201" s="134"/>
      <c r="X201" s="500"/>
      <c r="Y201" s="112"/>
      <c r="Z201" s="112"/>
      <c r="AA201" s="112"/>
      <c r="AB201" s="445"/>
      <c r="AC201" s="111"/>
      <c r="AD201" s="111"/>
      <c r="AE201" s="111"/>
      <c r="AF201" s="511"/>
    </row>
    <row r="202" spans="1:32" s="368" customFormat="1" ht="13.5" customHeight="1" x14ac:dyDescent="0.2">
      <c r="A202" s="360"/>
      <c r="B202" s="361" t="s">
        <v>399</v>
      </c>
      <c r="C202" s="216"/>
      <c r="D202" s="125">
        <f t="shared" ref="D202:M202" si="246">SUM(D203:D206)</f>
        <v>3112.8969999999999</v>
      </c>
      <c r="E202" s="125">
        <f t="shared" si="246"/>
        <v>4059.8199999999997</v>
      </c>
      <c r="F202" s="125">
        <f t="shared" si="246"/>
        <v>4505.5719999999992</v>
      </c>
      <c r="G202" s="362">
        <f t="shared" si="246"/>
        <v>4608.9179999999997</v>
      </c>
      <c r="H202" s="363">
        <f t="shared" si="246"/>
        <v>6285.7020000000002</v>
      </c>
      <c r="I202" s="364">
        <f t="shared" si="246"/>
        <v>6840.0680000000002</v>
      </c>
      <c r="J202" s="364">
        <f t="shared" si="246"/>
        <v>6592.3109999999997</v>
      </c>
      <c r="K202" s="364">
        <f t="shared" si="246"/>
        <v>6426.7309999999998</v>
      </c>
      <c r="L202" s="364">
        <f t="shared" si="246"/>
        <v>6771.53</v>
      </c>
      <c r="M202" s="464">
        <f t="shared" si="246"/>
        <v>8284.5190000000002</v>
      </c>
      <c r="N202" s="126">
        <f>AF202</f>
        <v>9570.3743925762064</v>
      </c>
      <c r="O202" s="126">
        <f>O196*Assumptions!P98</f>
        <v>12178.589490038321</v>
      </c>
      <c r="P202" s="126">
        <f>P196*Assumptions!Q98</f>
        <v>11643.949817668301</v>
      </c>
      <c r="Q202" s="126">
        <f>Q196*Assumptions!R98</f>
        <v>13212.651827962865</v>
      </c>
      <c r="R202" s="126">
        <f>R196*Assumptions!S98</f>
        <v>15501.204487535302</v>
      </c>
      <c r="S202" s="126">
        <f>S196*Assumptions!T98</f>
        <v>18782.941777939024</v>
      </c>
      <c r="T202" s="422"/>
      <c r="U202" s="365">
        <f t="shared" ref="U202:AE202" si="247">SUM(U203:U206)</f>
        <v>6578.4040000000005</v>
      </c>
      <c r="V202" s="365">
        <f t="shared" si="247"/>
        <v>6539.2950000000001</v>
      </c>
      <c r="W202" s="365">
        <f t="shared" si="247"/>
        <v>6529.5750000000007</v>
      </c>
      <c r="X202" s="501">
        <f t="shared" si="247"/>
        <v>6771.53</v>
      </c>
      <c r="Y202" s="366">
        <f t="shared" si="247"/>
        <v>6744.6200000000008</v>
      </c>
      <c r="Z202" s="366">
        <f t="shared" si="247"/>
        <v>7319.7020000000002</v>
      </c>
      <c r="AA202" s="366">
        <f t="shared" si="247"/>
        <v>7392.8169999999991</v>
      </c>
      <c r="AB202" s="518">
        <f t="shared" si="247"/>
        <v>8284.5190000000002</v>
      </c>
      <c r="AC202" s="367">
        <f t="shared" si="247"/>
        <v>8343.8250000000007</v>
      </c>
      <c r="AD202" s="367">
        <f t="shared" si="247"/>
        <v>9497.3140000000003</v>
      </c>
      <c r="AE202" s="367">
        <f t="shared" si="247"/>
        <v>9145.1460000000006</v>
      </c>
      <c r="AF202" s="530">
        <f>Assumptions!AG98*MEBL!AF196</f>
        <v>9570.3743925762064</v>
      </c>
    </row>
    <row r="203" spans="1:32" s="113" customFormat="1" ht="13.5" customHeight="1" x14ac:dyDescent="0.2">
      <c r="A203" s="107"/>
      <c r="B203" s="196" t="s">
        <v>255</v>
      </c>
      <c r="C203" s="2"/>
      <c r="D203" s="136">
        <v>0</v>
      </c>
      <c r="E203" s="136">
        <v>0</v>
      </c>
      <c r="F203" s="136">
        <v>0</v>
      </c>
      <c r="G203" s="2">
        <v>0.48</v>
      </c>
      <c r="H203" s="2">
        <v>0.68</v>
      </c>
      <c r="I203" s="166">
        <v>0</v>
      </c>
      <c r="J203" s="199">
        <v>0.12</v>
      </c>
      <c r="K203" s="166">
        <v>0</v>
      </c>
      <c r="L203" s="166">
        <v>0</v>
      </c>
      <c r="M203" s="461">
        <v>0</v>
      </c>
      <c r="N203" s="7">
        <f>M203/M$202*N$202</f>
        <v>0</v>
      </c>
      <c r="O203" s="7">
        <f t="shared" ref="O203:S203" si="248">N203/N$202*O$202</f>
        <v>0</v>
      </c>
      <c r="P203" s="7">
        <f t="shared" si="248"/>
        <v>0</v>
      </c>
      <c r="Q203" s="7">
        <f t="shared" si="248"/>
        <v>0</v>
      </c>
      <c r="R203" s="7">
        <f t="shared" si="248"/>
        <v>0</v>
      </c>
      <c r="S203" s="7">
        <f t="shared" si="248"/>
        <v>0</v>
      </c>
      <c r="T203" s="273"/>
      <c r="U203" s="200" t="s">
        <v>148</v>
      </c>
      <c r="V203" s="201" t="s">
        <v>148</v>
      </c>
      <c r="W203" s="153">
        <v>1.0349999999999999</v>
      </c>
      <c r="X203" s="496">
        <v>0</v>
      </c>
      <c r="Y203" s="189">
        <v>0</v>
      </c>
      <c r="Z203" s="189">
        <v>0</v>
      </c>
      <c r="AA203" s="118">
        <v>1.0269999999999999</v>
      </c>
      <c r="AB203" s="445">
        <v>0</v>
      </c>
      <c r="AC203" s="112">
        <v>0</v>
      </c>
      <c r="AD203" s="112">
        <v>0</v>
      </c>
      <c r="AE203" s="117">
        <v>1.6739999999999999</v>
      </c>
      <c r="AF203" s="529">
        <f>AE203/AE$202*AF$202</f>
        <v>1.7518371749529826</v>
      </c>
    </row>
    <row r="204" spans="1:32" s="113" customFormat="1" ht="13.5" customHeight="1" x14ac:dyDescent="0.2">
      <c r="A204" s="107"/>
      <c r="B204" s="196" t="s">
        <v>256</v>
      </c>
      <c r="C204" s="2"/>
      <c r="D204" s="115">
        <v>50.731000000000002</v>
      </c>
      <c r="E204" s="115">
        <v>21.646000000000001</v>
      </c>
      <c r="F204" s="115">
        <v>56.79</v>
      </c>
      <c r="G204" s="115">
        <v>2.0619999999999998</v>
      </c>
      <c r="H204" s="115">
        <v>45.468000000000004</v>
      </c>
      <c r="I204" s="115">
        <v>54.401000000000003</v>
      </c>
      <c r="J204" s="115">
        <v>52.569000000000003</v>
      </c>
      <c r="K204" s="115">
        <v>40.636000000000003</v>
      </c>
      <c r="L204" s="115">
        <v>30.927</v>
      </c>
      <c r="M204" s="452">
        <v>132.042</v>
      </c>
      <c r="N204" s="7">
        <f t="shared" ref="N204:S206" si="249">M204/M$202*N$202</f>
        <v>152.53648106118743</v>
      </c>
      <c r="O204" s="7">
        <f t="shared" si="249"/>
        <v>194.10726361345058</v>
      </c>
      <c r="P204" s="7">
        <f t="shared" si="249"/>
        <v>185.58596121567925</v>
      </c>
      <c r="Q204" s="7">
        <f t="shared" si="249"/>
        <v>210.58856557246989</v>
      </c>
      <c r="R204" s="7">
        <f t="shared" si="249"/>
        <v>247.06443946149878</v>
      </c>
      <c r="S204" s="7">
        <f t="shared" si="249"/>
        <v>299.3700899524311</v>
      </c>
      <c r="T204" s="273"/>
      <c r="U204" s="153">
        <v>49.186</v>
      </c>
      <c r="V204" s="153">
        <v>22.879000000000001</v>
      </c>
      <c r="W204" s="153">
        <v>22.53</v>
      </c>
      <c r="X204" s="444">
        <v>30.927</v>
      </c>
      <c r="Y204" s="118">
        <v>69.912000000000006</v>
      </c>
      <c r="Z204" s="118">
        <v>112.242</v>
      </c>
      <c r="AA204" s="118">
        <v>105.09699999999999</v>
      </c>
      <c r="AB204" s="444">
        <v>132.042</v>
      </c>
      <c r="AC204" s="117">
        <v>176.11799999999999</v>
      </c>
      <c r="AD204" s="117">
        <v>126.991</v>
      </c>
      <c r="AE204" s="117">
        <v>92.518000000000001</v>
      </c>
      <c r="AF204" s="511">
        <f t="shared" ref="AF204:AF206" si="250">AE204/AE$202*AF$202</f>
        <v>96.81987559874554</v>
      </c>
    </row>
    <row r="205" spans="1:32" s="113" customFormat="1" ht="13.5" customHeight="1" x14ac:dyDescent="0.2">
      <c r="A205" s="107"/>
      <c r="B205" s="196" t="s">
        <v>257</v>
      </c>
      <c r="C205" s="2"/>
      <c r="D205" s="115">
        <v>287.47800000000001</v>
      </c>
      <c r="E205" s="115">
        <v>222.78399999999999</v>
      </c>
      <c r="F205" s="115">
        <v>194.94900000000001</v>
      </c>
      <c r="G205" s="115">
        <v>101.127</v>
      </c>
      <c r="H205" s="115">
        <v>371.66500000000002</v>
      </c>
      <c r="I205" s="115">
        <v>25.754999999999999</v>
      </c>
      <c r="J205" s="115">
        <v>21.036999999999999</v>
      </c>
      <c r="K205" s="115">
        <v>6.0679999999999996</v>
      </c>
      <c r="L205" s="115">
        <v>8.5229999999999997</v>
      </c>
      <c r="M205" s="452">
        <v>212.83699999999999</v>
      </c>
      <c r="N205" s="7">
        <f t="shared" si="249"/>
        <v>245.87182123581852</v>
      </c>
      <c r="O205" s="7">
        <f t="shared" si="249"/>
        <v>312.87929344978096</v>
      </c>
      <c r="P205" s="7">
        <f t="shared" si="249"/>
        <v>299.1439029040875</v>
      </c>
      <c r="Q205" s="7">
        <f t="shared" si="249"/>
        <v>339.44531687453815</v>
      </c>
      <c r="R205" s="7">
        <f t="shared" si="249"/>
        <v>398.24036368478971</v>
      </c>
      <c r="S205" s="7">
        <f t="shared" si="249"/>
        <v>482.55124759701886</v>
      </c>
      <c r="T205" s="273"/>
      <c r="U205" s="153">
        <v>6.4809999999999999</v>
      </c>
      <c r="V205" s="153">
        <v>26.376999999999999</v>
      </c>
      <c r="W205" s="153">
        <v>25.204999999999998</v>
      </c>
      <c r="X205" s="444">
        <v>8.5229999999999997</v>
      </c>
      <c r="Y205" s="118">
        <v>9.6080000000000005</v>
      </c>
      <c r="Z205" s="118">
        <v>43.366999999999997</v>
      </c>
      <c r="AA205" s="118">
        <v>167.78</v>
      </c>
      <c r="AB205" s="444">
        <v>212.83699999999999</v>
      </c>
      <c r="AC205" s="117">
        <v>292.416</v>
      </c>
      <c r="AD205" s="117">
        <v>978.875</v>
      </c>
      <c r="AE205" s="117">
        <v>511.12400000000002</v>
      </c>
      <c r="AF205" s="511">
        <f t="shared" si="250"/>
        <v>534.89009809478387</v>
      </c>
    </row>
    <row r="206" spans="1:32" s="113" customFormat="1" ht="13.5" customHeight="1" x14ac:dyDescent="0.2">
      <c r="A206" s="107"/>
      <c r="B206" s="196" t="s">
        <v>258</v>
      </c>
      <c r="C206" s="2"/>
      <c r="D206" s="115">
        <v>2774.6880000000001</v>
      </c>
      <c r="E206" s="115">
        <v>3815.39</v>
      </c>
      <c r="F206" s="115">
        <v>4253.8329999999996</v>
      </c>
      <c r="G206" s="115">
        <v>4505.2489999999998</v>
      </c>
      <c r="H206" s="115">
        <v>5867.8890000000001</v>
      </c>
      <c r="I206" s="115">
        <v>6759.9120000000003</v>
      </c>
      <c r="J206" s="115">
        <v>6518.585</v>
      </c>
      <c r="K206" s="115">
        <v>6380.027</v>
      </c>
      <c r="L206" s="115">
        <v>6732.08</v>
      </c>
      <c r="M206" s="452">
        <v>7939.64</v>
      </c>
      <c r="N206" s="7">
        <f t="shared" si="249"/>
        <v>9171.9660902792002</v>
      </c>
      <c r="O206" s="7">
        <f t="shared" si="249"/>
        <v>11671.602932975089</v>
      </c>
      <c r="P206" s="7">
        <f t="shared" si="249"/>
        <v>11159.219953548534</v>
      </c>
      <c r="Q206" s="7">
        <f t="shared" si="249"/>
        <v>12662.617945515858</v>
      </c>
      <c r="R206" s="7">
        <f t="shared" si="249"/>
        <v>14855.899684389015</v>
      </c>
      <c r="S206" s="7">
        <f t="shared" si="249"/>
        <v>18001.020440389573</v>
      </c>
      <c r="T206" s="273"/>
      <c r="U206" s="153">
        <v>6522.7370000000001</v>
      </c>
      <c r="V206" s="153">
        <v>6490.0389999999998</v>
      </c>
      <c r="W206" s="153">
        <v>6480.8050000000003</v>
      </c>
      <c r="X206" s="444">
        <v>6732.08</v>
      </c>
      <c r="Y206" s="118">
        <v>6665.1</v>
      </c>
      <c r="Z206" s="118">
        <v>7164.0929999999998</v>
      </c>
      <c r="AA206" s="118">
        <v>7118.9129999999996</v>
      </c>
      <c r="AB206" s="444">
        <v>7939.64</v>
      </c>
      <c r="AC206" s="117">
        <v>7875.2910000000002</v>
      </c>
      <c r="AD206" s="117">
        <v>8391.4480000000003</v>
      </c>
      <c r="AE206" s="117">
        <v>8539.83</v>
      </c>
      <c r="AF206" s="511">
        <f t="shared" si="250"/>
        <v>8936.9125817077238</v>
      </c>
    </row>
    <row r="207" spans="1:32" s="113" customFormat="1" ht="13.5" customHeight="1" x14ac:dyDescent="0.2">
      <c r="A207" s="107"/>
      <c r="B207" s="196"/>
      <c r="C207" s="2"/>
      <c r="D207" s="2"/>
      <c r="E207" s="2"/>
      <c r="F207" s="2"/>
      <c r="G207" s="2"/>
      <c r="H207" s="2"/>
      <c r="I207" s="166"/>
      <c r="J207" s="166"/>
      <c r="K207" s="166"/>
      <c r="L207" s="166"/>
      <c r="M207" s="461"/>
      <c r="N207" s="2"/>
      <c r="O207" s="2"/>
      <c r="P207" s="2"/>
      <c r="Q207" s="2"/>
      <c r="R207" s="2"/>
      <c r="S207" s="2"/>
      <c r="T207" s="273"/>
      <c r="U207" s="134"/>
      <c r="V207" s="134"/>
      <c r="W207" s="134"/>
      <c r="X207" s="500"/>
      <c r="Y207" s="112"/>
      <c r="Z207" s="112"/>
      <c r="AA207" s="112"/>
      <c r="AB207" s="445"/>
      <c r="AC207" s="111"/>
      <c r="AD207" s="111"/>
      <c r="AE207" s="111"/>
      <c r="AF207" s="511"/>
    </row>
    <row r="208" spans="1:32" s="113" customFormat="1" ht="13.5" customHeight="1" x14ac:dyDescent="0.2">
      <c r="A208" s="107"/>
      <c r="B208" s="146" t="s">
        <v>259</v>
      </c>
      <c r="C208" s="2"/>
      <c r="D208" s="1">
        <f t="shared" ref="D208:N208" si="251">D202</f>
        <v>3112.8969999999999</v>
      </c>
      <c r="E208" s="136">
        <f t="shared" si="251"/>
        <v>4059.8199999999997</v>
      </c>
      <c r="F208" s="2">
        <f t="shared" si="251"/>
        <v>4505.5719999999992</v>
      </c>
      <c r="G208" s="2">
        <f t="shared" si="251"/>
        <v>4608.9179999999997</v>
      </c>
      <c r="H208" s="78">
        <f t="shared" si="251"/>
        <v>6285.7020000000002</v>
      </c>
      <c r="I208" s="166">
        <f t="shared" si="251"/>
        <v>6840.0680000000002</v>
      </c>
      <c r="J208" s="166">
        <f t="shared" si="251"/>
        <v>6592.3109999999997</v>
      </c>
      <c r="K208" s="166">
        <f t="shared" si="251"/>
        <v>6426.7309999999998</v>
      </c>
      <c r="L208" s="166">
        <f t="shared" si="251"/>
        <v>6771.53</v>
      </c>
      <c r="M208" s="461">
        <f t="shared" si="251"/>
        <v>8284.5190000000002</v>
      </c>
      <c r="N208" s="1">
        <f t="shared" si="251"/>
        <v>9570.3743925762064</v>
      </c>
      <c r="O208" s="7">
        <f>O202</f>
        <v>12178.589490038321</v>
      </c>
      <c r="P208" s="7">
        <f t="shared" ref="P208:S208" si="252">P202</f>
        <v>11643.949817668301</v>
      </c>
      <c r="Q208" s="7">
        <f t="shared" si="252"/>
        <v>13212.651827962865</v>
      </c>
      <c r="R208" s="7">
        <f t="shared" si="252"/>
        <v>15501.204487535302</v>
      </c>
      <c r="S208" s="7">
        <f t="shared" si="252"/>
        <v>18782.941777939024</v>
      </c>
      <c r="T208" s="273"/>
      <c r="U208" s="202">
        <f t="shared" ref="U208:AE208" si="253">U202</f>
        <v>6578.4040000000005</v>
      </c>
      <c r="V208" s="202">
        <f t="shared" si="253"/>
        <v>6539.2950000000001</v>
      </c>
      <c r="W208" s="202">
        <f t="shared" si="253"/>
        <v>6529.5750000000007</v>
      </c>
      <c r="X208" s="444">
        <f t="shared" si="253"/>
        <v>6771.53</v>
      </c>
      <c r="Y208" s="153">
        <f t="shared" si="253"/>
        <v>6744.6200000000008</v>
      </c>
      <c r="Z208" s="153">
        <f t="shared" si="253"/>
        <v>7319.7020000000002</v>
      </c>
      <c r="AA208" s="153">
        <f t="shared" si="253"/>
        <v>7392.8169999999991</v>
      </c>
      <c r="AB208" s="444">
        <f t="shared" si="253"/>
        <v>8284.5190000000002</v>
      </c>
      <c r="AC208" s="153">
        <f t="shared" si="253"/>
        <v>8343.8250000000007</v>
      </c>
      <c r="AD208" s="153">
        <f t="shared" si="253"/>
        <v>9497.3140000000003</v>
      </c>
      <c r="AE208" s="153">
        <f t="shared" si="253"/>
        <v>9145.1460000000006</v>
      </c>
      <c r="AF208" s="511">
        <f>AF202</f>
        <v>9570.3743925762064</v>
      </c>
    </row>
    <row r="209" spans="1:32" s="113" customFormat="1" ht="13.5" customHeight="1" x14ac:dyDescent="0.2">
      <c r="A209" s="107"/>
      <c r="B209" s="146" t="s">
        <v>260</v>
      </c>
      <c r="C209" s="2"/>
      <c r="D209" s="2">
        <v>738.24900000000002</v>
      </c>
      <c r="E209" s="115">
        <v>1261.3150000000001</v>
      </c>
      <c r="F209" s="115">
        <v>1218.6189999999999</v>
      </c>
      <c r="G209" s="115">
        <v>1242.923</v>
      </c>
      <c r="H209" s="115">
        <v>1288.5160000000001</v>
      </c>
      <c r="I209" s="115">
        <v>1366.7719999999999</v>
      </c>
      <c r="J209" s="115">
        <v>1494.3910000000001</v>
      </c>
      <c r="K209" s="115">
        <v>2377.7109999999998</v>
      </c>
      <c r="L209" s="115">
        <v>2927.7109999999998</v>
      </c>
      <c r="M209" s="452">
        <v>4452.7110000000002</v>
      </c>
      <c r="N209" s="1">
        <f>AF209</f>
        <v>5963.9891251410327</v>
      </c>
      <c r="O209" s="7">
        <f>O192*Assumptions!P99</f>
        <v>7365.4925728300868</v>
      </c>
      <c r="P209" s="7">
        <f ca="1">P192*Assumptions!Q99</f>
        <v>8040.997842367311</v>
      </c>
      <c r="Q209" s="7">
        <f ca="1">Q192*Assumptions!R99</f>
        <v>8040.9978423673083</v>
      </c>
      <c r="R209" s="7">
        <f ca="1">R192*Assumptions!S99</f>
        <v>8040.997842367311</v>
      </c>
      <c r="S209" s="7">
        <f ca="1">S192*Assumptions!T99</f>
        <v>8040.9978423673119</v>
      </c>
      <c r="T209" s="273"/>
      <c r="U209" s="153">
        <v>2396.3629999999998</v>
      </c>
      <c r="V209" s="153">
        <v>2377.7109999999998</v>
      </c>
      <c r="W209" s="153">
        <v>2377.7109999999998</v>
      </c>
      <c r="X209" s="444">
        <v>2927.7109999999998</v>
      </c>
      <c r="Y209" s="153">
        <v>2927.7109999999998</v>
      </c>
      <c r="Z209" s="153">
        <v>2927.7109999999998</v>
      </c>
      <c r="AA209" s="203">
        <v>3452.7109999999998</v>
      </c>
      <c r="AB209" s="444">
        <v>4452.7110000000002</v>
      </c>
      <c r="AC209" s="204">
        <v>5452.7110000000002</v>
      </c>
      <c r="AD209" s="205">
        <v>5452.7110000000002</v>
      </c>
      <c r="AE209" s="206">
        <v>5452.7110000000002</v>
      </c>
      <c r="AF209" s="511">
        <f>Assumptions!AG99*AF192</f>
        <v>5963.9891251410327</v>
      </c>
    </row>
    <row r="210" spans="1:32" s="113" customFormat="1" ht="13.5" customHeight="1" x14ac:dyDescent="0.2">
      <c r="A210" s="107"/>
      <c r="B210" s="207" t="s">
        <v>261</v>
      </c>
      <c r="C210" s="2"/>
      <c r="D210" s="180">
        <f t="shared" ref="D210:O210" si="254">SUM(D208:D209)</f>
        <v>3851.1459999999997</v>
      </c>
      <c r="E210" s="180">
        <f t="shared" si="254"/>
        <v>5321.1350000000002</v>
      </c>
      <c r="F210" s="180">
        <f t="shared" si="254"/>
        <v>5724.1909999999989</v>
      </c>
      <c r="G210" s="180">
        <f t="shared" si="254"/>
        <v>5851.8409999999994</v>
      </c>
      <c r="H210" s="208">
        <f t="shared" si="254"/>
        <v>7574.2180000000008</v>
      </c>
      <c r="I210" s="180">
        <f t="shared" si="254"/>
        <v>8206.84</v>
      </c>
      <c r="J210" s="180">
        <f t="shared" si="254"/>
        <v>8086.7019999999993</v>
      </c>
      <c r="K210" s="180">
        <f t="shared" si="254"/>
        <v>8804.4419999999991</v>
      </c>
      <c r="L210" s="180">
        <f t="shared" si="254"/>
        <v>9699.241</v>
      </c>
      <c r="M210" s="465">
        <f t="shared" si="254"/>
        <v>12737.23</v>
      </c>
      <c r="N210" s="159">
        <f t="shared" si="254"/>
        <v>15534.36351771724</v>
      </c>
      <c r="O210" s="159">
        <f t="shared" si="254"/>
        <v>19544.082062868409</v>
      </c>
      <c r="P210" s="159">
        <f ca="1">SUM(P208:P209)</f>
        <v>19684.947660035614</v>
      </c>
      <c r="Q210" s="159">
        <f ca="1">SUM(Q208:Q209)</f>
        <v>21253.649670330175</v>
      </c>
      <c r="R210" s="159">
        <f ca="1">SUM(R208:R209)</f>
        <v>23542.202329902611</v>
      </c>
      <c r="S210" s="159">
        <f ca="1">SUM(S208:S209)</f>
        <v>26823.939620306337</v>
      </c>
      <c r="T210" s="273"/>
      <c r="U210" s="195">
        <f>SUM(U208:U209)</f>
        <v>8974.7669999999998</v>
      </c>
      <c r="V210" s="195">
        <f>SUM(V208:V209)</f>
        <v>8917.0059999999994</v>
      </c>
      <c r="W210" s="195">
        <f>SUM(W208:W209)</f>
        <v>8907.2860000000001</v>
      </c>
      <c r="X210" s="447">
        <f t="shared" ref="X210:AE210" si="255">SUM(X208+X209)</f>
        <v>9699.241</v>
      </c>
      <c r="Y210" s="155">
        <f t="shared" si="255"/>
        <v>9672.3310000000001</v>
      </c>
      <c r="Z210" s="155">
        <f t="shared" si="255"/>
        <v>10247.413</v>
      </c>
      <c r="AA210" s="155">
        <f t="shared" si="255"/>
        <v>10845.527999999998</v>
      </c>
      <c r="AB210" s="447">
        <f t="shared" si="255"/>
        <v>12737.23</v>
      </c>
      <c r="AC210" s="155">
        <f t="shared" si="255"/>
        <v>13796.536</v>
      </c>
      <c r="AD210" s="155">
        <f t="shared" si="255"/>
        <v>14950.025000000001</v>
      </c>
      <c r="AE210" s="155">
        <f t="shared" si="255"/>
        <v>14597.857</v>
      </c>
      <c r="AF210" s="523">
        <f t="shared" ref="AF210" si="256">SUM(AF208+AF209)</f>
        <v>15534.36351771724</v>
      </c>
    </row>
    <row r="211" spans="1:32" s="113" customFormat="1" ht="13.5" customHeight="1" x14ac:dyDescent="0.2">
      <c r="A211" s="107"/>
      <c r="B211" s="146" t="s">
        <v>262</v>
      </c>
      <c r="C211" s="2"/>
      <c r="D211" s="180">
        <f t="shared" ref="D211:O211" si="257">D192-D210</f>
        <v>53995.162999999993</v>
      </c>
      <c r="E211" s="180">
        <f t="shared" si="257"/>
        <v>58955.584999999992</v>
      </c>
      <c r="F211" s="190">
        <f t="shared" si="257"/>
        <v>88678.076000000001</v>
      </c>
      <c r="G211" s="190">
        <f t="shared" si="257"/>
        <v>127622.86799999997</v>
      </c>
      <c r="H211" s="190">
        <f t="shared" si="257"/>
        <v>175712.33000000002</v>
      </c>
      <c r="I211" s="209">
        <f t="shared" si="257"/>
        <v>207568.08499999999</v>
      </c>
      <c r="J211" s="180">
        <f t="shared" si="257"/>
        <v>311530.16200000001</v>
      </c>
      <c r="K211" s="180">
        <f t="shared" si="257"/>
        <v>419929.14899999998</v>
      </c>
      <c r="L211" s="180">
        <f t="shared" si="257"/>
        <v>512564.522</v>
      </c>
      <c r="M211" s="465">
        <f t="shared" si="257"/>
        <v>493775.34600000014</v>
      </c>
      <c r="N211" s="159">
        <f>AF211*(1+'Adj from Unconsol to Consol'!F10)</f>
        <v>525777.78094048181</v>
      </c>
      <c r="O211" s="159">
        <f t="shared" si="257"/>
        <v>594246.96567297215</v>
      </c>
      <c r="P211" s="159">
        <f ca="1">P192-P210</f>
        <v>686372.43312637124</v>
      </c>
      <c r="Q211" s="159">
        <f ca="1">Q192-Q210</f>
        <v>789143.07354830357</v>
      </c>
      <c r="R211" s="159">
        <f ca="1">R192-R210</f>
        <v>911449.86025834479</v>
      </c>
      <c r="S211" s="159">
        <f ca="1">S192-S210</f>
        <v>1055088.3193154507</v>
      </c>
      <c r="T211" s="273"/>
      <c r="U211" s="131">
        <f>U192-U210</f>
        <v>413093.89299999998</v>
      </c>
      <c r="V211" s="131">
        <f t="shared" ref="V211:AF211" si="258">V192-V210</f>
        <v>405487.71900000004</v>
      </c>
      <c r="W211" s="181">
        <f t="shared" si="258"/>
        <v>441018.13500000007</v>
      </c>
      <c r="X211" s="469">
        <f t="shared" si="258"/>
        <v>512564.522</v>
      </c>
      <c r="Y211" s="131">
        <f t="shared" si="258"/>
        <v>493936.00599999999</v>
      </c>
      <c r="Z211" s="131">
        <f t="shared" si="258"/>
        <v>483894.17700000008</v>
      </c>
      <c r="AA211" s="131">
        <f t="shared" si="258"/>
        <v>472813.79000000015</v>
      </c>
      <c r="AB211" s="469">
        <f t="shared" si="258"/>
        <v>493775.34600000014</v>
      </c>
      <c r="AC211" s="131">
        <f t="shared" si="258"/>
        <v>472939.81</v>
      </c>
      <c r="AD211" s="131">
        <f t="shared" si="258"/>
        <v>478441.62400000007</v>
      </c>
      <c r="AE211" s="131">
        <f t="shared" si="258"/>
        <v>490161.81800000003</v>
      </c>
      <c r="AF211" s="523">
        <f t="shared" si="258"/>
        <v>525777.78094048181</v>
      </c>
    </row>
    <row r="212" spans="1:32" x14ac:dyDescent="0.2">
      <c r="L212" s="2"/>
      <c r="W212" s="50"/>
    </row>
    <row r="213" spans="1:32" s="123" customFormat="1" x14ac:dyDescent="0.2">
      <c r="A213" s="122"/>
      <c r="B213" s="123" t="s">
        <v>101</v>
      </c>
      <c r="D213" s="124">
        <f>D211</f>
        <v>53995.162999999993</v>
      </c>
      <c r="E213" s="125">
        <f t="shared" ref="E213:M213" si="259">E211</f>
        <v>58955.584999999992</v>
      </c>
      <c r="F213" s="125">
        <f t="shared" si="259"/>
        <v>88678.076000000001</v>
      </c>
      <c r="G213" s="125">
        <f t="shared" si="259"/>
        <v>127622.86799999997</v>
      </c>
      <c r="H213" s="125">
        <f t="shared" si="259"/>
        <v>175712.33000000002</v>
      </c>
      <c r="I213" s="125">
        <f t="shared" si="259"/>
        <v>207568.08499999999</v>
      </c>
      <c r="J213" s="125">
        <f t="shared" si="259"/>
        <v>311530.16200000001</v>
      </c>
      <c r="K213" s="125">
        <f t="shared" si="259"/>
        <v>419929.14899999998</v>
      </c>
      <c r="L213" s="125">
        <f t="shared" si="259"/>
        <v>512564.522</v>
      </c>
      <c r="M213" s="437">
        <f t="shared" si="259"/>
        <v>493775.34600000014</v>
      </c>
      <c r="N213" s="126">
        <f t="shared" ref="N213:O213" si="260">N211</f>
        <v>525777.78094048181</v>
      </c>
      <c r="O213" s="126">
        <f t="shared" si="260"/>
        <v>594246.96567297215</v>
      </c>
      <c r="P213" s="126">
        <f ca="1">P211</f>
        <v>686372.43312637124</v>
      </c>
      <c r="Q213" s="126">
        <f ca="1">Q211</f>
        <v>789143.07354830357</v>
      </c>
      <c r="R213" s="126">
        <f ca="1">R211</f>
        <v>911449.86025834479</v>
      </c>
      <c r="S213" s="126">
        <f ca="1">S211</f>
        <v>1055088.3193154507</v>
      </c>
      <c r="T213" s="421"/>
      <c r="U213" s="125">
        <f>U211</f>
        <v>413093.89299999998</v>
      </c>
      <c r="V213" s="125">
        <f t="shared" ref="V213:AE213" si="261">V211</f>
        <v>405487.71900000004</v>
      </c>
      <c r="W213" s="127">
        <f t="shared" si="261"/>
        <v>441018.13500000007</v>
      </c>
      <c r="X213" s="442">
        <f t="shared" si="261"/>
        <v>512564.522</v>
      </c>
      <c r="Y213" s="125">
        <f t="shared" si="261"/>
        <v>493936.00599999999</v>
      </c>
      <c r="Z213" s="125">
        <f t="shared" si="261"/>
        <v>483894.17700000008</v>
      </c>
      <c r="AA213" s="125">
        <f t="shared" si="261"/>
        <v>472813.79000000015</v>
      </c>
      <c r="AB213" s="442">
        <f t="shared" si="261"/>
        <v>493775.34600000014</v>
      </c>
      <c r="AC213" s="125">
        <f t="shared" si="261"/>
        <v>472939.81</v>
      </c>
      <c r="AD213" s="125">
        <f t="shared" si="261"/>
        <v>478441.62400000007</v>
      </c>
      <c r="AE213" s="125">
        <f t="shared" si="261"/>
        <v>490161.81800000003</v>
      </c>
      <c r="AF213" s="530">
        <f t="shared" ref="AF213" si="262">AF211</f>
        <v>525777.78094048181</v>
      </c>
    </row>
    <row r="214" spans="1:32" s="89" customFormat="1" x14ac:dyDescent="0.2">
      <c r="A214" s="88"/>
      <c r="B214" s="89" t="s">
        <v>102</v>
      </c>
      <c r="D214" s="95">
        <f t="shared" ref="D214:S214" si="263">D11</f>
        <v>53995.163</v>
      </c>
      <c r="E214" s="95">
        <f t="shared" si="263"/>
        <v>58955.584999999999</v>
      </c>
      <c r="F214" s="95">
        <f t="shared" si="263"/>
        <v>88678.076000000001</v>
      </c>
      <c r="G214" s="95">
        <f t="shared" si="263"/>
        <v>127622.868</v>
      </c>
      <c r="H214" s="95">
        <f t="shared" si="263"/>
        <v>175711.94200000001</v>
      </c>
      <c r="I214" s="95">
        <f t="shared" si="263"/>
        <v>207568.823</v>
      </c>
      <c r="J214" s="95">
        <f t="shared" si="263"/>
        <v>311530.27</v>
      </c>
      <c r="K214" s="95">
        <f t="shared" si="263"/>
        <v>419929.14899999998</v>
      </c>
      <c r="L214" s="95">
        <f t="shared" si="263"/>
        <v>512564.522</v>
      </c>
      <c r="M214" s="460">
        <f t="shared" si="263"/>
        <v>493775.34600000002</v>
      </c>
      <c r="N214" s="129">
        <f t="shared" si="263"/>
        <v>525777.78094048181</v>
      </c>
      <c r="O214" s="129">
        <f t="shared" si="263"/>
        <v>594246.96567297215</v>
      </c>
      <c r="P214" s="129">
        <f t="shared" ca="1" si="263"/>
        <v>686372.43312637124</v>
      </c>
      <c r="Q214" s="129">
        <f t="shared" ca="1" si="263"/>
        <v>789143.07354830357</v>
      </c>
      <c r="R214" s="129">
        <f t="shared" ca="1" si="263"/>
        <v>911449.86025834479</v>
      </c>
      <c r="S214" s="129">
        <f t="shared" ca="1" si="263"/>
        <v>1055088.3193154507</v>
      </c>
      <c r="T214" s="419"/>
      <c r="U214" s="128">
        <f t="shared" ref="U214:AF214" si="264">U11</f>
        <v>413093.89299999998</v>
      </c>
      <c r="V214" s="128">
        <f t="shared" si="264"/>
        <v>405487.71899999998</v>
      </c>
      <c r="W214" s="130">
        <f t="shared" si="264"/>
        <v>441018.13500000001</v>
      </c>
      <c r="X214" s="443">
        <f t="shared" si="264"/>
        <v>512564.522</v>
      </c>
      <c r="Y214" s="128">
        <f t="shared" si="264"/>
        <v>493936.00599999999</v>
      </c>
      <c r="Z214" s="128">
        <f t="shared" si="264"/>
        <v>483894.17700000003</v>
      </c>
      <c r="AA214" s="128">
        <f t="shared" si="264"/>
        <v>472813.79</v>
      </c>
      <c r="AB214" s="443">
        <f t="shared" si="264"/>
        <v>493775.34600000002</v>
      </c>
      <c r="AC214" s="128">
        <f t="shared" si="264"/>
        <v>472939.81</v>
      </c>
      <c r="AD214" s="128">
        <f t="shared" si="264"/>
        <v>478441.62400000001</v>
      </c>
      <c r="AE214" s="128">
        <f t="shared" si="264"/>
        <v>490161.81800000003</v>
      </c>
      <c r="AF214" s="531">
        <f t="shared" si="264"/>
        <v>525777.78094048181</v>
      </c>
    </row>
    <row r="215" spans="1:32" x14ac:dyDescent="0.2">
      <c r="W215" s="50"/>
    </row>
    <row r="216" spans="1:32" s="106" customFormat="1" ht="11.1" customHeight="1" x14ac:dyDescent="0.2">
      <c r="B216" s="58" t="s">
        <v>107</v>
      </c>
      <c r="C216" s="4"/>
      <c r="D216" s="352"/>
      <c r="E216" s="353"/>
      <c r="F216" s="353"/>
      <c r="G216" s="353"/>
      <c r="H216" s="353"/>
      <c r="I216" s="353"/>
      <c r="J216" s="353"/>
      <c r="K216" s="353"/>
      <c r="L216" s="353"/>
      <c r="M216" s="434"/>
      <c r="N216" s="213"/>
      <c r="O216" s="213"/>
      <c r="P216" s="213"/>
      <c r="Q216" s="213"/>
      <c r="R216" s="213"/>
      <c r="S216" s="213"/>
      <c r="T216" s="354"/>
      <c r="U216" s="213"/>
      <c r="V216" s="213"/>
      <c r="W216" s="354"/>
      <c r="X216" s="491"/>
      <c r="Y216" s="213"/>
      <c r="Z216" s="213"/>
      <c r="AA216" s="213"/>
      <c r="AB216" s="491"/>
      <c r="AC216" s="213"/>
      <c r="AD216" s="213"/>
      <c r="AE216" s="213"/>
      <c r="AF216" s="527"/>
    </row>
    <row r="217" spans="1:32" s="113" customFormat="1" ht="13.5" customHeight="1" x14ac:dyDescent="0.2">
      <c r="A217" s="107"/>
      <c r="B217" s="2"/>
      <c r="C217" s="2"/>
      <c r="D217" s="60"/>
      <c r="E217" s="1"/>
      <c r="F217" s="1"/>
      <c r="G217" s="1"/>
      <c r="H217" s="1"/>
      <c r="I217" s="1"/>
      <c r="J217" s="1"/>
      <c r="K217" s="1"/>
      <c r="L217" s="1"/>
      <c r="M217" s="423"/>
      <c r="N217" s="2"/>
      <c r="O217" s="2"/>
      <c r="P217" s="2"/>
      <c r="Q217" s="2"/>
      <c r="R217" s="2"/>
      <c r="S217" s="2"/>
      <c r="T217" s="273"/>
      <c r="U217" s="2"/>
      <c r="V217" s="2"/>
      <c r="W217" s="50"/>
      <c r="X217" s="440"/>
      <c r="Y217" s="2"/>
      <c r="Z217" s="2"/>
      <c r="AA217" s="2"/>
      <c r="AB217" s="440"/>
      <c r="AC217" s="2"/>
      <c r="AD217" s="2"/>
      <c r="AE217" s="2"/>
      <c r="AF217" s="511"/>
    </row>
    <row r="218" spans="1:32" s="113" customFormat="1" ht="13.5" customHeight="1" x14ac:dyDescent="0.2">
      <c r="A218" s="107"/>
      <c r="B218" s="120" t="s">
        <v>95</v>
      </c>
      <c r="C218" s="2"/>
      <c r="D218" s="115">
        <v>859.53300000000002</v>
      </c>
      <c r="E218" s="115">
        <v>181.959</v>
      </c>
      <c r="F218" s="115">
        <v>505.01900000000001</v>
      </c>
      <c r="G218" s="116">
        <v>234.68899999999999</v>
      </c>
      <c r="H218" s="116">
        <v>195.815</v>
      </c>
      <c r="I218" s="116">
        <v>425.56</v>
      </c>
      <c r="J218" s="116">
        <v>314.40800000000002</v>
      </c>
      <c r="K218" s="116">
        <v>562.88699999999994</v>
      </c>
      <c r="L218" s="116">
        <v>1644.4359999999999</v>
      </c>
      <c r="M218" s="436">
        <v>3185.241</v>
      </c>
      <c r="N218" s="1">
        <f>M218/M$222*N$222</f>
        <v>3190.9092644232774</v>
      </c>
      <c r="O218" s="7">
        <f>N218/N$222*O$222</f>
        <v>3345.9169004282462</v>
      </c>
      <c r="P218" s="7">
        <f t="shared" ref="P218:S218" si="265">O218/O$222*P$222</f>
        <v>3886.920212243419</v>
      </c>
      <c r="Q218" s="7">
        <f t="shared" si="265"/>
        <v>4603.282969517034</v>
      </c>
      <c r="R218" s="7">
        <f t="shared" si="265"/>
        <v>5009.9307403067751</v>
      </c>
      <c r="S218" s="7">
        <f t="shared" si="265"/>
        <v>5660.504215196288</v>
      </c>
      <c r="T218" s="273"/>
      <c r="U218" s="153">
        <v>939.04499999999996</v>
      </c>
      <c r="V218" s="153">
        <v>1271.0530000000001</v>
      </c>
      <c r="W218" s="153">
        <v>1449.64</v>
      </c>
      <c r="X218" s="493">
        <v>1644.4359999999999</v>
      </c>
      <c r="Y218" s="118">
        <v>2092.607</v>
      </c>
      <c r="Z218" s="118">
        <v>3074.5320000000002</v>
      </c>
      <c r="AA218" s="118">
        <v>3104.38</v>
      </c>
      <c r="AB218" s="446">
        <v>3185.241</v>
      </c>
      <c r="AC218" s="117">
        <v>3813.2869999999998</v>
      </c>
      <c r="AD218" s="117">
        <v>3745.9630000000002</v>
      </c>
      <c r="AE218" s="117">
        <v>3845.931</v>
      </c>
      <c r="AF218" s="511">
        <f>AE218/AE$222*AF$222</f>
        <v>3787.0836603289654</v>
      </c>
    </row>
    <row r="219" spans="1:32" s="113" customFormat="1" ht="13.5" customHeight="1" x14ac:dyDescent="0.2">
      <c r="A219" s="107"/>
      <c r="B219" s="120" t="s">
        <v>96</v>
      </c>
      <c r="C219" s="2"/>
      <c r="D219" s="115">
        <v>2130.337</v>
      </c>
      <c r="E219" s="115">
        <v>3697.3069999999998</v>
      </c>
      <c r="F219" s="115">
        <v>4236.7290000000003</v>
      </c>
      <c r="G219" s="116">
        <v>5116.6030000000001</v>
      </c>
      <c r="H219" s="116">
        <v>5581.9369999999999</v>
      </c>
      <c r="I219" s="116">
        <v>7177.915</v>
      </c>
      <c r="J219" s="116">
        <v>8288.9940000000006</v>
      </c>
      <c r="K219" s="116">
        <v>10934.864</v>
      </c>
      <c r="L219" s="116">
        <v>11583.962</v>
      </c>
      <c r="M219" s="436">
        <v>13293.965</v>
      </c>
      <c r="N219" s="1">
        <f t="shared" ref="N219:N221" si="266">M219/M$222*N$222</f>
        <v>13317.622145206216</v>
      </c>
      <c r="O219" s="7">
        <f t="shared" ref="O219:S219" si="267">N219/N$222*O$222</f>
        <v>13964.564115306061</v>
      </c>
      <c r="P219" s="7">
        <f t="shared" si="267"/>
        <v>16222.502868497733</v>
      </c>
      <c r="Q219" s="7">
        <f t="shared" si="267"/>
        <v>19212.324179506519</v>
      </c>
      <c r="R219" s="7">
        <f t="shared" si="267"/>
        <v>20909.514826056289</v>
      </c>
      <c r="S219" s="7">
        <f t="shared" si="267"/>
        <v>23624.757096612761</v>
      </c>
      <c r="T219" s="273"/>
      <c r="U219" s="153">
        <v>11110.397999999999</v>
      </c>
      <c r="V219" s="153">
        <v>11092.343999999999</v>
      </c>
      <c r="W219" s="153">
        <v>11062.396000000001</v>
      </c>
      <c r="X219" s="493">
        <v>11484.96</v>
      </c>
      <c r="Y219" s="118">
        <v>11644.755999999999</v>
      </c>
      <c r="Z219" s="118">
        <v>11739.126</v>
      </c>
      <c r="AA219" s="118">
        <v>12536.475</v>
      </c>
      <c r="AB219" s="446">
        <v>13168.734</v>
      </c>
      <c r="AC219" s="117">
        <v>13252.072</v>
      </c>
      <c r="AD219" s="117">
        <v>13461.11</v>
      </c>
      <c r="AE219" s="117">
        <v>13630.2</v>
      </c>
      <c r="AF219" s="511">
        <f t="shared" ref="AF219:AF221" si="268">AE219/AE$222*AF$222</f>
        <v>13421.641653741543</v>
      </c>
    </row>
    <row r="220" spans="1:32" s="113" customFormat="1" ht="13.5" customHeight="1" x14ac:dyDescent="0.2">
      <c r="A220" s="107"/>
      <c r="B220" s="120" t="s">
        <v>97</v>
      </c>
      <c r="C220" s="2"/>
      <c r="D220" s="136">
        <v>0</v>
      </c>
      <c r="E220" s="136">
        <v>0</v>
      </c>
      <c r="F220" s="136">
        <v>0</v>
      </c>
      <c r="G220" s="136">
        <v>0</v>
      </c>
      <c r="H220" s="136">
        <v>0</v>
      </c>
      <c r="I220" s="136">
        <v>0</v>
      </c>
      <c r="J220" s="136">
        <v>0</v>
      </c>
      <c r="K220" s="136">
        <v>0</v>
      </c>
      <c r="L220" s="136">
        <v>0</v>
      </c>
      <c r="M220" s="436">
        <v>7184.3149999999996</v>
      </c>
      <c r="N220" s="1">
        <f t="shared" si="266"/>
        <v>7197.0997773905065</v>
      </c>
      <c r="O220" s="7">
        <f t="shared" ref="O220:S220" si="269">N220/N$222*O$222</f>
        <v>7546.7196913828975</v>
      </c>
      <c r="P220" s="7">
        <f t="shared" si="269"/>
        <v>8766.9533277461815</v>
      </c>
      <c r="Q220" s="7">
        <f t="shared" si="269"/>
        <v>10382.710409399406</v>
      </c>
      <c r="R220" s="7">
        <f t="shared" si="269"/>
        <v>11299.904957441859</v>
      </c>
      <c r="S220" s="7">
        <f t="shared" si="269"/>
        <v>12767.274231619496</v>
      </c>
      <c r="T220" s="273"/>
      <c r="U220" s="210">
        <v>0</v>
      </c>
      <c r="V220" s="210">
        <v>0</v>
      </c>
      <c r="W220" s="210">
        <v>0</v>
      </c>
      <c r="X220" s="502">
        <v>0</v>
      </c>
      <c r="Y220" s="118">
        <v>0</v>
      </c>
      <c r="Z220" s="118">
        <v>4836.2420000000002</v>
      </c>
      <c r="AA220" s="118">
        <v>4462.5110000000004</v>
      </c>
      <c r="AB220" s="446">
        <v>6930.44</v>
      </c>
      <c r="AC220" s="117">
        <v>6874.5919999999996</v>
      </c>
      <c r="AD220" s="117">
        <v>6577.0770000000002</v>
      </c>
      <c r="AE220" s="117">
        <v>6212.1790000000001</v>
      </c>
      <c r="AF220" s="511">
        <f t="shared" si="268"/>
        <v>6117.1252385803937</v>
      </c>
    </row>
    <row r="221" spans="1:32" s="113" customFormat="1" ht="13.5" customHeight="1" x14ac:dyDescent="0.2">
      <c r="A221" s="107"/>
      <c r="B221" s="120" t="s">
        <v>98</v>
      </c>
      <c r="C221" s="2"/>
      <c r="D221" s="115">
        <v>106.027</v>
      </c>
      <c r="E221" s="115">
        <v>142.154</v>
      </c>
      <c r="F221" s="115">
        <v>156.49199999999999</v>
      </c>
      <c r="G221" s="115">
        <v>243.62200000000001</v>
      </c>
      <c r="H221" s="115">
        <v>495.48700000000002</v>
      </c>
      <c r="I221" s="115">
        <v>453.26799999999997</v>
      </c>
      <c r="J221" s="115">
        <v>428.28399999999999</v>
      </c>
      <c r="K221" s="115">
        <v>496.83499999999998</v>
      </c>
      <c r="L221" s="136">
        <v>0</v>
      </c>
      <c r="M221" s="466">
        <v>0</v>
      </c>
      <c r="N221" s="1">
        <f t="shared" si="266"/>
        <v>0</v>
      </c>
      <c r="O221" s="2"/>
      <c r="P221" s="2"/>
      <c r="Q221" s="2"/>
      <c r="R221" s="2"/>
      <c r="S221" s="2"/>
      <c r="T221" s="273"/>
      <c r="U221" s="134">
        <v>569.87300000000005</v>
      </c>
      <c r="V221" s="153">
        <v>601.04</v>
      </c>
      <c r="W221" s="134">
        <v>551.05100000000004</v>
      </c>
      <c r="X221" s="502">
        <v>0</v>
      </c>
      <c r="Y221" s="118">
        <v>0</v>
      </c>
      <c r="Z221" s="118">
        <v>0</v>
      </c>
      <c r="AA221" s="118">
        <v>0</v>
      </c>
      <c r="AB221" s="446">
        <v>0</v>
      </c>
      <c r="AC221" s="117">
        <v>0</v>
      </c>
      <c r="AD221" s="117">
        <v>0</v>
      </c>
      <c r="AE221" s="117">
        <v>0</v>
      </c>
      <c r="AF221" s="511">
        <f t="shared" si="268"/>
        <v>0</v>
      </c>
    </row>
    <row r="222" spans="1:32" s="113" customFormat="1" ht="13.5" customHeight="1" x14ac:dyDescent="0.2">
      <c r="A222" s="107"/>
      <c r="B222" s="108" t="s">
        <v>99</v>
      </c>
      <c r="C222" s="2"/>
      <c r="D222" s="121">
        <f t="shared" ref="D222:M222" si="270">SUM(D218:D221)</f>
        <v>3095.8969999999999</v>
      </c>
      <c r="E222" s="121">
        <f t="shared" si="270"/>
        <v>4021.4199999999996</v>
      </c>
      <c r="F222" s="121">
        <f t="shared" si="270"/>
        <v>4898.2400000000007</v>
      </c>
      <c r="G222" s="121">
        <f t="shared" si="270"/>
        <v>5594.9140000000007</v>
      </c>
      <c r="H222" s="121">
        <f t="shared" si="270"/>
        <v>6273.2389999999996</v>
      </c>
      <c r="I222" s="121">
        <f t="shared" si="270"/>
        <v>8056.7430000000004</v>
      </c>
      <c r="J222" s="121">
        <f t="shared" si="270"/>
        <v>9031.6859999999997</v>
      </c>
      <c r="K222" s="121">
        <f t="shared" si="270"/>
        <v>11994.585999999999</v>
      </c>
      <c r="L222" s="121">
        <f t="shared" si="270"/>
        <v>13228.397999999999</v>
      </c>
      <c r="M222" s="428">
        <f t="shared" si="270"/>
        <v>23663.520999999997</v>
      </c>
      <c r="N222" s="65">
        <f>AF222*(1+'Adj from Unconsol to Consol'!F11)</f>
        <v>23705.631187019997</v>
      </c>
      <c r="O222" s="65">
        <f>O267*Assumptions!P44</f>
        <v>24857.200707117201</v>
      </c>
      <c r="P222" s="65">
        <f>P267*Assumptions!Q44</f>
        <v>28876.376408487329</v>
      </c>
      <c r="Q222" s="65">
        <f>Q267*Assumptions!R44</f>
        <v>34198.317558422954</v>
      </c>
      <c r="R222" s="65">
        <f>R267*Assumptions!S44</f>
        <v>37219.350523804918</v>
      </c>
      <c r="S222" s="65">
        <f>S267*Assumptions!T44</f>
        <v>42052.535543428537</v>
      </c>
      <c r="T222" s="273"/>
      <c r="U222" s="155">
        <f>SUM(U218:U221)</f>
        <v>12619.315999999999</v>
      </c>
      <c r="V222" s="155">
        <f>SUM(V218:V221)</f>
        <v>12964.436999999998</v>
      </c>
      <c r="W222" s="155">
        <f>SUM(W218:W221)</f>
        <v>13063.087</v>
      </c>
      <c r="X222" s="494">
        <f t="shared" ref="X222:AE222" si="271">SUM(X218:X221)</f>
        <v>13129.395999999999</v>
      </c>
      <c r="Y222" s="211">
        <f t="shared" si="271"/>
        <v>13737.362999999999</v>
      </c>
      <c r="Z222" s="119">
        <f t="shared" si="271"/>
        <v>19649.900000000001</v>
      </c>
      <c r="AA222" s="119">
        <f t="shared" si="271"/>
        <v>20103.366000000002</v>
      </c>
      <c r="AB222" s="519">
        <f t="shared" si="271"/>
        <v>23284.415000000001</v>
      </c>
      <c r="AC222" s="119">
        <f t="shared" si="271"/>
        <v>23939.951000000001</v>
      </c>
      <c r="AD222" s="119">
        <f t="shared" si="271"/>
        <v>23784.15</v>
      </c>
      <c r="AE222" s="119">
        <f t="shared" si="271"/>
        <v>23688.31</v>
      </c>
      <c r="AF222" s="523">
        <f>AF267*Assumptions!AG44</f>
        <v>23325.850552650903</v>
      </c>
    </row>
    <row r="223" spans="1:32" x14ac:dyDescent="0.2">
      <c r="W223" s="50"/>
    </row>
    <row r="224" spans="1:32" s="123" customFormat="1" x14ac:dyDescent="0.2">
      <c r="A224" s="122"/>
      <c r="B224" s="123" t="s">
        <v>101</v>
      </c>
      <c r="D224" s="124">
        <f>D222</f>
        <v>3095.8969999999999</v>
      </c>
      <c r="E224" s="125">
        <f t="shared" ref="E224:M224" si="272">E222</f>
        <v>4021.4199999999996</v>
      </c>
      <c r="F224" s="125">
        <f t="shared" si="272"/>
        <v>4898.2400000000007</v>
      </c>
      <c r="G224" s="125">
        <f t="shared" si="272"/>
        <v>5594.9140000000007</v>
      </c>
      <c r="H224" s="125">
        <f t="shared" si="272"/>
        <v>6273.2389999999996</v>
      </c>
      <c r="I224" s="125">
        <f t="shared" si="272"/>
        <v>8056.7430000000004</v>
      </c>
      <c r="J224" s="125">
        <f t="shared" si="272"/>
        <v>9031.6859999999997</v>
      </c>
      <c r="K224" s="125">
        <f t="shared" si="272"/>
        <v>11994.585999999999</v>
      </c>
      <c r="L224" s="125">
        <f t="shared" si="272"/>
        <v>13228.397999999999</v>
      </c>
      <c r="M224" s="437">
        <f t="shared" si="272"/>
        <v>23663.520999999997</v>
      </c>
      <c r="N224" s="126">
        <f t="shared" ref="N224:S224" si="273">N222</f>
        <v>23705.631187019997</v>
      </c>
      <c r="O224" s="126">
        <f t="shared" si="273"/>
        <v>24857.200707117201</v>
      </c>
      <c r="P224" s="126">
        <f t="shared" si="273"/>
        <v>28876.376408487329</v>
      </c>
      <c r="Q224" s="126">
        <f t="shared" si="273"/>
        <v>34198.317558422954</v>
      </c>
      <c r="R224" s="126">
        <f t="shared" si="273"/>
        <v>37219.350523804918</v>
      </c>
      <c r="S224" s="126">
        <f t="shared" si="273"/>
        <v>42052.535543428537</v>
      </c>
      <c r="T224" s="421"/>
      <c r="U224" s="126">
        <f>U222</f>
        <v>12619.315999999999</v>
      </c>
      <c r="V224" s="125">
        <f t="shared" ref="V224:AE224" si="274">V222</f>
        <v>12964.436999999998</v>
      </c>
      <c r="W224" s="127">
        <f t="shared" si="274"/>
        <v>13063.087</v>
      </c>
      <c r="X224" s="442">
        <f t="shared" si="274"/>
        <v>13129.395999999999</v>
      </c>
      <c r="Y224" s="125">
        <f t="shared" si="274"/>
        <v>13737.362999999999</v>
      </c>
      <c r="Z224" s="125">
        <f t="shared" si="274"/>
        <v>19649.900000000001</v>
      </c>
      <c r="AA224" s="125">
        <f t="shared" si="274"/>
        <v>20103.366000000002</v>
      </c>
      <c r="AB224" s="442">
        <f t="shared" si="274"/>
        <v>23284.415000000001</v>
      </c>
      <c r="AC224" s="125">
        <f t="shared" si="274"/>
        <v>23939.951000000001</v>
      </c>
      <c r="AD224" s="125">
        <f t="shared" si="274"/>
        <v>23784.15</v>
      </c>
      <c r="AE224" s="125">
        <f t="shared" si="274"/>
        <v>23688.31</v>
      </c>
      <c r="AF224" s="530">
        <f t="shared" ref="AF224" si="275">AF222</f>
        <v>23325.850552650903</v>
      </c>
    </row>
    <row r="225" spans="1:32" s="89" customFormat="1" x14ac:dyDescent="0.2">
      <c r="A225" s="88"/>
      <c r="B225" s="89" t="s">
        <v>102</v>
      </c>
      <c r="D225" s="95">
        <f t="shared" ref="D225:S225" si="276">D12</f>
        <v>3095.8969999999999</v>
      </c>
      <c r="E225" s="128">
        <f t="shared" si="276"/>
        <v>4021.42</v>
      </c>
      <c r="F225" s="128">
        <f t="shared" si="276"/>
        <v>4898.24</v>
      </c>
      <c r="G225" s="128">
        <f t="shared" si="276"/>
        <v>5594.9139999999998</v>
      </c>
      <c r="H225" s="128">
        <f t="shared" si="276"/>
        <v>6273.2389999999996</v>
      </c>
      <c r="I225" s="128">
        <f t="shared" si="276"/>
        <v>8056.7430000000004</v>
      </c>
      <c r="J225" s="128">
        <f t="shared" si="276"/>
        <v>9031.6859999999997</v>
      </c>
      <c r="K225" s="128">
        <f t="shared" si="276"/>
        <v>11994.585999999999</v>
      </c>
      <c r="L225" s="128">
        <f t="shared" si="276"/>
        <v>13228.397999999999</v>
      </c>
      <c r="M225" s="438">
        <f t="shared" si="276"/>
        <v>23663.521000000001</v>
      </c>
      <c r="N225" s="129">
        <f t="shared" si="276"/>
        <v>23705.631187019997</v>
      </c>
      <c r="O225" s="129">
        <f t="shared" si="276"/>
        <v>24857.200707117201</v>
      </c>
      <c r="P225" s="129">
        <f t="shared" si="276"/>
        <v>28876.376408487329</v>
      </c>
      <c r="Q225" s="129">
        <f t="shared" si="276"/>
        <v>34198.317558422954</v>
      </c>
      <c r="R225" s="129">
        <f t="shared" si="276"/>
        <v>37219.350523804918</v>
      </c>
      <c r="S225" s="129">
        <f t="shared" si="276"/>
        <v>42052.535543428537</v>
      </c>
      <c r="T225" s="419"/>
      <c r="U225" s="212">
        <f t="shared" ref="U225:AF225" si="277">U12</f>
        <v>12619.316000000001</v>
      </c>
      <c r="V225" s="128">
        <f t="shared" si="277"/>
        <v>12964.437</v>
      </c>
      <c r="W225" s="130">
        <f t="shared" si="277"/>
        <v>13063.536</v>
      </c>
      <c r="X225" s="443">
        <f t="shared" si="277"/>
        <v>13129.126</v>
      </c>
      <c r="Y225" s="128">
        <f t="shared" si="277"/>
        <v>13737.362999999999</v>
      </c>
      <c r="Z225" s="128">
        <f t="shared" si="277"/>
        <v>19649.900000000001</v>
      </c>
      <c r="AA225" s="128">
        <f t="shared" si="277"/>
        <v>20103.366000000002</v>
      </c>
      <c r="AB225" s="443">
        <f t="shared" si="277"/>
        <v>23284.415000000001</v>
      </c>
      <c r="AC225" s="128">
        <f t="shared" si="277"/>
        <v>23939.951000000001</v>
      </c>
      <c r="AD225" s="128">
        <f t="shared" si="277"/>
        <v>23784.15</v>
      </c>
      <c r="AE225" s="128">
        <f t="shared" si="277"/>
        <v>23688.31</v>
      </c>
      <c r="AF225" s="531">
        <f t="shared" si="277"/>
        <v>23325.850552650903</v>
      </c>
    </row>
    <row r="226" spans="1:32" x14ac:dyDescent="0.2">
      <c r="W226" s="50"/>
    </row>
    <row r="227" spans="1:32" s="213" customFormat="1" x14ac:dyDescent="0.2">
      <c r="B227" s="58" t="s">
        <v>136</v>
      </c>
      <c r="C227" s="4"/>
      <c r="D227" s="355"/>
      <c r="E227" s="353"/>
      <c r="F227" s="353"/>
      <c r="G227" s="353"/>
      <c r="H227" s="353"/>
      <c r="I227" s="353"/>
      <c r="J227" s="353"/>
      <c r="K227" s="353"/>
      <c r="L227" s="353"/>
      <c r="M227" s="434"/>
      <c r="T227" s="354"/>
      <c r="W227" s="354"/>
      <c r="X227" s="491"/>
      <c r="AB227" s="491"/>
      <c r="AF227" s="527"/>
    </row>
    <row r="228" spans="1:32" x14ac:dyDescent="0.2">
      <c r="B228" s="120" t="s">
        <v>75</v>
      </c>
      <c r="D228" s="7">
        <v>1767.37</v>
      </c>
      <c r="E228" s="7">
        <v>2282.0450000000001</v>
      </c>
      <c r="F228" s="7">
        <v>3058.5030000000002</v>
      </c>
      <c r="G228" s="7">
        <v>3614.7179999999998</v>
      </c>
      <c r="H228" s="7">
        <v>5619.826</v>
      </c>
      <c r="I228" s="7">
        <v>6560.3239999999996</v>
      </c>
      <c r="J228" s="7">
        <v>9130.9979999999996</v>
      </c>
      <c r="K228" s="7">
        <v>11168.093000000001</v>
      </c>
      <c r="L228" s="7">
        <v>23750.543000000001</v>
      </c>
      <c r="M228" s="423">
        <v>17186.807000000001</v>
      </c>
      <c r="N228" s="7">
        <f>M228/M$230*N$230</f>
        <v>25023.568515697109</v>
      </c>
      <c r="U228" s="214"/>
      <c r="V228" s="214"/>
      <c r="W228" s="214"/>
      <c r="X228" s="503">
        <f>23750543/1000</f>
        <v>23750.543000000001</v>
      </c>
      <c r="Y228" s="7">
        <f>19270317/1000</f>
        <v>19270.316999999999</v>
      </c>
      <c r="Z228" s="7">
        <f>19568699/1000</f>
        <v>19568.699000000001</v>
      </c>
      <c r="AA228" s="7">
        <f>15301314/1000</f>
        <v>15301.314</v>
      </c>
      <c r="AB228" s="467">
        <f>17186807/1000</f>
        <v>17186.807000000001</v>
      </c>
      <c r="AC228" s="7">
        <f>17154216/1000</f>
        <v>17154.216</v>
      </c>
      <c r="AD228" s="7">
        <f>23408775/1000</f>
        <v>23408.775000000001</v>
      </c>
      <c r="AE228" s="7">
        <f>24482003/1000</f>
        <v>24482.003000000001</v>
      </c>
      <c r="AF228" s="511">
        <f>AE228/AE$230*AF$230</f>
        <v>25023.568515697109</v>
      </c>
    </row>
    <row r="229" spans="1:32" x14ac:dyDescent="0.2">
      <c r="B229" s="120" t="s">
        <v>78</v>
      </c>
      <c r="D229" s="7">
        <v>0</v>
      </c>
      <c r="E229" s="7">
        <v>0</v>
      </c>
      <c r="F229" s="7">
        <v>0</v>
      </c>
      <c r="G229" s="7">
        <v>0</v>
      </c>
      <c r="H229" s="7">
        <v>0</v>
      </c>
      <c r="I229" s="7">
        <v>0</v>
      </c>
      <c r="J229" s="7">
        <v>0</v>
      </c>
      <c r="K229" s="7">
        <v>0</v>
      </c>
      <c r="L229" s="7">
        <v>0</v>
      </c>
      <c r="M229" s="467">
        <v>0</v>
      </c>
      <c r="N229" s="7">
        <f t="shared" ref="N229" si="278">M229/M$230*N$230</f>
        <v>0</v>
      </c>
      <c r="U229" s="214"/>
      <c r="V229" s="214"/>
      <c r="W229" s="214"/>
      <c r="X229" s="504">
        <v>0</v>
      </c>
      <c r="Y229" s="7">
        <v>0</v>
      </c>
      <c r="Z229" s="7">
        <v>0</v>
      </c>
      <c r="AA229" s="7">
        <v>0</v>
      </c>
      <c r="AB229" s="467">
        <v>0</v>
      </c>
      <c r="AC229" s="7">
        <v>0</v>
      </c>
      <c r="AD229" s="7">
        <v>0</v>
      </c>
      <c r="AE229" s="7">
        <v>0</v>
      </c>
      <c r="AF229" s="511">
        <f t="shared" ref="AF229" si="279">AE229/AE$230*AF$230</f>
        <v>0</v>
      </c>
    </row>
    <row r="230" spans="1:32" x14ac:dyDescent="0.2">
      <c r="B230" s="3" t="s">
        <v>99</v>
      </c>
      <c r="C230" s="3"/>
      <c r="D230" s="64">
        <f>SUM(D228:D229)</f>
        <v>1767.37</v>
      </c>
      <c r="E230" s="131">
        <f t="shared" ref="E230:M230" si="280">SUM(E228:E229)</f>
        <v>2282.0450000000001</v>
      </c>
      <c r="F230" s="131">
        <f t="shared" si="280"/>
        <v>3058.5030000000002</v>
      </c>
      <c r="G230" s="131">
        <f t="shared" si="280"/>
        <v>3614.7179999999998</v>
      </c>
      <c r="H230" s="131">
        <f t="shared" si="280"/>
        <v>5619.826</v>
      </c>
      <c r="I230" s="131">
        <f t="shared" si="280"/>
        <v>6560.3239999999996</v>
      </c>
      <c r="J230" s="131">
        <f t="shared" si="280"/>
        <v>9130.9979999999996</v>
      </c>
      <c r="K230" s="131">
        <f t="shared" si="280"/>
        <v>11168.093000000001</v>
      </c>
      <c r="L230" s="131">
        <f t="shared" si="280"/>
        <v>23750.543000000001</v>
      </c>
      <c r="M230" s="468">
        <f t="shared" si="280"/>
        <v>17186.807000000001</v>
      </c>
      <c r="N230" s="65">
        <f>AF230</f>
        <v>25023.568515697109</v>
      </c>
      <c r="O230" s="65">
        <f>O267*Assumptions!P49</f>
        <v>26448.169517487957</v>
      </c>
      <c r="P230" s="65">
        <f>P267*Assumptions!Q49</f>
        <v>31766.802687557789</v>
      </c>
      <c r="Q230" s="65">
        <f>Q267*Assumptions!R49</f>
        <v>33285.239195526716</v>
      </c>
      <c r="R230" s="65">
        <f>R267*Assumptions!S49</f>
        <v>38976.111471210512</v>
      </c>
      <c r="S230" s="65">
        <f>S267*Assumptions!T49</f>
        <v>43949.597747159336</v>
      </c>
      <c r="U230" s="65">
        <f>SUM(U228:U229)</f>
        <v>0</v>
      </c>
      <c r="V230" s="65">
        <f t="shared" ref="V230:AE230" si="281">SUM(V228:V229)</f>
        <v>0</v>
      </c>
      <c r="W230" s="65">
        <f t="shared" si="281"/>
        <v>0</v>
      </c>
      <c r="X230" s="468">
        <f t="shared" si="281"/>
        <v>23750.543000000001</v>
      </c>
      <c r="Y230" s="65">
        <f t="shared" si="281"/>
        <v>19270.316999999999</v>
      </c>
      <c r="Z230" s="65">
        <f t="shared" si="281"/>
        <v>19568.699000000001</v>
      </c>
      <c r="AA230" s="65">
        <f t="shared" si="281"/>
        <v>15301.314</v>
      </c>
      <c r="AB230" s="468">
        <f t="shared" si="281"/>
        <v>17186.807000000001</v>
      </c>
      <c r="AC230" s="65">
        <f t="shared" si="281"/>
        <v>17154.216</v>
      </c>
      <c r="AD230" s="65">
        <f t="shared" si="281"/>
        <v>23408.775000000001</v>
      </c>
      <c r="AE230" s="65">
        <f t="shared" si="281"/>
        <v>24482.003000000001</v>
      </c>
      <c r="AF230" s="523">
        <f>AF267*Assumptions!AG49</f>
        <v>25023.568515697109</v>
      </c>
    </row>
    <row r="231" spans="1:32" x14ac:dyDescent="0.2">
      <c r="B231" s="3"/>
      <c r="C231" s="3"/>
      <c r="D231" s="64"/>
      <c r="E231" s="131"/>
      <c r="F231" s="131"/>
      <c r="G231" s="131"/>
      <c r="H231" s="131"/>
      <c r="I231" s="131"/>
      <c r="J231" s="131"/>
      <c r="K231" s="131"/>
      <c r="L231" s="131"/>
      <c r="M231" s="469"/>
    </row>
    <row r="232" spans="1:32" s="216" customFormat="1" x14ac:dyDescent="0.2">
      <c r="A232" s="215"/>
      <c r="B232" s="123" t="s">
        <v>101</v>
      </c>
      <c r="C232" s="123"/>
      <c r="D232" s="124">
        <f>D230</f>
        <v>1767.37</v>
      </c>
      <c r="E232" s="125">
        <f t="shared" ref="E232:M232" si="282">E230</f>
        <v>2282.0450000000001</v>
      </c>
      <c r="F232" s="125">
        <f t="shared" si="282"/>
        <v>3058.5030000000002</v>
      </c>
      <c r="G232" s="125">
        <f t="shared" si="282"/>
        <v>3614.7179999999998</v>
      </c>
      <c r="H232" s="125">
        <f t="shared" si="282"/>
        <v>5619.826</v>
      </c>
      <c r="I232" s="125">
        <f t="shared" si="282"/>
        <v>6560.3239999999996</v>
      </c>
      <c r="J232" s="125">
        <f t="shared" si="282"/>
        <v>9130.9979999999996</v>
      </c>
      <c r="K232" s="125">
        <f t="shared" si="282"/>
        <v>11168.093000000001</v>
      </c>
      <c r="L232" s="125">
        <f t="shared" si="282"/>
        <v>23750.543000000001</v>
      </c>
      <c r="M232" s="437">
        <f t="shared" si="282"/>
        <v>17186.807000000001</v>
      </c>
      <c r="N232" s="126">
        <f t="shared" ref="N232:S232" si="283">N230</f>
        <v>25023.568515697109</v>
      </c>
      <c r="O232" s="126">
        <f t="shared" si="283"/>
        <v>26448.169517487957</v>
      </c>
      <c r="P232" s="126">
        <f t="shared" si="283"/>
        <v>31766.802687557789</v>
      </c>
      <c r="Q232" s="126">
        <f t="shared" si="283"/>
        <v>33285.239195526716</v>
      </c>
      <c r="R232" s="126">
        <f t="shared" si="283"/>
        <v>38976.111471210512</v>
      </c>
      <c r="S232" s="126">
        <f t="shared" si="283"/>
        <v>43949.597747159336</v>
      </c>
      <c r="T232" s="422"/>
      <c r="U232" s="125">
        <f>U230</f>
        <v>0</v>
      </c>
      <c r="V232" s="125">
        <f t="shared" ref="V232:AE232" si="284">V230</f>
        <v>0</v>
      </c>
      <c r="W232" s="125">
        <f t="shared" si="284"/>
        <v>0</v>
      </c>
      <c r="X232" s="442">
        <f t="shared" si="284"/>
        <v>23750.543000000001</v>
      </c>
      <c r="Y232" s="125">
        <f t="shared" si="284"/>
        <v>19270.316999999999</v>
      </c>
      <c r="Z232" s="125">
        <f t="shared" si="284"/>
        <v>19568.699000000001</v>
      </c>
      <c r="AA232" s="125">
        <f t="shared" si="284"/>
        <v>15301.314</v>
      </c>
      <c r="AB232" s="442">
        <f t="shared" si="284"/>
        <v>17186.807000000001</v>
      </c>
      <c r="AC232" s="125">
        <f t="shared" si="284"/>
        <v>17154.216</v>
      </c>
      <c r="AD232" s="125">
        <f t="shared" si="284"/>
        <v>23408.775000000001</v>
      </c>
      <c r="AE232" s="125">
        <f t="shared" si="284"/>
        <v>24482.003000000001</v>
      </c>
      <c r="AF232" s="530">
        <f t="shared" ref="AF232" si="285">AF230</f>
        <v>25023.568515697109</v>
      </c>
    </row>
    <row r="233" spans="1:32" s="89" customFormat="1" x14ac:dyDescent="0.2">
      <c r="A233" s="88"/>
      <c r="B233" s="89" t="s">
        <v>102</v>
      </c>
      <c r="D233" s="95">
        <f t="shared" ref="D233:S233" si="286">D19</f>
        <v>1767.37</v>
      </c>
      <c r="E233" s="128">
        <f t="shared" si="286"/>
        <v>2282.0450000000001</v>
      </c>
      <c r="F233" s="128">
        <f t="shared" si="286"/>
        <v>3058.5030000000002</v>
      </c>
      <c r="G233" s="128">
        <f t="shared" si="286"/>
        <v>3614.7179999999998</v>
      </c>
      <c r="H233" s="128">
        <f t="shared" si="286"/>
        <v>5619.826</v>
      </c>
      <c r="I233" s="128">
        <f t="shared" si="286"/>
        <v>6560.3239999999996</v>
      </c>
      <c r="J233" s="128">
        <f t="shared" si="286"/>
        <v>9130.9979999999996</v>
      </c>
      <c r="K233" s="128">
        <f t="shared" si="286"/>
        <v>11168.093000000001</v>
      </c>
      <c r="L233" s="128">
        <f t="shared" si="286"/>
        <v>23750.543000000001</v>
      </c>
      <c r="M233" s="438">
        <f t="shared" si="286"/>
        <v>17186.807000000001</v>
      </c>
      <c r="N233" s="129">
        <f t="shared" si="286"/>
        <v>25023.568515697109</v>
      </c>
      <c r="O233" s="129">
        <f t="shared" si="286"/>
        <v>26448.169517487957</v>
      </c>
      <c r="P233" s="129">
        <f t="shared" si="286"/>
        <v>31766.802687557789</v>
      </c>
      <c r="Q233" s="129">
        <f t="shared" si="286"/>
        <v>33285.239195526716</v>
      </c>
      <c r="R233" s="129">
        <f t="shared" si="286"/>
        <v>38976.111471210512</v>
      </c>
      <c r="S233" s="129">
        <f t="shared" si="286"/>
        <v>43949.597747159336</v>
      </c>
      <c r="T233" s="419"/>
      <c r="U233" s="128">
        <f t="shared" ref="U233:AF233" si="287">U19</f>
        <v>12472.963</v>
      </c>
      <c r="V233" s="128">
        <f t="shared" si="287"/>
        <v>12712.505999999999</v>
      </c>
      <c r="W233" s="128">
        <f t="shared" si="287"/>
        <v>12036.039000000001</v>
      </c>
      <c r="X233" s="443">
        <f t="shared" si="287"/>
        <v>23750.543000000001</v>
      </c>
      <c r="Y233" s="128">
        <f t="shared" si="287"/>
        <v>19270.316999999999</v>
      </c>
      <c r="Z233" s="128">
        <f t="shared" si="287"/>
        <v>19568.699000000001</v>
      </c>
      <c r="AA233" s="128">
        <f t="shared" si="287"/>
        <v>15301.314</v>
      </c>
      <c r="AB233" s="443">
        <f t="shared" si="287"/>
        <v>17186.807000000001</v>
      </c>
      <c r="AC233" s="128">
        <f t="shared" si="287"/>
        <v>17154.216</v>
      </c>
      <c r="AD233" s="128">
        <f t="shared" si="287"/>
        <v>23405.775000000001</v>
      </c>
      <c r="AE233" s="128">
        <f t="shared" si="287"/>
        <v>24482.003000000001</v>
      </c>
      <c r="AF233" s="531">
        <f t="shared" si="287"/>
        <v>25023.568515697109</v>
      </c>
    </row>
    <row r="235" spans="1:32" s="213" customFormat="1" x14ac:dyDescent="0.2">
      <c r="B235" s="58" t="s">
        <v>137</v>
      </c>
      <c r="C235" s="4"/>
      <c r="D235" s="355"/>
      <c r="E235" s="353"/>
      <c r="F235" s="353"/>
      <c r="G235" s="353"/>
      <c r="H235" s="353"/>
      <c r="I235" s="353"/>
      <c r="J235" s="353"/>
      <c r="K235" s="353"/>
      <c r="L235" s="353"/>
      <c r="M235" s="434"/>
      <c r="T235" s="354"/>
      <c r="X235" s="491"/>
      <c r="AB235" s="491"/>
      <c r="AF235" s="527"/>
    </row>
    <row r="236" spans="1:32" x14ac:dyDescent="0.2">
      <c r="B236" s="3" t="s">
        <v>108</v>
      </c>
      <c r="C236" s="3"/>
      <c r="D236" s="65">
        <f>SUM(D237:D244)</f>
        <v>4678.884</v>
      </c>
      <c r="E236" s="65">
        <f t="shared" ref="E236:S236" si="288">SUM(E237:E244)</f>
        <v>6030.0129999999999</v>
      </c>
      <c r="F236" s="65">
        <f t="shared" si="288"/>
        <v>5964.9979999999996</v>
      </c>
      <c r="G236" s="65">
        <f t="shared" si="288"/>
        <v>9388.9629999999997</v>
      </c>
      <c r="H236" s="65">
        <f t="shared" si="288"/>
        <v>10765.764999999999</v>
      </c>
      <c r="I236" s="65">
        <f t="shared" si="288"/>
        <v>13602.754000000001</v>
      </c>
      <c r="J236" s="65">
        <f t="shared" si="288"/>
        <v>17010.294000000002</v>
      </c>
      <c r="K236" s="65">
        <f t="shared" si="288"/>
        <v>21470.472000000002</v>
      </c>
      <c r="L236" s="65">
        <f t="shared" si="288"/>
        <v>23798.159000000003</v>
      </c>
      <c r="M236" s="468">
        <f t="shared" si="288"/>
        <v>42038.621000000006</v>
      </c>
      <c r="N236" s="65">
        <f t="shared" si="288"/>
        <v>61583.603035927517</v>
      </c>
      <c r="O236" s="65">
        <f t="shared" si="288"/>
        <v>68460.127201750816</v>
      </c>
      <c r="P236" s="65">
        <f t="shared" si="288"/>
        <v>71798.674112214445</v>
      </c>
      <c r="Q236" s="65">
        <f t="shared" si="288"/>
        <v>79206.283731850795</v>
      </c>
      <c r="R236" s="65">
        <f t="shared" si="288"/>
        <v>88134.720290152691</v>
      </c>
      <c r="S236" s="65">
        <f t="shared" si="288"/>
        <v>101331.06608225976</v>
      </c>
      <c r="U236" s="65">
        <f>SUM(U237:U244)</f>
        <v>0</v>
      </c>
      <c r="V236" s="65">
        <f t="shared" ref="V236:AF236" si="289">SUM(V237:V244)</f>
        <v>0</v>
      </c>
      <c r="W236" s="65">
        <f t="shared" si="289"/>
        <v>0</v>
      </c>
      <c r="X236" s="468">
        <f t="shared" si="289"/>
        <v>23798.159000000003</v>
      </c>
      <c r="Y236" s="65">
        <f t="shared" si="289"/>
        <v>28695.776000000002</v>
      </c>
      <c r="Z236" s="65">
        <f t="shared" si="289"/>
        <v>32559.727000000003</v>
      </c>
      <c r="AA236" s="65">
        <f t="shared" si="289"/>
        <v>35657.087</v>
      </c>
      <c r="AB236" s="468">
        <f t="shared" si="289"/>
        <v>42038.621000000006</v>
      </c>
      <c r="AC236" s="65">
        <f t="shared" si="289"/>
        <v>49955.070999999996</v>
      </c>
      <c r="AD236" s="65">
        <f t="shared" si="289"/>
        <v>54130.631000000008</v>
      </c>
      <c r="AE236" s="65">
        <f t="shared" si="289"/>
        <v>61525.64899999999</v>
      </c>
      <c r="AF236" s="523">
        <f t="shared" si="289"/>
        <v>61525.64899999999</v>
      </c>
    </row>
    <row r="237" spans="1:32" x14ac:dyDescent="0.2">
      <c r="B237" s="113" t="s">
        <v>110</v>
      </c>
      <c r="D237" s="7">
        <v>4678.884</v>
      </c>
      <c r="E237" s="7">
        <v>6030.0129999999999</v>
      </c>
      <c r="F237" s="7">
        <v>5964.9979999999996</v>
      </c>
      <c r="G237" s="7">
        <v>9388.9629999999997</v>
      </c>
      <c r="H237" s="7">
        <v>10765.764999999999</v>
      </c>
      <c r="I237" s="7">
        <v>13598.206</v>
      </c>
      <c r="J237" s="7">
        <v>16841.788</v>
      </c>
      <c r="K237" s="7">
        <v>21141.464</v>
      </c>
      <c r="L237" s="7">
        <v>22737.094000000001</v>
      </c>
      <c r="M237" s="467">
        <v>33861.385000000002</v>
      </c>
      <c r="N237" s="7">
        <f>M237/M$250*N$250</f>
        <v>49604.531321013375</v>
      </c>
      <c r="O237" s="7">
        <f t="shared" ref="O237:S237" si="290">N237/N$250*O$250</f>
        <v>55143.453072056225</v>
      </c>
      <c r="P237" s="7">
        <f t="shared" si="290"/>
        <v>57832.595094002412</v>
      </c>
      <c r="Q237" s="7">
        <f t="shared" si="290"/>
        <v>63799.297028878194</v>
      </c>
      <c r="R237" s="7">
        <f t="shared" si="290"/>
        <v>70990.998862978216</v>
      </c>
      <c r="S237" s="7">
        <f t="shared" si="290"/>
        <v>81620.428059993661</v>
      </c>
      <c r="U237" s="217"/>
      <c r="V237" s="217"/>
      <c r="W237" s="217"/>
      <c r="X237" s="505">
        <f>22737094/1000</f>
        <v>22737.094000000001</v>
      </c>
      <c r="Y237" s="217">
        <f>26672351/1000</f>
        <v>26672.350999999999</v>
      </c>
      <c r="Z237" s="217">
        <f>29298757/1000</f>
        <v>29298.757000000001</v>
      </c>
      <c r="AA237" s="217">
        <f>29150368/1000</f>
        <v>29150.367999999999</v>
      </c>
      <c r="AB237" s="505">
        <f>33861385/1000</f>
        <v>33861.385000000002</v>
      </c>
      <c r="AC237" s="217">
        <f>41054013/1000</f>
        <v>41054.012999999999</v>
      </c>
      <c r="AD237" s="217">
        <f>43354705/1000</f>
        <v>43354.705000000002</v>
      </c>
      <c r="AE237" s="217">
        <f>41604943/1000</f>
        <v>41604.942999999999</v>
      </c>
      <c r="AF237" s="511">
        <f>AE237/AE$250*AF$250</f>
        <v>41604.942999999999</v>
      </c>
    </row>
    <row r="238" spans="1:32" x14ac:dyDescent="0.2">
      <c r="B238" s="218" t="s">
        <v>111</v>
      </c>
      <c r="D238" s="19">
        <v>0</v>
      </c>
      <c r="E238" s="19">
        <v>0</v>
      </c>
      <c r="F238" s="19">
        <v>0</v>
      </c>
      <c r="G238" s="7">
        <v>0</v>
      </c>
      <c r="H238" s="7">
        <v>0</v>
      </c>
      <c r="I238" s="7">
        <v>0</v>
      </c>
      <c r="J238" s="7">
        <v>0</v>
      </c>
      <c r="K238" s="7">
        <v>0</v>
      </c>
      <c r="L238" s="7">
        <v>433.99</v>
      </c>
      <c r="M238" s="467">
        <v>7268.1220000000003</v>
      </c>
      <c r="N238" s="7">
        <f t="shared" ref="N238:S244" si="291">M238/M$250*N$250</f>
        <v>10647.284078721126</v>
      </c>
      <c r="O238" s="7">
        <f t="shared" si="291"/>
        <v>11836.176944002127</v>
      </c>
      <c r="P238" s="7">
        <f t="shared" si="291"/>
        <v>12413.383466736846</v>
      </c>
      <c r="Q238" s="7">
        <f t="shared" si="291"/>
        <v>13694.096514957208</v>
      </c>
      <c r="R238" s="7">
        <f t="shared" si="291"/>
        <v>15237.747677420371</v>
      </c>
      <c r="S238" s="7">
        <f t="shared" si="291"/>
        <v>17519.284247595227</v>
      </c>
      <c r="U238" s="219"/>
      <c r="V238" s="219"/>
      <c r="W238" s="219"/>
      <c r="X238" s="506">
        <f>433990/1000</f>
        <v>433.99</v>
      </c>
      <c r="Y238" s="217">
        <f>1175794/1000</f>
        <v>1175.7940000000001</v>
      </c>
      <c r="Z238" s="217">
        <f>2664184/1000</f>
        <v>2664.1840000000002</v>
      </c>
      <c r="AA238" s="217">
        <f>5738487/1000</f>
        <v>5738.4870000000001</v>
      </c>
      <c r="AB238" s="505">
        <f>7268122/1000</f>
        <v>7268.1220000000003</v>
      </c>
      <c r="AC238" s="217">
        <f>8166270/1000</f>
        <v>8166.27</v>
      </c>
      <c r="AD238" s="217">
        <f>9181754/1000</f>
        <v>9181.7540000000008</v>
      </c>
      <c r="AE238" s="217">
        <f>11795163/1000</f>
        <v>11795.163</v>
      </c>
      <c r="AF238" s="511">
        <f t="shared" ref="AF238:AF244" si="292">AE238/AE$250*AF$250</f>
        <v>11795.163</v>
      </c>
    </row>
    <row r="239" spans="1:32" x14ac:dyDescent="0.2">
      <c r="B239" s="218" t="s">
        <v>265</v>
      </c>
      <c r="D239" s="19"/>
      <c r="E239" s="19"/>
      <c r="F239" s="19"/>
      <c r="G239" s="7"/>
      <c r="H239" s="7"/>
      <c r="I239" s="7"/>
      <c r="J239" s="7"/>
      <c r="K239" s="7"/>
      <c r="L239" s="7"/>
      <c r="M239" s="467"/>
      <c r="N239" s="7">
        <f t="shared" si="291"/>
        <v>0</v>
      </c>
      <c r="O239" s="7">
        <f t="shared" si="291"/>
        <v>0</v>
      </c>
      <c r="P239" s="7">
        <f t="shared" si="291"/>
        <v>0</v>
      </c>
      <c r="Q239" s="7">
        <f t="shared" si="291"/>
        <v>0</v>
      </c>
      <c r="R239" s="7">
        <f t="shared" si="291"/>
        <v>0</v>
      </c>
      <c r="S239" s="7">
        <f t="shared" si="291"/>
        <v>0</v>
      </c>
      <c r="U239" s="219"/>
      <c r="V239" s="219"/>
      <c r="W239" s="219"/>
      <c r="X239" s="506">
        <v>0</v>
      </c>
      <c r="Y239" s="217">
        <v>0</v>
      </c>
      <c r="Z239" s="217">
        <v>0</v>
      </c>
      <c r="AA239" s="217">
        <v>0</v>
      </c>
      <c r="AB239" s="505">
        <v>0</v>
      </c>
      <c r="AC239" s="217">
        <v>0</v>
      </c>
      <c r="AD239" s="217">
        <f>218775/1000</f>
        <v>218.77500000000001</v>
      </c>
      <c r="AE239" s="217">
        <f>300393/1000</f>
        <v>300.39299999999997</v>
      </c>
      <c r="AF239" s="511">
        <f t="shared" si="292"/>
        <v>300.39299999999997</v>
      </c>
    </row>
    <row r="240" spans="1:32" x14ac:dyDescent="0.2">
      <c r="B240" s="218" t="s">
        <v>266</v>
      </c>
      <c r="D240" s="19"/>
      <c r="E240" s="19"/>
      <c r="F240" s="19"/>
      <c r="G240" s="7"/>
      <c r="H240" s="7"/>
      <c r="I240" s="7"/>
      <c r="J240" s="7"/>
      <c r="K240" s="7"/>
      <c r="L240" s="7"/>
      <c r="M240" s="467"/>
      <c r="N240" s="7">
        <f t="shared" si="291"/>
        <v>0</v>
      </c>
      <c r="O240" s="7">
        <f t="shared" si="291"/>
        <v>0</v>
      </c>
      <c r="P240" s="7">
        <f t="shared" si="291"/>
        <v>0</v>
      </c>
      <c r="Q240" s="7">
        <f t="shared" si="291"/>
        <v>0</v>
      </c>
      <c r="R240" s="7">
        <f t="shared" si="291"/>
        <v>0</v>
      </c>
      <c r="S240" s="7">
        <f t="shared" si="291"/>
        <v>0</v>
      </c>
      <c r="U240" s="219"/>
      <c r="V240" s="219"/>
      <c r="W240" s="219"/>
      <c r="X240" s="506">
        <v>0</v>
      </c>
      <c r="Y240" s="217">
        <v>0</v>
      </c>
      <c r="Z240" s="217">
        <v>0</v>
      </c>
      <c r="AA240" s="217">
        <v>0</v>
      </c>
      <c r="AB240" s="505">
        <v>0</v>
      </c>
      <c r="AC240" s="217">
        <v>0</v>
      </c>
      <c r="AD240" s="217">
        <f>530220/1000</f>
        <v>530.22</v>
      </c>
      <c r="AE240" s="217">
        <f>2296999/1000</f>
        <v>2296.9989999999998</v>
      </c>
      <c r="AF240" s="511">
        <f t="shared" si="292"/>
        <v>2296.9989999999998</v>
      </c>
    </row>
    <row r="241" spans="1:32" x14ac:dyDescent="0.2">
      <c r="B241" s="218" t="s">
        <v>267</v>
      </c>
      <c r="D241" s="19"/>
      <c r="E241" s="19"/>
      <c r="F241" s="19"/>
      <c r="G241" s="7"/>
      <c r="H241" s="7"/>
      <c r="I241" s="7"/>
      <c r="J241" s="7"/>
      <c r="K241" s="7"/>
      <c r="L241" s="7"/>
      <c r="M241" s="467"/>
      <c r="N241" s="7">
        <f t="shared" si="291"/>
        <v>0</v>
      </c>
      <c r="O241" s="7">
        <f t="shared" si="291"/>
        <v>0</v>
      </c>
      <c r="P241" s="7">
        <f t="shared" si="291"/>
        <v>0</v>
      </c>
      <c r="Q241" s="7">
        <f t="shared" si="291"/>
        <v>0</v>
      </c>
      <c r="R241" s="7">
        <f t="shared" si="291"/>
        <v>0</v>
      </c>
      <c r="S241" s="7">
        <f t="shared" si="291"/>
        <v>0</v>
      </c>
      <c r="U241" s="219"/>
      <c r="V241" s="219"/>
      <c r="W241" s="219"/>
      <c r="X241" s="506">
        <v>0</v>
      </c>
      <c r="Y241" s="217">
        <v>0</v>
      </c>
      <c r="Z241" s="217">
        <v>0</v>
      </c>
      <c r="AA241" s="217">
        <v>0</v>
      </c>
      <c r="AB241" s="505">
        <v>0</v>
      </c>
      <c r="AC241" s="217">
        <v>0</v>
      </c>
      <c r="AD241" s="217">
        <v>0</v>
      </c>
      <c r="AE241" s="217">
        <f>4639098/1000</f>
        <v>4639.098</v>
      </c>
      <c r="AF241" s="511">
        <f t="shared" si="292"/>
        <v>4639.098</v>
      </c>
    </row>
    <row r="242" spans="1:32" x14ac:dyDescent="0.2">
      <c r="B242" s="218" t="s">
        <v>268</v>
      </c>
      <c r="D242" s="19"/>
      <c r="E242" s="19"/>
      <c r="F242" s="19"/>
      <c r="G242" s="7"/>
      <c r="H242" s="7"/>
      <c r="I242" s="7"/>
      <c r="J242" s="7"/>
      <c r="K242" s="7"/>
      <c r="L242" s="7"/>
      <c r="M242" s="467"/>
      <c r="N242" s="7">
        <f t="shared" si="291"/>
        <v>0</v>
      </c>
      <c r="O242" s="7">
        <f t="shared" si="291"/>
        <v>0</v>
      </c>
      <c r="P242" s="7">
        <f t="shared" si="291"/>
        <v>0</v>
      </c>
      <c r="Q242" s="7">
        <f t="shared" si="291"/>
        <v>0</v>
      </c>
      <c r="R242" s="7">
        <f t="shared" si="291"/>
        <v>0</v>
      </c>
      <c r="S242" s="7">
        <f t="shared" si="291"/>
        <v>0</v>
      </c>
      <c r="U242" s="219"/>
      <c r="V242" s="219"/>
      <c r="W242" s="219"/>
      <c r="X242" s="506">
        <v>0</v>
      </c>
      <c r="Y242" s="217">
        <v>0</v>
      </c>
      <c r="Z242" s="217">
        <v>0</v>
      </c>
      <c r="AA242" s="217">
        <v>0</v>
      </c>
      <c r="AB242" s="505">
        <v>0</v>
      </c>
      <c r="AC242" s="217">
        <v>0</v>
      </c>
      <c r="AD242" s="217">
        <v>0</v>
      </c>
      <c r="AE242" s="217">
        <f>300000/1000</f>
        <v>300</v>
      </c>
      <c r="AF242" s="511">
        <f t="shared" si="292"/>
        <v>300</v>
      </c>
    </row>
    <row r="243" spans="1:32" x14ac:dyDescent="0.2">
      <c r="B243" s="2" t="s">
        <v>109</v>
      </c>
      <c r="D243" s="19">
        <v>0</v>
      </c>
      <c r="E243" s="19">
        <v>0</v>
      </c>
      <c r="F243" s="19">
        <v>0</v>
      </c>
      <c r="G243" s="7">
        <v>0</v>
      </c>
      <c r="H243" s="7">
        <v>0</v>
      </c>
      <c r="I243" s="7">
        <v>4.548</v>
      </c>
      <c r="J243" s="7">
        <v>168.506</v>
      </c>
      <c r="K243" s="7">
        <v>329.00799999999998</v>
      </c>
      <c r="L243" s="7">
        <v>627.07500000000005</v>
      </c>
      <c r="M243" s="467">
        <v>909.11400000000003</v>
      </c>
      <c r="N243" s="7">
        <f t="shared" si="291"/>
        <v>1331.7876361930189</v>
      </c>
      <c r="O243" s="7">
        <f t="shared" si="291"/>
        <v>1480.4971856924731</v>
      </c>
      <c r="P243" s="7">
        <f t="shared" si="291"/>
        <v>1552.6955514751953</v>
      </c>
      <c r="Q243" s="7">
        <f t="shared" si="291"/>
        <v>1712.8901880153917</v>
      </c>
      <c r="R243" s="7">
        <f t="shared" si="291"/>
        <v>1905.97374975411</v>
      </c>
      <c r="S243" s="7">
        <f t="shared" si="291"/>
        <v>2191.3537746708553</v>
      </c>
      <c r="AF243" s="511">
        <f t="shared" si="292"/>
        <v>0</v>
      </c>
    </row>
    <row r="244" spans="1:32" x14ac:dyDescent="0.2">
      <c r="B244" s="2" t="s">
        <v>269</v>
      </c>
      <c r="D244" s="19"/>
      <c r="E244" s="19"/>
      <c r="F244" s="19"/>
      <c r="G244" s="7"/>
      <c r="H244" s="7"/>
      <c r="I244" s="7"/>
      <c r="J244" s="7"/>
      <c r="K244" s="7"/>
      <c r="L244" s="7"/>
      <c r="M244" s="467"/>
      <c r="N244" s="7">
        <f t="shared" si="291"/>
        <v>0</v>
      </c>
      <c r="O244" s="7">
        <f t="shared" si="291"/>
        <v>0</v>
      </c>
      <c r="P244" s="7">
        <f t="shared" si="291"/>
        <v>0</v>
      </c>
      <c r="Q244" s="7">
        <f t="shared" si="291"/>
        <v>0</v>
      </c>
      <c r="R244" s="7">
        <f t="shared" si="291"/>
        <v>0</v>
      </c>
      <c r="S244" s="7">
        <f t="shared" si="291"/>
        <v>0</v>
      </c>
      <c r="U244" s="7"/>
      <c r="V244" s="7"/>
      <c r="W244" s="7"/>
      <c r="X244" s="467">
        <f>627075/1000</f>
        <v>627.07500000000005</v>
      </c>
      <c r="Y244" s="7">
        <f>847631/1000</f>
        <v>847.63099999999997</v>
      </c>
      <c r="Z244" s="7">
        <f>596786/1000</f>
        <v>596.78599999999994</v>
      </c>
      <c r="AA244" s="7">
        <f>768232/1000</f>
        <v>768.23199999999997</v>
      </c>
      <c r="AB244" s="467">
        <f>909114/1000</f>
        <v>909.11400000000003</v>
      </c>
      <c r="AC244" s="7">
        <f>734788/1000</f>
        <v>734.78800000000001</v>
      </c>
      <c r="AD244" s="7">
        <f>845177/1000</f>
        <v>845.17700000000002</v>
      </c>
      <c r="AE244" s="7">
        <f>589053/1000</f>
        <v>589.053</v>
      </c>
      <c r="AF244" s="511">
        <f t="shared" si="292"/>
        <v>589.053</v>
      </c>
    </row>
    <row r="246" spans="1:32" x14ac:dyDescent="0.2">
      <c r="B246" s="3" t="s">
        <v>112</v>
      </c>
      <c r="C246" s="3"/>
      <c r="D246" s="149">
        <f>SUM(D247:D248)</f>
        <v>1150.4119999999998</v>
      </c>
      <c r="E246" s="181">
        <f t="shared" ref="E246:S246" si="293">SUM(E247:E248)</f>
        <v>3205.9470000000001</v>
      </c>
      <c r="F246" s="181">
        <f t="shared" si="293"/>
        <v>12496.349</v>
      </c>
      <c r="G246" s="181">
        <f t="shared" si="293"/>
        <v>1986.5350000000001</v>
      </c>
      <c r="H246" s="181">
        <f t="shared" si="293"/>
        <v>4699.6530000000002</v>
      </c>
      <c r="I246" s="181">
        <f t="shared" si="293"/>
        <v>6.7969999999999997</v>
      </c>
      <c r="J246" s="131">
        <f t="shared" si="293"/>
        <v>14995.207</v>
      </c>
      <c r="K246" s="131">
        <f t="shared" si="293"/>
        <v>15342.823</v>
      </c>
      <c r="L246" s="131">
        <f t="shared" si="293"/>
        <v>12609.652</v>
      </c>
      <c r="M246" s="468">
        <f t="shared" si="293"/>
        <v>8.7690000000000001</v>
      </c>
      <c r="N246" s="65">
        <f t="shared" si="293"/>
        <v>12.845964072466801</v>
      </c>
      <c r="O246" s="65">
        <f t="shared" si="293"/>
        <v>14.280365082197937</v>
      </c>
      <c r="P246" s="65">
        <f t="shared" si="293"/>
        <v>14.976765610128089</v>
      </c>
      <c r="Q246" s="65">
        <f t="shared" si="293"/>
        <v>16.521947807103366</v>
      </c>
      <c r="R246" s="65">
        <f t="shared" si="293"/>
        <v>18.38436522987633</v>
      </c>
      <c r="S246" s="65">
        <f t="shared" si="293"/>
        <v>21.137042494218246</v>
      </c>
      <c r="U246" s="65">
        <f>SUM(U247:U248)</f>
        <v>0</v>
      </c>
      <c r="V246" s="65">
        <f t="shared" ref="V246:AF246" si="294">SUM(V247:V248)</f>
        <v>0</v>
      </c>
      <c r="W246" s="65">
        <f t="shared" si="294"/>
        <v>0</v>
      </c>
      <c r="X246" s="468">
        <f t="shared" si="294"/>
        <v>12609.652</v>
      </c>
      <c r="Y246" s="65">
        <f t="shared" si="294"/>
        <v>3849.34</v>
      </c>
      <c r="Z246" s="65">
        <f t="shared" si="294"/>
        <v>699.85599999999999</v>
      </c>
      <c r="AA246" s="65">
        <f t="shared" si="294"/>
        <v>5572.2179999999998</v>
      </c>
      <c r="AB246" s="468">
        <f t="shared" si="294"/>
        <v>8.7690000000000001</v>
      </c>
      <c r="AC246" s="65">
        <f t="shared" si="294"/>
        <v>362.40600000000001</v>
      </c>
      <c r="AD246" s="65">
        <f t="shared" si="294"/>
        <v>15.811999999999999</v>
      </c>
      <c r="AE246" s="65">
        <f t="shared" si="294"/>
        <v>70.8</v>
      </c>
      <c r="AF246" s="523">
        <f t="shared" si="294"/>
        <v>70.8</v>
      </c>
    </row>
    <row r="247" spans="1:32" x14ac:dyDescent="0.2">
      <c r="B247" s="2" t="s">
        <v>113</v>
      </c>
      <c r="D247" s="49">
        <v>83.802999999999997</v>
      </c>
      <c r="E247" s="49">
        <v>5.9470000000000001</v>
      </c>
      <c r="F247" s="49">
        <v>6.3490000000000002</v>
      </c>
      <c r="G247" s="49">
        <v>9.5350000000000001</v>
      </c>
      <c r="H247" s="49">
        <v>99.653000000000006</v>
      </c>
      <c r="I247" s="49">
        <v>6.7969999999999997</v>
      </c>
      <c r="J247" s="49">
        <v>295.20699999999999</v>
      </c>
      <c r="K247" s="49">
        <v>492.82299999999998</v>
      </c>
      <c r="L247" s="49">
        <v>409.65199999999999</v>
      </c>
      <c r="M247" s="423">
        <v>8.7690000000000001</v>
      </c>
      <c r="N247" s="7">
        <f t="shared" ref="N247:S248" si="295">M247/M$250*N$250</f>
        <v>12.845964072466801</v>
      </c>
      <c r="O247" s="7">
        <f t="shared" si="295"/>
        <v>14.280365082197937</v>
      </c>
      <c r="P247" s="7">
        <f t="shared" si="295"/>
        <v>14.976765610128089</v>
      </c>
      <c r="Q247" s="7">
        <f t="shared" si="295"/>
        <v>16.521947807103366</v>
      </c>
      <c r="R247" s="7">
        <f t="shared" si="295"/>
        <v>18.38436522987633</v>
      </c>
      <c r="S247" s="7">
        <f t="shared" si="295"/>
        <v>21.137042494218246</v>
      </c>
      <c r="U247" s="7" t="s">
        <v>172</v>
      </c>
      <c r="V247" s="7"/>
      <c r="W247" s="7"/>
      <c r="X247" s="467">
        <f>409652/1000</f>
        <v>409.65199999999999</v>
      </c>
      <c r="Y247" s="49">
        <f>349340/1000</f>
        <v>349.34</v>
      </c>
      <c r="Z247" s="49">
        <f>49856/1000</f>
        <v>49.856000000000002</v>
      </c>
      <c r="AA247" s="49">
        <f>1372218/1000</f>
        <v>1372.2180000000001</v>
      </c>
      <c r="AB247" s="467">
        <f>8769/1000</f>
        <v>8.7690000000000001</v>
      </c>
      <c r="AC247" s="49">
        <f>362406/1000</f>
        <v>362.40600000000001</v>
      </c>
      <c r="AD247" s="49">
        <f>15812/1000</f>
        <v>15.811999999999999</v>
      </c>
      <c r="AE247" s="49">
        <f>70800/1000</f>
        <v>70.8</v>
      </c>
      <c r="AF247" s="529">
        <f>AE247/AE$250*AF$250</f>
        <v>70.8</v>
      </c>
    </row>
    <row r="248" spans="1:32" x14ac:dyDescent="0.2">
      <c r="B248" s="2" t="s">
        <v>114</v>
      </c>
      <c r="D248" s="49">
        <v>1066.6089999999999</v>
      </c>
      <c r="E248" s="49">
        <v>3200</v>
      </c>
      <c r="F248" s="49">
        <v>12490</v>
      </c>
      <c r="G248" s="49">
        <v>1977</v>
      </c>
      <c r="H248" s="49">
        <v>4600</v>
      </c>
      <c r="I248" s="49">
        <v>0</v>
      </c>
      <c r="J248" s="49">
        <v>14700</v>
      </c>
      <c r="K248" s="49">
        <v>14850</v>
      </c>
      <c r="L248" s="49">
        <v>12200</v>
      </c>
      <c r="M248" s="467">
        <v>0</v>
      </c>
      <c r="N248" s="7">
        <f t="shared" si="295"/>
        <v>0</v>
      </c>
      <c r="O248" s="7">
        <f t="shared" si="295"/>
        <v>0</v>
      </c>
      <c r="P248" s="7">
        <f t="shared" si="295"/>
        <v>0</v>
      </c>
      <c r="Q248" s="7">
        <f t="shared" si="295"/>
        <v>0</v>
      </c>
      <c r="R248" s="7">
        <f t="shared" si="295"/>
        <v>0</v>
      </c>
      <c r="S248" s="7">
        <f t="shared" si="295"/>
        <v>0</v>
      </c>
      <c r="U248" s="7"/>
      <c r="V248" s="7"/>
      <c r="W248" s="7"/>
      <c r="X248" s="467">
        <f>12200000/1000</f>
        <v>12200</v>
      </c>
      <c r="Y248" s="49">
        <f>3500000/1000</f>
        <v>3500</v>
      </c>
      <c r="Z248" s="49">
        <f>650000/1000</f>
        <v>650</v>
      </c>
      <c r="AA248" s="49">
        <f>4200000/1000</f>
        <v>4200</v>
      </c>
      <c r="AB248" s="467">
        <v>0</v>
      </c>
      <c r="AC248" s="49">
        <v>0</v>
      </c>
      <c r="AD248" s="49">
        <v>0</v>
      </c>
      <c r="AE248" s="49">
        <v>0</v>
      </c>
    </row>
    <row r="250" spans="1:32" x14ac:dyDescent="0.2">
      <c r="B250" s="3" t="s">
        <v>99</v>
      </c>
      <c r="C250" s="3"/>
      <c r="D250" s="64">
        <f t="shared" ref="D250:M250" si="296">D236+D246</f>
        <v>5829.2960000000003</v>
      </c>
      <c r="E250" s="131">
        <f t="shared" si="296"/>
        <v>9235.9599999999991</v>
      </c>
      <c r="F250" s="131">
        <f t="shared" si="296"/>
        <v>18461.347000000002</v>
      </c>
      <c r="G250" s="131">
        <f t="shared" si="296"/>
        <v>11375.498</v>
      </c>
      <c r="H250" s="131">
        <f t="shared" si="296"/>
        <v>15465.418</v>
      </c>
      <c r="I250" s="131">
        <f t="shared" si="296"/>
        <v>13609.551000000001</v>
      </c>
      <c r="J250" s="131">
        <f t="shared" si="296"/>
        <v>32005.501000000004</v>
      </c>
      <c r="K250" s="131">
        <f t="shared" si="296"/>
        <v>36813.294999999998</v>
      </c>
      <c r="L250" s="131">
        <f t="shared" si="296"/>
        <v>36407.811000000002</v>
      </c>
      <c r="M250" s="468">
        <f t="shared" si="296"/>
        <v>42047.390000000007</v>
      </c>
      <c r="N250" s="65">
        <f>AF250*(1+'Adj from Unconsol to Consol'!F19)</f>
        <v>61596.448999999993</v>
      </c>
      <c r="O250" s="65">
        <f>O267*Assumptions!O50</f>
        <v>68474.407566833033</v>
      </c>
      <c r="P250" s="65">
        <f>P267*Assumptions!P50</f>
        <v>71813.650877824592</v>
      </c>
      <c r="Q250" s="65">
        <f>Q267*Assumptions!Q50</f>
        <v>79222.805679657904</v>
      </c>
      <c r="R250" s="65">
        <f>R267*Assumptions!R50</f>
        <v>88153.104655382587</v>
      </c>
      <c r="S250" s="65">
        <f>S267*Assumptions!S50</f>
        <v>101352.20312475397</v>
      </c>
      <c r="U250" s="65">
        <f>U236+U246</f>
        <v>0</v>
      </c>
      <c r="V250" s="65">
        <f t="shared" ref="V250:AE250" si="297">V236+V246</f>
        <v>0</v>
      </c>
      <c r="W250" s="65">
        <f t="shared" si="297"/>
        <v>0</v>
      </c>
      <c r="X250" s="468">
        <f t="shared" si="297"/>
        <v>36407.811000000002</v>
      </c>
      <c r="Y250" s="65">
        <f t="shared" si="297"/>
        <v>32545.116000000002</v>
      </c>
      <c r="Z250" s="65">
        <f t="shared" si="297"/>
        <v>33259.583000000006</v>
      </c>
      <c r="AA250" s="65">
        <f t="shared" si="297"/>
        <v>41229.305</v>
      </c>
      <c r="AB250" s="468">
        <f t="shared" si="297"/>
        <v>42047.390000000007</v>
      </c>
      <c r="AC250" s="65">
        <f t="shared" si="297"/>
        <v>50317.476999999999</v>
      </c>
      <c r="AD250" s="65">
        <f t="shared" si="297"/>
        <v>54146.443000000007</v>
      </c>
      <c r="AE250" s="65">
        <f t="shared" si="297"/>
        <v>61596.448999999993</v>
      </c>
      <c r="AF250" s="523">
        <f>AE250</f>
        <v>61596.448999999993</v>
      </c>
    </row>
    <row r="252" spans="1:32" s="123" customFormat="1" x14ac:dyDescent="0.2">
      <c r="A252" s="122"/>
      <c r="B252" s="123" t="s">
        <v>101</v>
      </c>
      <c r="D252" s="124">
        <f>D250</f>
        <v>5829.2960000000003</v>
      </c>
      <c r="E252" s="125">
        <f t="shared" ref="E252:M252" si="298">E250</f>
        <v>9235.9599999999991</v>
      </c>
      <c r="F252" s="125">
        <f t="shared" si="298"/>
        <v>18461.347000000002</v>
      </c>
      <c r="G252" s="125">
        <f t="shared" si="298"/>
        <v>11375.498</v>
      </c>
      <c r="H252" s="125">
        <f t="shared" si="298"/>
        <v>15465.418</v>
      </c>
      <c r="I252" s="125">
        <f t="shared" si="298"/>
        <v>13609.551000000001</v>
      </c>
      <c r="J252" s="125">
        <f t="shared" si="298"/>
        <v>32005.501000000004</v>
      </c>
      <c r="K252" s="125">
        <f t="shared" si="298"/>
        <v>36813.294999999998</v>
      </c>
      <c r="L252" s="125">
        <f t="shared" si="298"/>
        <v>36407.811000000002</v>
      </c>
      <c r="M252" s="437">
        <f t="shared" si="298"/>
        <v>42047.390000000007</v>
      </c>
      <c r="N252" s="126">
        <f t="shared" ref="N252:S252" si="299">N250</f>
        <v>61596.448999999993</v>
      </c>
      <c r="O252" s="126">
        <f t="shared" si="299"/>
        <v>68474.407566833033</v>
      </c>
      <c r="P252" s="126">
        <f t="shared" si="299"/>
        <v>71813.650877824592</v>
      </c>
      <c r="Q252" s="126">
        <f t="shared" si="299"/>
        <v>79222.805679657904</v>
      </c>
      <c r="R252" s="126">
        <f t="shared" si="299"/>
        <v>88153.104655382587</v>
      </c>
      <c r="S252" s="126">
        <f t="shared" si="299"/>
        <v>101352.20312475397</v>
      </c>
      <c r="T252" s="421"/>
      <c r="U252" s="126">
        <f>U250</f>
        <v>0</v>
      </c>
      <c r="V252" s="126">
        <f t="shared" ref="V252:AE252" si="300">V250</f>
        <v>0</v>
      </c>
      <c r="W252" s="126">
        <f t="shared" si="300"/>
        <v>0</v>
      </c>
      <c r="X252" s="437">
        <f t="shared" si="300"/>
        <v>36407.811000000002</v>
      </c>
      <c r="Y252" s="126">
        <f t="shared" si="300"/>
        <v>32545.116000000002</v>
      </c>
      <c r="Z252" s="126">
        <f t="shared" si="300"/>
        <v>33259.583000000006</v>
      </c>
      <c r="AA252" s="126">
        <f t="shared" si="300"/>
        <v>41229.305</v>
      </c>
      <c r="AB252" s="437">
        <f t="shared" si="300"/>
        <v>42047.390000000007</v>
      </c>
      <c r="AC252" s="126">
        <f t="shared" si="300"/>
        <v>50317.476999999999</v>
      </c>
      <c r="AD252" s="126">
        <f t="shared" si="300"/>
        <v>54146.443000000007</v>
      </c>
      <c r="AE252" s="126">
        <f t="shared" si="300"/>
        <v>61596.448999999993</v>
      </c>
      <c r="AF252" s="530">
        <f t="shared" ref="AF252" si="301">AF250</f>
        <v>61596.448999999993</v>
      </c>
    </row>
    <row r="253" spans="1:32" s="89" customFormat="1" x14ac:dyDescent="0.2">
      <c r="A253" s="88"/>
      <c r="B253" s="89" t="s">
        <v>102</v>
      </c>
      <c r="D253" s="95">
        <f t="shared" ref="D253:S253" si="302">D20</f>
        <v>5829.2960000000003</v>
      </c>
      <c r="E253" s="128">
        <f t="shared" si="302"/>
        <v>9235.9599999999991</v>
      </c>
      <c r="F253" s="128">
        <f t="shared" si="302"/>
        <v>18461.347000000002</v>
      </c>
      <c r="G253" s="128">
        <f t="shared" si="302"/>
        <v>11375.498</v>
      </c>
      <c r="H253" s="128">
        <f t="shared" si="302"/>
        <v>15465.418</v>
      </c>
      <c r="I253" s="128">
        <f t="shared" si="302"/>
        <v>13609.550999999999</v>
      </c>
      <c r="J253" s="128">
        <f t="shared" si="302"/>
        <v>32005.501</v>
      </c>
      <c r="K253" s="128">
        <f t="shared" si="302"/>
        <v>36813.294999999998</v>
      </c>
      <c r="L253" s="128">
        <f t="shared" si="302"/>
        <v>36407.811000000002</v>
      </c>
      <c r="M253" s="438">
        <f t="shared" si="302"/>
        <v>42047.39</v>
      </c>
      <c r="N253" s="129">
        <f t="shared" si="302"/>
        <v>61596.448999999993</v>
      </c>
      <c r="O253" s="129">
        <f t="shared" si="302"/>
        <v>68474.407566833033</v>
      </c>
      <c r="P253" s="129">
        <f t="shared" si="302"/>
        <v>71813.650877824592</v>
      </c>
      <c r="Q253" s="129">
        <f t="shared" si="302"/>
        <v>79222.805679657904</v>
      </c>
      <c r="R253" s="129">
        <f t="shared" si="302"/>
        <v>88153.104655382587</v>
      </c>
      <c r="S253" s="129">
        <f t="shared" si="302"/>
        <v>101352.20312475397</v>
      </c>
      <c r="T253" s="419"/>
      <c r="U253" s="129">
        <f t="shared" ref="U253:AF253" si="303">U20</f>
        <v>23321.249</v>
      </c>
      <c r="V253" s="129">
        <f t="shared" si="303"/>
        <v>42258.466999999997</v>
      </c>
      <c r="W253" s="129">
        <f t="shared" si="303"/>
        <v>41898.436999999998</v>
      </c>
      <c r="X253" s="438">
        <f t="shared" si="303"/>
        <v>36407.811000000002</v>
      </c>
      <c r="Y253" s="129">
        <f t="shared" si="303"/>
        <v>32545.116000000002</v>
      </c>
      <c r="Z253" s="129">
        <f t="shared" si="303"/>
        <v>33259.582999999999</v>
      </c>
      <c r="AA253" s="129">
        <f t="shared" si="303"/>
        <v>41229.305</v>
      </c>
      <c r="AB253" s="438">
        <f t="shared" si="303"/>
        <v>42047.39</v>
      </c>
      <c r="AC253" s="129">
        <f t="shared" si="303"/>
        <v>50317.476999999999</v>
      </c>
      <c r="AD253" s="129">
        <f t="shared" si="303"/>
        <v>54146.442999999999</v>
      </c>
      <c r="AE253" s="129">
        <f t="shared" si="303"/>
        <v>61596.449000000001</v>
      </c>
      <c r="AF253" s="531">
        <f t="shared" si="303"/>
        <v>61596.448999999993</v>
      </c>
    </row>
    <row r="255" spans="1:32" s="213" customFormat="1" x14ac:dyDescent="0.2">
      <c r="B255" s="58" t="s">
        <v>138</v>
      </c>
      <c r="C255" s="4"/>
      <c r="D255" s="355"/>
      <c r="E255" s="353"/>
      <c r="F255" s="353"/>
      <c r="G255" s="353"/>
      <c r="H255" s="353"/>
      <c r="I255" s="353"/>
      <c r="J255" s="353"/>
      <c r="K255" s="353"/>
      <c r="L255" s="353"/>
      <c r="M255" s="434"/>
      <c r="T255" s="354"/>
      <c r="X255" s="491"/>
      <c r="AB255" s="491"/>
      <c r="AF255" s="527"/>
    </row>
    <row r="257" spans="1:99" x14ac:dyDescent="0.2">
      <c r="B257" s="3" t="s">
        <v>115</v>
      </c>
      <c r="C257" s="3"/>
      <c r="D257" s="64">
        <f>SUM(D258:D261)</f>
        <v>130543.71800000001</v>
      </c>
      <c r="E257" s="131">
        <f t="shared" ref="E257:S257" si="304">SUM(E258:E261)</f>
        <v>169484.23</v>
      </c>
      <c r="F257" s="131">
        <f t="shared" si="304"/>
        <v>230166.671</v>
      </c>
      <c r="G257" s="131">
        <f t="shared" si="304"/>
        <v>280373.36799999996</v>
      </c>
      <c r="H257" s="131">
        <f t="shared" si="304"/>
        <v>375670.27500000002</v>
      </c>
      <c r="I257" s="131">
        <f t="shared" si="304"/>
        <v>465674.02399999998</v>
      </c>
      <c r="J257" s="131">
        <f t="shared" si="304"/>
        <v>559740.60899999994</v>
      </c>
      <c r="K257" s="131">
        <f t="shared" si="304"/>
        <v>667947.91300000006</v>
      </c>
      <c r="L257" s="131">
        <f t="shared" si="304"/>
        <v>775141.17600000009</v>
      </c>
      <c r="M257" s="468">
        <f t="shared" si="304"/>
        <v>925051.97199999995</v>
      </c>
      <c r="N257" s="65">
        <f t="shared" si="304"/>
        <v>1105671.7746512683</v>
      </c>
      <c r="O257" s="65">
        <f t="shared" si="304"/>
        <v>1229132.8633670835</v>
      </c>
      <c r="P257" s="65">
        <f t="shared" si="304"/>
        <v>1386175.1412633862</v>
      </c>
      <c r="Q257" s="65">
        <f t="shared" si="304"/>
        <v>1559824.0547095502</v>
      </c>
      <c r="R257" s="65">
        <f t="shared" si="304"/>
        <v>1764353.8499718136</v>
      </c>
      <c r="S257" s="65">
        <f t="shared" si="304"/>
        <v>2001564.7104677849</v>
      </c>
      <c r="U257" s="65">
        <f>SUM(U258:U261)</f>
        <v>665830.79</v>
      </c>
      <c r="V257" s="65">
        <f t="shared" ref="V257:AF257" si="305">SUM(V258:V261)</f>
        <v>702958.40500000003</v>
      </c>
      <c r="W257" s="65">
        <f t="shared" si="305"/>
        <v>706794.93900000001</v>
      </c>
      <c r="X257" s="468">
        <f t="shared" si="305"/>
        <v>775141.17600000009</v>
      </c>
      <c r="Y257" s="65">
        <f t="shared" si="305"/>
        <v>761857.22199999995</v>
      </c>
      <c r="Z257" s="65">
        <f t="shared" si="305"/>
        <v>831047.2350000001</v>
      </c>
      <c r="AA257" s="65">
        <f t="shared" si="305"/>
        <v>827002.01599999995</v>
      </c>
      <c r="AB257" s="468">
        <f t="shared" si="305"/>
        <v>925051.97199999995</v>
      </c>
      <c r="AC257" s="65">
        <f t="shared" si="305"/>
        <v>919898.50000000012</v>
      </c>
      <c r="AD257" s="65">
        <f t="shared" si="305"/>
        <v>1038785.0919999999</v>
      </c>
      <c r="AE257" s="65">
        <f t="shared" si="305"/>
        <v>1084418.1460000002</v>
      </c>
      <c r="AF257" s="523">
        <f t="shared" si="305"/>
        <v>1108406.5211533643</v>
      </c>
    </row>
    <row r="258" spans="1:99" x14ac:dyDescent="0.2">
      <c r="B258" s="220" t="s">
        <v>116</v>
      </c>
      <c r="D258" s="7">
        <v>44517.241000000002</v>
      </c>
      <c r="E258" s="19">
        <v>58552.349000000002</v>
      </c>
      <c r="F258" s="7">
        <v>78485.381999999998</v>
      </c>
      <c r="G258" s="7">
        <v>89052.436000000002</v>
      </c>
      <c r="H258" s="7">
        <v>107700.592</v>
      </c>
      <c r="I258" s="7">
        <v>131769.647</v>
      </c>
      <c r="J258" s="7">
        <v>141796.08499999999</v>
      </c>
      <c r="K258" s="7">
        <v>167981.117</v>
      </c>
      <c r="L258" s="7">
        <v>207117.755</v>
      </c>
      <c r="M258" s="423">
        <v>241845.88699999999</v>
      </c>
      <c r="N258" s="638">
        <f>M258/M$267*N$267</f>
        <v>289067.18667197227</v>
      </c>
      <c r="O258" s="7">
        <f>N258/N$267*O$267</f>
        <v>321344.89367032243</v>
      </c>
      <c r="P258" s="7">
        <f t="shared" ref="P258:S258" si="306">O258/O$267*P$267</f>
        <v>362402.0776382864</v>
      </c>
      <c r="Q258" s="7">
        <f t="shared" si="306"/>
        <v>407800.90577999188</v>
      </c>
      <c r="R258" s="7">
        <f t="shared" si="306"/>
        <v>461273.24165987311</v>
      </c>
      <c r="S258" s="7">
        <f t="shared" si="306"/>
        <v>523289.72581335099</v>
      </c>
      <c r="U258" s="7">
        <f>162716857/1000</f>
        <v>162716.85699999999</v>
      </c>
      <c r="V258" s="7">
        <f>(164730796/1000)</f>
        <v>164730.796</v>
      </c>
      <c r="W258" s="7">
        <f>171389952/1000</f>
        <v>171389.95199999999</v>
      </c>
      <c r="X258" s="467">
        <f>207117755/1000</f>
        <v>207117.755</v>
      </c>
      <c r="Y258" s="7">
        <f>192439521/1000</f>
        <v>192439.52100000001</v>
      </c>
      <c r="Z258" s="7">
        <f>212097399/1000</f>
        <v>212097.399</v>
      </c>
      <c r="AA258" s="7">
        <f>232698860/1000</f>
        <v>232698.86</v>
      </c>
      <c r="AB258" s="467">
        <f>241845887/1000</f>
        <v>241845.88699999999</v>
      </c>
      <c r="AC258" s="7">
        <f>253318108/1000</f>
        <v>253318.10800000001</v>
      </c>
      <c r="AD258" s="7">
        <f>256443999/1000</f>
        <v>256443.99900000001</v>
      </c>
      <c r="AE258" s="7">
        <f>250742219/1000</f>
        <v>250742.21900000001</v>
      </c>
      <c r="AF258" s="511">
        <f>AE258/AE$267*AF$267</f>
        <v>256288.87868874246</v>
      </c>
    </row>
    <row r="259" spans="1:99" x14ac:dyDescent="0.2">
      <c r="B259" s="2" t="s">
        <v>117</v>
      </c>
      <c r="D259" s="7">
        <v>48406.231</v>
      </c>
      <c r="E259" s="19">
        <v>62661.326999999997</v>
      </c>
      <c r="F259" s="7">
        <v>91561.144</v>
      </c>
      <c r="G259" s="7">
        <v>108398.04300000001</v>
      </c>
      <c r="H259" s="7">
        <v>149365.05799999999</v>
      </c>
      <c r="I259" s="7">
        <v>184622.913</v>
      </c>
      <c r="J259" s="7">
        <v>220228.372</v>
      </c>
      <c r="K259" s="7">
        <v>258421.15299999999</v>
      </c>
      <c r="L259" s="7">
        <v>279200.57900000003</v>
      </c>
      <c r="M259" s="423">
        <v>345373.92499999999</v>
      </c>
      <c r="N259" s="7">
        <f t="shared" ref="N259:N262" si="307">M259/M$267*N$267</f>
        <v>412809.4551783994</v>
      </c>
      <c r="O259" s="7">
        <f t="shared" ref="O259:S261" si="308">N259/N$267*O$267</f>
        <v>458904.42290476878</v>
      </c>
      <c r="P259" s="7">
        <f t="shared" si="308"/>
        <v>517537.13711943227</v>
      </c>
      <c r="Q259" s="7">
        <f t="shared" si="308"/>
        <v>582370.04232282436</v>
      </c>
      <c r="R259" s="7">
        <f t="shared" si="308"/>
        <v>658732.51741322316</v>
      </c>
      <c r="S259" s="7">
        <f t="shared" si="308"/>
        <v>747296.6721006541</v>
      </c>
      <c r="U259" s="7">
        <f>257678768/1000</f>
        <v>257678.76800000001</v>
      </c>
      <c r="V259" s="7">
        <f>(275491910/1000)</f>
        <v>275491.90999999997</v>
      </c>
      <c r="W259" s="7">
        <f>273522502/1000</f>
        <v>273522.50199999998</v>
      </c>
      <c r="X259" s="467">
        <f>279200579/1000</f>
        <v>279200.57900000003</v>
      </c>
      <c r="Y259" s="7">
        <f>294320703/1000</f>
        <v>294320.70299999998</v>
      </c>
      <c r="Z259" s="7">
        <f>317074630/1000</f>
        <v>317074.63</v>
      </c>
      <c r="AA259" s="7">
        <f>309053611/1000</f>
        <v>309053.61099999998</v>
      </c>
      <c r="AB259" s="467">
        <f>345373925/1000</f>
        <v>345373.92499999999</v>
      </c>
      <c r="AC259" s="7">
        <f>346470408/1000</f>
        <v>346470.408</v>
      </c>
      <c r="AD259" s="7">
        <f>386509268/1000</f>
        <v>386509.26799999998</v>
      </c>
      <c r="AE259" s="7">
        <f>421886086/1000</f>
        <v>421886.08600000001</v>
      </c>
      <c r="AF259" s="511">
        <f t="shared" ref="AF259:AF261" si="309">AE259/AE$267*AF$267</f>
        <v>431218.61307019211</v>
      </c>
    </row>
    <row r="260" spans="1:99" x14ac:dyDescent="0.2">
      <c r="B260" s="2" t="s">
        <v>118</v>
      </c>
      <c r="D260" s="7">
        <v>36970.326000000001</v>
      </c>
      <c r="E260" s="19">
        <v>47587.663</v>
      </c>
      <c r="F260" s="7">
        <v>59437.682999999997</v>
      </c>
      <c r="G260" s="7">
        <v>82314.327000000005</v>
      </c>
      <c r="H260" s="7">
        <v>117999.20600000001</v>
      </c>
      <c r="I260" s="7">
        <v>148226.20199999999</v>
      </c>
      <c r="J260" s="7">
        <v>195597.883</v>
      </c>
      <c r="K260" s="7">
        <v>236032.29300000001</v>
      </c>
      <c r="L260" s="7">
        <v>283445.65700000001</v>
      </c>
      <c r="M260" s="423">
        <v>332874.30300000001</v>
      </c>
      <c r="N260" s="7">
        <f t="shared" si="307"/>
        <v>397869.23597176437</v>
      </c>
      <c r="O260" s="7">
        <f t="shared" si="308"/>
        <v>442295.9547917294</v>
      </c>
      <c r="P260" s="7">
        <f t="shared" si="308"/>
        <v>498806.65946407639</v>
      </c>
      <c r="Q260" s="7">
        <f t="shared" si="308"/>
        <v>561293.16052533686</v>
      </c>
      <c r="R260" s="7">
        <f t="shared" si="308"/>
        <v>634891.95832419023</v>
      </c>
      <c r="S260" s="7">
        <f t="shared" si="308"/>
        <v>720250.83787007013</v>
      </c>
      <c r="U260" s="7">
        <f>241750741/1000</f>
        <v>241750.74100000001</v>
      </c>
      <c r="V260" s="7">
        <f>(258844847/1000)</f>
        <v>258844.84700000001</v>
      </c>
      <c r="W260" s="7">
        <f>258457460/1000</f>
        <v>258457.46</v>
      </c>
      <c r="X260" s="467">
        <f>283445657/1000</f>
        <v>283445.65700000001</v>
      </c>
      <c r="Y260" s="7">
        <f>271175429/1000</f>
        <v>271175.429</v>
      </c>
      <c r="Z260" s="7">
        <f>297772085/1000</f>
        <v>297772.08500000002</v>
      </c>
      <c r="AA260" s="7">
        <f>281174604/1000</f>
        <v>281174.60399999999</v>
      </c>
      <c r="AB260" s="467">
        <f>332874303/1000</f>
        <v>332874.30300000001</v>
      </c>
      <c r="AC260" s="7">
        <f>314623374/1000</f>
        <v>314623.37400000001</v>
      </c>
      <c r="AD260" s="7">
        <f>389661095/1000</f>
        <v>389661.09499999997</v>
      </c>
      <c r="AE260" s="7">
        <f>403927802/1000</f>
        <v>403927.80200000003</v>
      </c>
      <c r="AF260" s="511">
        <f t="shared" si="309"/>
        <v>412863.07450995478</v>
      </c>
    </row>
    <row r="261" spans="1:99" x14ac:dyDescent="0.2">
      <c r="B261" s="2" t="s">
        <v>119</v>
      </c>
      <c r="D261" s="7">
        <v>649.91999999999996</v>
      </c>
      <c r="E261" s="19">
        <v>682.89099999999996</v>
      </c>
      <c r="F261" s="7">
        <v>682.46199999999999</v>
      </c>
      <c r="G261" s="7">
        <v>608.56200000000001</v>
      </c>
      <c r="H261" s="7">
        <v>605.41899999999998</v>
      </c>
      <c r="I261" s="7">
        <v>1055.2619999999999</v>
      </c>
      <c r="J261" s="7">
        <v>2118.2689999999998</v>
      </c>
      <c r="K261" s="7">
        <v>5513.35</v>
      </c>
      <c r="L261" s="7">
        <v>5377.1850000000004</v>
      </c>
      <c r="M261" s="423">
        <v>4957.857</v>
      </c>
      <c r="N261" s="7">
        <f t="shared" si="307"/>
        <v>5925.8968291321171</v>
      </c>
      <c r="O261" s="7">
        <f t="shared" si="308"/>
        <v>6587.5920002628109</v>
      </c>
      <c r="P261" s="7">
        <f t="shared" si="308"/>
        <v>7429.2670415913326</v>
      </c>
      <c r="Q261" s="7">
        <f t="shared" si="308"/>
        <v>8359.9460813971727</v>
      </c>
      <c r="R261" s="7">
        <f t="shared" si="308"/>
        <v>9456.1325745270733</v>
      </c>
      <c r="S261" s="7">
        <f t="shared" si="308"/>
        <v>10727.474683709643</v>
      </c>
      <c r="U261" s="7">
        <f>3684424/1000</f>
        <v>3684.424</v>
      </c>
      <c r="V261" s="7">
        <f>3890852/1000</f>
        <v>3890.8519999999999</v>
      </c>
      <c r="W261" s="7">
        <f>3425025/1000</f>
        <v>3425.0250000000001</v>
      </c>
      <c r="X261" s="467">
        <f>5377185/1000</f>
        <v>5377.1850000000004</v>
      </c>
      <c r="Y261" s="7">
        <f>3921569/1000</f>
        <v>3921.569</v>
      </c>
      <c r="Z261" s="7">
        <f>4103121/1000</f>
        <v>4103.1210000000001</v>
      </c>
      <c r="AA261" s="7">
        <f>4074941/1000</f>
        <v>4074.9409999999998</v>
      </c>
      <c r="AB261" s="467">
        <f>4957857/1000</f>
        <v>4957.857</v>
      </c>
      <c r="AC261" s="7">
        <f>5486610/1000</f>
        <v>5486.61</v>
      </c>
      <c r="AD261" s="7">
        <f>6170730/1000</f>
        <v>6170.73</v>
      </c>
      <c r="AE261" s="7">
        <f>7862039/1000</f>
        <v>7862.0389999999998</v>
      </c>
      <c r="AF261" s="511">
        <f t="shared" si="309"/>
        <v>8035.954884475047</v>
      </c>
    </row>
    <row r="262" spans="1:99" x14ac:dyDescent="0.2">
      <c r="N262" s="2">
        <f t="shared" si="307"/>
        <v>0</v>
      </c>
    </row>
    <row r="263" spans="1:99" x14ac:dyDescent="0.2">
      <c r="B263" s="3" t="s">
        <v>120</v>
      </c>
      <c r="C263" s="3"/>
      <c r="D263" s="64">
        <f>SUM(D264:D265)</f>
        <v>524.27800000000002</v>
      </c>
      <c r="E263" s="131">
        <f t="shared" ref="E263:S263" si="310">SUM(E264:E265)</f>
        <v>538.25600000000009</v>
      </c>
      <c r="F263" s="131">
        <f t="shared" si="310"/>
        <v>259.315</v>
      </c>
      <c r="G263" s="131">
        <f t="shared" si="310"/>
        <v>9437.1509999999998</v>
      </c>
      <c r="H263" s="131">
        <f t="shared" si="310"/>
        <v>4751.2939999999999</v>
      </c>
      <c r="I263" s="131">
        <f t="shared" si="310"/>
        <v>6146.9349999999995</v>
      </c>
      <c r="J263" s="131">
        <f t="shared" si="310"/>
        <v>4259.2430000000004</v>
      </c>
      <c r="K263" s="131">
        <f t="shared" si="310"/>
        <v>5232.3969999999999</v>
      </c>
      <c r="L263" s="131">
        <f t="shared" si="310"/>
        <v>10303.415999999999</v>
      </c>
      <c r="M263" s="468">
        <f t="shared" si="310"/>
        <v>7516.7929999999997</v>
      </c>
      <c r="N263" s="65">
        <f t="shared" si="310"/>
        <v>8984.4745025809534</v>
      </c>
      <c r="O263" s="65">
        <f t="shared" si="310"/>
        <v>9987.6953761335772</v>
      </c>
      <c r="P263" s="65">
        <f t="shared" si="310"/>
        <v>11263.790483139073</v>
      </c>
      <c r="Q263" s="65">
        <f t="shared" si="310"/>
        <v>12674.82789136994</v>
      </c>
      <c r="R263" s="65">
        <f t="shared" si="310"/>
        <v>14336.797358874426</v>
      </c>
      <c r="S263" s="65">
        <f t="shared" si="310"/>
        <v>16264.32682713234</v>
      </c>
      <c r="U263" s="65">
        <f>SUM(U264:U265)</f>
        <v>3727.9470000000001</v>
      </c>
      <c r="V263" s="65">
        <f t="shared" ref="V263:AF263" si="311">SUM(V264:V265)</f>
        <v>4338.1059999999998</v>
      </c>
      <c r="W263" s="65">
        <f t="shared" si="311"/>
        <v>4442.4009999999998</v>
      </c>
      <c r="X263" s="468">
        <f t="shared" si="311"/>
        <v>10303.415999999999</v>
      </c>
      <c r="Y263" s="65">
        <f t="shared" si="311"/>
        <v>7624.7380000000003</v>
      </c>
      <c r="Z263" s="65">
        <f t="shared" si="311"/>
        <v>10754.07</v>
      </c>
      <c r="AA263" s="65">
        <f t="shared" si="311"/>
        <v>11924.339</v>
      </c>
      <c r="AB263" s="468">
        <f t="shared" si="311"/>
        <v>7527.1419999999998</v>
      </c>
      <c r="AC263" s="65">
        <f t="shared" si="311"/>
        <v>8490.8259999999991</v>
      </c>
      <c r="AD263" s="65">
        <f t="shared" si="311"/>
        <v>6634.4610000000002</v>
      </c>
      <c r="AE263" s="65">
        <f t="shared" si="311"/>
        <v>6126.5720000000001</v>
      </c>
      <c r="AF263" s="523">
        <f t="shared" si="311"/>
        <v>6262.0976808291152</v>
      </c>
    </row>
    <row r="264" spans="1:99" x14ac:dyDescent="0.2">
      <c r="B264" s="2" t="s">
        <v>121</v>
      </c>
      <c r="D264" s="49">
        <v>510.37400000000002</v>
      </c>
      <c r="E264" s="49">
        <v>532.75800000000004</v>
      </c>
      <c r="F264" s="49">
        <v>255.809</v>
      </c>
      <c r="G264" s="49">
        <v>9410.7129999999997</v>
      </c>
      <c r="H264" s="49">
        <v>4639.5569999999998</v>
      </c>
      <c r="I264" s="49">
        <v>5672.6239999999998</v>
      </c>
      <c r="J264" s="49">
        <v>3307.614</v>
      </c>
      <c r="K264" s="49">
        <v>4863.0609999999997</v>
      </c>
      <c r="L264" s="49">
        <v>9705.6859999999997</v>
      </c>
      <c r="M264" s="423">
        <v>6308.5649999999996</v>
      </c>
      <c r="N264" s="1">
        <f t="shared" ref="N264:N265" si="312">M264/M$267*N$267</f>
        <v>7540.3355380911262</v>
      </c>
      <c r="O264" s="7">
        <f t="shared" ref="O264:S265" si="313">N264/N$267*O$267</f>
        <v>8382.3015321212279</v>
      </c>
      <c r="P264" s="7">
        <f t="shared" si="313"/>
        <v>9453.2807287980722</v>
      </c>
      <c r="Q264" s="7">
        <f t="shared" si="313"/>
        <v>10637.511983703715</v>
      </c>
      <c r="R264" s="7">
        <f t="shared" si="313"/>
        <v>12032.341189957957</v>
      </c>
      <c r="S264" s="7">
        <f t="shared" si="313"/>
        <v>13650.045035190955</v>
      </c>
      <c r="U264" s="49">
        <f>3380623/1000</f>
        <v>3380.623</v>
      </c>
      <c r="V264" s="49">
        <f>(3803121/1000)</f>
        <v>3803.1210000000001</v>
      </c>
      <c r="W264" s="49">
        <f>3333226/1000</f>
        <v>3333.2260000000001</v>
      </c>
      <c r="X264" s="467">
        <f>9705686/1000</f>
        <v>9705.6859999999997</v>
      </c>
      <c r="Y264" s="49">
        <f>(2777060+4403551)/1000</f>
        <v>7180.6109999999999</v>
      </c>
      <c r="Z264" s="49">
        <f>(3451334+6445562)/1000</f>
        <v>9896.8960000000006</v>
      </c>
      <c r="AA264" s="49">
        <f>(2686215+8283037)/1000</f>
        <v>10969.252</v>
      </c>
      <c r="AB264" s="467">
        <f>(3799833+2519081)/1000</f>
        <v>6318.9139999999998</v>
      </c>
      <c r="AC264" s="49">
        <f>(6252235+1480081)/1000</f>
        <v>7732.3159999999998</v>
      </c>
      <c r="AD264" s="49">
        <f>(4208187+1481800)/1000</f>
        <v>5689.9870000000001</v>
      </c>
      <c r="AE264" s="49">
        <f>(3959300+1410900)/1000</f>
        <v>5370.2</v>
      </c>
      <c r="AF264" s="511">
        <f t="shared" ref="AF264:AF265" si="314">AE264/AE$267*AF$267</f>
        <v>5488.9940027781468</v>
      </c>
      <c r="AG264" s="50"/>
      <c r="AH264" s="50"/>
      <c r="AI264" s="50"/>
      <c r="AJ264" s="50"/>
      <c r="AK264" s="50"/>
      <c r="AL264" s="50"/>
      <c r="AM264" s="50"/>
      <c r="AN264" s="50"/>
      <c r="AO264" s="50"/>
      <c r="AP264" s="50"/>
      <c r="AQ264" s="50"/>
      <c r="AR264" s="50"/>
      <c r="AS264" s="50"/>
      <c r="AT264" s="50"/>
      <c r="AU264" s="50"/>
      <c r="AV264" s="50"/>
      <c r="AW264" s="50"/>
      <c r="AX264" s="50"/>
      <c r="AY264" s="50"/>
      <c r="AZ264" s="50"/>
      <c r="BA264" s="50"/>
      <c r="BB264" s="50"/>
      <c r="BC264" s="50"/>
      <c r="BD264" s="50"/>
      <c r="BE264" s="50"/>
      <c r="BF264" s="50"/>
      <c r="BG264" s="50"/>
      <c r="BH264" s="50"/>
      <c r="BI264" s="50"/>
      <c r="BJ264" s="50"/>
      <c r="BK264" s="50"/>
      <c r="BL264" s="50"/>
      <c r="BM264" s="50"/>
      <c r="BN264" s="50"/>
      <c r="BO264" s="50"/>
      <c r="BP264" s="50"/>
      <c r="BQ264" s="50"/>
      <c r="BR264" s="50"/>
      <c r="BS264" s="50"/>
      <c r="BT264" s="50"/>
      <c r="BU264" s="50"/>
      <c r="BV264" s="50"/>
      <c r="BW264" s="50"/>
      <c r="BX264" s="50"/>
      <c r="BY264" s="50"/>
      <c r="BZ264" s="50"/>
      <c r="CA264" s="50"/>
      <c r="CB264" s="50"/>
      <c r="CC264" s="50"/>
      <c r="CD264" s="50"/>
      <c r="CE264" s="50"/>
      <c r="CF264" s="50"/>
      <c r="CG264" s="50"/>
      <c r="CH264" s="50"/>
      <c r="CI264" s="50"/>
      <c r="CJ264" s="50"/>
      <c r="CK264" s="50"/>
      <c r="CL264" s="50"/>
      <c r="CM264" s="50"/>
      <c r="CN264" s="50"/>
      <c r="CO264" s="50"/>
      <c r="CP264" s="50"/>
      <c r="CQ264" s="50"/>
      <c r="CR264" s="50"/>
      <c r="CS264" s="50"/>
      <c r="CT264" s="50"/>
      <c r="CU264" s="50"/>
    </row>
    <row r="265" spans="1:99" x14ac:dyDescent="0.2">
      <c r="B265" s="2" t="s">
        <v>122</v>
      </c>
      <c r="D265" s="49">
        <v>13.904</v>
      </c>
      <c r="E265" s="49">
        <v>5.4980000000000002</v>
      </c>
      <c r="F265" s="49">
        <v>3.5059999999999998</v>
      </c>
      <c r="G265" s="49">
        <v>26.437999999999999</v>
      </c>
      <c r="H265" s="49">
        <v>111.73699999999999</v>
      </c>
      <c r="I265" s="49">
        <v>474.31099999999998</v>
      </c>
      <c r="J265" s="49">
        <v>951.62900000000002</v>
      </c>
      <c r="K265" s="49">
        <v>369.33600000000001</v>
      </c>
      <c r="L265" s="49">
        <v>597.73</v>
      </c>
      <c r="M265" s="423">
        <v>1208.2280000000001</v>
      </c>
      <c r="N265" s="1">
        <f t="shared" si="312"/>
        <v>1444.138964489827</v>
      </c>
      <c r="O265" s="7">
        <f t="shared" si="313"/>
        <v>1605.3938440123497</v>
      </c>
      <c r="P265" s="7">
        <f t="shared" si="313"/>
        <v>1810.5097543410013</v>
      </c>
      <c r="Q265" s="7">
        <f t="shared" si="313"/>
        <v>2037.3159076662243</v>
      </c>
      <c r="R265" s="7">
        <f t="shared" si="313"/>
        <v>2304.4561689164689</v>
      </c>
      <c r="S265" s="7">
        <f t="shared" si="313"/>
        <v>2614.2817919413842</v>
      </c>
      <c r="U265" s="49">
        <f>347324/1000</f>
        <v>347.32400000000001</v>
      </c>
      <c r="V265" s="49">
        <f>(534985/1000)</f>
        <v>534.98500000000001</v>
      </c>
      <c r="W265" s="49">
        <f>1109175/1000</f>
        <v>1109.175</v>
      </c>
      <c r="X265" s="467">
        <f>597730/1000</f>
        <v>597.73</v>
      </c>
      <c r="Y265" s="49">
        <f>444127/1000</f>
        <v>444.12700000000001</v>
      </c>
      <c r="Z265" s="49">
        <f>857174/1000</f>
        <v>857.17399999999998</v>
      </c>
      <c r="AA265" s="49">
        <f>955087/1000</f>
        <v>955.08699999999999</v>
      </c>
      <c r="AB265" s="467">
        <f>1208228/1000</f>
        <v>1208.2280000000001</v>
      </c>
      <c r="AC265" s="49">
        <f>758510/1000</f>
        <v>758.51</v>
      </c>
      <c r="AD265" s="49">
        <f>944474/1000</f>
        <v>944.47400000000005</v>
      </c>
      <c r="AE265" s="49">
        <f>756372/1000</f>
        <v>756.37199999999996</v>
      </c>
      <c r="AF265" s="511">
        <f t="shared" si="314"/>
        <v>773.10367805096871</v>
      </c>
    </row>
    <row r="266" spans="1:99" x14ac:dyDescent="0.2">
      <c r="AC266" s="50"/>
      <c r="AD266" s="50"/>
      <c r="AE266" s="50"/>
    </row>
    <row r="267" spans="1:99" x14ac:dyDescent="0.2">
      <c r="B267" s="3" t="s">
        <v>123</v>
      </c>
      <c r="C267" s="3"/>
      <c r="D267" s="64">
        <f t="shared" ref="D267:M267" si="315">D263+D257</f>
        <v>131067.99600000001</v>
      </c>
      <c r="E267" s="131">
        <f t="shared" si="315"/>
        <v>170022.486</v>
      </c>
      <c r="F267" s="131">
        <f t="shared" si="315"/>
        <v>230425.986</v>
      </c>
      <c r="G267" s="131">
        <f t="shared" si="315"/>
        <v>289810.51899999997</v>
      </c>
      <c r="H267" s="131">
        <f t="shared" si="315"/>
        <v>380421.56900000002</v>
      </c>
      <c r="I267" s="131">
        <f t="shared" si="315"/>
        <v>471820.95899999997</v>
      </c>
      <c r="J267" s="131">
        <f t="shared" si="315"/>
        <v>563999.85199999996</v>
      </c>
      <c r="K267" s="131">
        <f t="shared" si="315"/>
        <v>673180.31</v>
      </c>
      <c r="L267" s="131">
        <f t="shared" si="315"/>
        <v>785444.59200000006</v>
      </c>
      <c r="M267" s="468">
        <f t="shared" si="315"/>
        <v>932568.7649999999</v>
      </c>
      <c r="N267" s="65">
        <f>AF267*(1+'Adj from Unconsol to Consol'!F20)</f>
        <v>1114656.249153849</v>
      </c>
      <c r="O267" s="65">
        <f>Assumptions!P11</f>
        <v>1239120.5587432168</v>
      </c>
      <c r="P267" s="65">
        <f>Assumptions!Q11</f>
        <v>1397438.9317465252</v>
      </c>
      <c r="Q267" s="65">
        <f>Assumptions!R11</f>
        <v>1572498.88260092</v>
      </c>
      <c r="R267" s="65">
        <f>Assumptions!S11</f>
        <v>1778690.6473306878</v>
      </c>
      <c r="S267" s="65">
        <f>Assumptions!T11</f>
        <v>2017829.037294917</v>
      </c>
      <c r="U267" s="65">
        <f>U257+U263</f>
        <v>669558.73700000008</v>
      </c>
      <c r="V267" s="65">
        <f t="shared" ref="V267:AE267" si="316">V257+V263</f>
        <v>707296.51100000006</v>
      </c>
      <c r="W267" s="65">
        <f t="shared" si="316"/>
        <v>711237.34</v>
      </c>
      <c r="X267" s="468">
        <f t="shared" si="316"/>
        <v>785444.59200000006</v>
      </c>
      <c r="Y267" s="65">
        <f t="shared" si="316"/>
        <v>769481.96</v>
      </c>
      <c r="Z267" s="65">
        <f t="shared" si="316"/>
        <v>841801.30500000005</v>
      </c>
      <c r="AA267" s="65">
        <f t="shared" si="316"/>
        <v>838926.35499999998</v>
      </c>
      <c r="AB267" s="468">
        <f t="shared" si="316"/>
        <v>932579.11399999994</v>
      </c>
      <c r="AC267" s="65">
        <f t="shared" si="316"/>
        <v>928389.32600000012</v>
      </c>
      <c r="AD267" s="65">
        <f t="shared" si="316"/>
        <v>1045419.553</v>
      </c>
      <c r="AE267" s="65">
        <f t="shared" si="316"/>
        <v>1090544.7180000001</v>
      </c>
      <c r="AF267" s="523">
        <f>Assumptions!AG11</f>
        <v>1114668.6188341936</v>
      </c>
    </row>
    <row r="268" spans="1:99" x14ac:dyDescent="0.2">
      <c r="B268" s="221" t="s">
        <v>124</v>
      </c>
      <c r="D268" s="7">
        <v>124385.43700000001</v>
      </c>
      <c r="E268" s="7">
        <v>162510.24799999999</v>
      </c>
      <c r="F268" s="7">
        <v>217823.18700000001</v>
      </c>
      <c r="G268" s="7">
        <v>273118.67099999997</v>
      </c>
      <c r="H268" s="7">
        <v>356600.08199999999</v>
      </c>
      <c r="I268" s="7">
        <v>445247.97</v>
      </c>
      <c r="J268" s="7">
        <v>535052.21699999995</v>
      </c>
      <c r="K268" s="7">
        <v>635543.88500000001</v>
      </c>
      <c r="L268" s="7">
        <v>736209.39899999998</v>
      </c>
      <c r="M268" s="423">
        <v>871956.24600000004</v>
      </c>
      <c r="U268" s="7">
        <f>629498998/1000</f>
        <v>629498.99800000002</v>
      </c>
      <c r="V268" s="1">
        <f>(665787705/1000)</f>
        <v>665787.70499999996</v>
      </c>
      <c r="W268" s="7">
        <f>669580657/1000</f>
        <v>669580.65700000001</v>
      </c>
      <c r="X268" s="467">
        <f>736209399/1000</f>
        <v>736209.39899999998</v>
      </c>
      <c r="Y268" s="1"/>
      <c r="Z268" s="1"/>
      <c r="AA268" s="7"/>
      <c r="AB268" s="467">
        <f>871966595/1000</f>
        <v>871966.59499999997</v>
      </c>
      <c r="AC268" s="1"/>
      <c r="AD268" s="1"/>
      <c r="AE268" s="1"/>
    </row>
    <row r="269" spans="1:99" x14ac:dyDescent="0.2">
      <c r="B269" s="221" t="s">
        <v>125</v>
      </c>
      <c r="D269" s="7">
        <v>6682.5590000000002</v>
      </c>
      <c r="E269" s="7">
        <v>7512.2380000000003</v>
      </c>
      <c r="F269" s="7">
        <v>12602.799000000001</v>
      </c>
      <c r="G269" s="7">
        <v>16691.848000000002</v>
      </c>
      <c r="H269" s="7">
        <v>23821.487000000001</v>
      </c>
      <c r="I269" s="7">
        <v>26572.989000000001</v>
      </c>
      <c r="J269" s="7">
        <v>28947.634999999998</v>
      </c>
      <c r="K269" s="7">
        <v>37636.425000000003</v>
      </c>
      <c r="L269" s="7">
        <v>49235.192999999999</v>
      </c>
      <c r="M269" s="423">
        <v>60612.519</v>
      </c>
      <c r="U269" s="7">
        <f>40059739/1000</f>
        <v>40059.739000000001</v>
      </c>
      <c r="V269" s="1">
        <f>(41508806/1000)</f>
        <v>41508.805999999997</v>
      </c>
      <c r="W269" s="7">
        <f>41656683/1000</f>
        <v>41656.682999999997</v>
      </c>
      <c r="X269" s="467">
        <f>49235193/1000</f>
        <v>49235.192999999999</v>
      </c>
      <c r="Y269" s="1"/>
      <c r="Z269" s="1"/>
      <c r="AA269" s="7"/>
      <c r="AB269" s="467">
        <f>60612519/1000</f>
        <v>60612.519</v>
      </c>
      <c r="AC269" s="1"/>
      <c r="AD269" s="1"/>
      <c r="AE269" s="1"/>
    </row>
    <row r="271" spans="1:99" s="123" customFormat="1" x14ac:dyDescent="0.2">
      <c r="A271" s="122"/>
      <c r="B271" s="123" t="s">
        <v>101</v>
      </c>
      <c r="D271" s="124">
        <f>D267</f>
        <v>131067.99600000001</v>
      </c>
      <c r="E271" s="125">
        <f t="shared" ref="E271:M271" si="317">E267</f>
        <v>170022.486</v>
      </c>
      <c r="F271" s="125">
        <f t="shared" si="317"/>
        <v>230425.986</v>
      </c>
      <c r="G271" s="125">
        <f t="shared" si="317"/>
        <v>289810.51899999997</v>
      </c>
      <c r="H271" s="125">
        <f t="shared" si="317"/>
        <v>380421.56900000002</v>
      </c>
      <c r="I271" s="125">
        <f t="shared" si="317"/>
        <v>471820.95899999997</v>
      </c>
      <c r="J271" s="125">
        <f t="shared" si="317"/>
        <v>563999.85199999996</v>
      </c>
      <c r="K271" s="125">
        <f t="shared" si="317"/>
        <v>673180.31</v>
      </c>
      <c r="L271" s="125">
        <f t="shared" si="317"/>
        <v>785444.59200000006</v>
      </c>
      <c r="M271" s="437">
        <f t="shared" si="317"/>
        <v>932568.7649999999</v>
      </c>
      <c r="N271" s="126">
        <f t="shared" ref="N271:S271" si="318">N267</f>
        <v>1114656.249153849</v>
      </c>
      <c r="O271" s="126">
        <f t="shared" si="318"/>
        <v>1239120.5587432168</v>
      </c>
      <c r="P271" s="126">
        <f t="shared" si="318"/>
        <v>1397438.9317465252</v>
      </c>
      <c r="Q271" s="126">
        <f t="shared" si="318"/>
        <v>1572498.88260092</v>
      </c>
      <c r="R271" s="126">
        <f t="shared" si="318"/>
        <v>1778690.6473306878</v>
      </c>
      <c r="S271" s="126">
        <f t="shared" si="318"/>
        <v>2017829.037294917</v>
      </c>
      <c r="T271" s="421"/>
      <c r="U271" s="126">
        <f>U267</f>
        <v>669558.73700000008</v>
      </c>
      <c r="V271" s="126">
        <f t="shared" ref="V271:AE271" si="319">V267</f>
        <v>707296.51100000006</v>
      </c>
      <c r="W271" s="126">
        <f t="shared" si="319"/>
        <v>711237.34</v>
      </c>
      <c r="X271" s="437">
        <f t="shared" si="319"/>
        <v>785444.59200000006</v>
      </c>
      <c r="Y271" s="126">
        <f t="shared" si="319"/>
        <v>769481.96</v>
      </c>
      <c r="Z271" s="126">
        <f t="shared" si="319"/>
        <v>841801.30500000005</v>
      </c>
      <c r="AA271" s="126">
        <f t="shared" si="319"/>
        <v>838926.35499999998</v>
      </c>
      <c r="AB271" s="437">
        <f t="shared" si="319"/>
        <v>932579.11399999994</v>
      </c>
      <c r="AC271" s="126">
        <f t="shared" si="319"/>
        <v>928389.32600000012</v>
      </c>
      <c r="AD271" s="126">
        <f t="shared" si="319"/>
        <v>1045419.553</v>
      </c>
      <c r="AE271" s="126">
        <f t="shared" si="319"/>
        <v>1090544.7180000001</v>
      </c>
      <c r="AF271" s="530">
        <f>AF267</f>
        <v>1114668.6188341936</v>
      </c>
    </row>
    <row r="272" spans="1:99" s="89" customFormat="1" x14ac:dyDescent="0.2">
      <c r="A272" s="88"/>
      <c r="B272" s="89" t="s">
        <v>102</v>
      </c>
      <c r="D272" s="95">
        <f t="shared" ref="D272:S272" si="320">D21</f>
        <v>131067.996</v>
      </c>
      <c r="E272" s="128">
        <f t="shared" si="320"/>
        <v>170022.486</v>
      </c>
      <c r="F272" s="128">
        <f t="shared" si="320"/>
        <v>230425.986</v>
      </c>
      <c r="G272" s="128">
        <f t="shared" si="320"/>
        <v>289810.51899999997</v>
      </c>
      <c r="H272" s="128">
        <f t="shared" si="320"/>
        <v>380421.56900000002</v>
      </c>
      <c r="I272" s="128">
        <f t="shared" si="320"/>
        <v>471820.95899999997</v>
      </c>
      <c r="J272" s="128">
        <f t="shared" si="320"/>
        <v>563999.85199999996</v>
      </c>
      <c r="K272" s="128">
        <f t="shared" si="320"/>
        <v>673180.31</v>
      </c>
      <c r="L272" s="128">
        <f t="shared" si="320"/>
        <v>785444.59199999995</v>
      </c>
      <c r="M272" s="438">
        <f t="shared" si="320"/>
        <v>932568.76500000001</v>
      </c>
      <c r="N272" s="129">
        <f t="shared" si="320"/>
        <v>1114656.249153849</v>
      </c>
      <c r="O272" s="129">
        <f t="shared" si="320"/>
        <v>1239120.5587432168</v>
      </c>
      <c r="P272" s="129">
        <f t="shared" si="320"/>
        <v>1397438.9317465252</v>
      </c>
      <c r="Q272" s="129">
        <f t="shared" si="320"/>
        <v>1572498.88260092</v>
      </c>
      <c r="R272" s="129">
        <f t="shared" si="320"/>
        <v>1778690.6473306878</v>
      </c>
      <c r="S272" s="129">
        <f t="shared" si="320"/>
        <v>2017829.037294917</v>
      </c>
      <c r="T272" s="419"/>
      <c r="U272" s="129">
        <f t="shared" ref="U272:AF272" si="321">U21</f>
        <v>669558.73699999996</v>
      </c>
      <c r="V272" s="129">
        <f t="shared" si="321"/>
        <v>707296.51100000006</v>
      </c>
      <c r="W272" s="129">
        <f t="shared" si="321"/>
        <v>711237.34</v>
      </c>
      <c r="X272" s="438">
        <f t="shared" si="321"/>
        <v>785476.94400000002</v>
      </c>
      <c r="Y272" s="129">
        <f t="shared" si="321"/>
        <v>769481.96</v>
      </c>
      <c r="Z272" s="129">
        <f t="shared" si="321"/>
        <v>841801.30500000005</v>
      </c>
      <c r="AA272" s="129">
        <f t="shared" si="321"/>
        <v>838926.35499999998</v>
      </c>
      <c r="AB272" s="438">
        <f t="shared" si="321"/>
        <v>932579.11399999994</v>
      </c>
      <c r="AC272" s="129">
        <f t="shared" si="321"/>
        <v>928389.326</v>
      </c>
      <c r="AD272" s="129">
        <f t="shared" si="321"/>
        <v>1045419.553</v>
      </c>
      <c r="AE272" s="129">
        <f t="shared" si="321"/>
        <v>1090544.7180000001</v>
      </c>
      <c r="AF272" s="531">
        <f t="shared" si="321"/>
        <v>1114668.6188341936</v>
      </c>
    </row>
    <row r="274" spans="1:32" s="213" customFormat="1" x14ac:dyDescent="0.2">
      <c r="B274" s="58" t="s">
        <v>139</v>
      </c>
      <c r="C274" s="4"/>
      <c r="D274" s="355"/>
      <c r="E274" s="353"/>
      <c r="F274" s="353"/>
      <c r="G274" s="353"/>
      <c r="H274" s="353"/>
      <c r="I274" s="353"/>
      <c r="J274" s="353"/>
      <c r="K274" s="353"/>
      <c r="L274" s="353"/>
      <c r="M274" s="434"/>
      <c r="T274" s="354"/>
      <c r="X274" s="491"/>
      <c r="AB274" s="491"/>
      <c r="AF274" s="527"/>
    </row>
    <row r="275" spans="1:32" x14ac:dyDescent="0.2">
      <c r="B275" s="2" t="s">
        <v>126</v>
      </c>
      <c r="D275" s="82">
        <v>0</v>
      </c>
      <c r="E275" s="82">
        <v>0</v>
      </c>
      <c r="F275" s="82">
        <v>0</v>
      </c>
      <c r="G275" s="82">
        <v>0</v>
      </c>
      <c r="H275" s="82">
        <v>0</v>
      </c>
      <c r="I275" s="82">
        <v>0</v>
      </c>
      <c r="J275" s="49">
        <v>0</v>
      </c>
      <c r="K275" s="49">
        <v>0</v>
      </c>
      <c r="L275" s="49">
        <v>7000</v>
      </c>
      <c r="M275" s="467">
        <v>7000</v>
      </c>
      <c r="N275" s="1">
        <f>AF275</f>
        <v>7000</v>
      </c>
      <c r="O275" s="1">
        <f>N275</f>
        <v>7000</v>
      </c>
      <c r="P275" s="2">
        <f t="shared" ref="P275:S275" si="322">O275</f>
        <v>7000</v>
      </c>
      <c r="Q275" s="2">
        <f t="shared" si="322"/>
        <v>7000</v>
      </c>
      <c r="R275" s="2">
        <f t="shared" si="322"/>
        <v>7000</v>
      </c>
      <c r="S275" s="2">
        <f t="shared" si="322"/>
        <v>7000</v>
      </c>
      <c r="U275" s="7">
        <v>0</v>
      </c>
      <c r="V275" s="7">
        <v>0</v>
      </c>
      <c r="W275" s="7">
        <f>7000000/1000</f>
        <v>7000</v>
      </c>
      <c r="X275" s="467">
        <f>7000000/1000</f>
        <v>7000</v>
      </c>
      <c r="Y275" s="7">
        <f t="shared" ref="Y275:AB276" si="323">7000000/1000</f>
        <v>7000</v>
      </c>
      <c r="Z275" s="7">
        <f t="shared" si="323"/>
        <v>7000</v>
      </c>
      <c r="AA275" s="7">
        <f t="shared" si="323"/>
        <v>7000</v>
      </c>
      <c r="AB275" s="467">
        <f t="shared" si="323"/>
        <v>7000</v>
      </c>
      <c r="AC275" s="7">
        <f>7000000/1000</f>
        <v>7000</v>
      </c>
      <c r="AD275" s="7">
        <f>7000000/1000</f>
        <v>7000</v>
      </c>
      <c r="AE275" s="7">
        <f>7000000/1000</f>
        <v>7000</v>
      </c>
      <c r="AF275" s="511">
        <f>AE275</f>
        <v>7000</v>
      </c>
    </row>
    <row r="276" spans="1:32" x14ac:dyDescent="0.2">
      <c r="B276" s="2" t="s">
        <v>127</v>
      </c>
      <c r="D276" s="82">
        <v>0</v>
      </c>
      <c r="E276" s="82">
        <v>0</v>
      </c>
      <c r="F276" s="82">
        <v>0</v>
      </c>
      <c r="G276" s="82">
        <v>0</v>
      </c>
      <c r="H276" s="82">
        <v>0</v>
      </c>
      <c r="I276" s="82">
        <v>0</v>
      </c>
      <c r="J276" s="49">
        <v>7000</v>
      </c>
      <c r="K276" s="49">
        <v>7000</v>
      </c>
      <c r="L276" s="49">
        <v>7000</v>
      </c>
      <c r="M276" s="467">
        <v>7000</v>
      </c>
      <c r="N276" s="1">
        <f>AF276</f>
        <v>11000</v>
      </c>
      <c r="O276" s="1">
        <f>N276</f>
        <v>11000</v>
      </c>
      <c r="P276" s="2">
        <f t="shared" ref="P276:S276" si="324">O276</f>
        <v>11000</v>
      </c>
      <c r="Q276" s="2">
        <f t="shared" si="324"/>
        <v>11000</v>
      </c>
      <c r="R276" s="2">
        <f t="shared" si="324"/>
        <v>11000</v>
      </c>
      <c r="S276" s="2">
        <f t="shared" si="324"/>
        <v>11000</v>
      </c>
      <c r="U276" s="7">
        <f>7000000/1000</f>
        <v>7000</v>
      </c>
      <c r="V276" s="7">
        <v>7000</v>
      </c>
      <c r="W276" s="7">
        <f>7000000/1000</f>
        <v>7000</v>
      </c>
      <c r="X276" s="467">
        <f>7000000/1000</f>
        <v>7000</v>
      </c>
      <c r="Y276" s="7">
        <f t="shared" si="323"/>
        <v>7000</v>
      </c>
      <c r="Z276" s="7">
        <f t="shared" si="323"/>
        <v>7000</v>
      </c>
      <c r="AA276" s="7">
        <f t="shared" si="323"/>
        <v>7000</v>
      </c>
      <c r="AB276" s="467">
        <f t="shared" si="323"/>
        <v>7000</v>
      </c>
      <c r="AC276" s="7">
        <f>11000000/1000</f>
        <v>11000</v>
      </c>
      <c r="AD276" s="7">
        <f>11000000/1000</f>
        <v>11000</v>
      </c>
      <c r="AE276" s="7">
        <f>11000000/1000</f>
        <v>11000</v>
      </c>
      <c r="AF276" s="511">
        <f>AE276</f>
        <v>11000</v>
      </c>
    </row>
    <row r="277" spans="1:32" x14ac:dyDescent="0.2">
      <c r="B277" s="3" t="s">
        <v>99</v>
      </c>
      <c r="C277" s="3"/>
      <c r="D277" s="64">
        <f>SUM(D275:D276)</f>
        <v>0</v>
      </c>
      <c r="E277" s="131">
        <f t="shared" ref="E277:M277" si="325">SUM(E275:E276)</f>
        <v>0</v>
      </c>
      <c r="F277" s="131">
        <f t="shared" si="325"/>
        <v>0</v>
      </c>
      <c r="G277" s="131">
        <f t="shared" si="325"/>
        <v>0</v>
      </c>
      <c r="H277" s="131">
        <f t="shared" si="325"/>
        <v>0</v>
      </c>
      <c r="I277" s="131">
        <f t="shared" si="325"/>
        <v>0</v>
      </c>
      <c r="J277" s="131">
        <f t="shared" si="325"/>
        <v>7000</v>
      </c>
      <c r="K277" s="131">
        <f t="shared" si="325"/>
        <v>7000</v>
      </c>
      <c r="L277" s="131">
        <f t="shared" si="325"/>
        <v>14000</v>
      </c>
      <c r="M277" s="468">
        <f t="shared" si="325"/>
        <v>14000</v>
      </c>
      <c r="N277" s="65">
        <f>SUM(N275:N276)*(1+'Adj from Unconsol to Consol'!F21)</f>
        <v>18000</v>
      </c>
      <c r="O277" s="65">
        <f>N277</f>
        <v>18000</v>
      </c>
      <c r="P277" s="65">
        <f t="shared" ref="P277:S277" si="326">O277</f>
        <v>18000</v>
      </c>
      <c r="Q277" s="65">
        <f t="shared" si="326"/>
        <v>18000</v>
      </c>
      <c r="R277" s="65">
        <f t="shared" si="326"/>
        <v>18000</v>
      </c>
      <c r="S277" s="65">
        <f t="shared" si="326"/>
        <v>18000</v>
      </c>
      <c r="U277" s="65">
        <f>SUM(U275:U276)</f>
        <v>7000</v>
      </c>
      <c r="V277" s="65">
        <f t="shared" ref="V277:AF277" si="327">SUM(V275:V276)</f>
        <v>7000</v>
      </c>
      <c r="W277" s="65">
        <f t="shared" si="327"/>
        <v>14000</v>
      </c>
      <c r="X277" s="468">
        <f t="shared" si="327"/>
        <v>14000</v>
      </c>
      <c r="Y277" s="65">
        <f t="shared" si="327"/>
        <v>14000</v>
      </c>
      <c r="Z277" s="65">
        <f t="shared" si="327"/>
        <v>14000</v>
      </c>
      <c r="AA277" s="65">
        <f t="shared" si="327"/>
        <v>14000</v>
      </c>
      <c r="AB277" s="468">
        <f t="shared" si="327"/>
        <v>14000</v>
      </c>
      <c r="AC277" s="65">
        <f t="shared" si="327"/>
        <v>18000</v>
      </c>
      <c r="AD277" s="65">
        <f t="shared" si="327"/>
        <v>18000</v>
      </c>
      <c r="AE277" s="65">
        <f t="shared" si="327"/>
        <v>18000</v>
      </c>
      <c r="AF277" s="523">
        <f t="shared" si="327"/>
        <v>18000</v>
      </c>
    </row>
    <row r="279" spans="1:32" s="123" customFormat="1" x14ac:dyDescent="0.2">
      <c r="A279" s="122"/>
      <c r="B279" s="123" t="s">
        <v>101</v>
      </c>
      <c r="D279" s="124">
        <f>D277</f>
        <v>0</v>
      </c>
      <c r="E279" s="125">
        <f t="shared" ref="E279:M279" si="328">E277</f>
        <v>0</v>
      </c>
      <c r="F279" s="125">
        <f t="shared" si="328"/>
        <v>0</v>
      </c>
      <c r="G279" s="125">
        <f t="shared" si="328"/>
        <v>0</v>
      </c>
      <c r="H279" s="125">
        <f t="shared" si="328"/>
        <v>0</v>
      </c>
      <c r="I279" s="125">
        <f t="shared" si="328"/>
        <v>0</v>
      </c>
      <c r="J279" s="125">
        <f t="shared" si="328"/>
        <v>7000</v>
      </c>
      <c r="K279" s="125">
        <f t="shared" si="328"/>
        <v>7000</v>
      </c>
      <c r="L279" s="125">
        <f t="shared" si="328"/>
        <v>14000</v>
      </c>
      <c r="M279" s="437">
        <f t="shared" si="328"/>
        <v>14000</v>
      </c>
      <c r="N279" s="126">
        <f t="shared" ref="N279:S279" si="329">N277</f>
        <v>18000</v>
      </c>
      <c r="O279" s="126">
        <f t="shared" si="329"/>
        <v>18000</v>
      </c>
      <c r="P279" s="126">
        <f t="shared" si="329"/>
        <v>18000</v>
      </c>
      <c r="Q279" s="126">
        <f t="shared" si="329"/>
        <v>18000</v>
      </c>
      <c r="R279" s="126">
        <f t="shared" si="329"/>
        <v>18000</v>
      </c>
      <c r="S279" s="126">
        <f t="shared" si="329"/>
        <v>18000</v>
      </c>
      <c r="T279" s="421"/>
      <c r="U279" s="126">
        <f>U277</f>
        <v>7000</v>
      </c>
      <c r="V279" s="126">
        <f t="shared" ref="V279:AE279" si="330">V277</f>
        <v>7000</v>
      </c>
      <c r="W279" s="126">
        <f t="shared" si="330"/>
        <v>14000</v>
      </c>
      <c r="X279" s="437">
        <f t="shared" si="330"/>
        <v>14000</v>
      </c>
      <c r="Y279" s="126">
        <f t="shared" si="330"/>
        <v>14000</v>
      </c>
      <c r="Z279" s="126">
        <f t="shared" si="330"/>
        <v>14000</v>
      </c>
      <c r="AA279" s="126">
        <f t="shared" si="330"/>
        <v>14000</v>
      </c>
      <c r="AB279" s="437">
        <f t="shared" si="330"/>
        <v>14000</v>
      </c>
      <c r="AC279" s="126">
        <f t="shared" si="330"/>
        <v>18000</v>
      </c>
      <c r="AD279" s="126">
        <f t="shared" si="330"/>
        <v>18000</v>
      </c>
      <c r="AE279" s="126">
        <f t="shared" si="330"/>
        <v>18000</v>
      </c>
      <c r="AF279" s="530">
        <f t="shared" ref="AF279" si="331">AF277</f>
        <v>18000</v>
      </c>
    </row>
    <row r="280" spans="1:32" s="89" customFormat="1" x14ac:dyDescent="0.2">
      <c r="A280" s="88"/>
      <c r="B280" s="89" t="s">
        <v>102</v>
      </c>
      <c r="D280" s="95">
        <f t="shared" ref="D280:S280" si="332">D22</f>
        <v>0</v>
      </c>
      <c r="E280" s="128">
        <f t="shared" si="332"/>
        <v>0</v>
      </c>
      <c r="F280" s="128">
        <f t="shared" si="332"/>
        <v>0</v>
      </c>
      <c r="G280" s="128">
        <f t="shared" si="332"/>
        <v>0</v>
      </c>
      <c r="H280" s="128">
        <f t="shared" si="332"/>
        <v>0</v>
      </c>
      <c r="I280" s="128">
        <f t="shared" si="332"/>
        <v>0</v>
      </c>
      <c r="J280" s="128">
        <f t="shared" si="332"/>
        <v>7000</v>
      </c>
      <c r="K280" s="128">
        <f t="shared" si="332"/>
        <v>7000</v>
      </c>
      <c r="L280" s="128">
        <f t="shared" si="332"/>
        <v>14000</v>
      </c>
      <c r="M280" s="438">
        <f t="shared" si="332"/>
        <v>14000</v>
      </c>
      <c r="N280" s="129">
        <f t="shared" si="332"/>
        <v>18000</v>
      </c>
      <c r="O280" s="129">
        <f t="shared" si="332"/>
        <v>18000</v>
      </c>
      <c r="P280" s="129">
        <f t="shared" si="332"/>
        <v>18000</v>
      </c>
      <c r="Q280" s="129">
        <f t="shared" si="332"/>
        <v>18000</v>
      </c>
      <c r="R280" s="129">
        <f t="shared" si="332"/>
        <v>18000</v>
      </c>
      <c r="S280" s="129">
        <f t="shared" si="332"/>
        <v>18000</v>
      </c>
      <c r="T280" s="419"/>
      <c r="U280" s="129">
        <f t="shared" ref="U280:AF280" si="333">U22</f>
        <v>7000</v>
      </c>
      <c r="V280" s="129">
        <f t="shared" si="333"/>
        <v>7000</v>
      </c>
      <c r="W280" s="129">
        <f t="shared" si="333"/>
        <v>14000</v>
      </c>
      <c r="X280" s="438">
        <f t="shared" si="333"/>
        <v>14000</v>
      </c>
      <c r="Y280" s="129">
        <f t="shared" si="333"/>
        <v>14000</v>
      </c>
      <c r="Z280" s="129">
        <f t="shared" si="333"/>
        <v>14000</v>
      </c>
      <c r="AA280" s="129">
        <f t="shared" si="333"/>
        <v>14000</v>
      </c>
      <c r="AB280" s="438">
        <f t="shared" si="333"/>
        <v>14000</v>
      </c>
      <c r="AC280" s="129">
        <f t="shared" si="333"/>
        <v>18000</v>
      </c>
      <c r="AD280" s="129">
        <f t="shared" si="333"/>
        <v>18000</v>
      </c>
      <c r="AE280" s="129">
        <f t="shared" si="333"/>
        <v>18000</v>
      </c>
      <c r="AF280" s="531">
        <f t="shared" si="333"/>
        <v>18000</v>
      </c>
    </row>
    <row r="282" spans="1:32" s="213" customFormat="1" x14ac:dyDescent="0.2">
      <c r="B282" s="58" t="s">
        <v>140</v>
      </c>
      <c r="C282" s="4"/>
      <c r="D282" s="355"/>
      <c r="E282" s="353"/>
      <c r="F282" s="353"/>
      <c r="G282" s="353"/>
      <c r="H282" s="353"/>
      <c r="I282" s="353"/>
      <c r="J282" s="353"/>
      <c r="K282" s="353"/>
      <c r="L282" s="353"/>
      <c r="M282" s="434"/>
      <c r="T282" s="354"/>
      <c r="X282" s="491"/>
      <c r="AB282" s="491"/>
      <c r="AF282" s="527"/>
    </row>
    <row r="283" spans="1:32" x14ac:dyDescent="0.2">
      <c r="B283" s="218" t="s">
        <v>128</v>
      </c>
      <c r="D283" s="54">
        <v>11000</v>
      </c>
      <c r="E283" s="1">
        <v>11000</v>
      </c>
      <c r="F283" s="1">
        <v>11000</v>
      </c>
      <c r="G283" s="1">
        <v>11000</v>
      </c>
      <c r="H283" s="1">
        <v>15000</v>
      </c>
      <c r="I283" s="1">
        <v>15000</v>
      </c>
      <c r="J283" s="1">
        <v>20000</v>
      </c>
      <c r="K283" s="1">
        <v>20000</v>
      </c>
      <c r="L283" s="1">
        <v>23383.8</v>
      </c>
      <c r="M283" s="423">
        <v>25721.8</v>
      </c>
      <c r="U283" s="8" t="s">
        <v>148</v>
      </c>
      <c r="V283" s="1" t="s">
        <v>148</v>
      </c>
      <c r="W283" s="1" t="s">
        <v>148</v>
      </c>
      <c r="X283" s="423" t="s">
        <v>148</v>
      </c>
      <c r="Y283" s="8" t="s">
        <v>148</v>
      </c>
      <c r="Z283" s="8" t="s">
        <v>148</v>
      </c>
      <c r="AA283" s="8" t="s">
        <v>148</v>
      </c>
      <c r="AB283" s="506" t="s">
        <v>148</v>
      </c>
      <c r="AC283" s="8" t="s">
        <v>148</v>
      </c>
      <c r="AD283" s="8" t="s">
        <v>148</v>
      </c>
      <c r="AE283" s="8" t="s">
        <v>148</v>
      </c>
    </row>
    <row r="284" spans="1:32" x14ac:dyDescent="0.2">
      <c r="B284" s="218" t="s">
        <v>129</v>
      </c>
      <c r="D284" s="54">
        <v>6982.55</v>
      </c>
      <c r="E284" s="1">
        <v>8029.933</v>
      </c>
      <c r="F284" s="1">
        <v>9033.6749999999993</v>
      </c>
      <c r="G284" s="1">
        <v>10027.379000000001</v>
      </c>
      <c r="H284" s="1">
        <v>10027.379000000001</v>
      </c>
      <c r="I284" s="1">
        <v>10027.379000000001</v>
      </c>
      <c r="J284" s="1">
        <v>10027.379000000001</v>
      </c>
      <c r="K284" s="1">
        <v>10629.022000000001</v>
      </c>
      <c r="L284" s="1">
        <v>11691.924000000001</v>
      </c>
      <c r="M284" s="423">
        <v>12861.116</v>
      </c>
      <c r="U284" s="8" t="s">
        <v>148</v>
      </c>
      <c r="V284" s="1" t="s">
        <v>148</v>
      </c>
      <c r="W284" s="1" t="s">
        <v>148</v>
      </c>
      <c r="X284" s="423" t="s">
        <v>148</v>
      </c>
      <c r="Y284" s="8" t="s">
        <v>148</v>
      </c>
      <c r="Z284" s="8" t="s">
        <v>148</v>
      </c>
      <c r="AA284" s="8" t="s">
        <v>148</v>
      </c>
      <c r="AB284" s="506" t="s">
        <v>148</v>
      </c>
      <c r="AC284" s="8" t="s">
        <v>148</v>
      </c>
      <c r="AD284" s="8" t="s">
        <v>148</v>
      </c>
      <c r="AE284" s="8" t="s">
        <v>148</v>
      </c>
    </row>
    <row r="285" spans="1:32" x14ac:dyDescent="0.2">
      <c r="B285" s="2" t="s">
        <v>130</v>
      </c>
      <c r="D285" s="54">
        <v>698.25505299999998</v>
      </c>
      <c r="E285" s="1">
        <v>802.99330999999995</v>
      </c>
      <c r="F285" s="1">
        <v>903.36747300000002</v>
      </c>
      <c r="G285" s="1">
        <v>1002.737895</v>
      </c>
      <c r="H285" s="1">
        <v>1002.737895</v>
      </c>
      <c r="I285" s="1">
        <v>1002.737895</v>
      </c>
      <c r="J285" s="1">
        <v>1002.737895</v>
      </c>
      <c r="K285" s="1">
        <v>1062.9021680000001</v>
      </c>
      <c r="L285" s="1">
        <v>1169.1923999999999</v>
      </c>
      <c r="M285" s="423">
        <v>1286.1116219999999</v>
      </c>
      <c r="U285" s="8" t="s">
        <v>148</v>
      </c>
      <c r="V285" s="1" t="s">
        <v>148</v>
      </c>
      <c r="W285" s="1" t="s">
        <v>148</v>
      </c>
      <c r="X285" s="423" t="s">
        <v>148</v>
      </c>
      <c r="Y285" s="8" t="s">
        <v>148</v>
      </c>
      <c r="Z285" s="8" t="s">
        <v>148</v>
      </c>
      <c r="AA285" s="8" t="s">
        <v>148</v>
      </c>
      <c r="AB285" s="506" t="s">
        <v>148</v>
      </c>
      <c r="AC285" s="8" t="s">
        <v>148</v>
      </c>
      <c r="AD285" s="8" t="s">
        <v>148</v>
      </c>
      <c r="AE285" s="8" t="s">
        <v>148</v>
      </c>
    </row>
    <row r="286" spans="1:32" x14ac:dyDescent="0.2">
      <c r="U286" s="8"/>
      <c r="V286" s="8"/>
      <c r="W286" s="8"/>
      <c r="X286" s="506"/>
      <c r="Y286" s="8"/>
      <c r="Z286" s="8"/>
      <c r="AA286" s="8"/>
      <c r="AB286" s="506"/>
      <c r="AC286" s="8"/>
      <c r="AD286" s="8"/>
      <c r="AE286" s="8"/>
    </row>
    <row r="287" spans="1:32" s="123" customFormat="1" x14ac:dyDescent="0.2">
      <c r="A287" s="122"/>
      <c r="B287" s="123" t="s">
        <v>101</v>
      </c>
      <c r="D287" s="124">
        <f>D284</f>
        <v>6982.55</v>
      </c>
      <c r="E287" s="125">
        <f t="shared" ref="E287:M287" si="334">E284</f>
        <v>8029.933</v>
      </c>
      <c r="F287" s="125">
        <f t="shared" si="334"/>
        <v>9033.6749999999993</v>
      </c>
      <c r="G287" s="125">
        <f t="shared" si="334"/>
        <v>10027.379000000001</v>
      </c>
      <c r="H287" s="125">
        <f t="shared" si="334"/>
        <v>10027.379000000001</v>
      </c>
      <c r="I287" s="125">
        <f t="shared" si="334"/>
        <v>10027.379000000001</v>
      </c>
      <c r="J287" s="125">
        <f t="shared" si="334"/>
        <v>10027.379000000001</v>
      </c>
      <c r="K287" s="125">
        <f t="shared" si="334"/>
        <v>10629.022000000001</v>
      </c>
      <c r="L287" s="125">
        <f t="shared" si="334"/>
        <v>11691.924000000001</v>
      </c>
      <c r="M287" s="442">
        <f t="shared" si="334"/>
        <v>12861.116</v>
      </c>
      <c r="T287" s="421" t="s">
        <v>172</v>
      </c>
      <c r="U287" s="222" t="s">
        <v>148</v>
      </c>
      <c r="V287" s="222" t="s">
        <v>148</v>
      </c>
      <c r="W287" s="222" t="s">
        <v>148</v>
      </c>
      <c r="X287" s="507" t="s">
        <v>148</v>
      </c>
      <c r="Y287" s="222" t="s">
        <v>148</v>
      </c>
      <c r="Z287" s="222" t="s">
        <v>148</v>
      </c>
      <c r="AA287" s="222" t="s">
        <v>148</v>
      </c>
      <c r="AB287" s="507" t="s">
        <v>148</v>
      </c>
      <c r="AC287" s="222" t="s">
        <v>148</v>
      </c>
      <c r="AD287" s="222" t="s">
        <v>148</v>
      </c>
      <c r="AE287" s="222" t="s">
        <v>148</v>
      </c>
      <c r="AF287" s="536" t="s">
        <v>148</v>
      </c>
    </row>
    <row r="288" spans="1:32" s="89" customFormat="1" x14ac:dyDescent="0.2">
      <c r="A288" s="88"/>
      <c r="B288" s="89" t="s">
        <v>102</v>
      </c>
      <c r="D288" s="95">
        <f t="shared" ref="D288:M288" si="335">D30</f>
        <v>6982.55</v>
      </c>
      <c r="E288" s="128">
        <f t="shared" si="335"/>
        <v>8029.933</v>
      </c>
      <c r="F288" s="128">
        <f t="shared" si="335"/>
        <v>9033.6749999999993</v>
      </c>
      <c r="G288" s="128">
        <f t="shared" si="335"/>
        <v>10027.379000000001</v>
      </c>
      <c r="H288" s="128">
        <f t="shared" si="335"/>
        <v>10027.379000000001</v>
      </c>
      <c r="I288" s="128">
        <f t="shared" si="335"/>
        <v>10027.379000000001</v>
      </c>
      <c r="J288" s="128">
        <f t="shared" si="335"/>
        <v>10027.379000000001</v>
      </c>
      <c r="K288" s="128">
        <f t="shared" si="335"/>
        <v>10629.022000000001</v>
      </c>
      <c r="L288" s="128">
        <f t="shared" si="335"/>
        <v>11691.924000000001</v>
      </c>
      <c r="M288" s="443">
        <f t="shared" si="335"/>
        <v>12861.116</v>
      </c>
      <c r="T288" s="419"/>
      <c r="U288" s="223">
        <f t="shared" ref="U288:AF288" si="336">U30</f>
        <v>10629.022000000001</v>
      </c>
      <c r="V288" s="223">
        <f t="shared" si="336"/>
        <v>10629.022000000001</v>
      </c>
      <c r="W288" s="223">
        <f t="shared" si="336"/>
        <v>10629.022000000001</v>
      </c>
      <c r="X288" s="508">
        <f t="shared" si="336"/>
        <v>11691.924000000001</v>
      </c>
      <c r="Y288" s="223">
        <f t="shared" si="336"/>
        <v>11691.924000000001</v>
      </c>
      <c r="Z288" s="223">
        <f t="shared" si="336"/>
        <v>12861.116</v>
      </c>
      <c r="AA288" s="223">
        <f t="shared" si="336"/>
        <v>12861.116</v>
      </c>
      <c r="AB288" s="508">
        <f t="shared" si="336"/>
        <v>12861.116</v>
      </c>
      <c r="AC288" s="223">
        <f t="shared" si="336"/>
        <v>12861.116</v>
      </c>
      <c r="AD288" s="223">
        <f t="shared" si="336"/>
        <v>12861.116</v>
      </c>
      <c r="AE288" s="223">
        <f t="shared" si="336"/>
        <v>14147.227999999999</v>
      </c>
      <c r="AF288" s="531">
        <f t="shared" si="336"/>
        <v>14147.227999999999</v>
      </c>
    </row>
    <row r="290" spans="1:32" s="213" customFormat="1" x14ac:dyDescent="0.2">
      <c r="B290" s="58" t="s">
        <v>141</v>
      </c>
      <c r="C290" s="4"/>
      <c r="D290" s="355"/>
      <c r="E290" s="353"/>
      <c r="F290" s="353"/>
      <c r="G290" s="353"/>
      <c r="H290" s="353"/>
      <c r="I290" s="353"/>
      <c r="J290" s="353"/>
      <c r="K290" s="353"/>
      <c r="L290" s="353"/>
      <c r="M290" s="434"/>
      <c r="T290" s="354"/>
      <c r="X290" s="491"/>
      <c r="AB290" s="491"/>
      <c r="AF290" s="527"/>
    </row>
    <row r="291" spans="1:32" x14ac:dyDescent="0.2">
      <c r="B291" s="2" t="s">
        <v>131</v>
      </c>
      <c r="D291" s="54">
        <v>0</v>
      </c>
      <c r="E291" s="54">
        <v>0</v>
      </c>
      <c r="F291" s="54">
        <v>0</v>
      </c>
      <c r="G291" s="54">
        <v>0</v>
      </c>
      <c r="H291" s="54">
        <v>0</v>
      </c>
      <c r="I291" s="54">
        <v>0</v>
      </c>
      <c r="J291" s="54">
        <v>0</v>
      </c>
      <c r="K291" s="1">
        <v>2406.5709999999999</v>
      </c>
      <c r="L291" s="1">
        <v>2406.5709999999999</v>
      </c>
      <c r="M291" s="423">
        <v>2406.5709999999999</v>
      </c>
      <c r="N291" s="7">
        <f ca="1">M291/M$295*N$295</f>
        <v>3052.2077977143458</v>
      </c>
      <c r="O291" s="7">
        <f ca="1">N291</f>
        <v>3052.2077977143458</v>
      </c>
      <c r="P291" s="7">
        <f ca="1">O291</f>
        <v>3052.2077977143458</v>
      </c>
      <c r="Q291" s="7">
        <f ca="1">P291</f>
        <v>3052.2077977143458</v>
      </c>
      <c r="R291" s="7">
        <f ca="1">Q291</f>
        <v>3052.2077977143458</v>
      </c>
      <c r="S291" s="7">
        <f ca="1">R291</f>
        <v>3052.2077977143458</v>
      </c>
      <c r="U291" s="8" t="s">
        <v>148</v>
      </c>
      <c r="V291" s="8" t="s">
        <v>148</v>
      </c>
      <c r="W291" s="8" t="s">
        <v>148</v>
      </c>
      <c r="X291" s="506" t="s">
        <v>148</v>
      </c>
      <c r="Y291" s="8" t="s">
        <v>148</v>
      </c>
      <c r="Z291" s="8" t="s">
        <v>148</v>
      </c>
      <c r="AA291" s="8" t="s">
        <v>148</v>
      </c>
      <c r="AB291" s="506" t="s">
        <v>148</v>
      </c>
      <c r="AC291" s="8" t="s">
        <v>148</v>
      </c>
      <c r="AD291" s="8" t="s">
        <v>148</v>
      </c>
      <c r="AE291" s="8" t="s">
        <v>148</v>
      </c>
    </row>
    <row r="292" spans="1:32" x14ac:dyDescent="0.2">
      <c r="B292" s="2" t="s">
        <v>132</v>
      </c>
      <c r="D292" s="54">
        <v>1313.2439999999999</v>
      </c>
      <c r="E292" s="1">
        <v>1991.5530000000001</v>
      </c>
      <c r="F292" s="1">
        <v>2693.1759999999999</v>
      </c>
      <c r="G292" s="1">
        <v>3484.5309999999999</v>
      </c>
      <c r="H292" s="1">
        <v>4398.5479999999998</v>
      </c>
      <c r="I292" s="1">
        <v>5403.05</v>
      </c>
      <c r="J292" s="1">
        <v>6515.3720000000003</v>
      </c>
      <c r="K292" s="1">
        <v>7777.9250000000002</v>
      </c>
      <c r="L292" s="1">
        <v>9570.3649999999998</v>
      </c>
      <c r="M292" s="423">
        <v>12616.78</v>
      </c>
      <c r="N292" s="7">
        <f ca="1">M292/M$295*N$295</f>
        <v>16001.619855822415</v>
      </c>
      <c r="O292" s="7">
        <f>O267*Assumptions!P105</f>
        <v>14869.446704918602</v>
      </c>
      <c r="P292" s="7">
        <f>P267*Assumptions!Q105</f>
        <v>16769.267180958304</v>
      </c>
      <c r="Q292" s="7">
        <f>Q267*Assumptions!R105</f>
        <v>18869.98659121104</v>
      </c>
      <c r="R292" s="7">
        <f>R267*Assumptions!S105</f>
        <v>21344.287767968253</v>
      </c>
      <c r="S292" s="7">
        <f>S267*Assumptions!T105</f>
        <v>24213.948447539005</v>
      </c>
      <c r="U292" s="8" t="s">
        <v>148</v>
      </c>
      <c r="V292" s="8" t="s">
        <v>148</v>
      </c>
      <c r="W292" s="8" t="s">
        <v>148</v>
      </c>
      <c r="X292" s="506" t="s">
        <v>148</v>
      </c>
      <c r="Y292" s="8" t="s">
        <v>148</v>
      </c>
      <c r="Z292" s="8" t="s">
        <v>148</v>
      </c>
      <c r="AA292" s="8" t="s">
        <v>148</v>
      </c>
      <c r="AB292" s="506" t="s">
        <v>148</v>
      </c>
      <c r="AC292" s="8" t="s">
        <v>148</v>
      </c>
      <c r="AD292" s="8" t="s">
        <v>148</v>
      </c>
      <c r="AE292" s="8" t="s">
        <v>148</v>
      </c>
    </row>
    <row r="293" spans="1:32" x14ac:dyDescent="0.2">
      <c r="B293" s="2" t="s">
        <v>133</v>
      </c>
      <c r="D293" s="54">
        <v>0</v>
      </c>
      <c r="E293" s="54">
        <v>0</v>
      </c>
      <c r="F293" s="54">
        <v>0</v>
      </c>
      <c r="G293" s="54">
        <v>0</v>
      </c>
      <c r="H293" s="1">
        <v>2810.877</v>
      </c>
      <c r="I293" s="1">
        <v>3117.547</v>
      </c>
      <c r="J293" s="1">
        <v>3117.547</v>
      </c>
      <c r="K293" s="1">
        <v>3117.547</v>
      </c>
      <c r="L293" s="1">
        <v>3117.547</v>
      </c>
      <c r="M293" s="423">
        <v>3117.547</v>
      </c>
      <c r="N293" s="7">
        <f ca="1">M293/M$295*N$295</f>
        <v>3953.9250091274953</v>
      </c>
      <c r="O293" s="7">
        <f ca="1">N293</f>
        <v>3953.9250091274953</v>
      </c>
      <c r="P293" s="7">
        <f ca="1">O293</f>
        <v>3953.9250091274953</v>
      </c>
      <c r="Q293" s="7">
        <f ca="1">P293</f>
        <v>3953.9250091274953</v>
      </c>
      <c r="R293" s="7">
        <f ca="1">Q293</f>
        <v>3953.9250091274953</v>
      </c>
      <c r="S293" s="7">
        <f ca="1">R293</f>
        <v>3953.9250091274953</v>
      </c>
      <c r="U293" s="8" t="s">
        <v>148</v>
      </c>
      <c r="V293" s="8" t="s">
        <v>148</v>
      </c>
      <c r="W293" s="8" t="s">
        <v>148</v>
      </c>
      <c r="X293" s="506" t="s">
        <v>148</v>
      </c>
      <c r="Y293" s="8" t="s">
        <v>148</v>
      </c>
      <c r="Z293" s="8" t="s">
        <v>148</v>
      </c>
      <c r="AA293" s="8" t="s">
        <v>148</v>
      </c>
      <c r="AB293" s="506" t="s">
        <v>148</v>
      </c>
      <c r="AC293" s="8" t="s">
        <v>148</v>
      </c>
      <c r="AD293" s="8" t="s">
        <v>148</v>
      </c>
      <c r="AE293" s="8" t="s">
        <v>148</v>
      </c>
    </row>
    <row r="294" spans="1:32" x14ac:dyDescent="0.2">
      <c r="B294" s="2" t="s">
        <v>134</v>
      </c>
      <c r="D294" s="54">
        <v>91.081999999999994</v>
      </c>
      <c r="E294" s="1">
        <v>91.081999999999994</v>
      </c>
      <c r="F294" s="1">
        <v>66.766000000000005</v>
      </c>
      <c r="G294" s="1">
        <v>66.766000000000005</v>
      </c>
      <c r="H294" s="1">
        <v>66.766000000000005</v>
      </c>
      <c r="I294" s="1">
        <v>66.766000000000005</v>
      </c>
      <c r="J294" s="1">
        <v>91.081999999999994</v>
      </c>
      <c r="K294" s="1">
        <v>91.081999999999994</v>
      </c>
      <c r="L294" s="1">
        <v>91.081999999999994</v>
      </c>
      <c r="M294" s="423">
        <v>91.081999999999994</v>
      </c>
      <c r="N294" s="7">
        <f ca="1">M294/M$295*N$295</f>
        <v>115.51755199884734</v>
      </c>
      <c r="O294" s="7">
        <f ca="1">GEOMEAN(J294:N294)</f>
        <v>95.51589338241989</v>
      </c>
      <c r="P294" s="7">
        <f ca="1">GEOMEAN(K294:O294)</f>
        <v>96.428244154352157</v>
      </c>
      <c r="Q294" s="7">
        <f ca="1">GEOMEAN(L294:P294)</f>
        <v>97.534575679450668</v>
      </c>
      <c r="R294" s="7">
        <f ca="1">GEOMEAN(M294:Q294)</f>
        <v>98.878941134199607</v>
      </c>
      <c r="S294" s="7">
        <f ca="1">GEOMEAN(N294:R294)</f>
        <v>100.51666173190578</v>
      </c>
      <c r="U294" s="8" t="s">
        <v>148</v>
      </c>
      <c r="V294" s="8" t="s">
        <v>148</v>
      </c>
      <c r="W294" s="8" t="s">
        <v>148</v>
      </c>
      <c r="X294" s="506" t="s">
        <v>148</v>
      </c>
      <c r="Y294" s="8" t="s">
        <v>148</v>
      </c>
      <c r="Z294" s="8" t="s">
        <v>148</v>
      </c>
      <c r="AA294" s="8" t="s">
        <v>148</v>
      </c>
      <c r="AB294" s="506" t="s">
        <v>148</v>
      </c>
      <c r="AC294" s="8" t="s">
        <v>148</v>
      </c>
      <c r="AD294" s="8" t="s">
        <v>148</v>
      </c>
      <c r="AE294" s="8" t="s">
        <v>148</v>
      </c>
    </row>
    <row r="295" spans="1:32" x14ac:dyDescent="0.2">
      <c r="B295" s="3" t="s">
        <v>135</v>
      </c>
      <c r="D295" s="64">
        <f>SUM(D291:D294)</f>
        <v>1404.326</v>
      </c>
      <c r="E295" s="131">
        <f t="shared" ref="E295:M295" si="337">SUM(E291:E294)</f>
        <v>2082.6350000000002</v>
      </c>
      <c r="F295" s="131">
        <f t="shared" si="337"/>
        <v>2759.942</v>
      </c>
      <c r="G295" s="131">
        <f t="shared" si="337"/>
        <v>3551.297</v>
      </c>
      <c r="H295" s="131">
        <f t="shared" si="337"/>
        <v>7276.1909999999989</v>
      </c>
      <c r="I295" s="131">
        <f t="shared" si="337"/>
        <v>8587.3629999999994</v>
      </c>
      <c r="J295" s="131">
        <f t="shared" si="337"/>
        <v>9724.0010000000002</v>
      </c>
      <c r="K295" s="131">
        <f t="shared" si="337"/>
        <v>13393.125</v>
      </c>
      <c r="L295" s="131">
        <f t="shared" si="337"/>
        <v>15185.565000000001</v>
      </c>
      <c r="M295" s="468">
        <f t="shared" si="337"/>
        <v>18231.98</v>
      </c>
      <c r="N295" s="80">
        <f ca="1">N16-N25-N30-N32-N33-N35</f>
        <v>23123.270214663102</v>
      </c>
      <c r="O295" s="65">
        <f ca="1">SUM(O291:O294)</f>
        <v>21971.095405142863</v>
      </c>
      <c r="P295" s="65">
        <f ca="1">SUM(P291:P294)</f>
        <v>23871.828231954496</v>
      </c>
      <c r="Q295" s="65">
        <f ca="1">SUM(Q291:Q294)</f>
        <v>25973.653973732333</v>
      </c>
      <c r="R295" s="65">
        <f ca="1">SUM(R291:R294)</f>
        <v>28449.299515944294</v>
      </c>
      <c r="S295" s="65">
        <f ca="1">SUM(S291:S294)</f>
        <v>31320.597916112751</v>
      </c>
      <c r="U295" s="8" t="s">
        <v>148</v>
      </c>
      <c r="V295" s="8" t="s">
        <v>148</v>
      </c>
      <c r="W295" s="8" t="s">
        <v>148</v>
      </c>
      <c r="X295" s="506" t="s">
        <v>148</v>
      </c>
      <c r="Y295" s="8" t="s">
        <v>148</v>
      </c>
      <c r="Z295" s="8" t="s">
        <v>148</v>
      </c>
      <c r="AA295" s="8" t="s">
        <v>148</v>
      </c>
      <c r="AB295" s="506" t="s">
        <v>148</v>
      </c>
      <c r="AC295" s="8" t="s">
        <v>148</v>
      </c>
      <c r="AD295" s="8" t="s">
        <v>148</v>
      </c>
      <c r="AE295" s="8" t="s">
        <v>148</v>
      </c>
    </row>
    <row r="296" spans="1:32" x14ac:dyDescent="0.2">
      <c r="U296" s="8"/>
      <c r="V296" s="8"/>
      <c r="W296" s="8"/>
      <c r="X296" s="506"/>
      <c r="Y296" s="8"/>
      <c r="Z296" s="8"/>
      <c r="AA296" s="8"/>
      <c r="AB296" s="506"/>
      <c r="AC296" s="8"/>
      <c r="AD296" s="8"/>
      <c r="AE296" s="8"/>
    </row>
    <row r="297" spans="1:32" s="123" customFormat="1" x14ac:dyDescent="0.2">
      <c r="A297" s="122"/>
      <c r="B297" s="123" t="s">
        <v>101</v>
      </c>
      <c r="D297" s="124">
        <f>D295</f>
        <v>1404.326</v>
      </c>
      <c r="E297" s="125">
        <f t="shared" ref="E297:M297" si="338">E295</f>
        <v>2082.6350000000002</v>
      </c>
      <c r="F297" s="125">
        <f t="shared" si="338"/>
        <v>2759.942</v>
      </c>
      <c r="G297" s="125">
        <f t="shared" si="338"/>
        <v>3551.297</v>
      </c>
      <c r="H297" s="125">
        <f t="shared" si="338"/>
        <v>7276.1909999999989</v>
      </c>
      <c r="I297" s="125">
        <f t="shared" si="338"/>
        <v>8587.3629999999994</v>
      </c>
      <c r="J297" s="125">
        <f t="shared" si="338"/>
        <v>9724.0010000000002</v>
      </c>
      <c r="K297" s="125">
        <f t="shared" si="338"/>
        <v>13393.125</v>
      </c>
      <c r="L297" s="125">
        <f t="shared" si="338"/>
        <v>15185.565000000001</v>
      </c>
      <c r="M297" s="437">
        <f t="shared" si="338"/>
        <v>18231.98</v>
      </c>
      <c r="N297" s="126">
        <f t="shared" ref="N297:S297" ca="1" si="339">N295</f>
        <v>23123.270214663102</v>
      </c>
      <c r="O297" s="126">
        <f t="shared" ca="1" si="339"/>
        <v>21971.095405142863</v>
      </c>
      <c r="P297" s="126">
        <f t="shared" ca="1" si="339"/>
        <v>23871.828231954496</v>
      </c>
      <c r="Q297" s="126">
        <f t="shared" ca="1" si="339"/>
        <v>25973.653973732333</v>
      </c>
      <c r="R297" s="126">
        <f t="shared" ca="1" si="339"/>
        <v>28449.299515944294</v>
      </c>
      <c r="S297" s="126">
        <f t="shared" ca="1" si="339"/>
        <v>31320.597916112751</v>
      </c>
      <c r="T297" s="421"/>
      <c r="U297" s="222" t="s">
        <v>148</v>
      </c>
      <c r="V297" s="222" t="s">
        <v>148</v>
      </c>
      <c r="W297" s="222" t="s">
        <v>148</v>
      </c>
      <c r="X297" s="507" t="s">
        <v>148</v>
      </c>
      <c r="Y297" s="222" t="s">
        <v>148</v>
      </c>
      <c r="Z297" s="222" t="s">
        <v>148</v>
      </c>
      <c r="AA297" s="222" t="s">
        <v>148</v>
      </c>
      <c r="AB297" s="507" t="s">
        <v>148</v>
      </c>
      <c r="AC297" s="222" t="s">
        <v>148</v>
      </c>
      <c r="AD297" s="222" t="s">
        <v>148</v>
      </c>
      <c r="AE297" s="222" t="s">
        <v>148</v>
      </c>
      <c r="AF297" s="530"/>
    </row>
    <row r="298" spans="1:32" s="89" customFormat="1" x14ac:dyDescent="0.2">
      <c r="A298" s="88"/>
      <c r="B298" s="89" t="s">
        <v>102</v>
      </c>
      <c r="D298" s="95">
        <f t="shared" ref="D298:S298" si="340">D31</f>
        <v>1404.326</v>
      </c>
      <c r="E298" s="128">
        <f t="shared" si="340"/>
        <v>2082.6350000000002</v>
      </c>
      <c r="F298" s="128">
        <f t="shared" si="340"/>
        <v>2759.942</v>
      </c>
      <c r="G298" s="128">
        <f t="shared" si="340"/>
        <v>3551.297</v>
      </c>
      <c r="H298" s="128">
        <f t="shared" si="340"/>
        <v>7276.1909999999998</v>
      </c>
      <c r="I298" s="128">
        <f t="shared" si="340"/>
        <v>8587.3629999999994</v>
      </c>
      <c r="J298" s="128">
        <f t="shared" si="340"/>
        <v>9724.0010000000002</v>
      </c>
      <c r="K298" s="128">
        <f t="shared" si="340"/>
        <v>13393.125</v>
      </c>
      <c r="L298" s="128">
        <f t="shared" si="340"/>
        <v>15185.565000000001</v>
      </c>
      <c r="M298" s="438">
        <f t="shared" si="340"/>
        <v>18231.98</v>
      </c>
      <c r="N298" s="129">
        <f t="shared" ca="1" si="340"/>
        <v>23123.270214663102</v>
      </c>
      <c r="O298" s="129">
        <f t="shared" ca="1" si="340"/>
        <v>21971.095405142863</v>
      </c>
      <c r="P298" s="129">
        <f t="shared" ca="1" si="340"/>
        <v>23871.828231954496</v>
      </c>
      <c r="Q298" s="129">
        <f t="shared" ca="1" si="340"/>
        <v>25973.653973732333</v>
      </c>
      <c r="R298" s="129">
        <f t="shared" ca="1" si="340"/>
        <v>28449.299515944294</v>
      </c>
      <c r="S298" s="129">
        <f t="shared" ca="1" si="340"/>
        <v>31320.597916112751</v>
      </c>
      <c r="T298" s="419"/>
      <c r="U298" s="223">
        <f t="shared" ref="U298:AF298" si="341">U31</f>
        <v>24295.709000000003</v>
      </c>
      <c r="V298" s="223">
        <f t="shared" si="341"/>
        <v>26507.064999999999</v>
      </c>
      <c r="W298" s="223">
        <f t="shared" si="341"/>
        <v>27033.986000000001</v>
      </c>
      <c r="X298" s="508">
        <f t="shared" si="341"/>
        <v>28687.013999999999</v>
      </c>
      <c r="Y298" s="223">
        <f t="shared" si="341"/>
        <v>29200.010000000002</v>
      </c>
      <c r="Z298" s="223">
        <f t="shared" si="341"/>
        <v>31012.071000000004</v>
      </c>
      <c r="AA298" s="223">
        <f t="shared" si="341"/>
        <v>33666.854999999996</v>
      </c>
      <c r="AB298" s="508">
        <f t="shared" si="341"/>
        <v>36753.460999999996</v>
      </c>
      <c r="AC298" s="223">
        <f t="shared" si="341"/>
        <v>39686.692999999999</v>
      </c>
      <c r="AD298" s="223">
        <f t="shared" si="341"/>
        <v>45858.184999999998</v>
      </c>
      <c r="AE298" s="223">
        <f t="shared" si="341"/>
        <v>50973.880000000005</v>
      </c>
      <c r="AF298" s="531">
        <f t="shared" si="341"/>
        <v>51937.058433957442</v>
      </c>
    </row>
    <row r="300" spans="1:32" s="224" customFormat="1" x14ac:dyDescent="0.2">
      <c r="B300" s="58" t="s">
        <v>142</v>
      </c>
      <c r="C300" s="58"/>
      <c r="D300" s="356"/>
      <c r="E300" s="357"/>
      <c r="F300" s="357"/>
      <c r="G300" s="357"/>
      <c r="H300" s="357"/>
      <c r="I300" s="357"/>
      <c r="J300" s="357"/>
      <c r="K300" s="357"/>
      <c r="L300" s="357"/>
      <c r="M300" s="471"/>
      <c r="T300" s="269"/>
      <c r="X300" s="509"/>
      <c r="AB300" s="509"/>
      <c r="AF300" s="510"/>
    </row>
    <row r="301" spans="1:32" s="3" customFormat="1" x14ac:dyDescent="0.2">
      <c r="A301" s="87"/>
      <c r="B301" s="3" t="s">
        <v>143</v>
      </c>
      <c r="D301" s="109">
        <v>5824.1869999999999</v>
      </c>
      <c r="E301" s="109">
        <v>7099.1689999999999</v>
      </c>
      <c r="F301" s="109">
        <v>8405.8009999999995</v>
      </c>
      <c r="G301" s="109">
        <v>8652.39</v>
      </c>
      <c r="H301" s="109">
        <v>12343.431</v>
      </c>
      <c r="I301" s="109">
        <v>13751.428</v>
      </c>
      <c r="J301" s="109">
        <v>15598.931</v>
      </c>
      <c r="K301" s="109">
        <v>21495.183000000001</v>
      </c>
      <c r="L301" s="109">
        <v>30203.440999999999</v>
      </c>
      <c r="M301" s="472">
        <v>54737.673000000003</v>
      </c>
      <c r="N301" s="131">
        <f>SUM(AC301:AF301)</f>
        <v>50576.898272799495</v>
      </c>
      <c r="O301" s="794">
        <f>O11*Assumptions!P56</f>
        <v>49025.374668020202</v>
      </c>
      <c r="P301" s="794">
        <f ca="1">P11*Assumptions!Q56</f>
        <v>56625.725732925639</v>
      </c>
      <c r="Q301" s="794">
        <f ca="1">Q11*Assumptions!R56</f>
        <v>65104.303567735056</v>
      </c>
      <c r="R301" s="794">
        <f ca="1">R11*Assumptions!S56</f>
        <v>75194.613471313467</v>
      </c>
      <c r="S301" s="794">
        <f ca="1">S11*Assumptions!T56</f>
        <v>87044.786343524698</v>
      </c>
      <c r="T301" s="418"/>
      <c r="U301" s="65">
        <v>6346.0630000000001</v>
      </c>
      <c r="V301" s="65">
        <v>6356.0249999999996</v>
      </c>
      <c r="W301" s="65">
        <v>7177.4129999999996</v>
      </c>
      <c r="X301" s="468">
        <v>10326.317999999999</v>
      </c>
      <c r="Y301" s="65">
        <v>11614.023999999999</v>
      </c>
      <c r="Z301" s="65">
        <v>12802.156999999999</v>
      </c>
      <c r="AA301" s="65">
        <v>15023.992</v>
      </c>
      <c r="AB301" s="468">
        <v>15297.5</v>
      </c>
      <c r="AC301" s="65">
        <v>14931.511</v>
      </c>
      <c r="AD301" s="65">
        <v>12876.026</v>
      </c>
      <c r="AE301" s="65">
        <v>10985.566000000001</v>
      </c>
      <c r="AF301" s="523">
        <f>AF11*Assumptions!AG56/4</f>
        <v>11783.795272799493</v>
      </c>
    </row>
    <row r="302" spans="1:32" x14ac:dyDescent="0.2">
      <c r="B302" s="3" t="s">
        <v>144</v>
      </c>
      <c r="D302" s="109">
        <f>SUM(D303:D305)</f>
        <v>2890.4450000000002</v>
      </c>
      <c r="E302" s="109">
        <f t="shared" ref="E302:N302" si="342">SUM(E303:E305)</f>
        <v>9108.5439999999999</v>
      </c>
      <c r="F302" s="109">
        <f t="shared" si="342"/>
        <v>13107.369999999999</v>
      </c>
      <c r="G302" s="109">
        <f t="shared" si="342"/>
        <v>14164.667000000001</v>
      </c>
      <c r="H302" s="109">
        <f t="shared" si="342"/>
        <v>10289.517</v>
      </c>
      <c r="I302" s="109">
        <f t="shared" si="342"/>
        <v>6599.9780000000001</v>
      </c>
      <c r="J302" s="109">
        <f t="shared" si="342"/>
        <v>9458.5210000000006</v>
      </c>
      <c r="K302" s="109">
        <f t="shared" si="342"/>
        <v>5986.9349999999995</v>
      </c>
      <c r="L302" s="109">
        <f t="shared" si="342"/>
        <v>6904.1329999999998</v>
      </c>
      <c r="M302" s="468">
        <f t="shared" si="342"/>
        <v>22206.528999999999</v>
      </c>
      <c r="N302" s="65">
        <f t="shared" si="342"/>
        <v>29210.363142762501</v>
      </c>
      <c r="O302" s="80">
        <f>O10*Assumptions!P57</f>
        <v>32960.60686256957</v>
      </c>
      <c r="P302" s="80">
        <f>P10*Assumptions!Q57</f>
        <v>43320.606884142297</v>
      </c>
      <c r="Q302" s="80">
        <f>Q10*Assumptions!R57</f>
        <v>48747.465360628528</v>
      </c>
      <c r="R302" s="80">
        <f>R10*Assumptions!S57</f>
        <v>55139.410067251338</v>
      </c>
      <c r="S302" s="80">
        <f>S10*Assumptions!T57</f>
        <v>62552.700156142448</v>
      </c>
      <c r="U302" s="65">
        <f>SUM(U303:U305)</f>
        <v>1404.7439999999999</v>
      </c>
      <c r="V302" s="65">
        <f t="shared" ref="V302:AE302" si="343">SUM(V303:V305)</f>
        <v>1558.9870000000001</v>
      </c>
      <c r="W302" s="65">
        <f t="shared" si="343"/>
        <v>1603.182</v>
      </c>
      <c r="X302" s="468">
        <f t="shared" si="343"/>
        <v>2328.9499999999994</v>
      </c>
      <c r="Y302" s="65">
        <f t="shared" si="343"/>
        <v>3803.607</v>
      </c>
      <c r="Z302" s="65">
        <f t="shared" si="343"/>
        <v>5769.6869999999999</v>
      </c>
      <c r="AA302" s="65">
        <f t="shared" si="343"/>
        <v>5963.8590000000004</v>
      </c>
      <c r="AB302" s="468">
        <f t="shared" si="343"/>
        <v>6661.0910000000003</v>
      </c>
      <c r="AC302" s="65">
        <f t="shared" si="343"/>
        <v>6336.8220000000001</v>
      </c>
      <c r="AD302" s="65">
        <f t="shared" si="343"/>
        <v>6698.232</v>
      </c>
      <c r="AE302" s="65">
        <f t="shared" si="343"/>
        <v>7934.0510000000004</v>
      </c>
      <c r="AF302" s="523">
        <f>AF10*Assumptions!AG57/4</f>
        <v>8231.5584684005462</v>
      </c>
    </row>
    <row r="303" spans="1:32" x14ac:dyDescent="0.2">
      <c r="B303" s="2" t="s">
        <v>90</v>
      </c>
      <c r="D303" s="115">
        <v>2739.002</v>
      </c>
      <c r="E303" s="115">
        <v>8949.8819999999996</v>
      </c>
      <c r="F303" s="115">
        <v>12840.267</v>
      </c>
      <c r="G303" s="115">
        <v>14163.485000000001</v>
      </c>
      <c r="H303" s="115">
        <v>10209.35</v>
      </c>
      <c r="I303" s="115">
        <v>6599.4849999999997</v>
      </c>
      <c r="J303" s="115">
        <v>8260.8490000000002</v>
      </c>
      <c r="K303" s="115">
        <v>4413.4110000000001</v>
      </c>
      <c r="L303" s="115">
        <v>5330.6629999999996</v>
      </c>
      <c r="M303" s="452">
        <v>22052.445</v>
      </c>
      <c r="N303" s="7">
        <f t="shared" ref="N303:N306" si="344">SUM(AC303:AF303)</f>
        <v>29000.359121827911</v>
      </c>
      <c r="O303" s="7">
        <f>N303/N$302*O$302</f>
        <v>32723.64096318126</v>
      </c>
      <c r="U303" s="7">
        <v>1018.804</v>
      </c>
      <c r="V303" s="7">
        <v>1168.759</v>
      </c>
      <c r="W303" s="7">
        <v>1208.6659999999999</v>
      </c>
      <c r="X303" s="467">
        <v>1934.4339999999993</v>
      </c>
      <c r="Y303" s="7">
        <v>3657.808</v>
      </c>
      <c r="Z303" s="7">
        <v>5769.6869999999999</v>
      </c>
      <c r="AA303" s="7">
        <v>5963.8590000000004</v>
      </c>
      <c r="AB303" s="467">
        <v>6661.0910000000003</v>
      </c>
      <c r="AC303" s="7">
        <v>6336.8220000000001</v>
      </c>
      <c r="AD303" s="7">
        <v>6698.232</v>
      </c>
      <c r="AE303" s="7">
        <v>7835.7420000000002</v>
      </c>
      <c r="AF303" s="511">
        <f>AE303/AE$302*AF$302</f>
        <v>8129.5631218279077</v>
      </c>
    </row>
    <row r="304" spans="1:32" s="19" customFormat="1" x14ac:dyDescent="0.2">
      <c r="A304" s="639"/>
      <c r="B304" s="19" t="s">
        <v>145</v>
      </c>
      <c r="D304" s="19">
        <v>0.26200000000000001</v>
      </c>
      <c r="E304" s="19">
        <v>0</v>
      </c>
      <c r="F304" s="19">
        <v>150.90199999999999</v>
      </c>
      <c r="G304" s="19">
        <v>1.1819999999999999</v>
      </c>
      <c r="H304" s="19">
        <v>80.167000000000002</v>
      </c>
      <c r="I304" s="19">
        <v>0.49299999999999999</v>
      </c>
      <c r="J304" s="19">
        <v>5.5469999999999997</v>
      </c>
      <c r="K304" s="19">
        <v>8.3239999999999998</v>
      </c>
      <c r="L304" s="19">
        <v>0</v>
      </c>
      <c r="M304" s="470">
        <v>0</v>
      </c>
      <c r="N304" s="19">
        <f t="shared" si="344"/>
        <v>0</v>
      </c>
      <c r="O304" s="19">
        <f t="shared" ref="O304:O305" si="345">N304/N$302*O$302</f>
        <v>0</v>
      </c>
      <c r="T304" s="640"/>
      <c r="X304" s="470"/>
      <c r="AB304" s="470"/>
      <c r="AE304" s="19">
        <v>0</v>
      </c>
      <c r="AF304" s="641">
        <f t="shared" ref="AF304:AF305" si="346">AE304/AE$302*AF$302</f>
        <v>0</v>
      </c>
    </row>
    <row r="305" spans="1:32" x14ac:dyDescent="0.2">
      <c r="B305" s="2" t="s">
        <v>91</v>
      </c>
      <c r="D305" s="115">
        <v>151.18100000000001</v>
      </c>
      <c r="E305" s="115">
        <v>158.66200000000001</v>
      </c>
      <c r="F305" s="115">
        <v>116.20099999999999</v>
      </c>
      <c r="G305" s="2" t="s">
        <v>148</v>
      </c>
      <c r="H305" s="2">
        <v>0</v>
      </c>
      <c r="I305" s="2">
        <v>0</v>
      </c>
      <c r="J305" s="115">
        <v>1192.125</v>
      </c>
      <c r="K305" s="115">
        <v>1565.2</v>
      </c>
      <c r="L305" s="115">
        <v>1573.47</v>
      </c>
      <c r="M305" s="452">
        <v>154.084</v>
      </c>
      <c r="N305" s="7">
        <f>SUM(AC305:AF305)+N307-SUM(AC307:AF307)</f>
        <v>210.00402093458979</v>
      </c>
      <c r="O305" s="7">
        <f t="shared" si="345"/>
        <v>236.96589938830954</v>
      </c>
      <c r="U305" s="7">
        <v>385.94</v>
      </c>
      <c r="V305" s="7">
        <v>390.22800000000001</v>
      </c>
      <c r="W305" s="7">
        <v>394.51600000000002</v>
      </c>
      <c r="X305" s="467">
        <v>394.51600000000008</v>
      </c>
      <c r="Y305" s="7">
        <v>145.79900000000001</v>
      </c>
      <c r="Z305" s="7">
        <v>0</v>
      </c>
      <c r="AA305" s="7">
        <v>0</v>
      </c>
      <c r="AB305" s="467">
        <v>0</v>
      </c>
      <c r="AC305" s="7">
        <v>0</v>
      </c>
      <c r="AD305" s="7">
        <v>0</v>
      </c>
      <c r="AE305" s="7">
        <v>98.308999999999997</v>
      </c>
      <c r="AF305" s="511">
        <f t="shared" si="346"/>
        <v>101.99534657263852</v>
      </c>
    </row>
    <row r="306" spans="1:32" s="3" customFormat="1" x14ac:dyDescent="0.2">
      <c r="A306" s="87"/>
      <c r="B306" s="233" t="s">
        <v>146</v>
      </c>
      <c r="D306" s="109">
        <v>3569.9369999999999</v>
      </c>
      <c r="E306" s="109">
        <v>1799.1389999999999</v>
      </c>
      <c r="F306" s="109">
        <v>323.80099999999999</v>
      </c>
      <c r="G306" s="109">
        <v>353.96100000000001</v>
      </c>
      <c r="H306" s="109">
        <v>6170.1109999999999</v>
      </c>
      <c r="I306" s="109">
        <v>12762.334999999999</v>
      </c>
      <c r="J306" s="109">
        <v>6372.19</v>
      </c>
      <c r="K306" s="109">
        <v>8612.8160000000007</v>
      </c>
      <c r="L306" s="109">
        <v>11521.565000000001</v>
      </c>
      <c r="M306" s="472">
        <v>17334.608</v>
      </c>
      <c r="N306" s="65">
        <f t="shared" si="344"/>
        <v>29743.671179118734</v>
      </c>
      <c r="O306" s="131">
        <f>SUM(O8:O9)*Assumptions!P58</f>
        <v>21239.709860398489</v>
      </c>
      <c r="P306" s="131">
        <f>SUM(P8:P9)*Assumptions!Q58</f>
        <v>18745.640855875416</v>
      </c>
      <c r="Q306" s="131">
        <f>SUM(Q8:Q9)*Assumptions!R58</f>
        <v>18745.23902583593</v>
      </c>
      <c r="R306" s="131">
        <f>SUM(R8:R9)*Assumptions!S58</f>
        <v>19741.109607383656</v>
      </c>
      <c r="S306" s="131">
        <f>SUM(S8:S9)*Assumptions!T58</f>
        <v>20785.861790042054</v>
      </c>
      <c r="T306" s="418"/>
      <c r="U306" s="65">
        <v>2238.002</v>
      </c>
      <c r="V306" s="65">
        <v>3072.3919999999998</v>
      </c>
      <c r="W306" s="65">
        <v>2989.431</v>
      </c>
      <c r="X306" s="468">
        <v>3222.9509999999991</v>
      </c>
      <c r="Y306" s="65">
        <v>2788.768</v>
      </c>
      <c r="Z306" s="65">
        <v>3228.7730000000001</v>
      </c>
      <c r="AA306" s="65">
        <v>4927.7520000000004</v>
      </c>
      <c r="AB306" s="468">
        <v>6389.2510000000002</v>
      </c>
      <c r="AC306" s="65">
        <v>8565.4089999999997</v>
      </c>
      <c r="AD306" s="65">
        <v>8421.2369999999992</v>
      </c>
      <c r="AE306" s="65">
        <v>6563.6440000000002</v>
      </c>
      <c r="AF306" s="523">
        <f>SUM(AF8,AF9)*Assumptions!AG58/4</f>
        <v>6193.3811791187327</v>
      </c>
    </row>
    <row r="307" spans="1:32" x14ac:dyDescent="0.2">
      <c r="B307" s="3" t="s">
        <v>147</v>
      </c>
      <c r="C307" s="3"/>
      <c r="D307" s="225">
        <f t="shared" ref="D307:M307" si="347">D301+D302+D306</f>
        <v>12284.569</v>
      </c>
      <c r="E307" s="225">
        <f t="shared" si="347"/>
        <v>18006.851999999999</v>
      </c>
      <c r="F307" s="225">
        <f t="shared" si="347"/>
        <v>21836.971999999998</v>
      </c>
      <c r="G307" s="225">
        <f t="shared" si="347"/>
        <v>23171.018</v>
      </c>
      <c r="H307" s="225">
        <f t="shared" si="347"/>
        <v>28803.059000000001</v>
      </c>
      <c r="I307" s="225">
        <f t="shared" si="347"/>
        <v>33113.740999999995</v>
      </c>
      <c r="J307" s="225">
        <f t="shared" si="347"/>
        <v>31429.642</v>
      </c>
      <c r="K307" s="225">
        <f t="shared" si="347"/>
        <v>36094.934000000001</v>
      </c>
      <c r="L307" s="225">
        <f t="shared" si="347"/>
        <v>48629.139000000003</v>
      </c>
      <c r="M307" s="468">
        <f t="shared" si="347"/>
        <v>94278.81</v>
      </c>
      <c r="N307" s="168">
        <f>(SUM(AC307:AF307)*(1+'Adj from Unconsol to Consol'!F40))</f>
        <v>109530.93259468074</v>
      </c>
      <c r="O307" s="168">
        <f>O301+O302+O306</f>
        <v>103225.69139098827</v>
      </c>
      <c r="P307" s="168">
        <f ca="1">P301+P302+P306</f>
        <v>118691.97347294335</v>
      </c>
      <c r="Q307" s="65">
        <f ca="1">Q301+Q302+Q306</f>
        <v>132597.00795419951</v>
      </c>
      <c r="R307" s="65">
        <f ca="1">R301+R302+R306</f>
        <v>150075.13314594846</v>
      </c>
      <c r="S307" s="65">
        <f ca="1">S301+S302+S306</f>
        <v>170383.34828970919</v>
      </c>
      <c r="U307" s="65">
        <f t="shared" ref="U307:AE307" si="348">U301+U302+U306</f>
        <v>9988.8089999999993</v>
      </c>
      <c r="V307" s="65">
        <f t="shared" si="348"/>
        <v>10987.403999999999</v>
      </c>
      <c r="W307" s="65">
        <f t="shared" si="348"/>
        <v>11770.026</v>
      </c>
      <c r="X307" s="468">
        <f t="shared" si="348"/>
        <v>15878.218999999997</v>
      </c>
      <c r="Y307" s="65">
        <f t="shared" si="348"/>
        <v>18206.398999999998</v>
      </c>
      <c r="Z307" s="65">
        <f t="shared" si="348"/>
        <v>21800.616999999998</v>
      </c>
      <c r="AA307" s="65">
        <f t="shared" si="348"/>
        <v>25915.603000000003</v>
      </c>
      <c r="AB307" s="468">
        <f t="shared" si="348"/>
        <v>28347.842000000001</v>
      </c>
      <c r="AC307" s="65">
        <f t="shared" si="348"/>
        <v>29833.741999999998</v>
      </c>
      <c r="AD307" s="65">
        <f t="shared" si="348"/>
        <v>27995.495000000003</v>
      </c>
      <c r="AE307" s="65">
        <f t="shared" si="348"/>
        <v>25483.261000000002</v>
      </c>
      <c r="AF307" s="523">
        <f>AF301+AF302+AF306</f>
        <v>26208.73492031877</v>
      </c>
    </row>
    <row r="309" spans="1:32" s="123" customFormat="1" x14ac:dyDescent="0.2">
      <c r="A309" s="122"/>
      <c r="B309" s="123" t="s">
        <v>101</v>
      </c>
      <c r="D309" s="124">
        <f>D307</f>
        <v>12284.569</v>
      </c>
      <c r="E309" s="125">
        <f t="shared" ref="E309:M309" si="349">E307</f>
        <v>18006.851999999999</v>
      </c>
      <c r="F309" s="125">
        <f t="shared" si="349"/>
        <v>21836.971999999998</v>
      </c>
      <c r="G309" s="125">
        <f t="shared" si="349"/>
        <v>23171.018</v>
      </c>
      <c r="H309" s="125">
        <f t="shared" si="349"/>
        <v>28803.059000000001</v>
      </c>
      <c r="I309" s="125">
        <f t="shared" si="349"/>
        <v>33113.740999999995</v>
      </c>
      <c r="J309" s="125">
        <f t="shared" si="349"/>
        <v>31429.642</v>
      </c>
      <c r="K309" s="125">
        <f t="shared" si="349"/>
        <v>36094.934000000001</v>
      </c>
      <c r="L309" s="125">
        <f t="shared" si="349"/>
        <v>48629.139000000003</v>
      </c>
      <c r="M309" s="437">
        <f t="shared" si="349"/>
        <v>94278.81</v>
      </c>
      <c r="N309" s="126">
        <f t="shared" ref="N309:O309" si="350">N307</f>
        <v>109530.93259468074</v>
      </c>
      <c r="O309" s="126">
        <f t="shared" si="350"/>
        <v>103225.69139098827</v>
      </c>
      <c r="P309" s="126">
        <f ca="1">P307</f>
        <v>118691.97347294335</v>
      </c>
      <c r="Q309" s="126">
        <f ca="1">Q307</f>
        <v>132597.00795419951</v>
      </c>
      <c r="R309" s="126">
        <f ca="1">R307</f>
        <v>150075.13314594846</v>
      </c>
      <c r="S309" s="126">
        <f ca="1">S307</f>
        <v>170383.34828970919</v>
      </c>
      <c r="T309" s="421"/>
      <c r="U309" s="126">
        <f>U307</f>
        <v>9988.8089999999993</v>
      </c>
      <c r="V309" s="126">
        <f t="shared" ref="V309:AE309" si="351">V307</f>
        <v>10987.403999999999</v>
      </c>
      <c r="W309" s="126">
        <f t="shared" si="351"/>
        <v>11770.026</v>
      </c>
      <c r="X309" s="437">
        <f t="shared" si="351"/>
        <v>15878.218999999997</v>
      </c>
      <c r="Y309" s="126">
        <f t="shared" si="351"/>
        <v>18206.398999999998</v>
      </c>
      <c r="Z309" s="126">
        <f t="shared" si="351"/>
        <v>21800.616999999998</v>
      </c>
      <c r="AA309" s="126">
        <f t="shared" si="351"/>
        <v>25915.603000000003</v>
      </c>
      <c r="AB309" s="437">
        <f t="shared" si="351"/>
        <v>28347.842000000001</v>
      </c>
      <c r="AC309" s="126">
        <f t="shared" si="351"/>
        <v>29833.741999999998</v>
      </c>
      <c r="AD309" s="126">
        <f t="shared" si="351"/>
        <v>27995.495000000003</v>
      </c>
      <c r="AE309" s="126">
        <f t="shared" si="351"/>
        <v>25483.261000000002</v>
      </c>
      <c r="AF309" s="530">
        <f t="shared" ref="AF309" si="352">AF307</f>
        <v>26208.73492031877</v>
      </c>
    </row>
    <row r="310" spans="1:32" s="89" customFormat="1" x14ac:dyDescent="0.2">
      <c r="A310" s="88"/>
      <c r="B310" s="89" t="s">
        <v>102</v>
      </c>
      <c r="D310" s="95">
        <f t="shared" ref="D310:S310" si="353">D41</f>
        <v>12284.569</v>
      </c>
      <c r="E310" s="128">
        <f t="shared" si="353"/>
        <v>18006.812000000002</v>
      </c>
      <c r="F310" s="128">
        <f t="shared" si="353"/>
        <v>21836.972000000002</v>
      </c>
      <c r="G310" s="128">
        <f t="shared" si="353"/>
        <v>23171.018</v>
      </c>
      <c r="H310" s="128">
        <f t="shared" si="353"/>
        <v>28803.059000000001</v>
      </c>
      <c r="I310" s="128">
        <f t="shared" si="353"/>
        <v>33113.741000000002</v>
      </c>
      <c r="J310" s="128">
        <f t="shared" si="353"/>
        <v>31429.642</v>
      </c>
      <c r="K310" s="128">
        <f t="shared" si="353"/>
        <v>36094.934000000001</v>
      </c>
      <c r="L310" s="128">
        <f t="shared" si="353"/>
        <v>48629.139000000003</v>
      </c>
      <c r="M310" s="438">
        <f t="shared" si="353"/>
        <v>94278.81</v>
      </c>
      <c r="N310" s="129">
        <f t="shared" si="353"/>
        <v>109530.93259468074</v>
      </c>
      <c r="O310" s="129">
        <f t="shared" si="353"/>
        <v>103225.69139098827</v>
      </c>
      <c r="P310" s="129">
        <f t="shared" ca="1" si="353"/>
        <v>118691.97347294335</v>
      </c>
      <c r="Q310" s="129">
        <f t="shared" ca="1" si="353"/>
        <v>132597.00795419951</v>
      </c>
      <c r="R310" s="129">
        <f t="shared" ca="1" si="353"/>
        <v>150075.13314594846</v>
      </c>
      <c r="S310" s="129">
        <f t="shared" ca="1" si="353"/>
        <v>170383.34828970919</v>
      </c>
      <c r="T310" s="419"/>
      <c r="U310" s="129">
        <f t="shared" ref="U310:AF310" si="354">U41</f>
        <v>9988.8089999999993</v>
      </c>
      <c r="V310" s="129">
        <f t="shared" si="354"/>
        <v>10987.404</v>
      </c>
      <c r="W310" s="129">
        <f t="shared" si="354"/>
        <v>11770.027</v>
      </c>
      <c r="X310" s="438">
        <f t="shared" si="354"/>
        <v>15878.218000000001</v>
      </c>
      <c r="Y310" s="129">
        <f t="shared" si="354"/>
        <v>18206.399000000001</v>
      </c>
      <c r="Z310" s="129">
        <f t="shared" si="354"/>
        <v>21800.616999999998</v>
      </c>
      <c r="AA310" s="129">
        <f t="shared" si="354"/>
        <v>25915.602999999999</v>
      </c>
      <c r="AB310" s="438">
        <f t="shared" si="354"/>
        <v>28347.84199999999</v>
      </c>
      <c r="AC310" s="129">
        <f t="shared" si="354"/>
        <v>29833.741999999998</v>
      </c>
      <c r="AD310" s="129">
        <f t="shared" si="354"/>
        <v>27995.494999999999</v>
      </c>
      <c r="AE310" s="129">
        <f t="shared" si="354"/>
        <v>25483.260999999999</v>
      </c>
      <c r="AF310" s="531">
        <f t="shared" si="354"/>
        <v>26208.73492031877</v>
      </c>
    </row>
    <row r="311" spans="1:32" s="89" customFormat="1" x14ac:dyDescent="0.2">
      <c r="A311" s="88"/>
      <c r="D311" s="95"/>
      <c r="E311" s="128"/>
      <c r="F311" s="128"/>
      <c r="G311" s="128"/>
      <c r="H311" s="128"/>
      <c r="I311" s="128"/>
      <c r="J311" s="128"/>
      <c r="K311" s="128"/>
      <c r="L311" s="128"/>
      <c r="M311" s="443"/>
      <c r="T311" s="419"/>
      <c r="U311" s="129"/>
      <c r="V311" s="129"/>
      <c r="W311" s="129"/>
      <c r="X311" s="438"/>
      <c r="Y311" s="129"/>
      <c r="Z311" s="129"/>
      <c r="AA311" s="129"/>
      <c r="AB311" s="438"/>
      <c r="AC311" s="129"/>
      <c r="AD311" s="129"/>
      <c r="AE311" s="129"/>
      <c r="AF311" s="531"/>
    </row>
    <row r="312" spans="1:32" s="88" customFormat="1" x14ac:dyDescent="0.2">
      <c r="B312" s="369" t="s">
        <v>380</v>
      </c>
      <c r="C312" s="58"/>
      <c r="D312" s="356"/>
      <c r="E312" s="357"/>
      <c r="F312" s="357"/>
      <c r="G312" s="357"/>
      <c r="H312" s="357"/>
      <c r="I312" s="357"/>
      <c r="J312" s="357"/>
      <c r="K312" s="357"/>
      <c r="L312" s="357"/>
      <c r="M312" s="471"/>
      <c r="N312" s="224"/>
      <c r="O312" s="224"/>
      <c r="P312" s="224"/>
      <c r="Q312" s="224"/>
      <c r="R312" s="224"/>
      <c r="S312" s="224"/>
      <c r="T312" s="269"/>
      <c r="U312" s="358"/>
      <c r="V312" s="358"/>
      <c r="W312" s="358"/>
      <c r="X312" s="510"/>
      <c r="Y312" s="358"/>
      <c r="Z312" s="358"/>
      <c r="AA312" s="358"/>
      <c r="AB312" s="510"/>
      <c r="AC312" s="358"/>
      <c r="AD312" s="358"/>
      <c r="AE312" s="358"/>
      <c r="AF312" s="531"/>
    </row>
    <row r="313" spans="1:32" s="89" customFormat="1" x14ac:dyDescent="0.2">
      <c r="A313" s="88"/>
      <c r="B313" s="2" t="s">
        <v>381</v>
      </c>
      <c r="C313" s="3"/>
      <c r="D313" s="54">
        <v>6045.4989999999998</v>
      </c>
      <c r="E313" s="1">
        <v>8052.2179999999998</v>
      </c>
      <c r="F313" s="1">
        <v>10804.834999999999</v>
      </c>
      <c r="G313" s="1">
        <v>11398.25</v>
      </c>
      <c r="H313" s="1">
        <v>14549.218000000001</v>
      </c>
      <c r="I313" s="1">
        <v>14388.69</v>
      </c>
      <c r="J313" s="1">
        <v>11868.001</v>
      </c>
      <c r="K313" s="1">
        <v>13385.784</v>
      </c>
      <c r="L313" s="1">
        <v>18190.697</v>
      </c>
      <c r="M313" s="423">
        <v>43739.906000000003</v>
      </c>
      <c r="N313" s="7">
        <f t="shared" ref="N313:N315" si="355">SUM(AC313:AF313)</f>
        <v>37296.498692070592</v>
      </c>
      <c r="O313" s="226">
        <f>(O258+O259+O264)*Assumptions!P67</f>
        <v>36779.912243763945</v>
      </c>
      <c r="P313" s="226">
        <f>(P258+P259+P264)*Assumptions!Q67</f>
        <v>45926.123575192709</v>
      </c>
      <c r="Q313" s="226">
        <f>(Q258+Q259+Q264)*Assumptions!R67</f>
        <v>51679.380303168575</v>
      </c>
      <c r="R313" s="226">
        <f>(R258+R259+R264)*Assumptions!S67</f>
        <v>58455.768345636548</v>
      </c>
      <c r="S313" s="226">
        <f>(S258+S259+S264)*Assumptions!T67</f>
        <v>66314.930559861954</v>
      </c>
      <c r="T313" s="418"/>
      <c r="U313" s="7">
        <v>3734.4340000000002</v>
      </c>
      <c r="V313" s="7">
        <v>3836.2869999999998</v>
      </c>
      <c r="W313" s="7">
        <v>4493.6180000000004</v>
      </c>
      <c r="X313" s="467">
        <v>6127.5689999999995</v>
      </c>
      <c r="Y313" s="7">
        <v>8395.8639999999996</v>
      </c>
      <c r="Z313" s="7">
        <v>9076.3250000000007</v>
      </c>
      <c r="AA313" s="7">
        <v>12676.263999999999</v>
      </c>
      <c r="AB313" s="467">
        <v>13593.878000000001</v>
      </c>
      <c r="AC313" s="7">
        <v>13811.154</v>
      </c>
      <c r="AD313" s="7">
        <v>9180.2219999999998</v>
      </c>
      <c r="AE313" s="7">
        <v>7074.3159999999998</v>
      </c>
      <c r="AF313" s="511">
        <f>(AF258+AF259+AF264)*Assumptions!AG67</f>
        <v>7230.8066920705942</v>
      </c>
    </row>
    <row r="314" spans="1:32" s="89" customFormat="1" x14ac:dyDescent="0.2">
      <c r="A314" s="88"/>
      <c r="B314" s="2" t="s">
        <v>382</v>
      </c>
      <c r="C314" s="3"/>
      <c r="D314" s="54">
        <v>0</v>
      </c>
      <c r="E314" s="1">
        <v>0</v>
      </c>
      <c r="F314" s="1">
        <v>0</v>
      </c>
      <c r="G314" s="1">
        <v>0</v>
      </c>
      <c r="H314" s="1">
        <v>0</v>
      </c>
      <c r="I314" s="1">
        <v>0</v>
      </c>
      <c r="J314" s="1">
        <v>0</v>
      </c>
      <c r="K314" s="1">
        <v>0</v>
      </c>
      <c r="L314" s="1">
        <v>849.03899999999999</v>
      </c>
      <c r="M314" s="423">
        <v>1793.5540000000001</v>
      </c>
      <c r="N314" s="7">
        <f t="shared" si="355"/>
        <v>2224.1059999999998</v>
      </c>
      <c r="O314" s="7">
        <f>O22*Assumptions!P68</f>
        <v>1954.1059999999998</v>
      </c>
      <c r="P314" s="7">
        <f>P22*Assumptions!Q68</f>
        <v>2044.1059999999998</v>
      </c>
      <c r="Q314" s="7">
        <f>Q22*Assumptions!R68</f>
        <v>2044.1059999999998</v>
      </c>
      <c r="R314" s="7">
        <f>R22*Assumptions!S68</f>
        <v>2044.1059999999998</v>
      </c>
      <c r="S314" s="7">
        <f>S22*Assumptions!T68</f>
        <v>2044.1059999999998</v>
      </c>
      <c r="T314" s="418"/>
      <c r="U314" s="7">
        <v>0</v>
      </c>
      <c r="V314" s="7">
        <v>0</v>
      </c>
      <c r="W314" s="7">
        <v>0</v>
      </c>
      <c r="X314" s="467">
        <v>849.03899999999999</v>
      </c>
      <c r="Y314" s="7">
        <v>370.66800000000001</v>
      </c>
      <c r="Z314" s="7">
        <v>418.02100000000002</v>
      </c>
      <c r="AA314" s="7">
        <v>456.30700000000002</v>
      </c>
      <c r="AB314" s="467">
        <v>548.55799999999999</v>
      </c>
      <c r="AC314" s="7">
        <v>659.31399999999996</v>
      </c>
      <c r="AD314" s="7">
        <v>595.54200000000003</v>
      </c>
      <c r="AE314" s="7">
        <v>484.625</v>
      </c>
      <c r="AF314" s="511">
        <f>AF22*Assumptions!AG68/4</f>
        <v>484.625</v>
      </c>
    </row>
    <row r="315" spans="1:32" s="89" customFormat="1" x14ac:dyDescent="0.2">
      <c r="A315" s="88"/>
      <c r="B315" s="2" t="s">
        <v>383</v>
      </c>
      <c r="C315" s="3"/>
      <c r="D315" s="54">
        <v>560.97500000000002</v>
      </c>
      <c r="E315" s="1">
        <v>613.404</v>
      </c>
      <c r="F315" s="1">
        <v>579.69899999999996</v>
      </c>
      <c r="G315" s="1">
        <v>1127.9190000000001</v>
      </c>
      <c r="H315" s="1">
        <v>891.03200000000004</v>
      </c>
      <c r="I315" s="1">
        <v>508.459</v>
      </c>
      <c r="J315" s="1">
        <v>1003.788</v>
      </c>
      <c r="K315" s="1">
        <v>1884.9490000000001</v>
      </c>
      <c r="L315" s="1">
        <v>1413.623</v>
      </c>
      <c r="M315" s="423">
        <v>1228.5650000000001</v>
      </c>
      <c r="N315" s="7">
        <f t="shared" si="355"/>
        <v>1300.2759999999998</v>
      </c>
      <c r="O315" s="226">
        <f>GEOMEAN(J315:N315)</f>
        <v>1337.0319283398253</v>
      </c>
      <c r="P315" s="226">
        <f t="shared" ref="P315:S315" si="356">GEOMEAN(K315:O315)</f>
        <v>1415.9298390955223</v>
      </c>
      <c r="Q315" s="226">
        <f t="shared" si="356"/>
        <v>1337.180886105004</v>
      </c>
      <c r="R315" s="226">
        <f t="shared" si="356"/>
        <v>1322.3958315182697</v>
      </c>
      <c r="S315" s="226">
        <f t="shared" si="356"/>
        <v>1342.0050130455309</v>
      </c>
      <c r="T315" s="418"/>
      <c r="U315" s="7">
        <v>409.20400000000001</v>
      </c>
      <c r="V315" s="7">
        <v>517.43499999999995</v>
      </c>
      <c r="W315" s="7">
        <v>627.49900000000002</v>
      </c>
      <c r="X315" s="467">
        <v>-138.13699999999994</v>
      </c>
      <c r="Y315" s="7">
        <v>342.10599999999999</v>
      </c>
      <c r="Z315" s="7">
        <v>323.02</v>
      </c>
      <c r="AA315" s="7">
        <v>221.721</v>
      </c>
      <c r="AB315" s="467">
        <v>341.71800000000002</v>
      </c>
      <c r="AC315" s="7">
        <v>393.48</v>
      </c>
      <c r="AD315" s="7">
        <v>316.23200000000003</v>
      </c>
      <c r="AE315" s="7">
        <v>295.28199999999998</v>
      </c>
      <c r="AF315" s="511">
        <f>AE315</f>
        <v>295.28199999999998</v>
      </c>
    </row>
    <row r="316" spans="1:32" s="89" customFormat="1" x14ac:dyDescent="0.2">
      <c r="A316" s="88"/>
      <c r="B316" s="113" t="s">
        <v>384</v>
      </c>
      <c r="C316" s="3"/>
      <c r="D316" s="54">
        <v>0</v>
      </c>
      <c r="E316" s="1">
        <v>0</v>
      </c>
      <c r="F316" s="1">
        <v>0</v>
      </c>
      <c r="G316" s="1">
        <v>0</v>
      </c>
      <c r="H316" s="1">
        <v>0</v>
      </c>
      <c r="I316" s="1">
        <v>0</v>
      </c>
      <c r="J316" s="1">
        <v>0</v>
      </c>
      <c r="K316" s="1">
        <v>0</v>
      </c>
      <c r="L316" s="1">
        <v>0</v>
      </c>
      <c r="M316" s="423">
        <v>984.03399999999999</v>
      </c>
      <c r="N316" s="7">
        <f>SUM(AC316:AF316)+(N317-SUM(AC317:AF317))</f>
        <v>988.44351433446241</v>
      </c>
      <c r="O316" s="7">
        <f>O220*Assumptions!P69</f>
        <v>1035.5252862474508</v>
      </c>
      <c r="P316" s="7">
        <f>P220*Assumptions!Q69</f>
        <v>1204.037626432156</v>
      </c>
      <c r="Q316" s="7">
        <f>Q220*Assumptions!R69</f>
        <v>1425.3045375065594</v>
      </c>
      <c r="R316" s="7">
        <f>R220*Assumptions!S69</f>
        <v>1551.5612915216207</v>
      </c>
      <c r="S316" s="7">
        <f>S220*Assumptions!T69</f>
        <v>1752.845842774283</v>
      </c>
      <c r="T316" s="418"/>
      <c r="U316" s="7">
        <v>0</v>
      </c>
      <c r="V316" s="7">
        <v>0</v>
      </c>
      <c r="W316" s="7">
        <v>0</v>
      </c>
      <c r="X316" s="467">
        <v>0</v>
      </c>
      <c r="Y316" s="7">
        <v>0</v>
      </c>
      <c r="Z316" s="7">
        <v>329.92</v>
      </c>
      <c r="AA316" s="7">
        <v>151.554</v>
      </c>
      <c r="AB316" s="467">
        <v>485.15600000000001</v>
      </c>
      <c r="AC316" s="7">
        <v>251.35400000000001</v>
      </c>
      <c r="AD316" s="7">
        <v>266.89699999999999</v>
      </c>
      <c r="AE316" s="7">
        <v>228.53800000000001</v>
      </c>
      <c r="AF316" s="511">
        <f>AE316</f>
        <v>228.53800000000001</v>
      </c>
    </row>
    <row r="317" spans="1:32" s="89" customFormat="1" x14ac:dyDescent="0.2">
      <c r="A317" s="88"/>
      <c r="B317" s="3" t="s">
        <v>99</v>
      </c>
      <c r="C317" s="3"/>
      <c r="D317" s="64">
        <f t="shared" ref="D317:M317" si="357">SUM(D313:D316)</f>
        <v>6606.4740000000002</v>
      </c>
      <c r="E317" s="131">
        <f t="shared" si="357"/>
        <v>8665.6219999999994</v>
      </c>
      <c r="F317" s="131">
        <f t="shared" si="357"/>
        <v>11384.534</v>
      </c>
      <c r="G317" s="131">
        <f t="shared" si="357"/>
        <v>12526.169</v>
      </c>
      <c r="H317" s="131">
        <f t="shared" si="357"/>
        <v>15440.25</v>
      </c>
      <c r="I317" s="131">
        <f t="shared" si="357"/>
        <v>14897.149000000001</v>
      </c>
      <c r="J317" s="131">
        <f t="shared" si="357"/>
        <v>12871.789000000001</v>
      </c>
      <c r="K317" s="131">
        <f t="shared" si="357"/>
        <v>15270.733</v>
      </c>
      <c r="L317" s="131">
        <f t="shared" si="357"/>
        <v>20453.359</v>
      </c>
      <c r="M317" s="468">
        <f t="shared" si="357"/>
        <v>47746.059000000008</v>
      </c>
      <c r="N317" s="65">
        <f>SUM(AC317:AF317)*(1+'Adj from Unconsol to Consol'!F41)</f>
        <v>41809.324206405057</v>
      </c>
      <c r="O317" s="65">
        <f>SUM(O313:O316)</f>
        <v>41106.575458351224</v>
      </c>
      <c r="P317" s="65">
        <f>SUM(P313:P316)</f>
        <v>50590.197040720384</v>
      </c>
      <c r="Q317" s="65">
        <f>SUM(Q313:Q316)</f>
        <v>56485.971726780132</v>
      </c>
      <c r="R317" s="65">
        <f>SUM(R313:R316)</f>
        <v>63373.831468676435</v>
      </c>
      <c r="S317" s="65">
        <f>SUM(S313:S316)</f>
        <v>71453.887415681776</v>
      </c>
      <c r="T317" s="418"/>
      <c r="U317" s="65">
        <f t="shared" ref="U317:AF317" si="358">SUM(U313:U316)</f>
        <v>4143.6379999999999</v>
      </c>
      <c r="V317" s="65">
        <f t="shared" si="358"/>
        <v>4353.7219999999998</v>
      </c>
      <c r="W317" s="65">
        <f t="shared" si="358"/>
        <v>5121.1170000000002</v>
      </c>
      <c r="X317" s="468">
        <f t="shared" si="358"/>
        <v>6838.4709999999995</v>
      </c>
      <c r="Y317" s="65">
        <f t="shared" si="358"/>
        <v>9108.637999999999</v>
      </c>
      <c r="Z317" s="65">
        <f t="shared" si="358"/>
        <v>10147.286000000002</v>
      </c>
      <c r="AA317" s="65">
        <f t="shared" si="358"/>
        <v>13505.846</v>
      </c>
      <c r="AB317" s="468">
        <f t="shared" si="358"/>
        <v>14969.310000000003</v>
      </c>
      <c r="AC317" s="65">
        <f t="shared" si="358"/>
        <v>15115.302</v>
      </c>
      <c r="AD317" s="65">
        <f t="shared" si="358"/>
        <v>10358.893</v>
      </c>
      <c r="AE317" s="65">
        <f t="shared" si="358"/>
        <v>8082.7610000000004</v>
      </c>
      <c r="AF317" s="523">
        <f t="shared" si="358"/>
        <v>8239.2516920705948</v>
      </c>
    </row>
    <row r="318" spans="1:32" s="89" customFormat="1" x14ac:dyDescent="0.2">
      <c r="A318" s="88"/>
      <c r="D318" s="95"/>
      <c r="E318" s="128"/>
      <c r="F318" s="128"/>
      <c r="G318" s="128"/>
      <c r="H318" s="128"/>
      <c r="I318" s="128"/>
      <c r="J318" s="128"/>
      <c r="K318" s="128"/>
      <c r="L318" s="128"/>
      <c r="M318" s="443"/>
      <c r="T318" s="419"/>
      <c r="U318" s="129"/>
      <c r="V318" s="129"/>
      <c r="W318" s="129"/>
      <c r="X318" s="438"/>
      <c r="Y318" s="129"/>
      <c r="Z318" s="129"/>
      <c r="AA318" s="129"/>
      <c r="AB318" s="438"/>
      <c r="AC318" s="129"/>
      <c r="AD318" s="129"/>
      <c r="AE318" s="129"/>
      <c r="AF318" s="531"/>
    </row>
    <row r="319" spans="1:32" s="89" customFormat="1" x14ac:dyDescent="0.2">
      <c r="A319" s="88"/>
      <c r="B319" s="123" t="s">
        <v>101</v>
      </c>
      <c r="C319" s="123"/>
      <c r="D319" s="124">
        <f t="shared" ref="D319:M319" si="359">D317</f>
        <v>6606.4740000000002</v>
      </c>
      <c r="E319" s="125">
        <f t="shared" si="359"/>
        <v>8665.6219999999994</v>
      </c>
      <c r="F319" s="125">
        <f t="shared" si="359"/>
        <v>11384.534</v>
      </c>
      <c r="G319" s="125">
        <f t="shared" si="359"/>
        <v>12526.169</v>
      </c>
      <c r="H319" s="125">
        <f t="shared" si="359"/>
        <v>15440.25</v>
      </c>
      <c r="I319" s="125">
        <f t="shared" si="359"/>
        <v>14897.149000000001</v>
      </c>
      <c r="J319" s="125">
        <f t="shared" si="359"/>
        <v>12871.789000000001</v>
      </c>
      <c r="K319" s="125">
        <f t="shared" si="359"/>
        <v>15270.733</v>
      </c>
      <c r="L319" s="125">
        <f t="shared" si="359"/>
        <v>20453.359</v>
      </c>
      <c r="M319" s="437">
        <f t="shared" si="359"/>
        <v>47746.059000000008</v>
      </c>
      <c r="N319" s="126">
        <f t="shared" ref="N319:S319" si="360">N317</f>
        <v>41809.324206405057</v>
      </c>
      <c r="O319" s="126">
        <f t="shared" si="360"/>
        <v>41106.575458351224</v>
      </c>
      <c r="P319" s="126">
        <f t="shared" si="360"/>
        <v>50590.197040720384</v>
      </c>
      <c r="Q319" s="126">
        <f t="shared" si="360"/>
        <v>56485.971726780132</v>
      </c>
      <c r="R319" s="126">
        <f t="shared" si="360"/>
        <v>63373.831468676435</v>
      </c>
      <c r="S319" s="126">
        <f t="shared" si="360"/>
        <v>71453.887415681776</v>
      </c>
      <c r="T319" s="421"/>
      <c r="U319" s="126">
        <f t="shared" ref="U319:AE319" si="361">U317</f>
        <v>4143.6379999999999</v>
      </c>
      <c r="V319" s="126">
        <f t="shared" si="361"/>
        <v>4353.7219999999998</v>
      </c>
      <c r="W319" s="126">
        <f t="shared" si="361"/>
        <v>5121.1170000000002</v>
      </c>
      <c r="X319" s="437">
        <f t="shared" si="361"/>
        <v>6838.4709999999995</v>
      </c>
      <c r="Y319" s="126">
        <f t="shared" si="361"/>
        <v>9108.637999999999</v>
      </c>
      <c r="Z319" s="126">
        <f t="shared" si="361"/>
        <v>10147.286000000002</v>
      </c>
      <c r="AA319" s="126">
        <f t="shared" si="361"/>
        <v>13505.846</v>
      </c>
      <c r="AB319" s="437">
        <f t="shared" si="361"/>
        <v>14969.310000000003</v>
      </c>
      <c r="AC319" s="126">
        <f t="shared" si="361"/>
        <v>15115.302</v>
      </c>
      <c r="AD319" s="126">
        <f t="shared" si="361"/>
        <v>10358.893</v>
      </c>
      <c r="AE319" s="126">
        <f t="shared" si="361"/>
        <v>8082.7610000000004</v>
      </c>
      <c r="AF319" s="530">
        <f t="shared" ref="AF319" si="362">AF317</f>
        <v>8239.2516920705948</v>
      </c>
    </row>
    <row r="320" spans="1:32" s="89" customFormat="1" x14ac:dyDescent="0.2">
      <c r="A320" s="88"/>
      <c r="B320" s="89" t="s">
        <v>102</v>
      </c>
      <c r="D320" s="95">
        <f t="shared" ref="D320:S320" si="363">D42</f>
        <v>6606.37</v>
      </c>
      <c r="E320" s="128">
        <f t="shared" si="363"/>
        <v>8665.3169999999991</v>
      </c>
      <c r="F320" s="128">
        <f t="shared" si="363"/>
        <v>11384.534</v>
      </c>
      <c r="G320" s="128">
        <f t="shared" si="363"/>
        <v>12526.169</v>
      </c>
      <c r="H320" s="128">
        <f t="shared" si="363"/>
        <v>15440.25</v>
      </c>
      <c r="I320" s="128">
        <f t="shared" si="363"/>
        <v>14897.148999999999</v>
      </c>
      <c r="J320" s="128">
        <f t="shared" si="363"/>
        <v>12871.789000000001</v>
      </c>
      <c r="K320" s="128">
        <f t="shared" si="363"/>
        <v>15270.733</v>
      </c>
      <c r="L320" s="128">
        <f t="shared" si="363"/>
        <v>20453.359</v>
      </c>
      <c r="M320" s="438">
        <f t="shared" si="363"/>
        <v>47746.059000000001</v>
      </c>
      <c r="N320" s="129">
        <f t="shared" si="363"/>
        <v>41809.324206405057</v>
      </c>
      <c r="O320" s="129">
        <f t="shared" si="363"/>
        <v>41106.575458351224</v>
      </c>
      <c r="P320" s="129">
        <f t="shared" si="363"/>
        <v>50590.197040720384</v>
      </c>
      <c r="Q320" s="129">
        <f t="shared" si="363"/>
        <v>56485.971726780132</v>
      </c>
      <c r="R320" s="129">
        <f t="shared" si="363"/>
        <v>63373.831468676435</v>
      </c>
      <c r="S320" s="129">
        <f t="shared" si="363"/>
        <v>71453.887415681776</v>
      </c>
      <c r="T320" s="419"/>
      <c r="U320" s="129">
        <f t="shared" ref="U320:AF320" si="364">U42</f>
        <v>4143.6379999999999</v>
      </c>
      <c r="V320" s="129">
        <f t="shared" si="364"/>
        <v>4353.7219999999998</v>
      </c>
      <c r="W320" s="129">
        <f t="shared" si="364"/>
        <v>5121.1170000000002</v>
      </c>
      <c r="X320" s="438">
        <f t="shared" si="364"/>
        <v>6838.4709999999995</v>
      </c>
      <c r="Y320" s="129">
        <f t="shared" si="364"/>
        <v>9108.6380000000008</v>
      </c>
      <c r="Z320" s="129">
        <f t="shared" si="364"/>
        <v>10147.286</v>
      </c>
      <c r="AA320" s="129">
        <f t="shared" si="364"/>
        <v>13505.846</v>
      </c>
      <c r="AB320" s="438">
        <f t="shared" si="364"/>
        <v>14969.310000000005</v>
      </c>
      <c r="AC320" s="129">
        <f t="shared" si="364"/>
        <v>15115.302</v>
      </c>
      <c r="AD320" s="129">
        <f t="shared" si="364"/>
        <v>10358.893</v>
      </c>
      <c r="AE320" s="129">
        <f t="shared" si="364"/>
        <v>8082.7610000000004</v>
      </c>
      <c r="AF320" s="531">
        <f t="shared" si="364"/>
        <v>8239.2516920705948</v>
      </c>
    </row>
    <row r="322" spans="1:32" s="224" customFormat="1" x14ac:dyDescent="0.2">
      <c r="B322" s="58" t="s">
        <v>149</v>
      </c>
      <c r="C322" s="58"/>
      <c r="D322" s="356"/>
      <c r="E322" s="357"/>
      <c r="F322" s="357"/>
      <c r="G322" s="357"/>
      <c r="H322" s="357"/>
      <c r="I322" s="357"/>
      <c r="J322" s="357"/>
      <c r="K322" s="357"/>
      <c r="L322" s="357"/>
      <c r="M322" s="471"/>
      <c r="T322" s="269"/>
      <c r="X322" s="509"/>
      <c r="AB322" s="509"/>
      <c r="AF322" s="510"/>
    </row>
    <row r="323" spans="1:32" x14ac:dyDescent="0.2">
      <c r="B323" s="2" t="s">
        <v>150</v>
      </c>
      <c r="D323" s="7">
        <v>0</v>
      </c>
      <c r="E323" s="7">
        <v>0</v>
      </c>
      <c r="F323" s="226">
        <v>0</v>
      </c>
      <c r="G323" s="226">
        <v>0</v>
      </c>
      <c r="H323" s="7">
        <v>0</v>
      </c>
      <c r="I323" s="7">
        <v>0</v>
      </c>
      <c r="J323" s="7">
        <v>0</v>
      </c>
      <c r="K323" s="7">
        <v>1268.0830000000001</v>
      </c>
      <c r="L323" s="7">
        <v>1821.7619999999999</v>
      </c>
      <c r="M323" s="467">
        <v>2487.0309999999999</v>
      </c>
      <c r="N323" s="7">
        <f>M323/M$333*N$333</f>
        <v>2251.7589708998671</v>
      </c>
      <c r="O323" s="7">
        <f t="shared" ref="O323:S323" si="365">N323/N$333*O$333</f>
        <v>2794.5257266225531</v>
      </c>
      <c r="P323" s="7">
        <f t="shared" si="365"/>
        <v>3232.3630765857383</v>
      </c>
      <c r="Q323" s="7">
        <f t="shared" si="365"/>
        <v>3620.246645776027</v>
      </c>
      <c r="R323" s="7">
        <f t="shared" si="365"/>
        <v>4054.6762432691507</v>
      </c>
      <c r="S323" s="7">
        <f t="shared" si="365"/>
        <v>4541.2373924614494</v>
      </c>
      <c r="U323" s="226">
        <v>406.52800000000002</v>
      </c>
      <c r="V323" s="226">
        <f>((((842862-U323)/1000)*1000)/1000)-406.528</f>
        <v>435.92747199999997</v>
      </c>
      <c r="W323" s="226">
        <f>((((1265807-V323-U323)/1000)*1000)/1000)-((((842862-V323)/1000)*1000)/1000)</f>
        <v>422.53847200000007</v>
      </c>
      <c r="X323" s="511">
        <f>((1821762-SUM(U323:W323))/1000)-((((1265807-W323-V323)/1000)*1000)/1000)</f>
        <v>555.54847199999995</v>
      </c>
      <c r="Y323" s="226">
        <v>573.82600000000002</v>
      </c>
      <c r="Z323" s="226">
        <f>((((1242756-Y323)/1000)*1000)/1000)-573.826</f>
        <v>668.35617400000001</v>
      </c>
      <c r="AA323" s="226">
        <f>((((1857031-Z323-Y323)/1000)*1000)/1000)-((((1242756-Z323)/1000)*1000)/1000)</f>
        <v>613.70117400000004</v>
      </c>
      <c r="AB323" s="511">
        <f>((2487031-SUM(Y323:AA323))/1000)-((((1857031-AA323-Z323)/1000)*1000)/1000)</f>
        <v>629.4261740000004</v>
      </c>
      <c r="AC323" s="226">
        <v>631.755</v>
      </c>
      <c r="AD323" s="226">
        <f>((1132784-AC323)/1000)-631.755</f>
        <v>500.39724500000023</v>
      </c>
      <c r="AE323" s="226">
        <f>((1765998-SUM(AC323:AD323))/1000)-((1132784-AD323)/1000)</f>
        <v>632.58224500000006</v>
      </c>
      <c r="AF323" s="511">
        <f>AE323/AE$333*AF$333</f>
        <v>695.84046950000015</v>
      </c>
    </row>
    <row r="324" spans="1:32" x14ac:dyDescent="0.2">
      <c r="B324" s="2" t="s">
        <v>151</v>
      </c>
      <c r="D324" s="7">
        <v>0</v>
      </c>
      <c r="E324" s="7">
        <v>0</v>
      </c>
      <c r="F324" s="226">
        <v>0</v>
      </c>
      <c r="G324" s="226">
        <v>0</v>
      </c>
      <c r="H324" s="7">
        <v>0</v>
      </c>
      <c r="I324" s="7">
        <v>0</v>
      </c>
      <c r="J324" s="7">
        <v>0</v>
      </c>
      <c r="K324" s="7">
        <v>1864.037</v>
      </c>
      <c r="L324" s="7">
        <v>1565.5650000000001</v>
      </c>
      <c r="M324" s="467">
        <v>1187.354</v>
      </c>
      <c r="N324" s="7">
        <f t="shared" ref="N324:S332" si="366">M324/M$333*N$333</f>
        <v>1075.0308384309808</v>
      </c>
      <c r="O324" s="7">
        <f t="shared" si="366"/>
        <v>1334.1575957871835</v>
      </c>
      <c r="P324" s="7">
        <f t="shared" si="366"/>
        <v>1543.1891393538651</v>
      </c>
      <c r="Q324" s="7">
        <f t="shared" si="366"/>
        <v>1728.3718360763291</v>
      </c>
      <c r="R324" s="7">
        <f t="shared" si="366"/>
        <v>1935.7764564054887</v>
      </c>
      <c r="S324" s="7">
        <f t="shared" si="366"/>
        <v>2168.0696311741476</v>
      </c>
      <c r="U324" s="226">
        <v>0</v>
      </c>
      <c r="V324" s="226">
        <v>0</v>
      </c>
      <c r="W324" s="226">
        <v>0</v>
      </c>
      <c r="X324" s="511">
        <v>0</v>
      </c>
      <c r="Y324" s="226">
        <v>0</v>
      </c>
      <c r="Z324" s="226">
        <v>0</v>
      </c>
      <c r="AA324" s="226">
        <f>((((0-Z324-Y324)/1000)*1000)/1000)-0</f>
        <v>0</v>
      </c>
      <c r="AB324" s="511">
        <f>0-((((0-AA324-Z324)/1000)*1000)/1000)</f>
        <v>0</v>
      </c>
      <c r="AC324" s="226">
        <v>0</v>
      </c>
      <c r="AD324" s="226">
        <v>0</v>
      </c>
      <c r="AE324" s="226">
        <v>0</v>
      </c>
      <c r="AF324" s="511">
        <f t="shared" ref="AF324:AF332" si="367">AE324/AE$333*AF$333</f>
        <v>0</v>
      </c>
    </row>
    <row r="325" spans="1:32" x14ac:dyDescent="0.2">
      <c r="B325" s="2" t="s">
        <v>152</v>
      </c>
      <c r="D325" s="7">
        <v>0</v>
      </c>
      <c r="E325" s="7">
        <v>0</v>
      </c>
      <c r="F325" s="226">
        <v>0</v>
      </c>
      <c r="G325" s="226">
        <v>0</v>
      </c>
      <c r="H325" s="7">
        <v>0</v>
      </c>
      <c r="I325" s="7">
        <v>0</v>
      </c>
      <c r="J325" s="7">
        <v>0</v>
      </c>
      <c r="K325" s="7">
        <v>88.058000000000007</v>
      </c>
      <c r="L325" s="7">
        <v>90.83</v>
      </c>
      <c r="M325" s="467">
        <v>110.334</v>
      </c>
      <c r="N325" s="7">
        <f t="shared" si="366"/>
        <v>99.89645255538268</v>
      </c>
      <c r="O325" s="7">
        <f t="shared" si="366"/>
        <v>123.9756165167112</v>
      </c>
      <c r="P325" s="7">
        <f t="shared" si="366"/>
        <v>143.39971946148273</v>
      </c>
      <c r="Q325" s="7">
        <f t="shared" si="366"/>
        <v>160.60768579686066</v>
      </c>
      <c r="R325" s="7">
        <f t="shared" si="366"/>
        <v>179.88060809248395</v>
      </c>
      <c r="S325" s="7">
        <f t="shared" si="366"/>
        <v>201.46628106358204</v>
      </c>
      <c r="U325" s="226">
        <v>21.37</v>
      </c>
      <c r="V325" s="226">
        <f>((((39346-U325)/1000)*1000)/1000)-21.37</f>
        <v>17.954629999999998</v>
      </c>
      <c r="W325" s="226">
        <f>((((60807-V325-U325)/1000)*1000)/1000)-((((39346-V325)/1000)*1000)/1000)</f>
        <v>21.439630000000001</v>
      </c>
      <c r="X325" s="511">
        <f>((90830- SUM(U325:W325))/1000)-((((60807-W325-V325)/1000)*1000)/1000)</f>
        <v>30.001629999999999</v>
      </c>
      <c r="Y325" s="226">
        <v>23.69</v>
      </c>
      <c r="Z325" s="226">
        <f>((((52885-Y325)/1000)*1000)/1000)-23.69</f>
        <v>29.171309999999995</v>
      </c>
      <c r="AA325" s="226">
        <f>((((71681-Z325-Y325)/1000)*1000)/1000)-((((52885-Z325)/1000)*1000)/1000)</f>
        <v>18.772309999999983</v>
      </c>
      <c r="AB325" s="511">
        <f>((110334-SUM(Y325:AA325))/1000)-((((71681-AA325-Z325)/1000)*1000)/1000)</f>
        <v>38.629310000000004</v>
      </c>
      <c r="AC325" s="226">
        <v>25.096</v>
      </c>
      <c r="AD325" s="226">
        <f>((65420-AC325)/1000)-25.096</f>
        <v>40.298903999999993</v>
      </c>
      <c r="AE325" s="226">
        <f>((108148-SUM(AC325:AD325))/1000)-((65420-AD325)/1000)</f>
        <v>42.702904000000004</v>
      </c>
      <c r="AF325" s="511">
        <f t="shared" si="367"/>
        <v>46.973194400000011</v>
      </c>
    </row>
    <row r="326" spans="1:32" x14ac:dyDescent="0.2">
      <c r="B326" s="2" t="s">
        <v>153</v>
      </c>
      <c r="D326" s="7">
        <v>0</v>
      </c>
      <c r="E326" s="7">
        <v>0</v>
      </c>
      <c r="F326" s="226">
        <v>0</v>
      </c>
      <c r="G326" s="226">
        <v>0</v>
      </c>
      <c r="H326" s="7">
        <v>0</v>
      </c>
      <c r="I326" s="7">
        <v>0</v>
      </c>
      <c r="J326" s="7">
        <v>0</v>
      </c>
      <c r="K326" s="7">
        <v>1189.4680000000001</v>
      </c>
      <c r="L326" s="7">
        <v>1482.742</v>
      </c>
      <c r="M326" s="467">
        <v>1472.1089999999999</v>
      </c>
      <c r="N326" s="7">
        <f t="shared" si="366"/>
        <v>1332.8481417772566</v>
      </c>
      <c r="O326" s="7">
        <f t="shared" si="366"/>
        <v>1654.1194994725033</v>
      </c>
      <c r="P326" s="7">
        <f t="shared" si="366"/>
        <v>1913.2816504135067</v>
      </c>
      <c r="Q326" s="7">
        <f t="shared" si="366"/>
        <v>2142.8754484631277</v>
      </c>
      <c r="R326" s="7">
        <f t="shared" si="366"/>
        <v>2400.0205022787031</v>
      </c>
      <c r="S326" s="7">
        <f t="shared" si="366"/>
        <v>2688.0229625521479</v>
      </c>
      <c r="U326" s="226">
        <v>372.46499999999997</v>
      </c>
      <c r="V326" s="226">
        <f>((((692289-U326)/1000)*1000)/1000)-372.465</f>
        <v>319.45153500000009</v>
      </c>
      <c r="W326" s="226">
        <f>((((1002428-V326-U326)/1000)*1000)/1000)-((((692289-V326)/1000)*1000)/1000)</f>
        <v>309.76653499999998</v>
      </c>
      <c r="X326" s="511">
        <f>((1482742-SUM(U326:W326))/1000)-((((1002428-W326-V326)/1000)*1000)/1000)</f>
        <v>479.94153500000004</v>
      </c>
      <c r="Y326" s="226">
        <v>414.93799999999999</v>
      </c>
      <c r="Z326" s="226">
        <f>((((788908-Y326)/1000)*1000)/1000)-414.938</f>
        <v>373.55506200000002</v>
      </c>
      <c r="AA326" s="226">
        <f>((((1070585-Z326-Y326)/1000)*1000)/1000)-((((788908-Z326)/1000)*1000)/1000)</f>
        <v>281.26206200000001</v>
      </c>
      <c r="AB326" s="511">
        <f>((1472109-SUM(Y326:AA326))/1000)-((((1070585-AA326-Z326)/1000)*1000)/1000)</f>
        <v>401.10906200000022</v>
      </c>
      <c r="AC326" s="226">
        <v>194.696</v>
      </c>
      <c r="AD326" s="226">
        <f>((349757-AC326)/1000)-194.696</f>
        <v>154.86630399999999</v>
      </c>
      <c r="AE326" s="226">
        <f>((622277-SUM(AC326:AD326))/1000)-((349757-AD326)/1000)</f>
        <v>272.32530400000002</v>
      </c>
      <c r="AF326" s="511">
        <f t="shared" si="367"/>
        <v>299.55783440000005</v>
      </c>
    </row>
    <row r="327" spans="1:32" x14ac:dyDescent="0.2">
      <c r="B327" s="2" t="s">
        <v>154</v>
      </c>
      <c r="D327" s="7">
        <v>0</v>
      </c>
      <c r="E327" s="7">
        <v>0</v>
      </c>
      <c r="F327" s="226">
        <v>0</v>
      </c>
      <c r="G327" s="226">
        <v>0</v>
      </c>
      <c r="H327" s="7">
        <v>0</v>
      </c>
      <c r="I327" s="7">
        <v>0</v>
      </c>
      <c r="J327" s="7">
        <v>0</v>
      </c>
      <c r="K327" s="7">
        <v>85.141999999999996</v>
      </c>
      <c r="L327" s="7">
        <v>122.941</v>
      </c>
      <c r="M327" s="467">
        <v>108.098</v>
      </c>
      <c r="N327" s="7">
        <f t="shared" si="366"/>
        <v>97.871977163265683</v>
      </c>
      <c r="O327" s="7">
        <f t="shared" si="366"/>
        <v>121.46315908263495</v>
      </c>
      <c r="P327" s="7">
        <f t="shared" si="366"/>
        <v>140.49361823506223</v>
      </c>
      <c r="Q327" s="7">
        <f t="shared" si="366"/>
        <v>157.3528524232697</v>
      </c>
      <c r="R327" s="7">
        <f t="shared" si="366"/>
        <v>176.23519471406209</v>
      </c>
      <c r="S327" s="7">
        <f t="shared" si="366"/>
        <v>197.38341807974956</v>
      </c>
      <c r="U327" s="226">
        <v>26.37</v>
      </c>
      <c r="V327" s="226">
        <f>((((55896-U327)/1000)*1000)/1000)-26.37</f>
        <v>29.49963</v>
      </c>
      <c r="W327" s="226">
        <f>((((83372-V327-U327)/1000)*1000)/1000)-((((55896-V327)/1000)*1000)/1000)</f>
        <v>27.449629999999992</v>
      </c>
      <c r="X327" s="511">
        <f>((122941-SUM(U327:W327))/1000)-((((83372-W327-V327)/1000)*1000)/1000)</f>
        <v>39.542630000000003</v>
      </c>
      <c r="Y327" s="226">
        <v>26.49</v>
      </c>
      <c r="Z327" s="226">
        <f>((((52090-Y327)/1000)*1000)/1000)-26.49</f>
        <v>25.573510000000002</v>
      </c>
      <c r="AA327" s="226">
        <f>((((78855-Z327-Y327)/1000)*1000)/1000)-((((52090-Z327)/1000)*1000)/1000)</f>
        <v>26.738509999999998</v>
      </c>
      <c r="AB327" s="511">
        <f>((108098-SUM(Y327:AA327))/1000)-((((78855-AA327-Z327)/1000)*1000)/1000)</f>
        <v>29.21651</v>
      </c>
      <c r="AC327" s="226">
        <v>24.114999999999998</v>
      </c>
      <c r="AD327" s="226">
        <f>((37361-AC327)/1000)-24.115</f>
        <v>13.221885000000004</v>
      </c>
      <c r="AE327" s="226">
        <f>((69596-SUM(AC327:AD327))/1000)-((37361-AD327)/1000)</f>
        <v>32.210884999999998</v>
      </c>
      <c r="AF327" s="511">
        <f t="shared" si="367"/>
        <v>35.431973500000005</v>
      </c>
    </row>
    <row r="328" spans="1:32" x14ac:dyDescent="0.2">
      <c r="B328" s="2" t="s">
        <v>155</v>
      </c>
      <c r="D328" s="7">
        <v>0</v>
      </c>
      <c r="E328" s="7">
        <v>0</v>
      </c>
      <c r="F328" s="226">
        <v>0</v>
      </c>
      <c r="G328" s="226">
        <v>0</v>
      </c>
      <c r="H328" s="7">
        <v>0</v>
      </c>
      <c r="I328" s="7">
        <v>0</v>
      </c>
      <c r="J328" s="7">
        <v>0</v>
      </c>
      <c r="K328" s="7">
        <v>809.49199999999996</v>
      </c>
      <c r="L328" s="7">
        <v>1127.8989999999999</v>
      </c>
      <c r="M328" s="467">
        <v>1398.8430000000001</v>
      </c>
      <c r="N328" s="7">
        <f t="shared" si="366"/>
        <v>1266.5130728690085</v>
      </c>
      <c r="O328" s="7">
        <f t="shared" si="366"/>
        <v>1571.7949438530809</v>
      </c>
      <c r="P328" s="7">
        <f t="shared" si="366"/>
        <v>1818.0587468111269</v>
      </c>
      <c r="Q328" s="7">
        <f t="shared" si="366"/>
        <v>2036.2257964284624</v>
      </c>
      <c r="R328" s="7">
        <f t="shared" si="366"/>
        <v>2280.5728919998778</v>
      </c>
      <c r="S328" s="7">
        <f t="shared" si="366"/>
        <v>2554.241639039863</v>
      </c>
      <c r="U328" s="226">
        <v>317.73599999999999</v>
      </c>
      <c r="V328" s="226">
        <f>((((620497-U328)/1000)*1000)/1000)-317.736</f>
        <v>302.443264</v>
      </c>
      <c r="W328" s="226">
        <f>((((875964-V328-U328)/1000)*1000)/1000)-((((620497-V328)/1000)*1000)/1000)</f>
        <v>255.14926400000002</v>
      </c>
      <c r="X328" s="511">
        <f>((1127899-SUM(U328:W328))/1000)-((((875964-W328-V328)/1000)*1000)/1000)</f>
        <v>251.61726399999998</v>
      </c>
      <c r="Y328" s="226">
        <v>400.97399999999999</v>
      </c>
      <c r="Z328" s="226">
        <f>((((807252-Y328)/1000)*1000)/1000)-400.974</f>
        <v>405.87702599999994</v>
      </c>
      <c r="AA328" s="226">
        <f>((((1139860-Z328-Y328)/1000)*1000)/1000)-((((807252-Z328)/1000)*1000)/1000)</f>
        <v>332.20702600000004</v>
      </c>
      <c r="AB328" s="511">
        <f>((1398843-SUM(Y328:AA328))/1000)-((((1139860-AA328-Z328)/1000)*1000)/1000)</f>
        <v>258.58202600000004</v>
      </c>
      <c r="AC328" s="226">
        <v>269.44400000000002</v>
      </c>
      <c r="AD328" s="226">
        <f>((423564-AC328)/1000)-269.444</f>
        <v>153.85055599999998</v>
      </c>
      <c r="AE328" s="226">
        <f>((795905-SUM(AC328:AD328))/1000)-((423564-AD328)/1000)</f>
        <v>372.07155600000004</v>
      </c>
      <c r="AF328" s="511">
        <f t="shared" si="367"/>
        <v>409.27871160000012</v>
      </c>
    </row>
    <row r="329" spans="1:32" x14ac:dyDescent="0.2">
      <c r="B329" s="2" t="s">
        <v>156</v>
      </c>
      <c r="D329" s="7">
        <v>0</v>
      </c>
      <c r="E329" s="7">
        <v>0</v>
      </c>
      <c r="F329" s="226">
        <v>0</v>
      </c>
      <c r="G329" s="226">
        <v>0</v>
      </c>
      <c r="H329" s="7">
        <v>0</v>
      </c>
      <c r="I329" s="7">
        <v>0</v>
      </c>
      <c r="J329" s="7">
        <v>0</v>
      </c>
      <c r="K329" s="7">
        <v>304.33999999999997</v>
      </c>
      <c r="L329" s="7">
        <v>228.65299999999999</v>
      </c>
      <c r="M329" s="467">
        <v>232.988</v>
      </c>
      <c r="N329" s="7">
        <f t="shared" si="366"/>
        <v>210.9474385771702</v>
      </c>
      <c r="O329" s="7">
        <f t="shared" si="366"/>
        <v>261.79446898504091</v>
      </c>
      <c r="P329" s="7">
        <f t="shared" si="366"/>
        <v>302.81158879304598</v>
      </c>
      <c r="Q329" s="7">
        <f t="shared" si="366"/>
        <v>339.14897944821155</v>
      </c>
      <c r="R329" s="7">
        <f t="shared" si="366"/>
        <v>379.84685698199695</v>
      </c>
      <c r="S329" s="7">
        <f t="shared" si="366"/>
        <v>425.42847981983658</v>
      </c>
      <c r="U329" s="226">
        <v>69.174999999999997</v>
      </c>
      <c r="V329" s="226">
        <f>((((114321-U329)/1000)*1000)/1000)-69.175</f>
        <v>45.076824999999999</v>
      </c>
      <c r="W329" s="226">
        <f>((((159732-V329-U329)/1000)*1000)/1000)-((((114321-V329)/1000)*1000)/1000)</f>
        <v>45.341825</v>
      </c>
      <c r="X329" s="511">
        <f>((228653-SUM(U329:W329))/1000)-((((159732-W329-V329)/1000)*1000)/1000)</f>
        <v>68.851825000000019</v>
      </c>
      <c r="Y329" s="226">
        <v>0</v>
      </c>
      <c r="Z329" s="226">
        <f>((((72672-Y329)/1000)*1000)/1000)-0</f>
        <v>72.671999999999997</v>
      </c>
      <c r="AA329" s="226">
        <f>((((141686-Z329-Y329)/1000)*1000)/1000)-((((72672-Z329)/1000)*1000)/1000)</f>
        <v>69.013999999999996</v>
      </c>
      <c r="AB329" s="511">
        <f>((232988-SUM(Y329:AA329))/1000)-((((141686-AA329-Z329)/1000)*1000)/1000)</f>
        <v>91.301999999999992</v>
      </c>
      <c r="AC329" s="226">
        <v>37.201999999999998</v>
      </c>
      <c r="AD329" s="226">
        <f>((84486-AC329)/1000)-37.202</f>
        <v>47.246797999999998</v>
      </c>
      <c r="AE329" s="226">
        <f>((164801-SUM(AC329:AD329))/1000)-((84486-AD329)/1000)</f>
        <v>80.277798000000004</v>
      </c>
      <c r="AF329" s="511">
        <f t="shared" si="367"/>
        <v>88.305577800000009</v>
      </c>
    </row>
    <row r="330" spans="1:32" x14ac:dyDescent="0.2">
      <c r="B330" s="2" t="s">
        <v>157</v>
      </c>
      <c r="D330" s="7">
        <v>0</v>
      </c>
      <c r="E330" s="7">
        <v>0</v>
      </c>
      <c r="F330" s="226">
        <v>0</v>
      </c>
      <c r="G330" s="226">
        <v>0</v>
      </c>
      <c r="H330" s="7">
        <v>0</v>
      </c>
      <c r="I330" s="7">
        <v>0</v>
      </c>
      <c r="J330" s="7">
        <v>0</v>
      </c>
      <c r="K330" s="7">
        <v>25.675000000000001</v>
      </c>
      <c r="L330" s="7">
        <v>44.625</v>
      </c>
      <c r="M330" s="467">
        <v>65.075999999999993</v>
      </c>
      <c r="N330" s="7">
        <f t="shared" si="366"/>
        <v>58.919839274331423</v>
      </c>
      <c r="O330" s="7">
        <f t="shared" si="366"/>
        <v>73.121949901585168</v>
      </c>
      <c r="P330" s="7">
        <f t="shared" si="366"/>
        <v>84.578463063746895</v>
      </c>
      <c r="Q330" s="7">
        <f t="shared" si="366"/>
        <v>94.727878631396536</v>
      </c>
      <c r="R330" s="7">
        <f t="shared" si="366"/>
        <v>106.09522406716412</v>
      </c>
      <c r="S330" s="7">
        <f t="shared" si="366"/>
        <v>118.82665095522383</v>
      </c>
      <c r="U330" s="226">
        <v>10.032999999999999</v>
      </c>
      <c r="V330" s="226">
        <f>((((19453-U330)/1000)*1000)/1000)-10.033</f>
        <v>9.409967</v>
      </c>
      <c r="W330" s="226">
        <f>((((31282-V330-U330)/1000)*1000)/1000)-((((19453-V330)/1000)*1000)/1000)</f>
        <v>11.818967000000001</v>
      </c>
      <c r="X330" s="511">
        <f>((44625-SUM(U330:W330))/1000)-((((31282-W330-V330)/1000)*1000)/1000)</f>
        <v>13.332967</v>
      </c>
      <c r="Y330" s="226">
        <v>13.689</v>
      </c>
      <c r="Z330" s="226">
        <f>((((29853-Y330)/1000)*1000)/1000)-13.689</f>
        <v>16.150311000000002</v>
      </c>
      <c r="AA330" s="226">
        <f>((((47097-Z330-Y330)/1000)*1000)/1000)-((((29853-Z330)/1000)*1000)/1000)</f>
        <v>17.230311000000007</v>
      </c>
      <c r="AB330" s="511">
        <f>((65076-SUM(Y330:AA330))/1000)-((((47097-AA330-Z330)/1000)*1000)/1000)</f>
        <v>17.965310999999993</v>
      </c>
      <c r="AC330" s="226">
        <v>26.567</v>
      </c>
      <c r="AD330" s="226">
        <f>((44064-AC330)/1000)-26.567</f>
        <v>17.470433</v>
      </c>
      <c r="AE330" s="226">
        <f>((65014-SUM(AC330:AD330))/1000)-((44064-AD330)/1000)</f>
        <v>20.923432999999996</v>
      </c>
      <c r="AF330" s="511">
        <f t="shared" si="367"/>
        <v>23.015776299999999</v>
      </c>
    </row>
    <row r="331" spans="1:32" x14ac:dyDescent="0.2">
      <c r="B331" s="2" t="s">
        <v>158</v>
      </c>
      <c r="D331" s="7">
        <v>0</v>
      </c>
      <c r="E331" s="7">
        <v>0</v>
      </c>
      <c r="F331" s="226">
        <v>0</v>
      </c>
      <c r="G331" s="226">
        <v>0</v>
      </c>
      <c r="H331" s="7">
        <v>0</v>
      </c>
      <c r="I331" s="7">
        <v>0</v>
      </c>
      <c r="J331" s="7">
        <v>0</v>
      </c>
      <c r="K331" s="7">
        <v>99.587999999999994</v>
      </c>
      <c r="L331" s="7">
        <v>151.13300000000001</v>
      </c>
      <c r="M331" s="467">
        <v>157.245</v>
      </c>
      <c r="N331" s="7">
        <f t="shared" si="366"/>
        <v>142.36969276987284</v>
      </c>
      <c r="O331" s="7">
        <f t="shared" si="366"/>
        <v>176.68665886463151</v>
      </c>
      <c r="P331" s="7">
        <f t="shared" si="366"/>
        <v>204.36935927928701</v>
      </c>
      <c r="Q331" s="7">
        <f t="shared" si="366"/>
        <v>228.89368239280148</v>
      </c>
      <c r="R331" s="7">
        <f t="shared" si="366"/>
        <v>256.36092427993765</v>
      </c>
      <c r="S331" s="7">
        <f t="shared" si="366"/>
        <v>287.12423519353024</v>
      </c>
      <c r="U331" s="226">
        <v>21.27</v>
      </c>
      <c r="V331" s="226">
        <f>((((58924-U331)/1000)*1000)/1000)-21.27</f>
        <v>37.632730000000009</v>
      </c>
      <c r="W331" s="226">
        <f>((((102777-V331-U331)/1000)*1000)/1000)-((((58924-V331)/1000)*1000)/1000)</f>
        <v>43.83173</v>
      </c>
      <c r="X331" s="511">
        <f>((151133-SUM(U331:W331))/1000)-((((102777-W331-V331)/1000)*1000)/1000)</f>
        <v>48.334729999999993</v>
      </c>
      <c r="Y331" s="226">
        <v>26.277999999999999</v>
      </c>
      <c r="Z331" s="226">
        <v>48.942</v>
      </c>
      <c r="AA331" s="226">
        <f>((((115686-Z331-Y331)/1000)*1000)/1000)-75.22</f>
        <v>40.390780000000007</v>
      </c>
      <c r="AB331" s="511">
        <f>((157245-SUM(Y331:AA331))/1000)-((((115686-AA331-Z331)/1000)*1000)/1000)</f>
        <v>41.532722000000007</v>
      </c>
      <c r="AC331" s="226">
        <v>40.561</v>
      </c>
      <c r="AD331" s="226">
        <f>((103097-AC331)/1000)-40.561</f>
        <v>62.495438999999998</v>
      </c>
      <c r="AE331" s="226">
        <f>((168417-SUM(AC331:AD331))/1000)-((103097-AD331)/1000)</f>
        <v>65.279439000000011</v>
      </c>
      <c r="AF331" s="511">
        <f t="shared" si="367"/>
        <v>71.807382900000022</v>
      </c>
    </row>
    <row r="332" spans="1:32" x14ac:dyDescent="0.2">
      <c r="B332" s="2" t="s">
        <v>159</v>
      </c>
      <c r="D332" s="7">
        <v>0</v>
      </c>
      <c r="E332" s="7">
        <v>0</v>
      </c>
      <c r="F332" s="226">
        <v>0</v>
      </c>
      <c r="G332" s="226">
        <v>0</v>
      </c>
      <c r="H332" s="7">
        <v>0</v>
      </c>
      <c r="I332" s="7">
        <v>0</v>
      </c>
      <c r="J332" s="7">
        <v>0</v>
      </c>
      <c r="K332" s="7">
        <v>296.125</v>
      </c>
      <c r="L332" s="7">
        <v>186.58500000000001</v>
      </c>
      <c r="M332" s="467">
        <v>208.39599999999999</v>
      </c>
      <c r="N332" s="7">
        <f t="shared" si="366"/>
        <v>188.68183086565816</v>
      </c>
      <c r="O332" s="7">
        <f t="shared" si="366"/>
        <v>234.16193176732961</v>
      </c>
      <c r="P332" s="7">
        <f t="shared" si="366"/>
        <v>270.8496740523787</v>
      </c>
      <c r="Q332" s="7">
        <f t="shared" si="366"/>
        <v>303.35163493866418</v>
      </c>
      <c r="R332" s="7">
        <f t="shared" si="366"/>
        <v>339.75383113130391</v>
      </c>
      <c r="S332" s="7">
        <f t="shared" si="366"/>
        <v>380.52429086706042</v>
      </c>
      <c r="U332" s="226">
        <v>46.99</v>
      </c>
      <c r="V332" s="226">
        <f>((((99213-U332)/1000)*1000)/1000)-46.99</f>
        <v>52.176009999999998</v>
      </c>
      <c r="W332" s="226">
        <f>((((151415-V332-U332)/1000)*1000)/1000)-((((99213-V332)/1000)*1000)/1000)</f>
        <v>52.155010000000004</v>
      </c>
      <c r="X332" s="511">
        <f>((186585-SUM(U332:W332))/1000)-((((151415-W332-V332)/1000)*1000)/1000)</f>
        <v>35.123009999999994</v>
      </c>
      <c r="Y332" s="226">
        <v>38.889000000000003</v>
      </c>
      <c r="Z332" s="226">
        <f>((((72155-Y332)/1000)*1000)/1000)-38.889</f>
        <v>33.227111000000001</v>
      </c>
      <c r="AA332" s="226">
        <f>((((113974-Z332-Y332)/1000)*1000)/1000)-((((72155-Z332)/1000)*1000)/1000)</f>
        <v>41.780111000000005</v>
      </c>
      <c r="AB332" s="511">
        <f>((142920-SUM(Y332:AA332))/1000)-((((113974-AA332-Z332)/1000)*1000)/1000)</f>
        <v>28.907111</v>
      </c>
      <c r="AC332" s="226">
        <v>38.881</v>
      </c>
      <c r="AD332" s="226">
        <f>((88818-AC332)/1000)-38.881</f>
        <v>49.898119000000008</v>
      </c>
      <c r="AE332" s="226">
        <f>((124037-SUM(AC332:AD332))/1000)-((88818-AD332)/1000)</f>
        <v>35.180119000000005</v>
      </c>
      <c r="AF332" s="511">
        <f t="shared" si="367"/>
        <v>38.69813090000001</v>
      </c>
    </row>
    <row r="333" spans="1:32" x14ac:dyDescent="0.2">
      <c r="B333" s="3" t="s">
        <v>99</v>
      </c>
      <c r="C333" s="3"/>
      <c r="D333" s="64">
        <f>SUM(D323:D332)</f>
        <v>0</v>
      </c>
      <c r="E333" s="131">
        <f t="shared" ref="E333:M333" si="368">SUM(E323:E332)</f>
        <v>0</v>
      </c>
      <c r="F333" s="131">
        <f t="shared" si="368"/>
        <v>0</v>
      </c>
      <c r="G333" s="131">
        <f t="shared" si="368"/>
        <v>0</v>
      </c>
      <c r="H333" s="131">
        <f t="shared" si="368"/>
        <v>0</v>
      </c>
      <c r="I333" s="131">
        <f t="shared" si="368"/>
        <v>0</v>
      </c>
      <c r="J333" s="131">
        <f t="shared" si="368"/>
        <v>0</v>
      </c>
      <c r="K333" s="131">
        <f t="shared" si="368"/>
        <v>6030.0079999999998</v>
      </c>
      <c r="L333" s="131">
        <f t="shared" si="368"/>
        <v>6822.7349999999997</v>
      </c>
      <c r="M333" s="468">
        <f t="shared" si="368"/>
        <v>7427.4739999999993</v>
      </c>
      <c r="N333" s="65">
        <f>SUM(AC333:AF333)*(1+'Adj from Unconsol to Consol'!F48)</f>
        <v>6724.8382551827935</v>
      </c>
      <c r="O333" s="65">
        <f>N333*(1+Assumptions!P80)</f>
        <v>8345.8015508532535</v>
      </c>
      <c r="P333" s="65">
        <f>O333*(1+Assumptions!Q80)</f>
        <v>9653.3950360492399</v>
      </c>
      <c r="Q333" s="65">
        <f>P333*(1+Assumptions!R80)</f>
        <v>10811.80244037515</v>
      </c>
      <c r="R333" s="65">
        <f>Q333*(1+Assumptions!S80)</f>
        <v>12109.218733220168</v>
      </c>
      <c r="S333" s="65">
        <f>R333*(1+Assumptions!T80)</f>
        <v>13562.32498120659</v>
      </c>
      <c r="U333" s="65">
        <f>SUM(U323:U332)</f>
        <v>1291.9369999999999</v>
      </c>
      <c r="V333" s="65">
        <f t="shared" ref="V333:AE333" si="369">SUM(V323:V332)</f>
        <v>1249.5720630000001</v>
      </c>
      <c r="W333" s="65">
        <f t="shared" si="369"/>
        <v>1189.4910629999999</v>
      </c>
      <c r="X333" s="468">
        <f t="shared" si="369"/>
        <v>1522.2940630000001</v>
      </c>
      <c r="Y333" s="65">
        <f t="shared" si="369"/>
        <v>1518.7739999999999</v>
      </c>
      <c r="Z333" s="65">
        <f t="shared" si="369"/>
        <v>1673.524504</v>
      </c>
      <c r="AA333" s="65">
        <f t="shared" si="369"/>
        <v>1441.096284</v>
      </c>
      <c r="AB333" s="468">
        <f t="shared" si="369"/>
        <v>1536.6702260000004</v>
      </c>
      <c r="AC333" s="65">
        <f t="shared" si="369"/>
        <v>1288.317</v>
      </c>
      <c r="AD333" s="65">
        <f t="shared" si="369"/>
        <v>1039.7456830000003</v>
      </c>
      <c r="AE333" s="65">
        <f t="shared" si="369"/>
        <v>1553.5536830000001</v>
      </c>
      <c r="AF333" s="523">
        <f>AE333*(1+Assumptions!AG80)</f>
        <v>1708.9090513000003</v>
      </c>
    </row>
    <row r="335" spans="1:32" s="123" customFormat="1" x14ac:dyDescent="0.2">
      <c r="A335" s="122"/>
      <c r="B335" s="123" t="s">
        <v>101</v>
      </c>
      <c r="D335" s="124">
        <f>D333</f>
        <v>0</v>
      </c>
      <c r="E335" s="125">
        <f t="shared" ref="E335:M335" si="370">E333</f>
        <v>0</v>
      </c>
      <c r="F335" s="125">
        <f t="shared" si="370"/>
        <v>0</v>
      </c>
      <c r="G335" s="125">
        <f t="shared" si="370"/>
        <v>0</v>
      </c>
      <c r="H335" s="125">
        <f t="shared" si="370"/>
        <v>0</v>
      </c>
      <c r="I335" s="125">
        <f t="shared" si="370"/>
        <v>0</v>
      </c>
      <c r="J335" s="125">
        <f t="shared" si="370"/>
        <v>0</v>
      </c>
      <c r="K335" s="125">
        <f t="shared" si="370"/>
        <v>6030.0079999999998</v>
      </c>
      <c r="L335" s="125">
        <f t="shared" si="370"/>
        <v>6822.7349999999997</v>
      </c>
      <c r="M335" s="437">
        <f t="shared" si="370"/>
        <v>7427.4739999999993</v>
      </c>
      <c r="N335" s="126">
        <f t="shared" ref="N335:S335" si="371">N333</f>
        <v>6724.8382551827935</v>
      </c>
      <c r="O335" s="126">
        <f t="shared" si="371"/>
        <v>8345.8015508532535</v>
      </c>
      <c r="P335" s="126">
        <f t="shared" si="371"/>
        <v>9653.3950360492399</v>
      </c>
      <c r="Q335" s="126">
        <f t="shared" si="371"/>
        <v>10811.80244037515</v>
      </c>
      <c r="R335" s="126">
        <f t="shared" si="371"/>
        <v>12109.218733220168</v>
      </c>
      <c r="S335" s="126">
        <f t="shared" si="371"/>
        <v>13562.32498120659</v>
      </c>
      <c r="T335" s="421"/>
      <c r="U335" s="126">
        <f>U333</f>
        <v>1291.9369999999999</v>
      </c>
      <c r="V335" s="126">
        <f t="shared" ref="V335:AE335" si="372">V333</f>
        <v>1249.5720630000001</v>
      </c>
      <c r="W335" s="126">
        <f t="shared" si="372"/>
        <v>1189.4910629999999</v>
      </c>
      <c r="X335" s="437">
        <f t="shared" si="372"/>
        <v>1522.2940630000001</v>
      </c>
      <c r="Y335" s="126">
        <f t="shared" si="372"/>
        <v>1518.7739999999999</v>
      </c>
      <c r="Z335" s="126">
        <f t="shared" si="372"/>
        <v>1673.524504</v>
      </c>
      <c r="AA335" s="126">
        <f t="shared" si="372"/>
        <v>1441.096284</v>
      </c>
      <c r="AB335" s="437">
        <f t="shared" si="372"/>
        <v>1536.6702260000004</v>
      </c>
      <c r="AC335" s="126">
        <f t="shared" si="372"/>
        <v>1288.317</v>
      </c>
      <c r="AD335" s="126">
        <f t="shared" si="372"/>
        <v>1039.7456830000003</v>
      </c>
      <c r="AE335" s="126">
        <f t="shared" si="372"/>
        <v>1553.5536830000001</v>
      </c>
      <c r="AF335" s="530">
        <f>AF333</f>
        <v>1708.9090513000003</v>
      </c>
    </row>
    <row r="336" spans="1:32" s="89" customFormat="1" x14ac:dyDescent="0.2">
      <c r="A336" s="88"/>
      <c r="B336" s="89" t="s">
        <v>102</v>
      </c>
      <c r="D336" s="95">
        <f t="shared" ref="D336:S336" si="373">D49</f>
        <v>888.66</v>
      </c>
      <c r="E336" s="128">
        <f t="shared" si="373"/>
        <v>1097.3499999999999</v>
      </c>
      <c r="F336" s="128">
        <f t="shared" si="373"/>
        <v>969.51700000000005</v>
      </c>
      <c r="G336" s="128">
        <f t="shared" si="373"/>
        <v>1258.2339999999999</v>
      </c>
      <c r="H336" s="128">
        <f t="shared" si="373"/>
        <v>1569.327</v>
      </c>
      <c r="I336" s="128">
        <f t="shared" si="373"/>
        <v>1987.212</v>
      </c>
      <c r="J336" s="128">
        <f t="shared" si="373"/>
        <v>3942.2359999999999</v>
      </c>
      <c r="K336" s="128">
        <f t="shared" si="373"/>
        <v>6030.0079999999998</v>
      </c>
      <c r="L336" s="128">
        <f t="shared" si="373"/>
        <v>6822.7349999999997</v>
      </c>
      <c r="M336" s="438">
        <f t="shared" si="373"/>
        <v>7427.4740000000002</v>
      </c>
      <c r="N336" s="129">
        <f t="shared" si="373"/>
        <v>6724.8382551827935</v>
      </c>
      <c r="O336" s="129">
        <f t="shared" si="373"/>
        <v>8345.8015508532535</v>
      </c>
      <c r="P336" s="129">
        <f t="shared" si="373"/>
        <v>9653.3950360492399</v>
      </c>
      <c r="Q336" s="129">
        <f t="shared" si="373"/>
        <v>10811.80244037515</v>
      </c>
      <c r="R336" s="129">
        <f t="shared" si="373"/>
        <v>12109.218733220168</v>
      </c>
      <c r="S336" s="129">
        <f t="shared" si="373"/>
        <v>13562.32498120659</v>
      </c>
      <c r="T336" s="419"/>
      <c r="U336" s="129">
        <f t="shared" ref="U336:AF336" si="374">U49</f>
        <v>1291.9369999999999</v>
      </c>
      <c r="V336" s="129">
        <f t="shared" si="374"/>
        <v>1250.954</v>
      </c>
      <c r="W336" s="129">
        <f t="shared" si="374"/>
        <v>1190.703</v>
      </c>
      <c r="X336" s="438">
        <f t="shared" si="374"/>
        <v>1523.5760000000005</v>
      </c>
      <c r="Y336" s="129">
        <f t="shared" si="374"/>
        <v>1518.7739999999999</v>
      </c>
      <c r="Z336" s="129">
        <f t="shared" si="374"/>
        <v>1675.0170000000001</v>
      </c>
      <c r="AA336" s="129">
        <f t="shared" si="374"/>
        <v>1442.664</v>
      </c>
      <c r="AB336" s="438">
        <f t="shared" si="374"/>
        <v>1538.1890000000003</v>
      </c>
      <c r="AC336" s="129">
        <f t="shared" si="374"/>
        <v>1288.317</v>
      </c>
      <c r="AD336" s="129">
        <f t="shared" si="374"/>
        <v>1041.0340000000001</v>
      </c>
      <c r="AE336" s="129">
        <f t="shared" si="374"/>
        <v>1554.8420000000001</v>
      </c>
      <c r="AF336" s="531">
        <f t="shared" si="374"/>
        <v>1708.9090513000003</v>
      </c>
    </row>
    <row r="337" spans="1:32" s="89" customFormat="1" x14ac:dyDescent="0.2">
      <c r="A337" s="88"/>
      <c r="D337" s="95"/>
      <c r="E337" s="128"/>
      <c r="F337" s="128"/>
      <c r="G337" s="128"/>
      <c r="H337" s="128"/>
      <c r="I337" s="128"/>
      <c r="J337" s="128"/>
      <c r="K337" s="128"/>
      <c r="L337" s="128"/>
      <c r="M337" s="443"/>
      <c r="T337" s="419"/>
      <c r="U337" s="129"/>
      <c r="V337" s="129"/>
      <c r="W337" s="129"/>
      <c r="X337" s="438"/>
      <c r="Y337" s="129"/>
      <c r="Z337" s="129"/>
      <c r="AA337" s="129"/>
      <c r="AB337" s="438"/>
      <c r="AC337" s="129"/>
      <c r="AD337" s="129"/>
      <c r="AE337" s="129"/>
      <c r="AF337" s="531"/>
    </row>
    <row r="338" spans="1:32" s="224" customFormat="1" x14ac:dyDescent="0.2">
      <c r="B338" s="58" t="s">
        <v>170</v>
      </c>
      <c r="C338" s="58"/>
      <c r="D338" s="356"/>
      <c r="E338" s="357"/>
      <c r="F338" s="357"/>
      <c r="G338" s="357"/>
      <c r="H338" s="357"/>
      <c r="I338" s="357"/>
      <c r="J338" s="357"/>
      <c r="K338" s="357"/>
      <c r="L338" s="357"/>
      <c r="M338" s="471"/>
      <c r="T338" s="269"/>
      <c r="X338" s="509"/>
      <c r="AB338" s="509"/>
      <c r="AF338" s="510"/>
    </row>
    <row r="339" spans="1:32" x14ac:dyDescent="0.2">
      <c r="B339" s="2" t="s">
        <v>160</v>
      </c>
      <c r="D339" s="227">
        <v>132.38300000000001</v>
      </c>
      <c r="E339" s="227">
        <v>268.73700000000002</v>
      </c>
      <c r="F339" s="226">
        <v>414.42599999999999</v>
      </c>
      <c r="G339" s="226">
        <v>1198.568</v>
      </c>
      <c r="H339" s="7">
        <v>892.52700000000004</v>
      </c>
      <c r="I339" s="7">
        <v>291.44900000000001</v>
      </c>
      <c r="J339" s="7">
        <v>1006.189</v>
      </c>
      <c r="K339" s="7">
        <v>642.23</v>
      </c>
      <c r="L339" s="7">
        <v>23.920999999999999</v>
      </c>
      <c r="M339" s="467">
        <v>-380.70400000000001</v>
      </c>
      <c r="N339" s="7">
        <f>M339/M$346*N$346</f>
        <v>-380.1429454618829</v>
      </c>
      <c r="O339" s="7">
        <f t="shared" ref="O339:S339" si="375">N339/N$346*O$346</f>
        <v>187.58661421746385</v>
      </c>
      <c r="P339" s="7">
        <f t="shared" si="375"/>
        <v>45.145557046870216</v>
      </c>
      <c r="Q339" s="7">
        <f t="shared" si="375"/>
        <v>-112.61513301116807</v>
      </c>
      <c r="R339" s="7">
        <f t="shared" si="375"/>
        <v>-128.14598144174337</v>
      </c>
      <c r="S339" s="7">
        <f t="shared" si="375"/>
        <v>-77.634377730092041</v>
      </c>
      <c r="U339" s="226">
        <v>38.997999999999998</v>
      </c>
      <c r="V339" s="226">
        <f>((((3911-U339)/1000)*1000)/1000)-38.998</f>
        <v>-35.125997999999996</v>
      </c>
      <c r="W339" s="226">
        <f>((((94151-V339-U339)/1000)*1000)/1000)-((((3911-V339)/1000)*1000)/1000)</f>
        <v>90.201002000000003</v>
      </c>
      <c r="X339" s="511">
        <f>((23921-SUM(U339:W339))/1000)-((((94151-W339-V339)/1000)*1000)/1000)</f>
        <v>-70.268998000000011</v>
      </c>
      <c r="Y339" s="226">
        <v>-41.898000000000003</v>
      </c>
      <c r="Z339" s="226">
        <f>((((-57859-Y339)/1000)*1000)/1000)--41.898</f>
        <v>-15.919101999999995</v>
      </c>
      <c r="AA339" s="226">
        <f>((((-155162-Z339-Y339)/1000)*1000)/1000)-((((-57859-Z339)/1000)*1000)/1000)</f>
        <v>-97.261102000000008</v>
      </c>
      <c r="AB339" s="511">
        <f>((-380704-SUM(Y339:AA339))/1000)-((((-155162-AA339-Z339)/1000)*1000)/1000)</f>
        <v>-225.500102</v>
      </c>
      <c r="AC339" s="226">
        <v>-72.873000000000005</v>
      </c>
      <c r="AD339" s="226">
        <f>((-77786-AC339)/1000)--72.873</f>
        <v>-4.8401269999999954</v>
      </c>
      <c r="AE339" s="226">
        <f>((-47339-SUM(AC339:AD339))/1000)-((-77786-AD339)/1000)</f>
        <v>30.519872999999997</v>
      </c>
    </row>
    <row r="340" spans="1:32" x14ac:dyDescent="0.2">
      <c r="B340" s="2" t="s">
        <v>283</v>
      </c>
      <c r="D340" s="227"/>
      <c r="E340" s="227"/>
      <c r="F340" s="226"/>
      <c r="G340" s="226"/>
      <c r="H340" s="7"/>
      <c r="I340" s="7"/>
      <c r="J340" s="7"/>
      <c r="K340" s="7"/>
      <c r="L340" s="7"/>
      <c r="M340" s="467"/>
      <c r="N340" s="7">
        <f t="shared" ref="N340:N345" si="376">M340/M$346*N$346</f>
        <v>0</v>
      </c>
      <c r="O340" s="7">
        <f t="shared" ref="O340:S340" si="377">N340/N$346*O$346</f>
        <v>0</v>
      </c>
      <c r="P340" s="7">
        <f t="shared" si="377"/>
        <v>0</v>
      </c>
      <c r="Q340" s="7">
        <f t="shared" si="377"/>
        <v>0</v>
      </c>
      <c r="R340" s="7">
        <f t="shared" si="377"/>
        <v>0</v>
      </c>
      <c r="S340" s="7">
        <f t="shared" si="377"/>
        <v>0</v>
      </c>
      <c r="U340" s="226">
        <v>0</v>
      </c>
      <c r="V340" s="226">
        <v>0</v>
      </c>
      <c r="W340" s="226">
        <v>0</v>
      </c>
      <c r="X340" s="511">
        <v>0</v>
      </c>
      <c r="Y340" s="226">
        <v>0</v>
      </c>
      <c r="Z340" s="226">
        <v>0</v>
      </c>
      <c r="AA340" s="226">
        <v>0</v>
      </c>
      <c r="AB340" s="511">
        <v>0</v>
      </c>
      <c r="AC340" s="226">
        <v>0</v>
      </c>
      <c r="AD340" s="226">
        <v>0</v>
      </c>
      <c r="AE340" s="226">
        <f>((-34261-SUM(AC340:AD340))/1000)-0</f>
        <v>-34.261000000000003</v>
      </c>
    </row>
    <row r="341" spans="1:32" x14ac:dyDescent="0.2">
      <c r="B341" s="2" t="s">
        <v>161</v>
      </c>
      <c r="D341" s="227">
        <v>5.5019999999999998</v>
      </c>
      <c r="E341" s="227">
        <v>119.343</v>
      </c>
      <c r="F341" s="226">
        <v>90.674000000000007</v>
      </c>
      <c r="G341" s="226">
        <v>31.591000000000001</v>
      </c>
      <c r="H341" s="7">
        <v>255.97200000000001</v>
      </c>
      <c r="I341" s="7">
        <v>50.686999999999998</v>
      </c>
      <c r="J341" s="7">
        <v>7.2350000000000003</v>
      </c>
      <c r="K341" s="7">
        <v>297.036</v>
      </c>
      <c r="L341" s="7">
        <v>-18.195</v>
      </c>
      <c r="M341" s="467">
        <v>-77.759</v>
      </c>
      <c r="N341" s="7">
        <f t="shared" si="376"/>
        <v>-77.644404304053936</v>
      </c>
      <c r="O341" s="7">
        <f t="shared" ref="O341:S341" si="378">N341/N$346*O$346</f>
        <v>38.314668443031252</v>
      </c>
      <c r="P341" s="7">
        <f t="shared" si="378"/>
        <v>9.2210046923793314</v>
      </c>
      <c r="Q341" s="7">
        <f t="shared" si="378"/>
        <v>-23.001702445509945</v>
      </c>
      <c r="R341" s="7">
        <f t="shared" si="378"/>
        <v>-26.173886722830659</v>
      </c>
      <c r="S341" s="7">
        <f t="shared" si="378"/>
        <v>-15.856864067396788</v>
      </c>
      <c r="U341" s="226">
        <v>0</v>
      </c>
      <c r="V341" s="226">
        <v>0</v>
      </c>
      <c r="W341" s="226">
        <f>((((-833-V341-U341)/1000)*1000)/1000)-0</f>
        <v>-0.83299999999999996</v>
      </c>
      <c r="X341" s="511">
        <f>((-18196-SUM(U341:W341))/1000)-((((-833-W341-V341)/1000)*1000)/1000)</f>
        <v>-17.363000000000003</v>
      </c>
      <c r="Y341" s="226">
        <v>-82.83</v>
      </c>
      <c r="Z341" s="226">
        <f>((((-82830-Y341)/1000)*1000)/1000)--82.83</f>
        <v>8.2830000000001291E-2</v>
      </c>
      <c r="AA341" s="226">
        <f>((((-82830-Z341-Y341)/1000)*1000)/1000)-((((-82830-Z341)/1000)*1000)/1000)</f>
        <v>8.2830000000001291E-2</v>
      </c>
      <c r="AB341" s="511">
        <f>((-77769-SUM(Y341:AA341))/1000)-((((-82830-AA341-Z341)/1000)*1000)/1000)</f>
        <v>5.1438300000000083</v>
      </c>
      <c r="AC341" s="226">
        <v>0</v>
      </c>
      <c r="AD341" s="226">
        <f>((-31064-AC341)/1000)-0</f>
        <v>-31.064</v>
      </c>
      <c r="AE341" s="226">
        <f>((-31064-SUM(AC341:AD341))/1000)-((-31064-AD341)/1000)</f>
        <v>0</v>
      </c>
    </row>
    <row r="342" spans="1:32" x14ac:dyDescent="0.2">
      <c r="B342" s="2" t="s">
        <v>171</v>
      </c>
      <c r="D342" s="227"/>
      <c r="E342" s="227"/>
      <c r="F342" s="226"/>
      <c r="G342" s="226"/>
      <c r="H342" s="7"/>
      <c r="I342" s="7"/>
      <c r="J342" s="7"/>
      <c r="K342" s="7"/>
      <c r="L342" s="7"/>
      <c r="M342" s="467">
        <v>40.863999999999997</v>
      </c>
      <c r="N342" s="7">
        <f t="shared" si="376"/>
        <v>40.803777536759213</v>
      </c>
      <c r="O342" s="7">
        <f t="shared" ref="O342:S342" si="379">N342/N$346*O$346</f>
        <v>-20.135169064108709</v>
      </c>
      <c r="P342" s="7">
        <f t="shared" si="379"/>
        <v>-4.8458330964825809</v>
      </c>
      <c r="Q342" s="7">
        <f t="shared" si="379"/>
        <v>12.087881386505979</v>
      </c>
      <c r="R342" s="7">
        <f t="shared" si="379"/>
        <v>13.754931352534781</v>
      </c>
      <c r="S342" s="7">
        <f t="shared" si="379"/>
        <v>8.333117623041737</v>
      </c>
      <c r="U342" s="226">
        <v>0</v>
      </c>
      <c r="V342" s="226">
        <v>0</v>
      </c>
      <c r="W342" s="226">
        <v>0</v>
      </c>
      <c r="X342" s="511">
        <v>0</v>
      </c>
      <c r="Y342" s="226">
        <v>0</v>
      </c>
      <c r="Z342" s="226">
        <v>0</v>
      </c>
      <c r="AA342" s="226">
        <f>((((-1136-Z342-Y342)/1000)*1000)/1000)-0</f>
        <v>-1.1359999999999999</v>
      </c>
      <c r="AB342" s="511">
        <f>((40864-SUM(Y342:AA342))/1000)-((((-1136-AA342-Z342)/1000)*1000)/1000)</f>
        <v>42</v>
      </c>
      <c r="AC342" s="226">
        <v>0</v>
      </c>
      <c r="AD342" s="226">
        <f>((-16518-AC342)/1000)-0</f>
        <v>-16.518000000000001</v>
      </c>
      <c r="AE342" s="226">
        <f>0-((-16518-AD342)/1000)</f>
        <v>16.501481999999999</v>
      </c>
    </row>
    <row r="343" spans="1:32" x14ac:dyDescent="0.2">
      <c r="B343" s="2" t="s">
        <v>162</v>
      </c>
      <c r="D343" s="227">
        <v>0</v>
      </c>
      <c r="E343" s="227">
        <v>0</v>
      </c>
      <c r="F343" s="226">
        <v>0</v>
      </c>
      <c r="G343" s="226">
        <v>0</v>
      </c>
      <c r="H343" s="7">
        <v>0</v>
      </c>
      <c r="I343" s="7">
        <v>0</v>
      </c>
      <c r="J343" s="7">
        <v>0</v>
      </c>
      <c r="K343" s="7">
        <v>0</v>
      </c>
      <c r="L343" s="7">
        <v>-44.551000000000002</v>
      </c>
      <c r="M343" s="467">
        <v>-11.183</v>
      </c>
      <c r="N343" s="7">
        <f t="shared" si="376"/>
        <v>-11.166519288214035</v>
      </c>
      <c r="O343" s="7">
        <f t="shared" ref="O343:S343" si="380">N343/N$346*O$346</f>
        <v>5.5102681001352707</v>
      </c>
      <c r="P343" s="7">
        <f t="shared" si="380"/>
        <v>1.3261293930590423</v>
      </c>
      <c r="Q343" s="7">
        <f t="shared" si="380"/>
        <v>-3.3080162868367355</v>
      </c>
      <c r="R343" s="7">
        <f t="shared" si="380"/>
        <v>-3.7642276163712913</v>
      </c>
      <c r="S343" s="7">
        <f t="shared" si="380"/>
        <v>-2.2804731396455495</v>
      </c>
      <c r="U343" s="226">
        <v>2.5819999999999999</v>
      </c>
      <c r="V343" s="226">
        <f>((((2582-U343)/1000)*1000)/1000)-2.582</f>
        <v>-2.5819999999998622E-3</v>
      </c>
      <c r="W343" s="226">
        <f>((((2582-V343-U343)/1000)*1000)/1000)-((((2582-V343)/1000)*1000)/1000)</f>
        <v>-2.5819999999998622E-3</v>
      </c>
      <c r="X343" s="511">
        <f>((2582-SUM(U343:W343))/1000)-((((2582-W343-V343)/1000)*1000)/1000)</f>
        <v>-2.5820000000007504E-3</v>
      </c>
      <c r="Y343" s="226">
        <v>0</v>
      </c>
      <c r="Z343" s="226">
        <v>0</v>
      </c>
      <c r="AA343" s="226">
        <v>0</v>
      </c>
      <c r="AB343" s="511">
        <v>0</v>
      </c>
      <c r="AC343" s="226">
        <v>0</v>
      </c>
      <c r="AD343" s="226">
        <v>0</v>
      </c>
      <c r="AE343" s="226">
        <v>0</v>
      </c>
    </row>
    <row r="344" spans="1:32" x14ac:dyDescent="0.2">
      <c r="B344" s="2" t="s">
        <v>284</v>
      </c>
      <c r="D344" s="227"/>
      <c r="E344" s="227"/>
      <c r="F344" s="226"/>
      <c r="G344" s="226"/>
      <c r="H344" s="7"/>
      <c r="I344" s="7"/>
      <c r="J344" s="7"/>
      <c r="K344" s="7"/>
      <c r="L344" s="7"/>
      <c r="M344" s="467"/>
      <c r="N344" s="7">
        <f t="shared" si="376"/>
        <v>0</v>
      </c>
      <c r="O344" s="7">
        <f t="shared" ref="O344:S344" si="381">N344/N$346*O$346</f>
        <v>0</v>
      </c>
      <c r="P344" s="7">
        <f t="shared" si="381"/>
        <v>0</v>
      </c>
      <c r="Q344" s="7">
        <f t="shared" si="381"/>
        <v>0</v>
      </c>
      <c r="R344" s="7">
        <f t="shared" si="381"/>
        <v>0</v>
      </c>
      <c r="S344" s="7">
        <f t="shared" si="381"/>
        <v>0</v>
      </c>
      <c r="U344" s="226">
        <v>0</v>
      </c>
      <c r="V344" s="226">
        <v>0</v>
      </c>
      <c r="W344" s="226">
        <v>0</v>
      </c>
      <c r="X344" s="511">
        <v>0</v>
      </c>
      <c r="Y344" s="226">
        <v>0</v>
      </c>
      <c r="Z344" s="226">
        <v>0</v>
      </c>
      <c r="AA344" s="226">
        <v>0</v>
      </c>
      <c r="AB344" s="511">
        <v>0</v>
      </c>
      <c r="AC344" s="226">
        <v>753.33399999999995</v>
      </c>
      <c r="AD344" s="226">
        <f>((1064587-AC344)/1000)-753.334</f>
        <v>310.49966600000005</v>
      </c>
      <c r="AE344" s="226">
        <f>((1064963-SUM(AC344:AD344))/1000)-((1064587-AD344)/1000)</f>
        <v>-0.37733400000001893</v>
      </c>
    </row>
    <row r="345" spans="1:32" x14ac:dyDescent="0.2">
      <c r="B345" s="2" t="s">
        <v>163</v>
      </c>
      <c r="D345" s="227">
        <v>0</v>
      </c>
      <c r="E345" s="227">
        <v>0</v>
      </c>
      <c r="F345" s="226">
        <v>0</v>
      </c>
      <c r="G345" s="226">
        <v>0</v>
      </c>
      <c r="H345" s="7">
        <v>0</v>
      </c>
      <c r="I345" s="7">
        <v>0</v>
      </c>
      <c r="J345" s="7">
        <v>0</v>
      </c>
      <c r="K345" s="7">
        <v>0</v>
      </c>
      <c r="L345" s="7">
        <v>-0.55100000000000005</v>
      </c>
      <c r="M345" s="467">
        <v>0</v>
      </c>
      <c r="N345" s="7">
        <f t="shared" si="376"/>
        <v>0</v>
      </c>
      <c r="O345" s="7">
        <f t="shared" ref="O345:S345" si="382">N345/N$346*O$346</f>
        <v>0</v>
      </c>
      <c r="P345" s="7">
        <f t="shared" si="382"/>
        <v>0</v>
      </c>
      <c r="Q345" s="7">
        <f t="shared" si="382"/>
        <v>0</v>
      </c>
      <c r="R345" s="7">
        <f t="shared" si="382"/>
        <v>0</v>
      </c>
      <c r="S345" s="7">
        <f t="shared" si="382"/>
        <v>0</v>
      </c>
      <c r="U345" s="226">
        <v>0</v>
      </c>
      <c r="V345" s="226">
        <v>0</v>
      </c>
      <c r="W345" s="226">
        <v>0</v>
      </c>
      <c r="X345" s="511">
        <v>0</v>
      </c>
      <c r="Y345" s="226">
        <v>0</v>
      </c>
      <c r="Z345" s="226">
        <v>0</v>
      </c>
      <c r="AA345" s="226">
        <v>0</v>
      </c>
      <c r="AB345" s="511">
        <v>0</v>
      </c>
      <c r="AC345" s="226">
        <v>0</v>
      </c>
      <c r="AD345" s="226">
        <v>0</v>
      </c>
      <c r="AE345" s="226">
        <f>((-17636-SUM(AC345:AD345))/1000)-0</f>
        <v>-17.635999999999999</v>
      </c>
    </row>
    <row r="346" spans="1:32" x14ac:dyDescent="0.2">
      <c r="B346" s="3" t="s">
        <v>99</v>
      </c>
      <c r="C346" s="3"/>
      <c r="D346" s="64">
        <f t="shared" ref="D346:K346" si="383">SUM(D339:D345)</f>
        <v>137.88500000000002</v>
      </c>
      <c r="E346" s="131">
        <f t="shared" si="383"/>
        <v>388.08000000000004</v>
      </c>
      <c r="F346" s="131">
        <f t="shared" si="383"/>
        <v>505.1</v>
      </c>
      <c r="G346" s="131">
        <f t="shared" si="383"/>
        <v>1230.1589999999999</v>
      </c>
      <c r="H346" s="131">
        <f t="shared" si="383"/>
        <v>1148.499</v>
      </c>
      <c r="I346" s="131">
        <f t="shared" si="383"/>
        <v>342.13600000000002</v>
      </c>
      <c r="J346" s="131">
        <f t="shared" si="383"/>
        <v>1013.424</v>
      </c>
      <c r="K346" s="131">
        <f t="shared" si="383"/>
        <v>939.26600000000008</v>
      </c>
      <c r="L346" s="131">
        <f t="shared" ref="L346:M346" si="384">SUM(L339:L345)</f>
        <v>-39.376000000000005</v>
      </c>
      <c r="M346" s="468">
        <f t="shared" si="384"/>
        <v>-428.78200000000004</v>
      </c>
      <c r="N346" s="80">
        <f>SUM(AC346:AF346)*(1+'Adj from Unconsol to Consol'!F51)</f>
        <v>-428.15009151739167</v>
      </c>
      <c r="O346" s="65">
        <f t="shared" ref="O346:S346" si="385">AVERAGE(J346:N346)</f>
        <v>211.2763816965217</v>
      </c>
      <c r="P346" s="65">
        <f t="shared" si="385"/>
        <v>50.846858035826017</v>
      </c>
      <c r="Q346" s="65">
        <f t="shared" si="385"/>
        <v>-126.83697035700879</v>
      </c>
      <c r="R346" s="65">
        <f t="shared" si="385"/>
        <v>-144.32916442841056</v>
      </c>
      <c r="S346" s="65">
        <f t="shared" si="385"/>
        <v>-87.438597314092661</v>
      </c>
      <c r="U346" s="65">
        <f>SUM(U339:U345)</f>
        <v>41.58</v>
      </c>
      <c r="V346" s="65">
        <f t="shared" ref="V346:AE346" si="386">SUM(V339:V345)</f>
        <v>-35.128579999999992</v>
      </c>
      <c r="W346" s="65">
        <f t="shared" si="386"/>
        <v>89.36542</v>
      </c>
      <c r="X346" s="468">
        <f t="shared" si="386"/>
        <v>-87.634580000000014</v>
      </c>
      <c r="Y346" s="65">
        <f t="shared" si="386"/>
        <v>-124.72800000000001</v>
      </c>
      <c r="Z346" s="65">
        <f t="shared" si="386"/>
        <v>-15.836271999999994</v>
      </c>
      <c r="AA346" s="65">
        <f t="shared" si="386"/>
        <v>-98.314272000000003</v>
      </c>
      <c r="AB346" s="468">
        <f t="shared" si="386"/>
        <v>-178.35627199999999</v>
      </c>
      <c r="AC346" s="65">
        <f t="shared" si="386"/>
        <v>680.4609999999999</v>
      </c>
      <c r="AD346" s="65">
        <f t="shared" si="386"/>
        <v>258.07753900000006</v>
      </c>
      <c r="AE346" s="65">
        <f t="shared" si="386"/>
        <v>-5.2529790000000247</v>
      </c>
      <c r="AF346" s="511">
        <v>0</v>
      </c>
    </row>
    <row r="348" spans="1:32" s="123" customFormat="1" x14ac:dyDescent="0.2">
      <c r="A348" s="122"/>
      <c r="B348" s="123" t="s">
        <v>101</v>
      </c>
      <c r="D348" s="124">
        <f>D346</f>
        <v>137.88500000000002</v>
      </c>
      <c r="E348" s="125">
        <f t="shared" ref="E348:M348" si="387">E346</f>
        <v>388.08000000000004</v>
      </c>
      <c r="F348" s="125">
        <f t="shared" si="387"/>
        <v>505.1</v>
      </c>
      <c r="G348" s="125">
        <f t="shared" si="387"/>
        <v>1230.1589999999999</v>
      </c>
      <c r="H348" s="125">
        <f t="shared" si="387"/>
        <v>1148.499</v>
      </c>
      <c r="I348" s="125">
        <f t="shared" si="387"/>
        <v>342.13600000000002</v>
      </c>
      <c r="J348" s="125">
        <f t="shared" si="387"/>
        <v>1013.424</v>
      </c>
      <c r="K348" s="125">
        <f t="shared" si="387"/>
        <v>939.26600000000008</v>
      </c>
      <c r="L348" s="125">
        <f t="shared" si="387"/>
        <v>-39.376000000000005</v>
      </c>
      <c r="M348" s="437">
        <f t="shared" si="387"/>
        <v>-428.78200000000004</v>
      </c>
      <c r="N348" s="126">
        <f t="shared" ref="N348:S348" si="388">N346</f>
        <v>-428.15009151739167</v>
      </c>
      <c r="O348" s="126">
        <f t="shared" si="388"/>
        <v>211.2763816965217</v>
      </c>
      <c r="P348" s="126">
        <f t="shared" si="388"/>
        <v>50.846858035826017</v>
      </c>
      <c r="Q348" s="126">
        <f t="shared" si="388"/>
        <v>-126.83697035700879</v>
      </c>
      <c r="R348" s="126">
        <f t="shared" si="388"/>
        <v>-144.32916442841056</v>
      </c>
      <c r="S348" s="126">
        <f t="shared" si="388"/>
        <v>-87.438597314092661</v>
      </c>
      <c r="T348" s="421"/>
      <c r="U348" s="126">
        <f>U346</f>
        <v>41.58</v>
      </c>
      <c r="V348" s="126">
        <f t="shared" ref="V348:AE348" si="389">V346</f>
        <v>-35.128579999999992</v>
      </c>
      <c r="W348" s="126">
        <f t="shared" si="389"/>
        <v>89.36542</v>
      </c>
      <c r="X348" s="437">
        <f t="shared" si="389"/>
        <v>-87.634580000000014</v>
      </c>
      <c r="Y348" s="126">
        <f t="shared" si="389"/>
        <v>-124.72800000000001</v>
      </c>
      <c r="Z348" s="126">
        <f t="shared" si="389"/>
        <v>-15.836271999999994</v>
      </c>
      <c r="AA348" s="126">
        <f t="shared" si="389"/>
        <v>-98.314272000000003</v>
      </c>
      <c r="AB348" s="437">
        <f t="shared" si="389"/>
        <v>-178.35627199999999</v>
      </c>
      <c r="AC348" s="126">
        <f t="shared" si="389"/>
        <v>680.4609999999999</v>
      </c>
      <c r="AD348" s="126">
        <f t="shared" si="389"/>
        <v>258.07753900000006</v>
      </c>
      <c r="AE348" s="126">
        <f t="shared" si="389"/>
        <v>-5.2529790000000247</v>
      </c>
      <c r="AF348" s="530">
        <f t="shared" ref="AF348" si="390">AF346</f>
        <v>0</v>
      </c>
    </row>
    <row r="349" spans="1:32" s="89" customFormat="1" x14ac:dyDescent="0.2">
      <c r="A349" s="88"/>
      <c r="B349" s="89" t="s">
        <v>102</v>
      </c>
      <c r="D349" s="95">
        <f t="shared" ref="D349:S349" si="391">D52</f>
        <v>137.88499999999999</v>
      </c>
      <c r="E349" s="128">
        <f t="shared" si="391"/>
        <v>388.08</v>
      </c>
      <c r="F349" s="128">
        <f t="shared" si="391"/>
        <v>505.1</v>
      </c>
      <c r="G349" s="128">
        <f t="shared" si="391"/>
        <v>1230.1590000000001</v>
      </c>
      <c r="H349" s="128">
        <f t="shared" si="391"/>
        <v>1148.499</v>
      </c>
      <c r="I349" s="128">
        <f t="shared" si="391"/>
        <v>342.13600000000002</v>
      </c>
      <c r="J349" s="128">
        <f t="shared" si="391"/>
        <v>1012.424</v>
      </c>
      <c r="K349" s="128">
        <f t="shared" si="391"/>
        <v>939.26599999999996</v>
      </c>
      <c r="L349" s="128">
        <f t="shared" si="391"/>
        <v>-39.375999999999998</v>
      </c>
      <c r="M349" s="438">
        <f t="shared" si="391"/>
        <v>-428.78199999999998</v>
      </c>
      <c r="N349" s="129">
        <f t="shared" si="391"/>
        <v>-428.15009151739167</v>
      </c>
      <c r="O349" s="129">
        <f t="shared" si="391"/>
        <v>211.2763816965217</v>
      </c>
      <c r="P349" s="129">
        <f t="shared" si="391"/>
        <v>50.846858035826017</v>
      </c>
      <c r="Q349" s="129">
        <f t="shared" si="391"/>
        <v>-126.83697035700879</v>
      </c>
      <c r="R349" s="129">
        <f t="shared" si="391"/>
        <v>-144.32916442841056</v>
      </c>
      <c r="S349" s="129">
        <f t="shared" si="391"/>
        <v>-87.438597314092661</v>
      </c>
      <c r="T349" s="419"/>
      <c r="U349" s="129">
        <f t="shared" ref="U349:AF349" si="392">U52</f>
        <v>41.58</v>
      </c>
      <c r="V349" s="129">
        <f t="shared" si="392"/>
        <v>-35.087000000000003</v>
      </c>
      <c r="W349" s="129">
        <f t="shared" si="392"/>
        <v>89.406999999999996</v>
      </c>
      <c r="X349" s="438">
        <f t="shared" si="392"/>
        <v>-87.591999999999985</v>
      </c>
      <c r="Y349" s="129">
        <f t="shared" si="392"/>
        <v>-124.72799999999999</v>
      </c>
      <c r="Z349" s="129">
        <f t="shared" si="392"/>
        <v>-15.961</v>
      </c>
      <c r="AA349" s="129">
        <f t="shared" si="392"/>
        <v>-98.438999999999993</v>
      </c>
      <c r="AB349" s="438">
        <f t="shared" si="392"/>
        <v>-178.471</v>
      </c>
      <c r="AC349" s="129">
        <f t="shared" si="392"/>
        <v>680.46100000000001</v>
      </c>
      <c r="AD349" s="129">
        <f t="shared" si="392"/>
        <v>258.75799999999998</v>
      </c>
      <c r="AE349" s="129">
        <f t="shared" si="392"/>
        <v>-4.556</v>
      </c>
      <c r="AF349" s="531">
        <f t="shared" si="392"/>
        <v>0</v>
      </c>
    </row>
    <row r="351" spans="1:32" s="224" customFormat="1" x14ac:dyDescent="0.2">
      <c r="B351" s="58" t="s">
        <v>36</v>
      </c>
      <c r="C351" s="58"/>
      <c r="D351" s="356"/>
      <c r="E351" s="357"/>
      <c r="F351" s="357"/>
      <c r="G351" s="357"/>
      <c r="H351" s="357"/>
      <c r="I351" s="357"/>
      <c r="J351" s="357"/>
      <c r="K351" s="357"/>
      <c r="L351" s="357"/>
      <c r="M351" s="471"/>
      <c r="T351" s="269"/>
      <c r="X351" s="509"/>
      <c r="AB351" s="509"/>
      <c r="AF351" s="510"/>
    </row>
    <row r="352" spans="1:32" x14ac:dyDescent="0.2">
      <c r="B352" s="113" t="s">
        <v>164</v>
      </c>
      <c r="D352" s="7">
        <v>17.012</v>
      </c>
      <c r="E352" s="7">
        <v>30.699000000000002</v>
      </c>
      <c r="F352" s="226">
        <v>49.002000000000002</v>
      </c>
      <c r="G352" s="226">
        <v>51.982999999999997</v>
      </c>
      <c r="H352" s="7">
        <v>60.417999999999999</v>
      </c>
      <c r="I352" s="7">
        <v>69.635000000000005</v>
      </c>
      <c r="J352" s="7">
        <v>108.327</v>
      </c>
      <c r="K352" s="7">
        <v>144.20599999999999</v>
      </c>
      <c r="L352" s="7">
        <v>198.79300000000001</v>
      </c>
      <c r="M352" s="467">
        <v>380.404</v>
      </c>
      <c r="N352" s="7">
        <f>M352/M$359*N$359</f>
        <v>420.29599576630955</v>
      </c>
      <c r="O352" s="7">
        <f t="shared" ref="O352:S352" si="393">N352/N$359*O$359</f>
        <v>498.91192030338118</v>
      </c>
      <c r="P352" s="7">
        <f t="shared" si="393"/>
        <v>561.66813708937184</v>
      </c>
      <c r="Q352" s="7">
        <f t="shared" si="393"/>
        <v>614.67484576384663</v>
      </c>
      <c r="R352" s="7">
        <f t="shared" si="393"/>
        <v>686.35847148364246</v>
      </c>
      <c r="S352" s="7">
        <f t="shared" si="393"/>
        <v>753.28208555431218</v>
      </c>
      <c r="U352" s="226">
        <v>0</v>
      </c>
      <c r="V352" s="226">
        <v>0</v>
      </c>
      <c r="W352" s="226">
        <v>0</v>
      </c>
      <c r="X352" s="511">
        <f>((198793-SUM(U352:W352))/1000)-0</f>
        <v>198.79300000000001</v>
      </c>
      <c r="Y352" s="226">
        <v>0</v>
      </c>
      <c r="Z352" s="226">
        <v>0</v>
      </c>
      <c r="AA352" s="226">
        <v>0</v>
      </c>
      <c r="AB352" s="511">
        <f>((380404-SUM(Y352:AA352))/1000)-0</f>
        <v>380.404</v>
      </c>
      <c r="AC352" s="226">
        <v>0</v>
      </c>
      <c r="AD352" s="226">
        <v>0</v>
      </c>
      <c r="AE352" s="226">
        <v>0</v>
      </c>
      <c r="AF352" s="511">
        <f>AE352/AE$359*AF$359</f>
        <v>0</v>
      </c>
    </row>
    <row r="353" spans="1:32" x14ac:dyDescent="0.2">
      <c r="B353" s="2" t="s">
        <v>165</v>
      </c>
      <c r="D353" s="7">
        <v>8.7680000000000007</v>
      </c>
      <c r="E353" s="7">
        <v>6.0579999999999998</v>
      </c>
      <c r="F353" s="226">
        <v>8.8320000000000007</v>
      </c>
      <c r="G353" s="226">
        <v>6.2359999999999998</v>
      </c>
      <c r="H353" s="7">
        <v>9.7260000000000009</v>
      </c>
      <c r="I353" s="7">
        <v>9.9369999999999994</v>
      </c>
      <c r="J353" s="7">
        <v>13.856999999999999</v>
      </c>
      <c r="K353" s="7">
        <v>19.766999999999999</v>
      </c>
      <c r="L353" s="7">
        <v>21.388000000000002</v>
      </c>
      <c r="M353" s="467">
        <v>43.152999999999999</v>
      </c>
      <c r="N353" s="7">
        <f t="shared" ref="N353:S358" si="394">M353/M$359*N$359</f>
        <v>47.678344878874974</v>
      </c>
      <c r="O353" s="7">
        <f t="shared" si="394"/>
        <v>56.596529208030951</v>
      </c>
      <c r="P353" s="7">
        <f t="shared" si="394"/>
        <v>63.715589530650732</v>
      </c>
      <c r="Q353" s="7">
        <f t="shared" si="394"/>
        <v>69.728666415829679</v>
      </c>
      <c r="R353" s="7">
        <f t="shared" si="394"/>
        <v>77.860451309485768</v>
      </c>
      <c r="S353" s="7">
        <f t="shared" si="394"/>
        <v>85.452260854053137</v>
      </c>
      <c r="U353" s="226">
        <v>38.676000000000002</v>
      </c>
      <c r="V353" s="226">
        <f>((((133048-U353)/1000)*1000)/1000)-38.676</f>
        <v>94.33332399999999</v>
      </c>
      <c r="W353" s="226">
        <f>((((194699-V353-U353)/1000)*1000)/1000)-((((133048-V353)/1000)*1000)/1000)</f>
        <v>61.612324000000001</v>
      </c>
      <c r="X353" s="511">
        <f>((21388-SUM(U353:W353))/1000)-((((194699-W353-V353)/1000)*1000)/1000)</f>
        <v>-173.34967600000002</v>
      </c>
      <c r="Y353" s="226">
        <v>93.826999999999998</v>
      </c>
      <c r="Z353" s="226">
        <f>((((176310-Y353)/1000)*1000)/1000)-93.827</f>
        <v>82.389173</v>
      </c>
      <c r="AA353" s="226">
        <f>((((279176-Z353-Y353)/1000)*1000)/1000)-((((176310-Z353)/1000)*1000)/1000)</f>
        <v>102.77217299999998</v>
      </c>
      <c r="AB353" s="511">
        <f>((43153-SUM(Y353:AA353))/1000)-((((279176-AA353-Z353)/1000)*1000)/1000)</f>
        <v>-236.116827</v>
      </c>
      <c r="AC353" s="226">
        <v>118.47199999999999</v>
      </c>
      <c r="AD353" s="226">
        <f>((191783-AC353)/1000)-118.472</f>
        <v>73.192527999999996</v>
      </c>
      <c r="AE353" s="226">
        <f>((378833-SUM(AC353:AD353))/1000)-((191783-AD353)/1000)</f>
        <v>186.93152799999999</v>
      </c>
      <c r="AF353" s="511">
        <f t="shared" ref="AF353:AF358" si="395">AE353/AE$359*AF$359</f>
        <v>120.35548880519144</v>
      </c>
    </row>
    <row r="354" spans="1:32" x14ac:dyDescent="0.2">
      <c r="B354" s="2" t="s">
        <v>166</v>
      </c>
      <c r="D354" s="7">
        <v>19.216000000000001</v>
      </c>
      <c r="E354" s="7">
        <v>-30.148</v>
      </c>
      <c r="F354" s="226">
        <v>24.952999999999999</v>
      </c>
      <c r="G354" s="226">
        <v>33.802999999999997</v>
      </c>
      <c r="H354" s="7">
        <v>36.061</v>
      </c>
      <c r="I354" s="7">
        <v>50.167000000000002</v>
      </c>
      <c r="J354" s="7">
        <v>53.680999999999997</v>
      </c>
      <c r="K354" s="7">
        <v>73.554000000000002</v>
      </c>
      <c r="L354" s="7">
        <v>85.781000000000006</v>
      </c>
      <c r="M354" s="467">
        <v>100.94</v>
      </c>
      <c r="N354" s="7">
        <f t="shared" si="394"/>
        <v>111.52531995628669</v>
      </c>
      <c r="O354" s="7">
        <f t="shared" si="394"/>
        <v>132.38601391000961</v>
      </c>
      <c r="P354" s="7">
        <f t="shared" si="394"/>
        <v>149.03834280870126</v>
      </c>
      <c r="Q354" s="7">
        <f t="shared" si="394"/>
        <v>163.1036448917537</v>
      </c>
      <c r="R354" s="7">
        <f t="shared" si="394"/>
        <v>182.12485702452884</v>
      </c>
      <c r="S354" s="7">
        <f t="shared" si="394"/>
        <v>199.88300258633524</v>
      </c>
      <c r="U354" s="226">
        <v>11.833</v>
      </c>
      <c r="V354" s="226">
        <f>((((29266-U354)/1000)*1000)/1000)-11.833</f>
        <v>17.421167000000004</v>
      </c>
      <c r="W354" s="226">
        <f>((((55576-V354-U354)/1000)*1000)/1000)-((((29266-V354)/1000)*1000)/1000)</f>
        <v>26.298167000000003</v>
      </c>
      <c r="X354" s="511">
        <f>((83432-SUM(U354:W354))/1000)-((((55576-W354-V354)/1000)*1000)/1000)</f>
        <v>27.844166999999992</v>
      </c>
      <c r="Y354" s="226">
        <v>6.556</v>
      </c>
      <c r="Z354" s="226">
        <f>((((39607-Y354)/1000)*1000)/1000)-6.556</f>
        <v>33.044444000000006</v>
      </c>
      <c r="AA354" s="226">
        <f>((((45732-Z354-Y354)/1000)*1000)/1000)-((((39607-Z354)/1000)*1000)/1000)</f>
        <v>6.1184440000000038</v>
      </c>
      <c r="AB354" s="511">
        <f>((102906-SUM(Y354:AA354))/1000)-((((45732-AA354-Z354)/1000)*1000)/1000)</f>
        <v>57.167443999999996</v>
      </c>
      <c r="AC354" s="226">
        <v>23.567</v>
      </c>
      <c r="AD354" s="226">
        <f>((58503-AC354)/1000)-23.567</f>
        <v>34.912433</v>
      </c>
      <c r="AE354" s="226">
        <f>((82261-SUM(AC354:AD354))/1000)-((58503-AD354)/1000)</f>
        <v>23.734432999999989</v>
      </c>
      <c r="AF354" s="511">
        <f t="shared" si="395"/>
        <v>15.281367010647156</v>
      </c>
    </row>
    <row r="355" spans="1:32" x14ac:dyDescent="0.2">
      <c r="B355" s="2" t="s">
        <v>167</v>
      </c>
      <c r="D355" s="7">
        <v>5.5289999999999999</v>
      </c>
      <c r="E355" s="7">
        <v>16.745999999999999</v>
      </c>
      <c r="F355" s="226">
        <v>0</v>
      </c>
      <c r="G355" s="226">
        <v>0</v>
      </c>
      <c r="H355" s="7">
        <v>0</v>
      </c>
      <c r="I355" s="7">
        <v>0</v>
      </c>
      <c r="J355" s="7">
        <v>0</v>
      </c>
      <c r="K355" s="7">
        <v>0</v>
      </c>
      <c r="L355" s="7">
        <v>0</v>
      </c>
      <c r="M355" s="467">
        <v>0</v>
      </c>
      <c r="N355" s="7">
        <f t="shared" si="394"/>
        <v>0</v>
      </c>
      <c r="O355" s="7">
        <f t="shared" si="394"/>
        <v>0</v>
      </c>
      <c r="P355" s="7">
        <f t="shared" si="394"/>
        <v>0</v>
      </c>
      <c r="Q355" s="7">
        <f t="shared" si="394"/>
        <v>0</v>
      </c>
      <c r="R355" s="7">
        <f t="shared" si="394"/>
        <v>0</v>
      </c>
      <c r="S355" s="7">
        <f t="shared" si="394"/>
        <v>0</v>
      </c>
      <c r="U355" s="226">
        <v>0</v>
      </c>
      <c r="V355" s="226">
        <v>0</v>
      </c>
      <c r="W355" s="226">
        <v>0</v>
      </c>
      <c r="X355" s="511">
        <v>0</v>
      </c>
      <c r="Y355" s="226">
        <v>0</v>
      </c>
      <c r="Z355" s="226">
        <v>0</v>
      </c>
      <c r="AA355" s="226">
        <v>0</v>
      </c>
      <c r="AB355" s="511">
        <v>0</v>
      </c>
      <c r="AC355" s="226">
        <v>0</v>
      </c>
      <c r="AD355" s="226">
        <v>0</v>
      </c>
      <c r="AE355" s="226">
        <v>0</v>
      </c>
      <c r="AF355" s="511">
        <f t="shared" si="395"/>
        <v>0</v>
      </c>
    </row>
    <row r="356" spans="1:32" x14ac:dyDescent="0.2">
      <c r="B356" s="2" t="s">
        <v>168</v>
      </c>
      <c r="D356" s="7">
        <v>0</v>
      </c>
      <c r="E356" s="7">
        <v>0</v>
      </c>
      <c r="F356" s="226">
        <v>6.1369999999999996</v>
      </c>
      <c r="G356" s="226">
        <v>0</v>
      </c>
      <c r="H356" s="7">
        <v>0</v>
      </c>
      <c r="I356" s="7">
        <v>0</v>
      </c>
      <c r="J356" s="7">
        <v>0</v>
      </c>
      <c r="K356" s="7">
        <v>0</v>
      </c>
      <c r="L356" s="7">
        <v>5.9889999999999999</v>
      </c>
      <c r="M356" s="467">
        <v>11.198</v>
      </c>
      <c r="N356" s="7">
        <f t="shared" si="394"/>
        <v>12.372305655542881</v>
      </c>
      <c r="O356" s="7">
        <f t="shared" si="394"/>
        <v>14.686532432774793</v>
      </c>
      <c r="P356" s="7">
        <f t="shared" si="394"/>
        <v>16.533895014581304</v>
      </c>
      <c r="Q356" s="7">
        <f t="shared" si="394"/>
        <v>18.0942601099451</v>
      </c>
      <c r="R356" s="7">
        <f t="shared" si="394"/>
        <v>20.20441994215053</v>
      </c>
      <c r="S356" s="7">
        <f t="shared" si="394"/>
        <v>22.174458717671712</v>
      </c>
      <c r="U356" s="226">
        <v>1.996</v>
      </c>
      <c r="V356" s="226">
        <f>((((3993-U356)/1000)*1000)/1000)-1.996</f>
        <v>1.9950039999999998</v>
      </c>
      <c r="W356" s="226">
        <f>((((5989-V356-U356)/1000)*1000)/1000)-((((3993-V356)/1000)*1000)/1000)</f>
        <v>1.9940039999999994</v>
      </c>
      <c r="X356" s="511">
        <f>((5989-SUM(U356:W356))/1000)-((((5989-W356-V356)/1000)*1000)/1000)</f>
        <v>-1.9959999999992206E-3</v>
      </c>
      <c r="Y356" s="226">
        <v>4.391</v>
      </c>
      <c r="Z356" s="226">
        <f>((((6587-Y356)/1000)*1000)/1000)-4.391</f>
        <v>2.1916090000000006</v>
      </c>
      <c r="AA356" s="226">
        <f>((((8783-Z356-Y356)/1000)*1000)/1000)-((((6587-Z356)/1000)*1000)/1000)</f>
        <v>2.1916090000000015</v>
      </c>
      <c r="AB356" s="511">
        <f>((11198-SUM(Y356:AA356))/1000)-((((8783-AA356-Z356)/1000)*1000)/1000)</f>
        <v>2.4106089999999991</v>
      </c>
      <c r="AC356" s="226">
        <v>2.415</v>
      </c>
      <c r="AD356" s="226">
        <f>((4334-AC356)/1000)-2.415</f>
        <v>1.9165850000000004</v>
      </c>
      <c r="AE356" s="226">
        <f>((4334-SUM(AC356:AD356))/1000)-((4334-AD356)/1000)</f>
        <v>-2.415000000000056E-3</v>
      </c>
      <c r="AF356" s="511">
        <f t="shared" si="395"/>
        <v>-1.5548928988829752E-3</v>
      </c>
    </row>
    <row r="357" spans="1:32" x14ac:dyDescent="0.2">
      <c r="B357" s="2" t="s">
        <v>169</v>
      </c>
      <c r="D357" s="7">
        <v>0</v>
      </c>
      <c r="E357" s="7">
        <v>0</v>
      </c>
      <c r="F357" s="226">
        <v>0</v>
      </c>
      <c r="G357" s="226">
        <v>0</v>
      </c>
      <c r="H357" s="7">
        <v>10.468</v>
      </c>
      <c r="I357" s="7">
        <v>5.8999999999999997E-2</v>
      </c>
      <c r="J357" s="7">
        <v>0</v>
      </c>
      <c r="K357" s="7">
        <v>0</v>
      </c>
      <c r="L357" s="7">
        <v>0</v>
      </c>
      <c r="M357" s="467">
        <v>-2.5289999999999999</v>
      </c>
      <c r="N357" s="7">
        <f t="shared" si="394"/>
        <v>-2.7942097698578268</v>
      </c>
      <c r="O357" s="7">
        <f t="shared" si="394"/>
        <v>-3.3168637723242944</v>
      </c>
      <c r="P357" s="7">
        <f t="shared" si="394"/>
        <v>-3.7340793438003312</v>
      </c>
      <c r="Q357" s="7">
        <f t="shared" si="394"/>
        <v>-4.0864782834480398</v>
      </c>
      <c r="R357" s="7">
        <f t="shared" si="394"/>
        <v>-4.5630450110464977</v>
      </c>
      <c r="S357" s="7">
        <f t="shared" si="394"/>
        <v>-5.0079662526336621</v>
      </c>
      <c r="U357" s="226">
        <v>0</v>
      </c>
      <c r="V357" s="226">
        <v>0</v>
      </c>
      <c r="W357" s="226">
        <v>0</v>
      </c>
      <c r="X357" s="511">
        <v>0</v>
      </c>
      <c r="Y357" s="226">
        <v>0</v>
      </c>
      <c r="Z357" s="226">
        <v>0</v>
      </c>
      <c r="AA357" s="226">
        <f>((((-2529-Z357-Y357)/1000)*1000)/1000)-0</f>
        <v>-2.5289999999999999</v>
      </c>
      <c r="AB357" s="511">
        <f>((-2529-SUM(Y357:AA357))/1000)-((((-2529-AA357-Z357)/1000)*1000)/1000)</f>
        <v>0</v>
      </c>
      <c r="AC357" s="226">
        <v>-10</v>
      </c>
      <c r="AD357" s="226">
        <f>((-10000-AC357)/1000)--10</f>
        <v>9.9999999999997868E-3</v>
      </c>
      <c r="AE357" s="226">
        <f>((-10000-SUM(AC357:AD357))/1000)-((-10000-AD357)/1000)</f>
        <v>9.9999999999997868E-3</v>
      </c>
      <c r="AF357" s="511">
        <f t="shared" si="395"/>
        <v>6.4384799125586176E-3</v>
      </c>
    </row>
    <row r="358" spans="1:32" x14ac:dyDescent="0.2">
      <c r="B358" s="2" t="s">
        <v>159</v>
      </c>
      <c r="D358" s="7">
        <v>11.385999999999999</v>
      </c>
      <c r="E358" s="7">
        <v>11.869</v>
      </c>
      <c r="F358" s="226">
        <v>7.1929999999999996</v>
      </c>
      <c r="G358" s="226">
        <v>8.3979999999999997</v>
      </c>
      <c r="H358" s="7">
        <v>10.388999999999999</v>
      </c>
      <c r="I358" s="7">
        <v>37.576000000000001</v>
      </c>
      <c r="J358" s="7">
        <v>165.81100000000001</v>
      </c>
      <c r="K358" s="7">
        <v>173.48599999999999</v>
      </c>
      <c r="L358" s="7">
        <v>1.5349999999999999</v>
      </c>
      <c r="M358" s="467">
        <v>2.4489999999999998</v>
      </c>
      <c r="N358" s="7">
        <f t="shared" si="394"/>
        <v>2.7058203742118696</v>
      </c>
      <c r="O358" s="7">
        <f t="shared" si="394"/>
        <v>3.2119412330653212</v>
      </c>
      <c r="P358" s="7">
        <f t="shared" si="394"/>
        <v>3.6159590007777824</v>
      </c>
      <c r="Q358" s="7">
        <f t="shared" si="394"/>
        <v>3.9572104848415375</v>
      </c>
      <c r="R358" s="7">
        <f t="shared" si="394"/>
        <v>4.4187019501988418</v>
      </c>
      <c r="S358" s="7">
        <f t="shared" si="394"/>
        <v>4.8495489729932135</v>
      </c>
      <c r="U358" s="226">
        <v>1.056</v>
      </c>
      <c r="V358" s="226">
        <f>((((2863-U358)/1000)*1000)/1000)-1.056</f>
        <v>1.8059439999999998</v>
      </c>
      <c r="W358" s="226">
        <f>((((4884-V358-U358)/1000)*1000)/1000)-((((2863-V358)/1000)*1000)/1000)</f>
        <v>2.0199440000000011</v>
      </c>
      <c r="X358" s="511">
        <f>((1534-SUM(U358:W358))/1000)-((((4884-W358-V358)/1000)*1000)/1000)</f>
        <v>-3.3510560000000007</v>
      </c>
      <c r="Y358" s="226">
        <v>0</v>
      </c>
      <c r="Z358" s="226">
        <f>((((1350-Y358)/1000)*1000)/1000)-0</f>
        <v>1.35</v>
      </c>
      <c r="AA358" s="226">
        <f>((((1950-Z358-Y358)/1000)*1000)/1000)-((((1350-Z358)/1000)*1000)/1000)</f>
        <v>0.59999999999999987</v>
      </c>
      <c r="AB358" s="511">
        <f>((2449-SUM(Y358:AA358))/1000)-((((1950-AA358-Z358)/1000)*1000)/1000)</f>
        <v>0.49900000000000011</v>
      </c>
      <c r="AC358" s="226">
        <v>0</v>
      </c>
      <c r="AD358" s="226">
        <f>((1099-AC358)/1000)-0</f>
        <v>1.099</v>
      </c>
      <c r="AE358" s="226">
        <f>((2349-SUM(AC358:AD358))/1000)-((1099-AD358)/1000)</f>
        <v>1.2499999999999998</v>
      </c>
      <c r="AF358" s="511">
        <f t="shared" si="395"/>
        <v>0.80480998906984424</v>
      </c>
    </row>
    <row r="359" spans="1:32" x14ac:dyDescent="0.2">
      <c r="B359" s="3" t="s">
        <v>99</v>
      </c>
      <c r="C359" s="3"/>
      <c r="D359" s="64">
        <f>SUM(D352:D358)</f>
        <v>61.911000000000001</v>
      </c>
      <c r="E359" s="131">
        <f t="shared" ref="E359:M359" si="396">SUM(E352:E358)</f>
        <v>35.224000000000004</v>
      </c>
      <c r="F359" s="131">
        <f t="shared" si="396"/>
        <v>96.117000000000004</v>
      </c>
      <c r="G359" s="131">
        <f t="shared" si="396"/>
        <v>100.41999999999999</v>
      </c>
      <c r="H359" s="131">
        <f t="shared" si="396"/>
        <v>127.06200000000001</v>
      </c>
      <c r="I359" s="131">
        <f t="shared" si="396"/>
        <v>167.374</v>
      </c>
      <c r="J359" s="131">
        <f t="shared" si="396"/>
        <v>341.67600000000004</v>
      </c>
      <c r="K359" s="131">
        <f t="shared" si="396"/>
        <v>411.01299999999998</v>
      </c>
      <c r="L359" s="131">
        <f t="shared" si="396"/>
        <v>313.48599999999999</v>
      </c>
      <c r="M359" s="468">
        <f t="shared" si="396"/>
        <v>535.61500000000001</v>
      </c>
      <c r="N359" s="65">
        <f>SUM(AC359:AF359)*(1+'Adj from Unconsol to Consol'!F53)</f>
        <v>591.78357686136815</v>
      </c>
      <c r="O359" s="65">
        <f>N359*(1+Assumptions!P83)</f>
        <v>702.47607331493759</v>
      </c>
      <c r="P359" s="65">
        <f>O359*(1+Assumptions!Q83)</f>
        <v>790.83784410028261</v>
      </c>
      <c r="Q359" s="65">
        <f>P359*(1+Assumptions!R83)</f>
        <v>865.47214938276863</v>
      </c>
      <c r="R359" s="65">
        <f>Q359*(1+Assumptions!S83)</f>
        <v>966.40385669896</v>
      </c>
      <c r="S359" s="65">
        <f>R359*(1+Assumptions!T83)</f>
        <v>1060.6333904327319</v>
      </c>
      <c r="U359" s="65">
        <f>SUM(U352:U358)</f>
        <v>53.561</v>
      </c>
      <c r="V359" s="65">
        <f t="shared" ref="V359:AE359" si="397">SUM(V352:V358)</f>
        <v>115.55543899999999</v>
      </c>
      <c r="W359" s="65">
        <f t="shared" si="397"/>
        <v>91.924439000000007</v>
      </c>
      <c r="X359" s="468">
        <f t="shared" si="397"/>
        <v>49.934438999999983</v>
      </c>
      <c r="Y359" s="65">
        <f t="shared" si="397"/>
        <v>104.774</v>
      </c>
      <c r="Z359" s="65">
        <f t="shared" si="397"/>
        <v>118.97522599999999</v>
      </c>
      <c r="AA359" s="65">
        <f t="shared" si="397"/>
        <v>109.15322599999999</v>
      </c>
      <c r="AB359" s="468">
        <f t="shared" si="397"/>
        <v>204.36422599999997</v>
      </c>
      <c r="AC359" s="65">
        <f t="shared" si="397"/>
        <v>134.45399999999998</v>
      </c>
      <c r="AD359" s="65">
        <f t="shared" si="397"/>
        <v>111.13054600000001</v>
      </c>
      <c r="AE359" s="65">
        <f t="shared" si="397"/>
        <v>211.92354599999996</v>
      </c>
      <c r="AF359" s="523">
        <f>GEOMEAN(Y359:AE359)</f>
        <v>136.4465493919221</v>
      </c>
    </row>
    <row r="361" spans="1:32" s="123" customFormat="1" x14ac:dyDescent="0.2">
      <c r="A361" s="122"/>
      <c r="B361" s="123" t="s">
        <v>74</v>
      </c>
      <c r="D361" s="124">
        <f>D359</f>
        <v>61.911000000000001</v>
      </c>
      <c r="E361" s="125">
        <f t="shared" ref="E361:M361" si="398">E359</f>
        <v>35.224000000000004</v>
      </c>
      <c r="F361" s="125">
        <f t="shared" si="398"/>
        <v>96.117000000000004</v>
      </c>
      <c r="G361" s="125">
        <f t="shared" si="398"/>
        <v>100.41999999999999</v>
      </c>
      <c r="H361" s="125">
        <f t="shared" si="398"/>
        <v>127.06200000000001</v>
      </c>
      <c r="I361" s="125">
        <f t="shared" si="398"/>
        <v>167.374</v>
      </c>
      <c r="J361" s="125">
        <f t="shared" si="398"/>
        <v>341.67600000000004</v>
      </c>
      <c r="K361" s="125">
        <f t="shared" si="398"/>
        <v>411.01299999999998</v>
      </c>
      <c r="L361" s="125">
        <f t="shared" si="398"/>
        <v>313.48599999999999</v>
      </c>
      <c r="M361" s="437">
        <f t="shared" si="398"/>
        <v>535.61500000000001</v>
      </c>
      <c r="N361" s="126">
        <f t="shared" ref="N361:S361" si="399">N359</f>
        <v>591.78357686136815</v>
      </c>
      <c r="O361" s="126">
        <f t="shared" si="399"/>
        <v>702.47607331493759</v>
      </c>
      <c r="P361" s="126">
        <f t="shared" si="399"/>
        <v>790.83784410028261</v>
      </c>
      <c r="Q361" s="126">
        <f t="shared" si="399"/>
        <v>865.47214938276863</v>
      </c>
      <c r="R361" s="126">
        <f t="shared" si="399"/>
        <v>966.40385669896</v>
      </c>
      <c r="S361" s="126">
        <f t="shared" si="399"/>
        <v>1060.6333904327319</v>
      </c>
      <c r="T361" s="421"/>
      <c r="U361" s="126">
        <f>U359</f>
        <v>53.561</v>
      </c>
      <c r="V361" s="126">
        <f t="shared" ref="V361:AE361" si="400">V359</f>
        <v>115.55543899999999</v>
      </c>
      <c r="W361" s="126">
        <f t="shared" si="400"/>
        <v>91.924439000000007</v>
      </c>
      <c r="X361" s="437">
        <f t="shared" si="400"/>
        <v>49.934438999999983</v>
      </c>
      <c r="Y361" s="126">
        <f t="shared" si="400"/>
        <v>104.774</v>
      </c>
      <c r="Z361" s="126">
        <f t="shared" si="400"/>
        <v>118.97522599999999</v>
      </c>
      <c r="AA361" s="126">
        <f t="shared" si="400"/>
        <v>109.15322599999999</v>
      </c>
      <c r="AB361" s="437">
        <f t="shared" si="400"/>
        <v>204.36422599999997</v>
      </c>
      <c r="AC361" s="126">
        <f t="shared" si="400"/>
        <v>134.45399999999998</v>
      </c>
      <c r="AD361" s="126">
        <f t="shared" si="400"/>
        <v>111.13054600000001</v>
      </c>
      <c r="AE361" s="126">
        <f t="shared" si="400"/>
        <v>211.92354599999996</v>
      </c>
      <c r="AF361" s="530">
        <f t="shared" ref="AF361" si="401">AF359</f>
        <v>136.4465493919221</v>
      </c>
    </row>
    <row r="362" spans="1:32" s="89" customFormat="1" x14ac:dyDescent="0.2">
      <c r="A362" s="88"/>
      <c r="B362" s="89" t="s">
        <v>102</v>
      </c>
      <c r="D362" s="95">
        <f t="shared" ref="D362:S362" si="402">D54</f>
        <v>61.911000000000001</v>
      </c>
      <c r="E362" s="128">
        <f t="shared" si="402"/>
        <v>35.223999999999997</v>
      </c>
      <c r="F362" s="128">
        <f t="shared" si="402"/>
        <v>96.117000000000004</v>
      </c>
      <c r="G362" s="128">
        <f t="shared" si="402"/>
        <v>100.42</v>
      </c>
      <c r="H362" s="128">
        <f t="shared" si="402"/>
        <v>127.062</v>
      </c>
      <c r="I362" s="128">
        <f t="shared" si="402"/>
        <v>167.374</v>
      </c>
      <c r="J362" s="128">
        <f t="shared" si="402"/>
        <v>357.06</v>
      </c>
      <c r="K362" s="128">
        <f t="shared" si="402"/>
        <v>411.01299999999998</v>
      </c>
      <c r="L362" s="128">
        <f t="shared" si="402"/>
        <v>313.48599999999999</v>
      </c>
      <c r="M362" s="438">
        <f t="shared" si="402"/>
        <v>535.61500000000001</v>
      </c>
      <c r="N362" s="129">
        <f t="shared" si="402"/>
        <v>591.78357686136815</v>
      </c>
      <c r="O362" s="129">
        <f t="shared" si="402"/>
        <v>702.47607331493759</v>
      </c>
      <c r="P362" s="129">
        <f t="shared" si="402"/>
        <v>790.83784410028261</v>
      </c>
      <c r="Q362" s="129">
        <f t="shared" si="402"/>
        <v>865.47214938276863</v>
      </c>
      <c r="R362" s="129">
        <f t="shared" si="402"/>
        <v>966.40385669896</v>
      </c>
      <c r="S362" s="129">
        <f t="shared" si="402"/>
        <v>1060.6333904327319</v>
      </c>
      <c r="T362" s="419"/>
      <c r="U362" s="129">
        <f t="shared" ref="U362:AF362" si="403">U54</f>
        <v>58.48</v>
      </c>
      <c r="V362" s="129">
        <f t="shared" si="403"/>
        <v>120.251</v>
      </c>
      <c r="W362" s="129">
        <f t="shared" si="403"/>
        <v>96.552000000000007</v>
      </c>
      <c r="X362" s="438">
        <f t="shared" si="403"/>
        <v>35.853000000000009</v>
      </c>
      <c r="Y362" s="129">
        <f t="shared" si="403"/>
        <v>104.774</v>
      </c>
      <c r="Z362" s="129">
        <f t="shared" si="403"/>
        <v>119.08</v>
      </c>
      <c r="AA362" s="129">
        <f t="shared" si="403"/>
        <v>109.258</v>
      </c>
      <c r="AB362" s="438">
        <f t="shared" si="403"/>
        <v>204.46800000000007</v>
      </c>
      <c r="AC362" s="129">
        <f t="shared" si="403"/>
        <v>134.45400000000001</v>
      </c>
      <c r="AD362" s="129">
        <f t="shared" si="403"/>
        <v>111.265</v>
      </c>
      <c r="AE362" s="129">
        <f t="shared" si="403"/>
        <v>212.05799999999999</v>
      </c>
      <c r="AF362" s="531">
        <f t="shared" si="403"/>
        <v>136.4465493919221</v>
      </c>
    </row>
    <row r="364" spans="1:32" s="224" customFormat="1" x14ac:dyDescent="0.2">
      <c r="B364" s="58" t="s">
        <v>173</v>
      </c>
      <c r="C364" s="58"/>
      <c r="D364" s="356"/>
      <c r="E364" s="357"/>
      <c r="F364" s="357"/>
      <c r="G364" s="357"/>
      <c r="H364" s="357"/>
      <c r="I364" s="357"/>
      <c r="J364" s="357"/>
      <c r="K364" s="357"/>
      <c r="L364" s="357"/>
      <c r="M364" s="471"/>
      <c r="T364" s="269"/>
      <c r="X364" s="509"/>
      <c r="AB364" s="509"/>
      <c r="AF364" s="510"/>
    </row>
    <row r="365" spans="1:32" x14ac:dyDescent="0.2">
      <c r="B365" s="2" t="s">
        <v>391</v>
      </c>
      <c r="D365" s="1">
        <v>2129.92</v>
      </c>
      <c r="E365" s="1">
        <v>2932.248</v>
      </c>
      <c r="F365" s="1">
        <v>3389.6089999999999</v>
      </c>
      <c r="G365" s="1">
        <v>4081.4389999999999</v>
      </c>
      <c r="H365" s="1">
        <v>5017.273000000001</v>
      </c>
      <c r="I365" s="1">
        <v>6722.8029999999999</v>
      </c>
      <c r="J365" s="1">
        <v>7829.6549999999997</v>
      </c>
      <c r="K365" s="1">
        <v>8815.6139999999996</v>
      </c>
      <c r="L365" s="1">
        <v>10656.317999999999</v>
      </c>
      <c r="M365" s="423">
        <v>13400.938</v>
      </c>
      <c r="N365" s="7">
        <f>M365/M$391*N$391</f>
        <v>16025.499557734171</v>
      </c>
      <c r="O365" s="7">
        <f>Assumptions!P91*Assumptions!P15</f>
        <v>16671.327189910859</v>
      </c>
      <c r="P365" s="7">
        <f>Assumptions!Q91*Assumptions!Q15</f>
        <v>17858.325685832515</v>
      </c>
      <c r="Q365" s="7">
        <f>Assumptions!R91*Assumptions!R15</f>
        <v>19221.808851945822</v>
      </c>
      <c r="R365" s="7">
        <f>Assumptions!S91*Assumptions!S15</f>
        <v>20788.386273379409</v>
      </c>
      <c r="S365" s="7">
        <f>Assumptions!T91*Assumptions!T15</f>
        <v>22482.639754659835</v>
      </c>
      <c r="U365" s="7">
        <v>2315.817</v>
      </c>
      <c r="V365" s="7">
        <v>2501.91</v>
      </c>
      <c r="W365" s="7">
        <v>2403.6030000000001</v>
      </c>
      <c r="X365" s="467">
        <v>2823.1239999999998</v>
      </c>
      <c r="Y365" s="7">
        <v>2829.018</v>
      </c>
      <c r="Z365" s="7">
        <v>3204.6869999999999</v>
      </c>
      <c r="AA365" s="7">
        <v>3232.1489999999994</v>
      </c>
      <c r="AB365" s="467">
        <v>3473.8410000000003</v>
      </c>
      <c r="AC365" s="7">
        <v>3837.2510000000002</v>
      </c>
      <c r="AD365" s="7">
        <v>4208.5249999999996</v>
      </c>
      <c r="AE365" s="7">
        <v>4233.5560000000005</v>
      </c>
      <c r="AF365" s="511">
        <f>Assumptions!AG91*Assumptions!AG15</f>
        <v>4363.4275571376602</v>
      </c>
    </row>
    <row r="366" spans="1:32" x14ac:dyDescent="0.2">
      <c r="B366" s="2" t="s">
        <v>174</v>
      </c>
      <c r="D366" s="1">
        <v>4.4320000000000004</v>
      </c>
      <c r="E366" s="1">
        <v>14.257</v>
      </c>
      <c r="F366" s="1">
        <v>24.315000000000001</v>
      </c>
      <c r="G366" s="1">
        <v>29.895</v>
      </c>
      <c r="H366" s="1">
        <v>27.675999999999998</v>
      </c>
      <c r="I366" s="1">
        <v>35.378999999999998</v>
      </c>
      <c r="J366" s="1">
        <v>39.081000000000003</v>
      </c>
      <c r="K366" s="1">
        <v>42.843000000000004</v>
      </c>
      <c r="L366" s="1">
        <v>48.542000000000002</v>
      </c>
      <c r="M366" s="423">
        <v>57.417999999999999</v>
      </c>
      <c r="N366" s="7">
        <f t="shared" ref="N366:N390" si="404">M366/M$391*N$391</f>
        <v>68.663263243661049</v>
      </c>
      <c r="O366" s="7">
        <f>N366/(N$391-N$365)*(O$391-O$365)</f>
        <v>76.946799321376332</v>
      </c>
      <c r="P366" s="7">
        <f t="shared" ref="P366:S366" si="405">O366/(O$391-O$365)*(P$391-P$365)</f>
        <v>85.040833141991882</v>
      </c>
      <c r="Q366" s="7">
        <f t="shared" si="405"/>
        <v>93.285541915107999</v>
      </c>
      <c r="R366" s="7">
        <f t="shared" si="405"/>
        <v>102.32957520377772</v>
      </c>
      <c r="S366" s="7">
        <f t="shared" si="405"/>
        <v>112.25042751978397</v>
      </c>
      <c r="U366" s="7">
        <v>11.233000000000001</v>
      </c>
      <c r="V366" s="7">
        <v>10.702999999999999</v>
      </c>
      <c r="W366" s="7">
        <v>11.445999999999998</v>
      </c>
      <c r="X366" s="467">
        <v>15.160000000000004</v>
      </c>
      <c r="Y366" s="7">
        <v>12.894</v>
      </c>
      <c r="Z366" s="7">
        <v>14.507</v>
      </c>
      <c r="AA366" s="7">
        <v>5.6939999999999991</v>
      </c>
      <c r="AB366" s="467">
        <v>24.323</v>
      </c>
      <c r="AC366" s="7">
        <v>16.059999999999999</v>
      </c>
      <c r="AD366" s="7">
        <v>17.91</v>
      </c>
      <c r="AE366" s="7">
        <v>20.25</v>
      </c>
      <c r="AF366" s="511">
        <f>AE366/(AE$391-AE$365)*(AF$391-AF$365)</f>
        <v>21.067509001895136</v>
      </c>
    </row>
    <row r="367" spans="1:32" x14ac:dyDescent="0.2">
      <c r="B367" s="2" t="s">
        <v>175</v>
      </c>
      <c r="D367" s="1">
        <v>722.58600000000001</v>
      </c>
      <c r="E367" s="1">
        <v>898.52300000000002</v>
      </c>
      <c r="F367" s="1">
        <v>1143.202</v>
      </c>
      <c r="G367" s="1">
        <v>1261.2339999999999</v>
      </c>
      <c r="H367" s="1">
        <v>1574.433</v>
      </c>
      <c r="I367" s="1">
        <v>2083.7069999999999</v>
      </c>
      <c r="J367" s="1">
        <v>2434.8339999999998</v>
      </c>
      <c r="K367" s="1">
        <v>2601.5500000000002</v>
      </c>
      <c r="L367" s="1">
        <f>(2086351+723796)/1000</f>
        <v>2810.1469999999999</v>
      </c>
      <c r="M367" s="423">
        <f>(174415+891749)/1000</f>
        <v>1066.164</v>
      </c>
      <c r="N367" s="7">
        <f t="shared" si="404"/>
        <v>1274.9712527938041</v>
      </c>
      <c r="O367" s="7">
        <f t="shared" ref="O367:S390" si="406">N367/(N$391-N$365)*(O$391-O$365)</f>
        <v>1428.7837847308488</v>
      </c>
      <c r="P367" s="7">
        <f t="shared" si="406"/>
        <v>1579.0775510466863</v>
      </c>
      <c r="Q367" s="7">
        <f t="shared" si="406"/>
        <v>1732.1691196206627</v>
      </c>
      <c r="R367" s="7">
        <f t="shared" si="406"/>
        <v>1900.1029157678861</v>
      </c>
      <c r="S367" s="7">
        <f t="shared" si="406"/>
        <v>2084.3178934515822</v>
      </c>
      <c r="U367" s="7">
        <f>(490.772+113.669)</f>
        <v>604.44100000000003</v>
      </c>
      <c r="V367" s="7">
        <f>((344.76+965.007))-((490.772+113.669))</f>
        <v>705.32599999999979</v>
      </c>
      <c r="W367" s="7">
        <f>((1463.13+551.398))-((344.76+965.007))</f>
        <v>704.76100000000042</v>
      </c>
      <c r="X367" s="467">
        <f>((2010.229+723.796))-((1463.13+551.398))</f>
        <v>719.49699999999984</v>
      </c>
      <c r="Y367" s="7">
        <f>670.508+157.897</f>
        <v>828.40499999999997</v>
      </c>
      <c r="Z367" s="7">
        <f>((373.259+58.914))-(670.508+157.897)</f>
        <v>-396.23199999999997</v>
      </c>
      <c r="AA367" s="7">
        <f>((158.186+660.409))-((373.259+58.914))</f>
        <v>386.42200000000003</v>
      </c>
      <c r="AB367" s="467">
        <f>((111.361+891.749))-((158.186+660.409))</f>
        <v>184.51499999999999</v>
      </c>
      <c r="AC367" s="7">
        <f>(16.133+199.433)</f>
        <v>215.566</v>
      </c>
      <c r="AD367" s="7">
        <f>(58.755+391.236)-((16.133+199.433))</f>
        <v>234.42499999999998</v>
      </c>
      <c r="AE367" s="7">
        <f>(86.689+715.549)-(58.755+391.236)</f>
        <v>352.24699999999996</v>
      </c>
      <c r="AF367" s="511">
        <f t="shared" ref="AF367:AF390" si="407">AE367/(AE$391-AE$365)*(AF$391-AF$365)</f>
        <v>366.46749843903973</v>
      </c>
    </row>
    <row r="368" spans="1:32" x14ac:dyDescent="0.2">
      <c r="B368" s="2" t="s">
        <v>176</v>
      </c>
      <c r="D368" s="1">
        <v>197.69800000000001</v>
      </c>
      <c r="E368" s="1">
        <v>222.62700000000001</v>
      </c>
      <c r="F368" s="1">
        <v>245.2</v>
      </c>
      <c r="G368" s="1">
        <v>278.15600000000001</v>
      </c>
      <c r="H368" s="1">
        <v>351.04599999999999</v>
      </c>
      <c r="I368" s="1">
        <v>486.46800000000002</v>
      </c>
      <c r="J368" s="1">
        <v>668.37599999999998</v>
      </c>
      <c r="K368" s="1">
        <v>0</v>
      </c>
      <c r="L368" s="1">
        <f>(13149+119357)/1000</f>
        <v>132.506</v>
      </c>
      <c r="M368" s="423">
        <v>101.098</v>
      </c>
      <c r="N368" s="7">
        <f t="shared" si="404"/>
        <v>120.89795164247528</v>
      </c>
      <c r="O368" s="7">
        <f t="shared" si="406"/>
        <v>135.48308052862353</v>
      </c>
      <c r="P368" s="7">
        <f t="shared" si="406"/>
        <v>149.73454576942939</v>
      </c>
      <c r="Q368" s="7">
        <f t="shared" si="406"/>
        <v>164.25130998177559</v>
      </c>
      <c r="R368" s="7">
        <f t="shared" si="406"/>
        <v>180.17547448450873</v>
      </c>
      <c r="S368" s="7">
        <f t="shared" si="406"/>
        <v>197.64348673578183</v>
      </c>
      <c r="U368" s="7">
        <v>28.05</v>
      </c>
      <c r="V368" s="7">
        <v>37.878</v>
      </c>
      <c r="W368" s="7">
        <v>28.966999999999999</v>
      </c>
      <c r="X368" s="467">
        <v>24.725000000000009</v>
      </c>
      <c r="Y368" s="7">
        <v>27.587</v>
      </c>
      <c r="Z368" s="7">
        <v>29.264999999999997</v>
      </c>
      <c r="AA368" s="7">
        <v>37.609000000000002</v>
      </c>
      <c r="AB368" s="467">
        <v>6.6370000000000005</v>
      </c>
      <c r="AC368" s="7">
        <v>18.873000000000001</v>
      </c>
      <c r="AD368" s="7">
        <v>22.283999999999995</v>
      </c>
      <c r="AE368" s="7">
        <v>27.013000000000005</v>
      </c>
      <c r="AF368" s="511">
        <f t="shared" si="407"/>
        <v>28.103536823120663</v>
      </c>
    </row>
    <row r="369" spans="2:32" x14ac:dyDescent="0.2">
      <c r="B369" s="2" t="s">
        <v>177</v>
      </c>
      <c r="D369" s="1">
        <v>177.78100000000001</v>
      </c>
      <c r="E369" s="1">
        <v>205.494</v>
      </c>
      <c r="F369" s="1">
        <v>239.203</v>
      </c>
      <c r="G369" s="1">
        <v>267.976</v>
      </c>
      <c r="H369" s="1">
        <v>309.55599999999998</v>
      </c>
      <c r="I369" s="1">
        <v>371.392</v>
      </c>
      <c r="J369" s="1">
        <v>430.68700000000001</v>
      </c>
      <c r="K369" s="1">
        <v>459.05200000000002</v>
      </c>
      <c r="L369" s="1">
        <v>333.315</v>
      </c>
      <c r="M369" s="423">
        <v>506.94600000000003</v>
      </c>
      <c r="N369" s="7">
        <f t="shared" si="404"/>
        <v>606.23091449233675</v>
      </c>
      <c r="O369" s="7">
        <f t="shared" si="406"/>
        <v>679.36661201669233</v>
      </c>
      <c r="P369" s="7">
        <f t="shared" si="406"/>
        <v>750.829185934728</v>
      </c>
      <c r="Q369" s="7">
        <f t="shared" si="406"/>
        <v>823.62207551109998</v>
      </c>
      <c r="R369" s="7">
        <f t="shared" si="406"/>
        <v>903.47223573190115</v>
      </c>
      <c r="S369" s="7">
        <f t="shared" si="406"/>
        <v>991.06386898610879</v>
      </c>
      <c r="U369" s="7">
        <v>84.802000000000007</v>
      </c>
      <c r="V369" s="7">
        <v>77.566999999999993</v>
      </c>
      <c r="W369" s="7">
        <v>80.926999999999992</v>
      </c>
      <c r="X369" s="467">
        <v>72.04200000000003</v>
      </c>
      <c r="Y369" s="7">
        <v>87.947999999999993</v>
      </c>
      <c r="Z369" s="7">
        <v>92.870999999999995</v>
      </c>
      <c r="AA369" s="7">
        <v>148.44800000000001</v>
      </c>
      <c r="AB369" s="467">
        <v>148.19100000000003</v>
      </c>
      <c r="AC369" s="7">
        <v>119.297</v>
      </c>
      <c r="AD369" s="7">
        <v>176.69399999999999</v>
      </c>
      <c r="AE369" s="7">
        <v>107.77199999999999</v>
      </c>
      <c r="AF369" s="511">
        <f t="shared" si="407"/>
        <v>112.12284346430826</v>
      </c>
    </row>
    <row r="370" spans="2:32" x14ac:dyDescent="0.2">
      <c r="B370" s="2" t="s">
        <v>178</v>
      </c>
      <c r="D370" s="1">
        <v>108.44</v>
      </c>
      <c r="E370" s="1">
        <v>139.518</v>
      </c>
      <c r="F370" s="1">
        <v>188.886</v>
      </c>
      <c r="G370" s="1">
        <v>167.38300000000001</v>
      </c>
      <c r="H370" s="1">
        <v>235.43899999999999</v>
      </c>
      <c r="I370" s="1">
        <v>305.81200000000001</v>
      </c>
      <c r="J370" s="1">
        <v>319.53500000000003</v>
      </c>
      <c r="K370" s="1">
        <v>402.584</v>
      </c>
      <c r="L370" s="1">
        <v>499.113</v>
      </c>
      <c r="M370" s="423">
        <v>924.13400000000001</v>
      </c>
      <c r="N370" s="7">
        <f t="shared" si="404"/>
        <v>1105.1248060611213</v>
      </c>
      <c r="O370" s="7">
        <f t="shared" si="406"/>
        <v>1238.4470626643351</v>
      </c>
      <c r="P370" s="7">
        <f t="shared" si="406"/>
        <v>1368.7193091859961</v>
      </c>
      <c r="Q370" s="7">
        <f t="shared" si="406"/>
        <v>1501.4166462115786</v>
      </c>
      <c r="R370" s="7">
        <f t="shared" si="406"/>
        <v>1646.9789900617911</v>
      </c>
      <c r="S370" s="7">
        <f t="shared" si="406"/>
        <v>1806.6536031482815</v>
      </c>
      <c r="U370" s="7">
        <v>113.41200000000001</v>
      </c>
      <c r="V370" s="7">
        <v>106.91499999999999</v>
      </c>
      <c r="W370" s="7">
        <v>136.29300000000001</v>
      </c>
      <c r="X370" s="467">
        <v>137.53499999999997</v>
      </c>
      <c r="Y370" s="7">
        <v>177.89400000000001</v>
      </c>
      <c r="Z370" s="7">
        <v>164.43900000000002</v>
      </c>
      <c r="AA370" s="7">
        <v>278.20599999999996</v>
      </c>
      <c r="AB370" s="467">
        <v>298.303</v>
      </c>
      <c r="AC370" s="7">
        <v>186.62100000000001</v>
      </c>
      <c r="AD370" s="7">
        <v>218.828</v>
      </c>
      <c r="AE370" s="7">
        <v>214.15299999999996</v>
      </c>
      <c r="AF370" s="511">
        <f t="shared" si="407"/>
        <v>222.79853112507894</v>
      </c>
    </row>
    <row r="371" spans="2:32" x14ac:dyDescent="0.2">
      <c r="B371" s="2" t="s">
        <v>179</v>
      </c>
      <c r="D371" s="1">
        <v>14.978999999999999</v>
      </c>
      <c r="E371" s="1">
        <v>23.471</v>
      </c>
      <c r="F371" s="1">
        <v>22.024000000000001</v>
      </c>
      <c r="G371" s="1">
        <v>26.693000000000001</v>
      </c>
      <c r="H371" s="1">
        <v>34.511000000000003</v>
      </c>
      <c r="I371" s="1">
        <v>44.933999999999997</v>
      </c>
      <c r="J371" s="1">
        <v>50.078000000000003</v>
      </c>
      <c r="K371" s="1">
        <v>58.444000000000003</v>
      </c>
      <c r="L371" s="1">
        <v>76.91</v>
      </c>
      <c r="M371" s="423">
        <v>92.947000000000003</v>
      </c>
      <c r="N371" s="7">
        <f t="shared" si="404"/>
        <v>111.1505856823394</v>
      </c>
      <c r="O371" s="7">
        <f t="shared" si="406"/>
        <v>124.55979233905683</v>
      </c>
      <c r="P371" s="7">
        <f t="shared" si="406"/>
        <v>137.66223689520217</v>
      </c>
      <c r="Q371" s="7">
        <f t="shared" si="406"/>
        <v>151.00859076219206</v>
      </c>
      <c r="R371" s="7">
        <f t="shared" si="406"/>
        <v>165.64887363658659</v>
      </c>
      <c r="S371" s="7">
        <f t="shared" si="406"/>
        <v>181.70853193565364</v>
      </c>
      <c r="U371" s="7">
        <v>16.260000000000002</v>
      </c>
      <c r="V371" s="7">
        <v>18.356999999999996</v>
      </c>
      <c r="W371" s="7">
        <v>16.769000000000005</v>
      </c>
      <c r="X371" s="467">
        <v>23.527999999999999</v>
      </c>
      <c r="Y371" s="7">
        <v>21.582999999999998</v>
      </c>
      <c r="Z371" s="7">
        <v>21.728000000000002</v>
      </c>
      <c r="AA371" s="7">
        <v>21.770000000000003</v>
      </c>
      <c r="AB371" s="467">
        <v>24.564999999999998</v>
      </c>
      <c r="AC371" s="7">
        <v>17.477</v>
      </c>
      <c r="AD371" s="7">
        <v>7.041999999999998</v>
      </c>
      <c r="AE371" s="7">
        <v>14.469000000000001</v>
      </c>
      <c r="AF371" s="511">
        <f t="shared" si="407"/>
        <v>15.053125320909668</v>
      </c>
    </row>
    <row r="372" spans="2:32" x14ac:dyDescent="0.2">
      <c r="B372" s="2" t="s">
        <v>180</v>
      </c>
      <c r="D372" s="1">
        <v>47.137999999999998</v>
      </c>
      <c r="E372" s="1">
        <v>64.004999999999995</v>
      </c>
      <c r="F372" s="1">
        <v>75.539000000000001</v>
      </c>
      <c r="G372" s="1">
        <v>86.67</v>
      </c>
      <c r="H372" s="1">
        <v>110.703</v>
      </c>
      <c r="I372" s="1">
        <v>151.18299999999999</v>
      </c>
      <c r="J372" s="1">
        <v>176.41</v>
      </c>
      <c r="K372" s="1">
        <v>201.94800000000001</v>
      </c>
      <c r="L372" s="1">
        <v>228.614</v>
      </c>
      <c r="M372" s="423">
        <v>278.55200000000002</v>
      </c>
      <c r="N372" s="7">
        <f t="shared" si="404"/>
        <v>333.10615665903157</v>
      </c>
      <c r="O372" s="7">
        <f t="shared" si="406"/>
        <v>373.29208339837714</v>
      </c>
      <c r="P372" s="7">
        <f t="shared" si="406"/>
        <v>412.55867765105234</v>
      </c>
      <c r="Q372" s="7">
        <f t="shared" si="406"/>
        <v>452.55624144932187</v>
      </c>
      <c r="R372" s="7">
        <f t="shared" si="406"/>
        <v>496.43156905783366</v>
      </c>
      <c r="S372" s="7">
        <f t="shared" si="406"/>
        <v>544.56060967799056</v>
      </c>
      <c r="U372" s="7">
        <v>56.637</v>
      </c>
      <c r="V372" s="7">
        <v>47.171000000000006</v>
      </c>
      <c r="W372" s="7">
        <v>54.910999999999987</v>
      </c>
      <c r="X372" s="467">
        <v>62.650000000000006</v>
      </c>
      <c r="Y372" s="7">
        <v>60.103999999999999</v>
      </c>
      <c r="Z372" s="7">
        <v>59.376000000000005</v>
      </c>
      <c r="AA372" s="7">
        <v>69.911999999999992</v>
      </c>
      <c r="AB372" s="467">
        <v>79.51600000000002</v>
      </c>
      <c r="AC372" s="7">
        <v>69.201999999999998</v>
      </c>
      <c r="AD372" s="7">
        <v>70.693999999999988</v>
      </c>
      <c r="AE372" s="7">
        <v>43.960000000000008</v>
      </c>
      <c r="AF372" s="511">
        <f t="shared" si="407"/>
        <v>45.734701023373354</v>
      </c>
    </row>
    <row r="373" spans="2:32" x14ac:dyDescent="0.2">
      <c r="B373" s="2" t="s">
        <v>181</v>
      </c>
      <c r="D373" s="1">
        <v>97.855999999999995</v>
      </c>
      <c r="E373" s="1">
        <v>133.233</v>
      </c>
      <c r="F373" s="1">
        <v>171.136</v>
      </c>
      <c r="G373" s="1">
        <v>217.435</v>
      </c>
      <c r="H373" s="1">
        <v>299.97300000000001</v>
      </c>
      <c r="I373" s="1">
        <v>223.428</v>
      </c>
      <c r="J373" s="1">
        <v>250.93899999999999</v>
      </c>
      <c r="K373" s="1">
        <v>328.06700000000001</v>
      </c>
      <c r="L373" s="1">
        <v>408.42500000000001</v>
      </c>
      <c r="M373" s="423">
        <v>535.69500000000005</v>
      </c>
      <c r="N373" s="7">
        <f t="shared" si="404"/>
        <v>640.61038007790262</v>
      </c>
      <c r="O373" s="7">
        <f t="shared" si="406"/>
        <v>717.89361633050089</v>
      </c>
      <c r="P373" s="7">
        <f t="shared" si="406"/>
        <v>793.40884583230604</v>
      </c>
      <c r="Q373" s="7">
        <f t="shared" si="406"/>
        <v>870.32983343574824</v>
      </c>
      <c r="R373" s="7">
        <f t="shared" si="406"/>
        <v>954.70831078734409</v>
      </c>
      <c r="S373" s="7">
        <f t="shared" si="406"/>
        <v>1047.267281518177</v>
      </c>
      <c r="U373" s="7">
        <v>97.016000000000005</v>
      </c>
      <c r="V373" s="7">
        <v>97.089999999999989</v>
      </c>
      <c r="W373" s="7">
        <v>97.841999999999985</v>
      </c>
      <c r="X373" s="467">
        <v>100.03200000000004</v>
      </c>
      <c r="Y373" s="7">
        <v>126.24299999999999</v>
      </c>
      <c r="Z373" s="7">
        <v>110.17699999999999</v>
      </c>
      <c r="AA373" s="7">
        <v>127.27799999999999</v>
      </c>
      <c r="AB373" s="467">
        <v>149.85400000000004</v>
      </c>
      <c r="AC373" s="7">
        <v>118.994</v>
      </c>
      <c r="AD373" s="7">
        <v>135.125</v>
      </c>
      <c r="AE373" s="7">
        <v>132.44300000000001</v>
      </c>
      <c r="AF373" s="511">
        <f t="shared" si="407"/>
        <v>137.78983183891347</v>
      </c>
    </row>
    <row r="374" spans="2:32" x14ac:dyDescent="0.2">
      <c r="B374" s="2" t="s">
        <v>182</v>
      </c>
      <c r="D374" s="1">
        <v>108.25700000000001</v>
      </c>
      <c r="E374" s="1">
        <v>135.453</v>
      </c>
      <c r="F374" s="1">
        <v>148.15600000000001</v>
      </c>
      <c r="G374" s="1">
        <v>170.596</v>
      </c>
      <c r="H374" s="1">
        <v>260.14699999999999</v>
      </c>
      <c r="I374" s="1">
        <v>334.11900000000003</v>
      </c>
      <c r="J374" s="1">
        <v>309.65300000000002</v>
      </c>
      <c r="K374" s="1">
        <v>359.71</v>
      </c>
      <c r="L374" s="1">
        <v>190.988</v>
      </c>
      <c r="M374" s="423">
        <v>276.23500000000001</v>
      </c>
      <c r="N374" s="7">
        <f t="shared" si="404"/>
        <v>330.33537430967135</v>
      </c>
      <c r="O374" s="7">
        <f t="shared" si="406"/>
        <v>370.18703386639015</v>
      </c>
      <c r="P374" s="7">
        <f t="shared" si="406"/>
        <v>409.12700795879556</v>
      </c>
      <c r="Q374" s="7">
        <f t="shared" si="406"/>
        <v>448.79187138040089</v>
      </c>
      <c r="R374" s="7">
        <f t="shared" si="406"/>
        <v>492.30224331073077</v>
      </c>
      <c r="S374" s="7">
        <f t="shared" si="406"/>
        <v>540.03094579970605</v>
      </c>
      <c r="U374" s="7">
        <v>53.636000000000003</v>
      </c>
      <c r="V374" s="7">
        <v>52.783999999999999</v>
      </c>
      <c r="W374" s="7">
        <v>22.263999999999996</v>
      </c>
      <c r="X374" s="467">
        <v>38.128000000000014</v>
      </c>
      <c r="Y374" s="7">
        <v>60.463999999999999</v>
      </c>
      <c r="Z374" s="7">
        <v>61.230999999999995</v>
      </c>
      <c r="AA374" s="7">
        <v>78.77800000000002</v>
      </c>
      <c r="AB374" s="467">
        <v>45.167999999999978</v>
      </c>
      <c r="AC374" s="7">
        <v>72.917000000000002</v>
      </c>
      <c r="AD374" s="7">
        <v>32.326999999999998</v>
      </c>
      <c r="AE374" s="7">
        <v>66.475999999999999</v>
      </c>
      <c r="AF374" s="511">
        <f t="shared" si="407"/>
        <v>69.159690291850922</v>
      </c>
    </row>
    <row r="375" spans="2:32" x14ac:dyDescent="0.2">
      <c r="B375" s="2" t="s">
        <v>183</v>
      </c>
      <c r="D375" s="1">
        <v>159.51300000000001</v>
      </c>
      <c r="E375" s="1">
        <v>190.071</v>
      </c>
      <c r="F375" s="1">
        <v>227.27699999999999</v>
      </c>
      <c r="G375" s="1">
        <v>279.33100000000002</v>
      </c>
      <c r="H375" s="1">
        <v>359.43</v>
      </c>
      <c r="I375" s="1">
        <v>494.58</v>
      </c>
      <c r="J375" s="1">
        <v>652.63199999999995</v>
      </c>
      <c r="K375" s="1">
        <v>549.89800000000002</v>
      </c>
      <c r="L375" s="1">
        <f>(526788+230101)/1000</f>
        <v>756.88900000000001</v>
      </c>
      <c r="M375" s="423">
        <f>(628569+370823)/1000</f>
        <v>999.39200000000005</v>
      </c>
      <c r="N375" s="7">
        <f t="shared" si="404"/>
        <v>1195.1220171306716</v>
      </c>
      <c r="O375" s="7">
        <f t="shared" si="406"/>
        <v>1339.3015372773161</v>
      </c>
      <c r="P375" s="7">
        <f t="shared" si="406"/>
        <v>1480.1826659835165</v>
      </c>
      <c r="Q375" s="7">
        <f t="shared" si="406"/>
        <v>1623.6863754506185</v>
      </c>
      <c r="R375" s="7">
        <f t="shared" si="406"/>
        <v>1781.1027695505561</v>
      </c>
      <c r="S375" s="7">
        <f t="shared" si="406"/>
        <v>1953.7806830584823</v>
      </c>
      <c r="U375" s="7">
        <f>(125.598+56.899)</f>
        <v>182.49700000000001</v>
      </c>
      <c r="V375" s="7">
        <f>((112.554+255.992))-((125.598+56.899))</f>
        <v>186.04899999999998</v>
      </c>
      <c r="W375" s="7">
        <f>((386.612+168.107))-((112.554+255.992))</f>
        <v>186.17300000000006</v>
      </c>
      <c r="X375" s="467">
        <f>((526.788+256.322))-((386.612+168.107))</f>
        <v>228.39099999999996</v>
      </c>
      <c r="Y375" s="7">
        <f>(147.179+65.263)</f>
        <v>212.44200000000001</v>
      </c>
      <c r="Z375" s="7">
        <f>((146.371+298.742))-((147.179+65.263))</f>
        <v>232.67100000000005</v>
      </c>
      <c r="AA375" s="7">
        <f>((456.903+227.032))-((146.371+298.742))</f>
        <v>238.822</v>
      </c>
      <c r="AB375" s="467">
        <f>((628.569+370.823))-((456.903+227.032))</f>
        <v>315.45699999999988</v>
      </c>
      <c r="AC375" s="7">
        <f>(217.147+89.971)</f>
        <v>307.11799999999999</v>
      </c>
      <c r="AD375" s="7">
        <f>((398.218+207.882))-((217.147+89.971))</f>
        <v>298.98200000000003</v>
      </c>
      <c r="AE375" s="7">
        <f>((606.738+309.947))-((398.218+207.882))</f>
        <v>310.58500000000004</v>
      </c>
      <c r="AF375" s="511">
        <f t="shared" si="407"/>
        <v>323.12356954832597</v>
      </c>
    </row>
    <row r="376" spans="2:32" x14ac:dyDescent="0.2">
      <c r="B376" s="2" t="s">
        <v>184</v>
      </c>
      <c r="D376" s="1">
        <v>124.68</v>
      </c>
      <c r="E376" s="1">
        <v>216.328</v>
      </c>
      <c r="F376" s="1">
        <v>241.76</v>
      </c>
      <c r="G376" s="1">
        <v>267.678</v>
      </c>
      <c r="H376" s="1">
        <v>353.89</v>
      </c>
      <c r="I376" s="1">
        <v>481.46899999999999</v>
      </c>
      <c r="J376" s="1">
        <v>500.46899999999999</v>
      </c>
      <c r="K376" s="1">
        <v>789.69600000000003</v>
      </c>
      <c r="L376" s="1">
        <v>598.21299999999997</v>
      </c>
      <c r="M376" s="423">
        <f>(504205+332259)/1000</f>
        <v>836.46400000000006</v>
      </c>
      <c r="N376" s="7">
        <f t="shared" si="404"/>
        <v>1000.2847160445451</v>
      </c>
      <c r="O376" s="7">
        <f t="shared" si="406"/>
        <v>1120.9590641881591</v>
      </c>
      <c r="P376" s="7">
        <f t="shared" si="406"/>
        <v>1238.8727481501112</v>
      </c>
      <c r="Q376" s="7">
        <f t="shared" si="406"/>
        <v>1358.9814610832645</v>
      </c>
      <c r="R376" s="7">
        <f t="shared" si="406"/>
        <v>1490.7347137352872</v>
      </c>
      <c r="S376" s="7">
        <f t="shared" si="406"/>
        <v>1635.261444231923</v>
      </c>
      <c r="U376" s="7">
        <v>142.11099999999999</v>
      </c>
      <c r="V376" s="7">
        <f>((132.441+96.156))-142.111</f>
        <v>86.486000000000018</v>
      </c>
      <c r="W376" s="7">
        <f>((215.563+131.688))-((132.441+96.156))</f>
        <v>118.65399999999997</v>
      </c>
      <c r="X376" s="467">
        <f>((397.332+167.361))-((215.563+131.688))</f>
        <v>217.44200000000001</v>
      </c>
      <c r="Y376" s="7">
        <v>145.81200000000001</v>
      </c>
      <c r="Z376" s="7">
        <f>((211.607+120.215))-145.812</f>
        <v>186.01</v>
      </c>
      <c r="AA376" s="7">
        <f>((355.542+177.456))-((211.607+120.215))</f>
        <v>201.17599999999993</v>
      </c>
      <c r="AB376" s="467">
        <f>((504.205+306.92))-((355.542+177.456))</f>
        <v>278.12700000000007</v>
      </c>
      <c r="AC376" s="7">
        <f>(111.606+50.573)</f>
        <v>162.179</v>
      </c>
      <c r="AD376" s="7">
        <f>((179.641+148.725))-((111.606+50.573))</f>
        <v>166.18699999999998</v>
      </c>
      <c r="AE376" s="7">
        <f>((283.77+276.825))-((179.641+148.725))</f>
        <v>232.22900000000004</v>
      </c>
      <c r="AF376" s="511">
        <f t="shared" si="407"/>
        <v>241.60427397536324</v>
      </c>
    </row>
    <row r="377" spans="2:32" x14ac:dyDescent="0.2">
      <c r="B377" s="2" t="s">
        <v>185</v>
      </c>
      <c r="D377" s="1">
        <v>66.866</v>
      </c>
      <c r="E377" s="1">
        <v>108.47799999999999</v>
      </c>
      <c r="F377" s="1">
        <v>104.85899999999999</v>
      </c>
      <c r="G377" s="1">
        <v>129.44300000000001</v>
      </c>
      <c r="H377" s="1">
        <v>134.059</v>
      </c>
      <c r="I377" s="1">
        <v>190.601</v>
      </c>
      <c r="J377" s="1">
        <v>245.53299999999999</v>
      </c>
      <c r="K377" s="1">
        <v>259.80700000000002</v>
      </c>
      <c r="L377" s="1">
        <f>(173151+203423)/1000</f>
        <v>376.57400000000001</v>
      </c>
      <c r="M377" s="423">
        <f>(296132+427118)/1000</f>
        <v>723.25</v>
      </c>
      <c r="N377" s="7">
        <f t="shared" si="404"/>
        <v>864.89785678668454</v>
      </c>
      <c r="O377" s="7">
        <f t="shared" si="406"/>
        <v>969.23913422943019</v>
      </c>
      <c r="P377" s="7">
        <f t="shared" si="406"/>
        <v>1071.1933987590237</v>
      </c>
      <c r="Q377" s="7">
        <f t="shared" si="406"/>
        <v>1175.0455987687112</v>
      </c>
      <c r="R377" s="7">
        <f t="shared" si="406"/>
        <v>1288.9662695693378</v>
      </c>
      <c r="S377" s="7">
        <f t="shared" si="406"/>
        <v>1413.9315494040848</v>
      </c>
      <c r="U377" s="7">
        <f>(41.381+25.298)</f>
        <v>66.679000000000002</v>
      </c>
      <c r="V377" s="7">
        <f>((95.745+79.452))-((41.381+25.298))</f>
        <v>108.518</v>
      </c>
      <c r="W377" s="7">
        <f>((148.922+124.067))-((95.745+79.452))</f>
        <v>97.791999999999973</v>
      </c>
      <c r="X377" s="467">
        <f>((203.423+190.466))-((148.922+124.067))</f>
        <v>120.90000000000003</v>
      </c>
      <c r="Y377" s="7">
        <f>(70.165+59.661)</f>
        <v>129.82600000000002</v>
      </c>
      <c r="Z377" s="7">
        <f>((194.705+124.255))-((70.165+59.661))</f>
        <v>189.13400000000001</v>
      </c>
      <c r="AA377" s="7">
        <f>((298.194+246.782))-((194.705+124.255))</f>
        <v>226.01599999999996</v>
      </c>
      <c r="AB377" s="467">
        <f>((427.118+296.132))-((298.194+246.782))</f>
        <v>178.274</v>
      </c>
      <c r="AC377" s="7">
        <f>(136.707+71.378)</f>
        <v>208.08499999999998</v>
      </c>
      <c r="AD377" s="7">
        <f>((301.079+136.443))-((136.707+71.378))</f>
        <v>229.43700000000007</v>
      </c>
      <c r="AE377" s="7">
        <f>((458.808+206.646))-((301.079+136.443))</f>
        <v>227.9319999999999</v>
      </c>
      <c r="AF377" s="511">
        <f t="shared" si="407"/>
        <v>237.13380058370174</v>
      </c>
    </row>
    <row r="378" spans="2:32" x14ac:dyDescent="0.2">
      <c r="B378" s="2" t="s">
        <v>186</v>
      </c>
      <c r="D378" s="1">
        <v>42.664999999999999</v>
      </c>
      <c r="E378" s="1">
        <v>106.932</v>
      </c>
      <c r="F378" s="1">
        <v>77.844999999999999</v>
      </c>
      <c r="G378" s="1">
        <v>109.886</v>
      </c>
      <c r="H378" s="1">
        <v>250.18100000000001</v>
      </c>
      <c r="I378" s="1">
        <v>232.42</v>
      </c>
      <c r="J378" s="1">
        <v>279.63</v>
      </c>
      <c r="K378" s="1">
        <v>215.01599999999999</v>
      </c>
      <c r="L378" s="1">
        <v>364.13600000000002</v>
      </c>
      <c r="M378" s="423">
        <v>604.87599999999998</v>
      </c>
      <c r="N378" s="7">
        <f t="shared" si="404"/>
        <v>723.34041620698588</v>
      </c>
      <c r="O378" s="7">
        <f t="shared" si="406"/>
        <v>810.60420401819681</v>
      </c>
      <c r="P378" s="7">
        <f t="shared" si="406"/>
        <v>895.87166023887062</v>
      </c>
      <c r="Q378" s="7">
        <f t="shared" si="406"/>
        <v>982.72641769902918</v>
      </c>
      <c r="R378" s="7">
        <f t="shared" si="406"/>
        <v>1078.0017438949501</v>
      </c>
      <c r="S378" s="7">
        <f t="shared" si="406"/>
        <v>1182.5140129655654</v>
      </c>
      <c r="U378" s="7">
        <v>77.081000000000003</v>
      </c>
      <c r="V378" s="7">
        <v>36.334000000000003</v>
      </c>
      <c r="W378" s="7">
        <v>88.22699999999999</v>
      </c>
      <c r="X378" s="467">
        <v>111.50999999999999</v>
      </c>
      <c r="Y378" s="7">
        <v>88.628</v>
      </c>
      <c r="Z378" s="7">
        <v>108.81699999999999</v>
      </c>
      <c r="AA378" s="7">
        <v>178.68400000000003</v>
      </c>
      <c r="AB378" s="467">
        <v>190.59799999999996</v>
      </c>
      <c r="AC378" s="7">
        <v>96.352000000000004</v>
      </c>
      <c r="AD378" s="7">
        <v>98.98599999999999</v>
      </c>
      <c r="AE378" s="7">
        <v>89.320000000000022</v>
      </c>
      <c r="AF378" s="511">
        <f t="shared" si="407"/>
        <v>92.925921187618457</v>
      </c>
    </row>
    <row r="379" spans="2:32" x14ac:dyDescent="0.2">
      <c r="B379" s="2" t="s">
        <v>187</v>
      </c>
      <c r="D379" s="1">
        <v>366.404</v>
      </c>
      <c r="E379" s="1">
        <v>446.036</v>
      </c>
      <c r="F379" s="1">
        <v>568.28</v>
      </c>
      <c r="G379" s="1">
        <v>685.72900000000004</v>
      </c>
      <c r="H379" s="1">
        <v>816.39400000000001</v>
      </c>
      <c r="I379" s="1">
        <v>998.31799999999998</v>
      </c>
      <c r="J379" s="1">
        <v>1424.5619999999999</v>
      </c>
      <c r="K379" s="1">
        <v>1510.979</v>
      </c>
      <c r="L379" s="1">
        <f>(536969+311061+714941)/1000</f>
        <v>1562.971</v>
      </c>
      <c r="M379" s="423">
        <f>(614256+2193511+325402+824269)/1000</f>
        <v>3957.4380000000001</v>
      </c>
      <c r="N379" s="7">
        <f t="shared" si="404"/>
        <v>4732.4986444053693</v>
      </c>
      <c r="O379" s="7">
        <f t="shared" si="406"/>
        <v>5303.4272808664336</v>
      </c>
      <c r="P379" s="7">
        <f t="shared" si="406"/>
        <v>5861.2947965407711</v>
      </c>
      <c r="Q379" s="7">
        <f t="shared" si="406"/>
        <v>6429.5473270654002</v>
      </c>
      <c r="R379" s="7">
        <f t="shared" si="406"/>
        <v>7052.8919404243907</v>
      </c>
      <c r="S379" s="7">
        <f t="shared" si="406"/>
        <v>7736.6698140485341</v>
      </c>
      <c r="U379" s="7">
        <f>(130.951+71.098+158.816)</f>
        <v>360.86500000000001</v>
      </c>
      <c r="V379" s="7">
        <f>((0+298.513+141.605+296.284))-((130.951+71.098+158.816))</f>
        <v>375.53699999999992</v>
      </c>
      <c r="W379" s="7">
        <f>((0+448.063+215.225+461.973))-((0+298.513+141.605+296.284))</f>
        <v>388.85900000000004</v>
      </c>
      <c r="X379" s="467">
        <f>((0+593.458+283.385+637.994))-((0+448.063+215.225+461.973))</f>
        <v>389.57600000000002</v>
      </c>
      <c r="Y379" s="7">
        <f>(135.424+69.087+195.211)</f>
        <v>399.72200000000004</v>
      </c>
      <c r="Z379" s="7">
        <f>((1038.656+301.262+140.485+364.176))-((135.424+69.087+195.211))</f>
        <v>1444.8569999999997</v>
      </c>
      <c r="AA379" s="7">
        <f>((1587.136+454.723+230.661+562.933))-((1038.656+301.262+140.485+364.176))</f>
        <v>990.87400000000025</v>
      </c>
      <c r="AB379" s="467">
        <f>((2161.299+614.256+325.402+771.62))-((1587.136+454.723+230.661+562.933))</f>
        <v>1037.1239999999998</v>
      </c>
      <c r="AC379" s="7">
        <f>(572.504+166.496+91.432+220.716)</f>
        <v>1051.1480000000001</v>
      </c>
      <c r="AD379" s="7">
        <f>((1167.581+388.925+188.339+446.974))-((572.504+166.496+91.432+220.716))</f>
        <v>1140.6709999999998</v>
      </c>
      <c r="AE379" s="7">
        <f>((1730.365+572.131+287.766+688.134))-((1167.581+388.925+188.339+446.974))</f>
        <v>1086.5770000000002</v>
      </c>
      <c r="AF379" s="511">
        <f t="shared" si="407"/>
        <v>1130.4429989507266</v>
      </c>
    </row>
    <row r="380" spans="2:32" x14ac:dyDescent="0.2">
      <c r="B380" s="2" t="s">
        <v>188</v>
      </c>
      <c r="D380" s="1">
        <v>34.685000000000002</v>
      </c>
      <c r="E380" s="1">
        <v>40.524999999999999</v>
      </c>
      <c r="F380" s="1">
        <v>49.042999999999999</v>
      </c>
      <c r="G380" s="1">
        <v>66.686999999999998</v>
      </c>
      <c r="H380" s="1">
        <v>110.59099999999999</v>
      </c>
      <c r="I380" s="1">
        <v>147.22200000000001</v>
      </c>
      <c r="J380" s="1">
        <v>178.529</v>
      </c>
      <c r="K380" s="1">
        <v>177.50800000000001</v>
      </c>
      <c r="L380" s="1">
        <v>230.16800000000001</v>
      </c>
      <c r="M380" s="423">
        <v>267.29300000000001</v>
      </c>
      <c r="N380" s="7">
        <f t="shared" si="404"/>
        <v>319.64209171667233</v>
      </c>
      <c r="O380" s="7">
        <f t="shared" si="406"/>
        <v>358.20371366137169</v>
      </c>
      <c r="P380" s="7">
        <f t="shared" si="406"/>
        <v>395.88316230141123</v>
      </c>
      <c r="Q380" s="7">
        <f t="shared" si="406"/>
        <v>434.26403488653312</v>
      </c>
      <c r="R380" s="7">
        <f t="shared" si="406"/>
        <v>476.36593306878257</v>
      </c>
      <c r="S380" s="7">
        <f t="shared" si="406"/>
        <v>522.54961027980096</v>
      </c>
      <c r="U380" s="7">
        <v>55.298999999999999</v>
      </c>
      <c r="V380" s="7">
        <v>54.670999999999999</v>
      </c>
      <c r="W380" s="7">
        <v>54.298000000000002</v>
      </c>
      <c r="X380" s="467">
        <v>55.94</v>
      </c>
      <c r="Y380" s="7">
        <v>56.332999999999998</v>
      </c>
      <c r="Z380" s="7">
        <v>111.98599999999999</v>
      </c>
      <c r="AA380" s="7">
        <v>41.413000000000011</v>
      </c>
      <c r="AB380" s="467">
        <v>44.865000000000009</v>
      </c>
      <c r="AC380" s="7">
        <v>56.706000000000003</v>
      </c>
      <c r="AD380" s="7">
        <v>51.548000000000002</v>
      </c>
      <c r="AE380" s="7">
        <v>56.400999999999996</v>
      </c>
      <c r="AF380" s="511">
        <f t="shared" si="407"/>
        <v>58.67795433164877</v>
      </c>
    </row>
    <row r="381" spans="2:32" x14ac:dyDescent="0.2">
      <c r="B381" s="2" t="s">
        <v>189</v>
      </c>
      <c r="D381" s="1">
        <v>31.434000000000001</v>
      </c>
      <c r="E381" s="1">
        <v>40.003</v>
      </c>
      <c r="F381" s="1">
        <v>51.726999999999997</v>
      </c>
      <c r="G381" s="1">
        <v>51.795999999999999</v>
      </c>
      <c r="H381" s="1">
        <v>64.864999999999995</v>
      </c>
      <c r="I381" s="1">
        <v>90.033000000000001</v>
      </c>
      <c r="J381" s="1">
        <v>86.774000000000001</v>
      </c>
      <c r="K381" s="1">
        <v>89.664000000000001</v>
      </c>
      <c r="L381" s="69">
        <v>98.623999999999995</v>
      </c>
      <c r="M381" s="423">
        <v>143.023</v>
      </c>
      <c r="N381" s="7">
        <f t="shared" si="404"/>
        <v>171.03392488240854</v>
      </c>
      <c r="O381" s="7">
        <f t="shared" si="406"/>
        <v>191.66745758022233</v>
      </c>
      <c r="P381" s="7">
        <f t="shared" si="406"/>
        <v>211.82895744308584</v>
      </c>
      <c r="Q381" s="7">
        <f t="shared" si="406"/>
        <v>232.36577486719304</v>
      </c>
      <c r="R381" s="7">
        <f t="shared" si="406"/>
        <v>254.89363674056742</v>
      </c>
      <c r="S381" s="7">
        <f t="shared" si="406"/>
        <v>279.60557482256536</v>
      </c>
      <c r="U381" s="7">
        <v>21.652999999999999</v>
      </c>
      <c r="V381" s="7">
        <v>29.811</v>
      </c>
      <c r="W381" s="7">
        <v>18.722000000000008</v>
      </c>
      <c r="X381" s="467">
        <v>24.61699999999999</v>
      </c>
      <c r="Y381" s="7">
        <v>34.969000000000001</v>
      </c>
      <c r="Z381" s="7">
        <v>25.299999999999997</v>
      </c>
      <c r="AA381" s="7">
        <v>27.306000000000004</v>
      </c>
      <c r="AB381" s="467">
        <v>52.301000000000002</v>
      </c>
      <c r="AC381" s="7">
        <v>33.228999999999999</v>
      </c>
      <c r="AD381" s="7">
        <v>12.430999999999997</v>
      </c>
      <c r="AE381" s="7">
        <v>7.2000000000000028</v>
      </c>
      <c r="AF381" s="511">
        <f t="shared" si="407"/>
        <v>7.4906698673404959</v>
      </c>
    </row>
    <row r="382" spans="2:32" x14ac:dyDescent="0.2">
      <c r="B382" s="2" t="s">
        <v>190</v>
      </c>
      <c r="D382" s="1">
        <v>60.656999999999996</v>
      </c>
      <c r="E382" s="1">
        <v>60.811</v>
      </c>
      <c r="F382" s="1">
        <v>72.944999999999993</v>
      </c>
      <c r="G382" s="1">
        <v>69.727000000000004</v>
      </c>
      <c r="H382" s="1">
        <v>98.555000000000007</v>
      </c>
      <c r="I382" s="1">
        <v>118.608</v>
      </c>
      <c r="J382" s="1">
        <v>123.496</v>
      </c>
      <c r="K382" s="1">
        <v>183.65600000000001</v>
      </c>
      <c r="L382" s="1">
        <v>175.47499999999999</v>
      </c>
      <c r="M382" s="423">
        <v>177.84299999999999</v>
      </c>
      <c r="N382" s="7">
        <f t="shared" si="404"/>
        <v>212.67339031388084</v>
      </c>
      <c r="O382" s="7">
        <f t="shared" si="406"/>
        <v>238.33030812134749</v>
      </c>
      <c r="P382" s="7">
        <f t="shared" si="406"/>
        <v>263.40027323263189</v>
      </c>
      <c r="Q382" s="7">
        <f t="shared" si="406"/>
        <v>288.93692972253558</v>
      </c>
      <c r="R382" s="7">
        <f t="shared" si="406"/>
        <v>316.9493650591354</v>
      </c>
      <c r="S382" s="7">
        <f t="shared" si="406"/>
        <v>347.67760600161853</v>
      </c>
      <c r="U382" s="7">
        <v>49.259</v>
      </c>
      <c r="V382" s="7">
        <v>54.159000000000006</v>
      </c>
      <c r="W382" s="7">
        <v>31.858000000000004</v>
      </c>
      <c r="X382" s="467">
        <v>40.198999999999984</v>
      </c>
      <c r="Y382" s="7">
        <v>53.564999999999998</v>
      </c>
      <c r="Z382" s="7">
        <v>34.659000000000006</v>
      </c>
      <c r="AA382" s="7">
        <v>43.333999999999989</v>
      </c>
      <c r="AB382" s="467">
        <v>46.284999999999997</v>
      </c>
      <c r="AC382" s="7">
        <v>56.100999999999999</v>
      </c>
      <c r="AD382" s="7">
        <v>38.495999999999995</v>
      </c>
      <c r="AE382" s="7">
        <v>80.529000000000011</v>
      </c>
      <c r="AF382" s="511">
        <f t="shared" si="407"/>
        <v>83.780021353758698</v>
      </c>
    </row>
    <row r="383" spans="2:32" x14ac:dyDescent="0.2">
      <c r="B383" s="2" t="s">
        <v>191</v>
      </c>
      <c r="D383" s="1">
        <v>19.634</v>
      </c>
      <c r="E383" s="1">
        <v>15.239000000000001</v>
      </c>
      <c r="F383" s="1">
        <v>14.917</v>
      </c>
      <c r="G383" s="1">
        <v>9.3439999999999994</v>
      </c>
      <c r="H383" s="1">
        <v>16.963000000000001</v>
      </c>
      <c r="I383" s="1">
        <v>16.294</v>
      </c>
      <c r="J383" s="1">
        <v>23.22</v>
      </c>
      <c r="K383" s="1">
        <v>32.503</v>
      </c>
      <c r="L383" s="1">
        <v>84.010999999999996</v>
      </c>
      <c r="M383" s="423">
        <v>123.651</v>
      </c>
      <c r="N383" s="7">
        <f t="shared" si="404"/>
        <v>147.86793624546192</v>
      </c>
      <c r="O383" s="7">
        <f t="shared" si="406"/>
        <v>165.70672407411445</v>
      </c>
      <c r="P383" s="7">
        <f t="shared" si="406"/>
        <v>183.1374143794705</v>
      </c>
      <c r="Q383" s="7">
        <f t="shared" si="406"/>
        <v>200.8925867035602</v>
      </c>
      <c r="R383" s="7">
        <f t="shared" si="406"/>
        <v>220.36912298447035</v>
      </c>
      <c r="S383" s="7">
        <f t="shared" si="406"/>
        <v>241.73390945781472</v>
      </c>
      <c r="U383" s="7">
        <v>17.824999999999999</v>
      </c>
      <c r="V383" s="7">
        <v>17.047000000000001</v>
      </c>
      <c r="W383" s="7">
        <v>19.072000000000003</v>
      </c>
      <c r="X383" s="467">
        <v>19.329999999999998</v>
      </c>
      <c r="Y383" s="7">
        <v>22.431000000000001</v>
      </c>
      <c r="Z383" s="7">
        <v>49.194000000000003</v>
      </c>
      <c r="AA383" s="7">
        <v>21.713999999999999</v>
      </c>
      <c r="AB383" s="467">
        <v>24.17</v>
      </c>
      <c r="AC383" s="7">
        <v>24.988</v>
      </c>
      <c r="AD383" s="7">
        <v>22.655999999999999</v>
      </c>
      <c r="AE383" s="7">
        <v>45.452999999999996</v>
      </c>
      <c r="AF383" s="511">
        <f t="shared" si="407"/>
        <v>47.287974650031579</v>
      </c>
    </row>
    <row r="384" spans="2:32" x14ac:dyDescent="0.2">
      <c r="B384" s="2" t="s">
        <v>192</v>
      </c>
      <c r="D384" s="1">
        <v>7.4610000000000003</v>
      </c>
      <c r="E384" s="1">
        <v>8.8829999999999991</v>
      </c>
      <c r="F384" s="1">
        <v>11.372</v>
      </c>
      <c r="G384" s="1">
        <v>11.92</v>
      </c>
      <c r="H384" s="1">
        <v>15.302</v>
      </c>
      <c r="I384" s="1">
        <v>12.574</v>
      </c>
      <c r="J384" s="1">
        <v>13.1</v>
      </c>
      <c r="K384" s="1">
        <v>10.882</v>
      </c>
      <c r="L384" s="1">
        <v>17.998000000000001</v>
      </c>
      <c r="M384" s="423">
        <v>11.789</v>
      </c>
      <c r="N384" s="7">
        <f t="shared" si="404"/>
        <v>14.097864961850291</v>
      </c>
      <c r="O384" s="7">
        <f t="shared" si="406"/>
        <v>15.798631390847913</v>
      </c>
      <c r="P384" s="7">
        <f t="shared" si="406"/>
        <v>17.460489426851197</v>
      </c>
      <c r="Q384" s="7">
        <f t="shared" si="406"/>
        <v>19.153283876784425</v>
      </c>
      <c r="R384" s="7">
        <f t="shared" si="406"/>
        <v>21.010194748638675</v>
      </c>
      <c r="S384" s="7">
        <f t="shared" si="406"/>
        <v>23.047133129519192</v>
      </c>
      <c r="U384" s="7">
        <v>4.0720000000000001</v>
      </c>
      <c r="V384" s="7">
        <v>9.6189999999999998</v>
      </c>
      <c r="W384" s="7">
        <v>2.1629999999999985</v>
      </c>
      <c r="X384" s="467">
        <v>1.4570000000000007</v>
      </c>
      <c r="Y384" s="7">
        <v>5.5019999999999998</v>
      </c>
      <c r="Z384" s="7">
        <v>2.5010000000000003</v>
      </c>
      <c r="AA384" s="7">
        <v>2.5020000000000007</v>
      </c>
      <c r="AB384" s="467">
        <v>0.51899999999999835</v>
      </c>
      <c r="AC384" s="7">
        <v>2.7519999999999998</v>
      </c>
      <c r="AD384" s="7">
        <v>2.7519999999999998</v>
      </c>
      <c r="AE384" s="7">
        <v>7.2520000000000007</v>
      </c>
      <c r="AF384" s="511">
        <f t="shared" si="407"/>
        <v>7.544769149715731</v>
      </c>
    </row>
    <row r="385" spans="1:32" x14ac:dyDescent="0.2">
      <c r="B385" s="2" t="s">
        <v>193</v>
      </c>
      <c r="D385" s="1">
        <v>0</v>
      </c>
      <c r="E385" s="1">
        <v>0</v>
      </c>
      <c r="F385" s="1">
        <v>0</v>
      </c>
      <c r="G385" s="1">
        <v>0</v>
      </c>
      <c r="H385" s="1">
        <v>0</v>
      </c>
      <c r="I385" s="1">
        <v>0</v>
      </c>
      <c r="J385" s="1">
        <v>0</v>
      </c>
      <c r="K385" s="1">
        <v>0</v>
      </c>
      <c r="L385" s="69">
        <v>181.381</v>
      </c>
      <c r="M385" s="423">
        <v>220.38300000000001</v>
      </c>
      <c r="N385" s="7">
        <f t="shared" si="404"/>
        <v>263.54481074624249</v>
      </c>
      <c r="O385" s="7">
        <f t="shared" si="406"/>
        <v>295.33885671466919</v>
      </c>
      <c r="P385" s="7">
        <f t="shared" si="406"/>
        <v>326.40555105248512</v>
      </c>
      <c r="Q385" s="7">
        <f t="shared" si="406"/>
        <v>358.05056922702363</v>
      </c>
      <c r="R385" s="7">
        <f t="shared" si="406"/>
        <v>392.76357191358358</v>
      </c>
      <c r="S385" s="7">
        <f t="shared" si="406"/>
        <v>430.84200021060548</v>
      </c>
      <c r="U385" s="7">
        <v>42.517000000000003</v>
      </c>
      <c r="V385" s="7">
        <v>47.981000000000002</v>
      </c>
      <c r="W385" s="7">
        <v>45.231000000000009</v>
      </c>
      <c r="X385" s="467">
        <v>45.651999999999987</v>
      </c>
      <c r="Y385" s="7">
        <v>55.555</v>
      </c>
      <c r="Z385" s="7">
        <v>54.482999999999997</v>
      </c>
      <c r="AA385" s="7">
        <v>45.785000000000011</v>
      </c>
      <c r="AB385" s="467">
        <v>64.56</v>
      </c>
      <c r="AC385" s="7">
        <v>51.606999999999999</v>
      </c>
      <c r="AD385" s="7">
        <v>66.706999999999994</v>
      </c>
      <c r="AE385" s="7">
        <v>64.947000000000003</v>
      </c>
      <c r="AF385" s="511">
        <f t="shared" si="407"/>
        <v>67.568963315855967</v>
      </c>
    </row>
    <row r="386" spans="1:32" x14ac:dyDescent="0.2">
      <c r="B386" s="2" t="s">
        <v>194</v>
      </c>
      <c r="D386" s="1">
        <v>0</v>
      </c>
      <c r="E386" s="1">
        <v>0</v>
      </c>
      <c r="F386" s="1">
        <v>0</v>
      </c>
      <c r="G386" s="1">
        <v>0</v>
      </c>
      <c r="H386" s="1">
        <v>0</v>
      </c>
      <c r="I386" s="1">
        <v>0</v>
      </c>
      <c r="J386" s="1">
        <v>0</v>
      </c>
      <c r="K386" s="1">
        <v>0</v>
      </c>
      <c r="L386" s="1">
        <v>0.7</v>
      </c>
      <c r="M386" s="423">
        <v>27.132999999999999</v>
      </c>
      <c r="N386" s="7">
        <f t="shared" si="404"/>
        <v>32.446973450664515</v>
      </c>
      <c r="O386" s="7">
        <f t="shared" si="406"/>
        <v>36.361376327752687</v>
      </c>
      <c r="P386" s="7">
        <f t="shared" si="406"/>
        <v>40.186229503668983</v>
      </c>
      <c r="Q386" s="7">
        <f t="shared" si="406"/>
        <v>44.082284454049692</v>
      </c>
      <c r="R386" s="7">
        <f t="shared" si="406"/>
        <v>48.356061931869817</v>
      </c>
      <c r="S386" s="7">
        <f t="shared" si="406"/>
        <v>53.044182136164586</v>
      </c>
      <c r="U386" s="7">
        <v>0</v>
      </c>
      <c r="V386" s="7">
        <v>0</v>
      </c>
      <c r="W386" s="7">
        <v>0</v>
      </c>
      <c r="X386" s="467">
        <v>23.082000000000001</v>
      </c>
      <c r="Y386" s="7">
        <v>0</v>
      </c>
      <c r="Z386" s="7">
        <v>0</v>
      </c>
      <c r="AA386" s="7">
        <v>0</v>
      </c>
      <c r="AB386" s="467">
        <v>27.132999999999999</v>
      </c>
      <c r="AC386" s="7">
        <v>3.351</v>
      </c>
      <c r="AD386" s="7">
        <v>5.7510000000000003</v>
      </c>
      <c r="AE386" s="7">
        <v>4.552999999999999</v>
      </c>
      <c r="AF386" s="511">
        <f t="shared" si="407"/>
        <v>4.7368083202779516</v>
      </c>
    </row>
    <row r="387" spans="1:32" x14ac:dyDescent="0.2">
      <c r="B387" s="2" t="s">
        <v>195</v>
      </c>
      <c r="D387" s="1">
        <v>0</v>
      </c>
      <c r="E387" s="1">
        <v>0</v>
      </c>
      <c r="F387" s="1">
        <v>0</v>
      </c>
      <c r="G387" s="1">
        <v>0</v>
      </c>
      <c r="H387" s="1">
        <v>0</v>
      </c>
      <c r="I387" s="1">
        <v>0</v>
      </c>
      <c r="J387" s="1">
        <v>0</v>
      </c>
      <c r="K387" s="1">
        <v>0</v>
      </c>
      <c r="L387" s="1">
        <v>148.88999999999999</v>
      </c>
      <c r="M387" s="423">
        <v>125.654</v>
      </c>
      <c r="N387" s="7">
        <f t="shared" si="404"/>
        <v>150.26322197950094</v>
      </c>
      <c r="O387" s="7">
        <f t="shared" si="406"/>
        <v>168.39097707910796</v>
      </c>
      <c r="P387" s="7">
        <f t="shared" si="406"/>
        <v>186.10402395805926</v>
      </c>
      <c r="Q387" s="7">
        <f t="shared" si="406"/>
        <v>204.14680908079313</v>
      </c>
      <c r="R387" s="7">
        <f t="shared" si="406"/>
        <v>223.93884222117603</v>
      </c>
      <c r="S387" s="7">
        <f t="shared" si="406"/>
        <v>245.64971297451902</v>
      </c>
      <c r="U387" s="7">
        <v>19.972999999999999</v>
      </c>
      <c r="V387" s="7">
        <v>50.947000000000003</v>
      </c>
      <c r="W387" s="7">
        <v>43.834000000000003</v>
      </c>
      <c r="X387" s="467">
        <v>34.135999999999981</v>
      </c>
      <c r="Y387" s="7">
        <v>23.715</v>
      </c>
      <c r="Z387" s="7">
        <v>60.188000000000002</v>
      </c>
      <c r="AA387" s="7">
        <v>36.135999999999996</v>
      </c>
      <c r="AB387" s="467">
        <v>5.6149999999999949</v>
      </c>
      <c r="AC387" s="7">
        <v>49.832999999999998</v>
      </c>
      <c r="AD387" s="7">
        <v>32.466000000000008</v>
      </c>
      <c r="AE387" s="7">
        <v>56.537000000000006</v>
      </c>
      <c r="AF387" s="511">
        <f t="shared" si="407"/>
        <v>58.819444762476323</v>
      </c>
    </row>
    <row r="388" spans="1:32" x14ac:dyDescent="0.2">
      <c r="B388" s="2" t="s">
        <v>196</v>
      </c>
      <c r="D388" s="1">
        <v>0</v>
      </c>
      <c r="E388" s="1">
        <v>0</v>
      </c>
      <c r="F388" s="1">
        <v>0</v>
      </c>
      <c r="G388" s="1">
        <v>0</v>
      </c>
      <c r="H388" s="1">
        <v>0</v>
      </c>
      <c r="I388" s="1">
        <v>0</v>
      </c>
      <c r="J388" s="1">
        <v>0</v>
      </c>
      <c r="K388" s="1">
        <v>0</v>
      </c>
      <c r="L388" s="1">
        <v>84.286000000000001</v>
      </c>
      <c r="M388" s="423">
        <v>86.355999999999995</v>
      </c>
      <c r="N388" s="7">
        <f t="shared" si="404"/>
        <v>103.26874430787547</v>
      </c>
      <c r="O388" s="7">
        <f t="shared" si="406"/>
        <v>115.72708562117758</v>
      </c>
      <c r="P388" s="7">
        <f t="shared" si="406"/>
        <v>127.9004177576692</v>
      </c>
      <c r="Q388" s="7">
        <f t="shared" si="406"/>
        <v>140.30036325927526</v>
      </c>
      <c r="R388" s="7">
        <f t="shared" si="406"/>
        <v>153.902483477262</v>
      </c>
      <c r="S388" s="7">
        <f t="shared" si="406"/>
        <v>168.82332925038253</v>
      </c>
      <c r="U388" s="7">
        <v>8.5519999999999996</v>
      </c>
      <c r="V388" s="7">
        <v>7.7639999999999993</v>
      </c>
      <c r="W388" s="7">
        <v>14.412000000000003</v>
      </c>
      <c r="X388" s="467">
        <v>53.558</v>
      </c>
      <c r="Y388" s="7">
        <v>9.7889999999999997</v>
      </c>
      <c r="Z388" s="7">
        <v>14.42</v>
      </c>
      <c r="AA388" s="7">
        <v>30.254999999999999</v>
      </c>
      <c r="AB388" s="467">
        <v>23.632999999999996</v>
      </c>
      <c r="AC388" s="7">
        <v>6.4379999999999997</v>
      </c>
      <c r="AD388" s="7">
        <v>4.1680000000000001</v>
      </c>
      <c r="AE388" s="7">
        <v>14.753000000000002</v>
      </c>
      <c r="AF388" s="511">
        <f t="shared" si="407"/>
        <v>15.348590632343653</v>
      </c>
    </row>
    <row r="389" spans="1:32" x14ac:dyDescent="0.2">
      <c r="B389" s="2" t="s">
        <v>197</v>
      </c>
      <c r="D389" s="1">
        <v>0</v>
      </c>
      <c r="E389" s="1">
        <v>0</v>
      </c>
      <c r="F389" s="1">
        <v>0</v>
      </c>
      <c r="G389" s="1">
        <v>0</v>
      </c>
      <c r="H389" s="1">
        <v>0</v>
      </c>
      <c r="I389" s="1">
        <v>0</v>
      </c>
      <c r="J389" s="1">
        <v>0</v>
      </c>
      <c r="K389" s="1">
        <v>0</v>
      </c>
      <c r="L389" s="1">
        <v>-348.23200000000003</v>
      </c>
      <c r="M389" s="423">
        <v>-371.8</v>
      </c>
      <c r="N389" s="7">
        <f t="shared" si="404"/>
        <v>-444.61669291847812</v>
      </c>
      <c r="O389" s="7">
        <f t="shared" si="406"/>
        <v>-498.25525075216336</v>
      </c>
      <c r="P389" s="7">
        <f t="shared" si="406"/>
        <v>-550.66672057878327</v>
      </c>
      <c r="Q389" s="7">
        <f t="shared" si="406"/>
        <v>-604.05385913889643</v>
      </c>
      <c r="R389" s="7">
        <f t="shared" si="406"/>
        <v>-662.61688078241252</v>
      </c>
      <c r="S389" s="7">
        <f t="shared" si="406"/>
        <v>-726.85758737426727</v>
      </c>
      <c r="U389" s="7">
        <v>0</v>
      </c>
      <c r="V389" s="7">
        <v>0</v>
      </c>
      <c r="W389" s="7">
        <v>0</v>
      </c>
      <c r="X389" s="467">
        <v>0</v>
      </c>
      <c r="Y389" s="7">
        <v>0</v>
      </c>
      <c r="Z389" s="7">
        <v>0</v>
      </c>
      <c r="AA389" s="7">
        <v>0</v>
      </c>
      <c r="AB389" s="467">
        <v>0</v>
      </c>
      <c r="AC389" s="7">
        <v>0</v>
      </c>
      <c r="AD389" s="7">
        <v>0</v>
      </c>
      <c r="AE389" s="7">
        <v>0</v>
      </c>
      <c r="AF389" s="511">
        <f t="shared" si="407"/>
        <v>0</v>
      </c>
    </row>
    <row r="390" spans="1:32" x14ac:dyDescent="0.2">
      <c r="B390" s="2" t="s">
        <v>159</v>
      </c>
      <c r="D390" s="1">
        <v>113.982</v>
      </c>
      <c r="E390" s="1">
        <v>161.94</v>
      </c>
      <c r="F390" s="1">
        <v>125.232</v>
      </c>
      <c r="G390" s="1">
        <v>134.84399999999999</v>
      </c>
      <c r="H390" s="1">
        <v>18.946999999999999</v>
      </c>
      <c r="I390" s="1">
        <v>19.303999999999998</v>
      </c>
      <c r="J390" s="1">
        <v>78.024000000000001</v>
      </c>
      <c r="K390" s="1">
        <v>36.414000000000001</v>
      </c>
      <c r="L390" s="1">
        <v>70.260000000000005</v>
      </c>
      <c r="M390" s="423">
        <v>281.13299999999998</v>
      </c>
      <c r="N390" s="7">
        <f t="shared" si="404"/>
        <v>336.19264316904383</v>
      </c>
      <c r="O390" s="7">
        <f t="shared" si="406"/>
        <v>376.7509236409573</v>
      </c>
      <c r="P390" s="7">
        <f t="shared" si="406"/>
        <v>416.38135329874945</v>
      </c>
      <c r="Q390" s="7">
        <f t="shared" si="406"/>
        <v>456.74952550106332</v>
      </c>
      <c r="R390" s="7">
        <f t="shared" si="406"/>
        <v>501.03139199839143</v>
      </c>
      <c r="S390" s="7">
        <f t="shared" si="406"/>
        <v>549.60638545263532</v>
      </c>
      <c r="U390" s="7">
        <v>17.500999999999998</v>
      </c>
      <c r="V390" s="7">
        <v>5.98</v>
      </c>
      <c r="W390" s="7">
        <v>27.971000000000004</v>
      </c>
      <c r="X390" s="467">
        <v>39.084000000000003</v>
      </c>
      <c r="Y390" s="7">
        <v>13.458000000000002</v>
      </c>
      <c r="Z390" s="7">
        <v>21.490999999999996</v>
      </c>
      <c r="AA390" s="7">
        <v>24.096000000000004</v>
      </c>
      <c r="AB390" s="467">
        <v>231.059</v>
      </c>
      <c r="AC390" s="7">
        <v>24.453000000000003</v>
      </c>
      <c r="AD390" s="7">
        <v>247.48000000000002</v>
      </c>
      <c r="AE390" s="7">
        <v>43.978999999999999</v>
      </c>
      <c r="AF390" s="511">
        <f t="shared" si="407"/>
        <v>45.754468068856603</v>
      </c>
    </row>
    <row r="391" spans="1:32" x14ac:dyDescent="0.2">
      <c r="B391" s="3" t="s">
        <v>99</v>
      </c>
      <c r="C391" s="3"/>
      <c r="D391" s="64">
        <f t="shared" ref="D391:M391" si="408">SUM(D365:D390)</f>
        <v>4637.0680000000011</v>
      </c>
      <c r="E391" s="131">
        <f t="shared" si="408"/>
        <v>6164.0749999999989</v>
      </c>
      <c r="F391" s="131">
        <f t="shared" si="408"/>
        <v>7192.5270000000019</v>
      </c>
      <c r="G391" s="131">
        <f t="shared" si="408"/>
        <v>8403.8619999999992</v>
      </c>
      <c r="H391" s="131">
        <f t="shared" si="408"/>
        <v>10459.934000000003</v>
      </c>
      <c r="I391" s="131">
        <f t="shared" si="408"/>
        <v>13560.647999999999</v>
      </c>
      <c r="J391" s="131">
        <f t="shared" si="408"/>
        <v>16115.216999999995</v>
      </c>
      <c r="K391" s="131">
        <f t="shared" si="408"/>
        <v>17125.835000000006</v>
      </c>
      <c r="L391" s="131">
        <f t="shared" si="408"/>
        <v>19787.221999999994</v>
      </c>
      <c r="M391" s="468">
        <f t="shared" si="408"/>
        <v>25454.005000000008</v>
      </c>
      <c r="N391" s="65">
        <f>SUM(AC391:AF391)*(1+'Adj from Unconsol to Consol'!F58)</f>
        <v>30439.148802125903</v>
      </c>
      <c r="O391" s="65">
        <f>O365+(Assumptions!P90*Assumptions!P13)</f>
        <v>32823.839079146011</v>
      </c>
      <c r="P391" s="65">
        <f>P365+(Assumptions!Q90*Assumptions!Q13)</f>
        <v>35709.920300696307</v>
      </c>
      <c r="Q391" s="65">
        <f>Q365+(Assumptions!R90*Assumptions!R13)</f>
        <v>38804.115564720661</v>
      </c>
      <c r="R391" s="65">
        <f>R365+(Assumptions!S90*Assumptions!S13)</f>
        <v>42269.19762195777</v>
      </c>
      <c r="S391" s="65">
        <f>S365+(Assumptions!T90*Assumptions!T13)</f>
        <v>46046.015763482865</v>
      </c>
      <c r="U391" s="65">
        <f t="shared" ref="U391:AE391" si="409">SUM(U365:U390)</f>
        <v>4447.1880000000001</v>
      </c>
      <c r="V391" s="65">
        <f t="shared" si="409"/>
        <v>4726.6039999999975</v>
      </c>
      <c r="W391" s="65">
        <f t="shared" si="409"/>
        <v>4695.0490000000009</v>
      </c>
      <c r="X391" s="468">
        <f t="shared" si="409"/>
        <v>5421.2949999999992</v>
      </c>
      <c r="Y391" s="65">
        <f t="shared" si="409"/>
        <v>5483.8869999999988</v>
      </c>
      <c r="Z391" s="65">
        <f t="shared" si="409"/>
        <v>5897.7600000000011</v>
      </c>
      <c r="AA391" s="65">
        <f t="shared" si="409"/>
        <v>6494.3790000000026</v>
      </c>
      <c r="AB391" s="468">
        <f t="shared" si="409"/>
        <v>6954.6329999999998</v>
      </c>
      <c r="AC391" s="65">
        <f t="shared" si="409"/>
        <v>6806.5980000000009</v>
      </c>
      <c r="AD391" s="65">
        <f t="shared" si="409"/>
        <v>7542.5720000000001</v>
      </c>
      <c r="AE391" s="65">
        <f t="shared" si="409"/>
        <v>7540.5860000000021</v>
      </c>
      <c r="AF391" s="523">
        <f>AF365+(Assumptions!AG90*Assumptions!AG13)</f>
        <v>7803.9650531641937</v>
      </c>
    </row>
    <row r="393" spans="1:32" s="123" customFormat="1" x14ac:dyDescent="0.2">
      <c r="A393" s="122"/>
      <c r="B393" s="123" t="s">
        <v>101</v>
      </c>
      <c r="D393" s="124">
        <f>D391</f>
        <v>4637.0680000000011</v>
      </c>
      <c r="E393" s="125">
        <f t="shared" ref="E393:M393" si="410">E391</f>
        <v>6164.0749999999989</v>
      </c>
      <c r="F393" s="125">
        <f t="shared" si="410"/>
        <v>7192.5270000000019</v>
      </c>
      <c r="G393" s="125">
        <f t="shared" si="410"/>
        <v>8403.8619999999992</v>
      </c>
      <c r="H393" s="125">
        <f t="shared" si="410"/>
        <v>10459.934000000003</v>
      </c>
      <c r="I393" s="125">
        <f t="shared" si="410"/>
        <v>13560.647999999999</v>
      </c>
      <c r="J393" s="125">
        <f t="shared" si="410"/>
        <v>16115.216999999995</v>
      </c>
      <c r="K393" s="125">
        <f t="shared" si="410"/>
        <v>17125.835000000006</v>
      </c>
      <c r="L393" s="125">
        <f t="shared" si="410"/>
        <v>19787.221999999994</v>
      </c>
      <c r="M393" s="437">
        <f t="shared" si="410"/>
        <v>25454.005000000008</v>
      </c>
      <c r="N393" s="126">
        <f t="shared" ref="N393:S393" si="411">N391</f>
        <v>30439.148802125903</v>
      </c>
      <c r="O393" s="126">
        <f t="shared" si="411"/>
        <v>32823.839079146011</v>
      </c>
      <c r="P393" s="126">
        <f t="shared" si="411"/>
        <v>35709.920300696307</v>
      </c>
      <c r="Q393" s="126">
        <f t="shared" si="411"/>
        <v>38804.115564720661</v>
      </c>
      <c r="R393" s="126">
        <f t="shared" si="411"/>
        <v>42269.19762195777</v>
      </c>
      <c r="S393" s="126">
        <f t="shared" si="411"/>
        <v>46046.015763482865</v>
      </c>
      <c r="T393" s="421"/>
      <c r="U393" s="126">
        <f>U391</f>
        <v>4447.1880000000001</v>
      </c>
      <c r="V393" s="126">
        <f t="shared" ref="V393:AE393" si="412">V391</f>
        <v>4726.6039999999975</v>
      </c>
      <c r="W393" s="126">
        <f t="shared" si="412"/>
        <v>4695.0490000000009</v>
      </c>
      <c r="X393" s="437">
        <f t="shared" si="412"/>
        <v>5421.2949999999992</v>
      </c>
      <c r="Y393" s="126">
        <f t="shared" si="412"/>
        <v>5483.8869999999988</v>
      </c>
      <c r="Z393" s="126">
        <f t="shared" si="412"/>
        <v>5897.7600000000011</v>
      </c>
      <c r="AA393" s="126">
        <f t="shared" si="412"/>
        <v>6494.3790000000026</v>
      </c>
      <c r="AB393" s="437">
        <f t="shared" si="412"/>
        <v>6954.6329999999998</v>
      </c>
      <c r="AC393" s="126">
        <f t="shared" si="412"/>
        <v>6806.5980000000009</v>
      </c>
      <c r="AD393" s="126">
        <f t="shared" si="412"/>
        <v>7542.5720000000001</v>
      </c>
      <c r="AE393" s="126">
        <f t="shared" si="412"/>
        <v>7540.5860000000021</v>
      </c>
      <c r="AF393" s="530">
        <f t="shared" ref="AF393" si="413">AF391</f>
        <v>7803.9650531641937</v>
      </c>
    </row>
    <row r="394" spans="1:32" s="89" customFormat="1" x14ac:dyDescent="0.2">
      <c r="A394" s="88"/>
      <c r="B394" s="89" t="s">
        <v>102</v>
      </c>
      <c r="D394" s="95">
        <f t="shared" ref="D394:S394" si="414">D59</f>
        <v>4637.393</v>
      </c>
      <c r="E394" s="128">
        <f t="shared" si="414"/>
        <v>6164.0749999999998</v>
      </c>
      <c r="F394" s="128">
        <f t="shared" si="414"/>
        <v>7192.527</v>
      </c>
      <c r="G394" s="128">
        <f t="shared" si="414"/>
        <v>8403.8619999999992</v>
      </c>
      <c r="H394" s="128">
        <f t="shared" si="414"/>
        <v>10459.933999999999</v>
      </c>
      <c r="I394" s="128">
        <f t="shared" si="414"/>
        <v>13560.647999999999</v>
      </c>
      <c r="J394" s="128">
        <f t="shared" si="414"/>
        <v>16115.217000000001</v>
      </c>
      <c r="K394" s="128">
        <f t="shared" si="414"/>
        <v>17125.834999999999</v>
      </c>
      <c r="L394" s="128">
        <f t="shared" si="414"/>
        <v>19787.222000000002</v>
      </c>
      <c r="M394" s="438">
        <f t="shared" si="414"/>
        <v>25454.005000000001</v>
      </c>
      <c r="N394" s="129">
        <f t="shared" si="414"/>
        <v>30439.148802125903</v>
      </c>
      <c r="O394" s="129">
        <f t="shared" si="414"/>
        <v>32823.839079146011</v>
      </c>
      <c r="P394" s="129">
        <f t="shared" si="414"/>
        <v>35709.920300696307</v>
      </c>
      <c r="Q394" s="129">
        <f t="shared" si="414"/>
        <v>38804.115564720661</v>
      </c>
      <c r="R394" s="129">
        <f t="shared" si="414"/>
        <v>42269.19762195777</v>
      </c>
      <c r="S394" s="129">
        <f t="shared" si="414"/>
        <v>46046.015763482865</v>
      </c>
      <c r="T394" s="419"/>
      <c r="U394" s="129">
        <f t="shared" ref="U394:AF394" si="415">U59</f>
        <v>4447.1379999999999</v>
      </c>
      <c r="V394" s="129">
        <f t="shared" si="415"/>
        <v>4726.6540000000005</v>
      </c>
      <c r="W394" s="129">
        <f t="shared" si="415"/>
        <v>4695.049</v>
      </c>
      <c r="X394" s="438">
        <f t="shared" si="415"/>
        <v>5421.2949999999983</v>
      </c>
      <c r="Y394" s="129">
        <f t="shared" si="415"/>
        <v>5483.1869999999999</v>
      </c>
      <c r="Z394" s="129">
        <f t="shared" si="415"/>
        <v>5898.46</v>
      </c>
      <c r="AA394" s="129">
        <f t="shared" si="415"/>
        <v>6494.3789999999999</v>
      </c>
      <c r="AB394" s="438">
        <f t="shared" si="415"/>
        <v>6954.632999999998</v>
      </c>
      <c r="AC394" s="129">
        <f t="shared" si="415"/>
        <v>6806.598</v>
      </c>
      <c r="AD394" s="129">
        <f t="shared" si="415"/>
        <v>7542.5720000000001</v>
      </c>
      <c r="AE394" s="129">
        <f t="shared" si="415"/>
        <v>7540.5860000000002</v>
      </c>
      <c r="AF394" s="531">
        <f t="shared" si="415"/>
        <v>7803.9650531641937</v>
      </c>
    </row>
    <row r="396" spans="1:32" s="224" customFormat="1" x14ac:dyDescent="0.2">
      <c r="B396" s="58" t="s">
        <v>367</v>
      </c>
      <c r="C396" s="58"/>
      <c r="D396" s="356"/>
      <c r="E396" s="357"/>
      <c r="F396" s="357"/>
      <c r="G396" s="357"/>
      <c r="H396" s="357"/>
      <c r="I396" s="357"/>
      <c r="J396" s="357"/>
      <c r="K396" s="357"/>
      <c r="L396" s="357"/>
      <c r="M396" s="471"/>
      <c r="T396" s="269"/>
      <c r="X396" s="509"/>
      <c r="AB396" s="509"/>
      <c r="AF396" s="510"/>
    </row>
    <row r="397" spans="1:32" x14ac:dyDescent="0.2">
      <c r="B397" s="113" t="s">
        <v>368</v>
      </c>
      <c r="D397" s="54">
        <v>1330.057</v>
      </c>
      <c r="E397" s="54">
        <v>1471.614</v>
      </c>
      <c r="F397" s="54">
        <v>404.14600000000002</v>
      </c>
      <c r="G397" s="54">
        <v>127.65</v>
      </c>
      <c r="H397" s="54">
        <v>545.76400000000001</v>
      </c>
      <c r="I397" s="54">
        <v>425.90800000000002</v>
      </c>
      <c r="J397" s="54">
        <v>-120.246</v>
      </c>
      <c r="K397" s="54">
        <v>720.18899999999996</v>
      </c>
      <c r="L397" s="54">
        <v>894.86599999999999</v>
      </c>
      <c r="M397" s="427">
        <v>3072.7710000000002</v>
      </c>
      <c r="N397" s="7">
        <f>M397/M$404*N$404</f>
        <v>3904.8979295354156</v>
      </c>
      <c r="O397" s="7">
        <f>O210-N210</f>
        <v>4009.7185451511687</v>
      </c>
      <c r="P397" s="7">
        <f ca="1">P210-O210</f>
        <v>140.86559716720512</v>
      </c>
      <c r="Q397" s="7">
        <f ca="1">Q210-P210</f>
        <v>1568.7020102945608</v>
      </c>
      <c r="R397" s="7">
        <f ca="1">R210-Q210</f>
        <v>2288.5526595724368</v>
      </c>
      <c r="S397" s="7">
        <f ca="1">S210-R210</f>
        <v>3281.7372904037256</v>
      </c>
      <c r="U397" s="228">
        <f>170325/1000</f>
        <v>170.32499999999999</v>
      </c>
      <c r="V397" s="228">
        <v>-57.761000000000003</v>
      </c>
      <c r="W397" s="228">
        <f>-9720/1000</f>
        <v>-9.7200000000000006</v>
      </c>
      <c r="X397" s="512">
        <f>894.866-SUM(U397:W397)</f>
        <v>792.02199999999993</v>
      </c>
      <c r="Y397" s="228">
        <f>7872/1000</f>
        <v>7.8719999999999999</v>
      </c>
      <c r="Z397" s="228">
        <f>(582954/1000)-Y397</f>
        <v>575.08199999999999</v>
      </c>
      <c r="AA397" s="7">
        <f>1181069/1000-SUM(Y397:Z397)</f>
        <v>598.11500000000001</v>
      </c>
      <c r="AB397" s="512">
        <f>3072.771-SUM(Y397:AA397)</f>
        <v>1891.7020000000002</v>
      </c>
      <c r="AC397" s="228">
        <f>1059306/1000</f>
        <v>1059.306</v>
      </c>
      <c r="AD397" s="228">
        <f>(2520290/1000)-AC397</f>
        <v>1460.9839999999999</v>
      </c>
      <c r="AE397" s="228">
        <f>3933522/1000-SUM(AC397:AD397)</f>
        <v>1413.232</v>
      </c>
      <c r="AF397" s="511">
        <f>AF210-AE210</f>
        <v>936.50651771724006</v>
      </c>
    </row>
    <row r="398" spans="1:32" x14ac:dyDescent="0.2">
      <c r="B398" s="218" t="s">
        <v>369</v>
      </c>
      <c r="D398" s="54">
        <v>46.405000000000001</v>
      </c>
      <c r="E398" s="54">
        <v>249.39699999999999</v>
      </c>
      <c r="F398" s="54">
        <v>56.186</v>
      </c>
      <c r="G398" s="54">
        <v>-33.07</v>
      </c>
      <c r="H398" s="54">
        <v>-83.856999999999999</v>
      </c>
      <c r="I398" s="54">
        <v>121.093</v>
      </c>
      <c r="J398" s="54">
        <v>-64.673000000000002</v>
      </c>
      <c r="K398" s="54">
        <v>586.73199999999997</v>
      </c>
      <c r="L398" s="54">
        <v>307.40100000000001</v>
      </c>
      <c r="M398" s="427">
        <v>1089.539</v>
      </c>
      <c r="N398" s="7">
        <f t="shared" ref="N398:N403" si="416">M398/M$404*N$404</f>
        <v>1384.5934452154381</v>
      </c>
      <c r="O398" s="7">
        <f>N398*1.05</f>
        <v>1453.8231174762102</v>
      </c>
      <c r="P398" s="7">
        <f t="shared" ref="P398:S398" si="417">O398*1.05</f>
        <v>1526.5142733500209</v>
      </c>
      <c r="Q398" s="7">
        <f t="shared" si="417"/>
        <v>1602.8399870175219</v>
      </c>
      <c r="R398" s="7">
        <f t="shared" si="417"/>
        <v>1682.9819863683981</v>
      </c>
      <c r="S398" s="7">
        <f t="shared" si="417"/>
        <v>1767.1310856868181</v>
      </c>
      <c r="U398" s="228">
        <f>-49719/1000</f>
        <v>-49.719000000000001</v>
      </c>
      <c r="V398" s="228">
        <v>60.255000000000003</v>
      </c>
      <c r="W398" s="228">
        <f>81124/1000</f>
        <v>81.123999999999995</v>
      </c>
      <c r="X398" s="512">
        <f>307.401-SUM(U398:W398)</f>
        <v>215.74100000000001</v>
      </c>
      <c r="Y398" s="228">
        <f>-145104/1000</f>
        <v>-145.10400000000001</v>
      </c>
      <c r="Z398" s="228">
        <f>(452024/1000)-Y398</f>
        <v>597.12800000000004</v>
      </c>
      <c r="AA398" s="7">
        <f>1292052/1000-SUM(Y398:Z398)</f>
        <v>840.02799999999991</v>
      </c>
      <c r="AB398" s="512">
        <f>((1089539/1000)-SUM(Y398:AA398))</f>
        <v>-202.51299999999992</v>
      </c>
      <c r="AC398" s="228">
        <f>592235/1000</f>
        <v>592.23500000000001</v>
      </c>
      <c r="AD398" s="228">
        <f>(592247/1000)-AC398</f>
        <v>1.1999999999943611E-2</v>
      </c>
      <c r="AE398" s="228">
        <f>267059/1000-SUM(AC398:AD398)</f>
        <v>-325.18799999999993</v>
      </c>
      <c r="AF398" s="511">
        <f>AVERAGE(Y398:AE398)</f>
        <v>193.79971428571429</v>
      </c>
    </row>
    <row r="399" spans="1:32" x14ac:dyDescent="0.2">
      <c r="B399" s="113" t="s">
        <v>370</v>
      </c>
      <c r="D399" s="54">
        <v>81.875</v>
      </c>
      <c r="E399" s="54">
        <v>-41.365000000000002</v>
      </c>
      <c r="F399" s="54">
        <v>0.93</v>
      </c>
      <c r="G399" s="54">
        <v>0</v>
      </c>
      <c r="H399" s="54">
        <v>4.8970000000000002</v>
      </c>
      <c r="I399" s="54">
        <v>0</v>
      </c>
      <c r="J399" s="54">
        <v>0</v>
      </c>
      <c r="K399" s="54">
        <v>-4.2000000000000003E-2</v>
      </c>
      <c r="L399" s="54">
        <v>0</v>
      </c>
      <c r="M399" s="427">
        <v>45.825000000000003</v>
      </c>
      <c r="N399" s="7">
        <f t="shared" si="416"/>
        <v>58.234716358934797</v>
      </c>
      <c r="O399" s="7">
        <v>0</v>
      </c>
      <c r="P399" s="7">
        <v>0</v>
      </c>
      <c r="Q399" s="7">
        <v>0</v>
      </c>
      <c r="R399" s="7">
        <v>0</v>
      </c>
      <c r="S399" s="7">
        <v>0</v>
      </c>
      <c r="U399" s="228">
        <v>0</v>
      </c>
      <c r="V399" s="228">
        <v>0</v>
      </c>
      <c r="W399" s="228">
        <v>0</v>
      </c>
      <c r="X399" s="512">
        <v>0</v>
      </c>
      <c r="Y399" s="228">
        <v>0</v>
      </c>
      <c r="Z399" s="228">
        <v>0</v>
      </c>
      <c r="AA399" s="228">
        <v>0</v>
      </c>
      <c r="AB399" s="512"/>
      <c r="AC399" s="228">
        <v>0</v>
      </c>
      <c r="AD399" s="228">
        <v>0</v>
      </c>
      <c r="AE399" s="228">
        <v>0</v>
      </c>
      <c r="AF399" s="511">
        <v>0</v>
      </c>
    </row>
    <row r="400" spans="1:32" x14ac:dyDescent="0.2">
      <c r="B400" s="113" t="s">
        <v>371</v>
      </c>
      <c r="D400" s="54">
        <v>37.682000000000002</v>
      </c>
      <c r="E400" s="54">
        <v>-6.1130000000000004</v>
      </c>
      <c r="F400" s="54">
        <v>-10.071</v>
      </c>
      <c r="G400" s="54">
        <v>-1.198</v>
      </c>
      <c r="H400" s="54">
        <v>-0.3</v>
      </c>
      <c r="I400" s="54">
        <v>16.172999999999998</v>
      </c>
      <c r="J400" s="54">
        <v>0</v>
      </c>
      <c r="K400" s="54">
        <v>13.481999999999999</v>
      </c>
      <c r="L400" s="54">
        <v>1.82</v>
      </c>
      <c r="M400" s="427">
        <v>-5.681</v>
      </c>
      <c r="N400" s="7">
        <f t="shared" si="416"/>
        <v>-7.2194527798168799</v>
      </c>
      <c r="O400" s="7">
        <v>0</v>
      </c>
      <c r="P400" s="7">
        <v>0</v>
      </c>
      <c r="Q400" s="7">
        <v>0</v>
      </c>
      <c r="R400" s="7">
        <v>0</v>
      </c>
      <c r="S400" s="7">
        <v>0</v>
      </c>
      <c r="U400" s="228">
        <f>1820/1000</f>
        <v>1.82</v>
      </c>
      <c r="V400" s="228">
        <v>0</v>
      </c>
      <c r="W400" s="228">
        <v>0</v>
      </c>
      <c r="X400" s="512">
        <v>0</v>
      </c>
      <c r="Y400" s="228">
        <v>0</v>
      </c>
      <c r="Z400" s="228">
        <f>(-6127)/1000</f>
        <v>-6.1269999999999998</v>
      </c>
      <c r="AA400" s="228">
        <f>-5962/1000-SUM(Y400:Z400)</f>
        <v>0.16500000000000004</v>
      </c>
      <c r="AB400" s="512">
        <f>((-5681/1000)-(Y400+Z400+AA400))</f>
        <v>0.28099999999999969</v>
      </c>
      <c r="AC400" s="228">
        <f>-393/1000</f>
        <v>-0.39300000000000002</v>
      </c>
      <c r="AD400" s="228">
        <f>(-188/1000)-AC400</f>
        <v>0.20500000000000002</v>
      </c>
      <c r="AE400" s="228">
        <f>-239/1000-SUM(AC400:AD400)</f>
        <v>-5.099999999999999E-2</v>
      </c>
      <c r="AF400" s="511">
        <f>AVERAGE(Y400:AE400)</f>
        <v>-0.84571428571428575</v>
      </c>
    </row>
    <row r="401" spans="1:32" x14ac:dyDescent="0.2">
      <c r="B401" s="113" t="s">
        <v>372</v>
      </c>
      <c r="D401" s="7">
        <v>0</v>
      </c>
      <c r="E401" s="7">
        <v>0</v>
      </c>
      <c r="F401" s="7">
        <v>0</v>
      </c>
      <c r="G401" s="7">
        <v>0</v>
      </c>
      <c r="H401" s="7">
        <v>0</v>
      </c>
      <c r="I401" s="7">
        <v>0</v>
      </c>
      <c r="J401" s="7">
        <v>0</v>
      </c>
      <c r="K401" s="7">
        <v>0</v>
      </c>
      <c r="L401" s="7">
        <v>0.46400000000000002</v>
      </c>
      <c r="M401" s="467">
        <v>0</v>
      </c>
      <c r="N401" s="7">
        <f t="shared" si="416"/>
        <v>0</v>
      </c>
      <c r="O401" s="7">
        <v>0</v>
      </c>
      <c r="P401" s="7">
        <v>0</v>
      </c>
      <c r="Q401" s="7">
        <v>0</v>
      </c>
      <c r="R401" s="7">
        <v>0</v>
      </c>
      <c r="S401" s="7">
        <v>0</v>
      </c>
      <c r="U401" s="228">
        <v>0</v>
      </c>
      <c r="V401" s="228">
        <v>0</v>
      </c>
      <c r="W401" s="228">
        <f>464/1000</f>
        <v>0.46400000000000002</v>
      </c>
      <c r="X401" s="512">
        <f>0.464-SUM(U401:W401)</f>
        <v>0</v>
      </c>
      <c r="Y401" s="228">
        <v>0</v>
      </c>
      <c r="Z401" s="228">
        <v>0</v>
      </c>
      <c r="AA401" s="228">
        <v>0</v>
      </c>
      <c r="AB401" s="512">
        <v>0</v>
      </c>
      <c r="AC401" s="228">
        <v>0</v>
      </c>
      <c r="AD401" s="228">
        <v>0</v>
      </c>
      <c r="AE401" s="228">
        <v>0</v>
      </c>
    </row>
    <row r="402" spans="1:32" x14ac:dyDescent="0.2">
      <c r="B402" s="218" t="s">
        <v>373</v>
      </c>
      <c r="D402" s="7">
        <v>0</v>
      </c>
      <c r="E402" s="7">
        <v>0</v>
      </c>
      <c r="F402" s="7">
        <v>0</v>
      </c>
      <c r="G402" s="7">
        <v>0</v>
      </c>
      <c r="H402" s="7">
        <v>0</v>
      </c>
      <c r="I402" s="7">
        <v>0</v>
      </c>
      <c r="J402" s="7">
        <v>0</v>
      </c>
      <c r="K402" s="7">
        <v>0</v>
      </c>
      <c r="L402" s="7">
        <v>-18.905999999999999</v>
      </c>
      <c r="M402" s="467">
        <v>-16.024000000000001</v>
      </c>
      <c r="N402" s="7">
        <f t="shared" si="416"/>
        <v>-20.363406327017373</v>
      </c>
      <c r="O402" s="7">
        <v>0</v>
      </c>
      <c r="P402" s="7">
        <v>0</v>
      </c>
      <c r="Q402" s="7">
        <v>0</v>
      </c>
      <c r="R402" s="7">
        <v>0</v>
      </c>
      <c r="S402" s="7">
        <v>0</v>
      </c>
      <c r="U402" s="228">
        <v>0</v>
      </c>
      <c r="V402" s="228">
        <v>0</v>
      </c>
      <c r="W402" s="228">
        <v>0</v>
      </c>
      <c r="X402" s="512">
        <f>-18.906-SUM(U402:W402)</f>
        <v>-18.905999999999999</v>
      </c>
      <c r="Y402" s="228">
        <f>-4228/1000</f>
        <v>-4.2279999999999998</v>
      </c>
      <c r="Z402" s="228">
        <f>(-8502/1000)-Y402</f>
        <v>-4.2740000000000009</v>
      </c>
      <c r="AA402" s="228">
        <f>-12729/1000-SUM(Y402:Z402)</f>
        <v>-4.2269999999999985</v>
      </c>
      <c r="AB402" s="512">
        <f>((-16024/1000)-(Y402+Z402+AA402))</f>
        <v>-3.2950000000000017</v>
      </c>
      <c r="AC402" s="228">
        <f>-2971/1000</f>
        <v>-2.9710000000000001</v>
      </c>
      <c r="AD402" s="228">
        <f>(-4320/1000)-AC402</f>
        <v>-1.3490000000000002</v>
      </c>
      <c r="AE402" s="228">
        <f>-6226/1000-SUM(AC402:AD402)</f>
        <v>-1.9059999999999997</v>
      </c>
      <c r="AF402" s="511">
        <f>AVERAGE(Y402:AE402)</f>
        <v>-3.1785714285714284</v>
      </c>
    </row>
    <row r="403" spans="1:32" x14ac:dyDescent="0.2">
      <c r="B403" s="218" t="s">
        <v>385</v>
      </c>
      <c r="D403" s="7">
        <v>18.306000000000001</v>
      </c>
      <c r="E403" s="7">
        <v>168.24199999999999</v>
      </c>
      <c r="F403" s="7">
        <v>-23.105</v>
      </c>
      <c r="G403" s="7">
        <v>-2.4950000000000001</v>
      </c>
      <c r="H403" s="7">
        <v>96.287999999999997</v>
      </c>
      <c r="I403" s="7">
        <v>59.152000000000001</v>
      </c>
      <c r="J403" s="7">
        <v>-74.037999999999997</v>
      </c>
      <c r="K403" s="7">
        <v>-13.523999999999999</v>
      </c>
      <c r="L403" s="7">
        <v>-17.594000000000001</v>
      </c>
      <c r="M403" s="467"/>
      <c r="N403" s="7">
        <f t="shared" si="416"/>
        <v>0</v>
      </c>
      <c r="O403" s="7">
        <v>0</v>
      </c>
      <c r="P403" s="7">
        <v>0</v>
      </c>
      <c r="Q403" s="7">
        <v>0</v>
      </c>
      <c r="R403" s="7">
        <v>0</v>
      </c>
      <c r="S403" s="7">
        <v>0</v>
      </c>
      <c r="U403" s="228">
        <v>12.791</v>
      </c>
      <c r="V403" s="228">
        <v>-22.315999999999999</v>
      </c>
      <c r="W403" s="228">
        <v>-5.0869999999999997</v>
      </c>
      <c r="X403" s="512">
        <f>-15.774-SUM(U403:W403)</f>
        <v>-1.1620000000000008</v>
      </c>
      <c r="Y403" s="7">
        <v>41.512999999999998</v>
      </c>
      <c r="Z403" s="228">
        <f>31.88-Y403</f>
        <v>-9.6329999999999991</v>
      </c>
      <c r="AA403" s="228">
        <f>48.06-SUM(Y403:Z403)</f>
        <v>16.180000000000003</v>
      </c>
      <c r="AB403" s="512">
        <f>45.825-SUM(Y403:AA403)</f>
        <v>-2.2349999999999994</v>
      </c>
      <c r="AC403" s="228">
        <v>-10.446</v>
      </c>
      <c r="AD403" s="228">
        <f>-10.933-AC403</f>
        <v>-0.4870000000000001</v>
      </c>
      <c r="AE403" s="228">
        <f>-5.951-SUM(AC403:AD403)</f>
        <v>4.9820000000000002</v>
      </c>
      <c r="AF403" s="511">
        <f>AVERAGE(Y403:AE403)</f>
        <v>5.6962857142857146</v>
      </c>
    </row>
    <row r="404" spans="1:32" x14ac:dyDescent="0.2">
      <c r="B404" s="3" t="s">
        <v>99</v>
      </c>
      <c r="C404" s="3"/>
      <c r="D404" s="64">
        <f t="shared" ref="D404:L404" si="418">SUM(D397:D403)</f>
        <v>1514.325</v>
      </c>
      <c r="E404" s="131">
        <f t="shared" si="418"/>
        <v>1841.7749999999999</v>
      </c>
      <c r="F404" s="131">
        <f t="shared" si="418"/>
        <v>428.08599999999996</v>
      </c>
      <c r="G404" s="131">
        <f t="shared" si="418"/>
        <v>90.887000000000015</v>
      </c>
      <c r="H404" s="131">
        <f t="shared" si="418"/>
        <v>562.79200000000003</v>
      </c>
      <c r="I404" s="131">
        <f t="shared" si="418"/>
        <v>622.32600000000002</v>
      </c>
      <c r="J404" s="131">
        <f t="shared" si="418"/>
        <v>-258.95699999999999</v>
      </c>
      <c r="K404" s="131">
        <f t="shared" si="418"/>
        <v>1306.837</v>
      </c>
      <c r="L404" s="131">
        <f t="shared" si="418"/>
        <v>1168.0509999999999</v>
      </c>
      <c r="M404" s="468">
        <f t="shared" ref="M404" si="419">SUM(M397:M402)</f>
        <v>4186.43</v>
      </c>
      <c r="N404" s="65">
        <f>SUM(AC404:AF404)*(1+'Adj from Unconsol to Consol'!F44)</f>
        <v>5320.1432320029544</v>
      </c>
      <c r="O404" s="65">
        <f>SUM(O397:O403)</f>
        <v>5463.5416626273791</v>
      </c>
      <c r="P404" s="65">
        <f ca="1">SUM(P397:P402)</f>
        <v>1667.379870517226</v>
      </c>
      <c r="Q404" s="65">
        <f ca="1">SUM(Q397:Q402)</f>
        <v>3171.5419973120825</v>
      </c>
      <c r="R404" s="65">
        <f ca="1">SUM(R397:R402)</f>
        <v>3971.5346459408347</v>
      </c>
      <c r="S404" s="65">
        <f ca="1">SUM(S397:S402)</f>
        <v>5048.8683760905442</v>
      </c>
      <c r="U404" s="65">
        <f>SUM(U397:U403)</f>
        <v>135.21699999999998</v>
      </c>
      <c r="V404" s="65">
        <f>SUM(V397:V403)</f>
        <v>-19.821999999999999</v>
      </c>
      <c r="W404" s="65">
        <f>SUM(W397:W403)</f>
        <v>66.780999999999992</v>
      </c>
      <c r="X404" s="468">
        <f>SUM(X397:X403)</f>
        <v>987.69499999999994</v>
      </c>
      <c r="Y404" s="65">
        <f>SUM(Y397:Y403)</f>
        <v>-99.947000000000031</v>
      </c>
      <c r="Z404" s="65">
        <f t="shared" ref="Z404:AF404" si="420">SUM(Z397:Z403)</f>
        <v>1152.1760000000002</v>
      </c>
      <c r="AA404" s="65">
        <f t="shared" si="420"/>
        <v>1450.261</v>
      </c>
      <c r="AB404" s="468">
        <f t="shared" si="420"/>
        <v>1683.9400000000003</v>
      </c>
      <c r="AC404" s="65">
        <f t="shared" si="420"/>
        <v>1637.7310000000002</v>
      </c>
      <c r="AD404" s="65">
        <f t="shared" si="420"/>
        <v>1459.3649999999998</v>
      </c>
      <c r="AE404" s="65">
        <f t="shared" si="420"/>
        <v>1091.0690000000002</v>
      </c>
      <c r="AF404" s="523">
        <f t="shared" si="420"/>
        <v>1131.9782320029544</v>
      </c>
    </row>
    <row r="405" spans="1:32" x14ac:dyDescent="0.2">
      <c r="B405" s="3"/>
      <c r="C405" s="3"/>
      <c r="D405" s="64"/>
      <c r="E405" s="131"/>
      <c r="F405" s="131"/>
      <c r="G405" s="131"/>
      <c r="H405" s="131"/>
      <c r="I405" s="131"/>
      <c r="J405" s="131"/>
      <c r="K405" s="131"/>
      <c r="L405" s="131"/>
      <c r="M405" s="469"/>
      <c r="U405" s="65"/>
      <c r="V405" s="65"/>
      <c r="W405" s="65"/>
      <c r="X405" s="468"/>
      <c r="Y405" s="65"/>
      <c r="Z405" s="65"/>
      <c r="AA405" s="65"/>
      <c r="AB405" s="468"/>
      <c r="AC405" s="65"/>
      <c r="AD405" s="65"/>
      <c r="AE405" s="65"/>
    </row>
    <row r="406" spans="1:32" s="123" customFormat="1" x14ac:dyDescent="0.2">
      <c r="A406" s="122"/>
      <c r="B406" s="123" t="s">
        <v>101</v>
      </c>
      <c r="D406" s="124">
        <f>D404</f>
        <v>1514.325</v>
      </c>
      <c r="E406" s="125">
        <f t="shared" ref="E406:M406" si="421">E404</f>
        <v>1841.7749999999999</v>
      </c>
      <c r="F406" s="125">
        <f t="shared" si="421"/>
        <v>428.08599999999996</v>
      </c>
      <c r="G406" s="125">
        <f t="shared" si="421"/>
        <v>90.887000000000015</v>
      </c>
      <c r="H406" s="125">
        <f t="shared" si="421"/>
        <v>562.79200000000003</v>
      </c>
      <c r="I406" s="125">
        <f t="shared" si="421"/>
        <v>622.32600000000002</v>
      </c>
      <c r="J406" s="125">
        <f t="shared" si="421"/>
        <v>-258.95699999999999</v>
      </c>
      <c r="K406" s="125">
        <f t="shared" si="421"/>
        <v>1306.837</v>
      </c>
      <c r="L406" s="125">
        <f t="shared" si="421"/>
        <v>1168.0509999999999</v>
      </c>
      <c r="M406" s="437">
        <f t="shared" si="421"/>
        <v>4186.43</v>
      </c>
      <c r="N406" s="126">
        <f t="shared" ref="N406:O406" si="422">N404</f>
        <v>5320.1432320029544</v>
      </c>
      <c r="O406" s="126">
        <f t="shared" si="422"/>
        <v>5463.5416626273791</v>
      </c>
      <c r="P406" s="126">
        <f ca="1">P404</f>
        <v>1667.379870517226</v>
      </c>
      <c r="Q406" s="126">
        <f ca="1">Q404</f>
        <v>3171.5419973120825</v>
      </c>
      <c r="R406" s="126">
        <f ca="1">R404</f>
        <v>3971.5346459408347</v>
      </c>
      <c r="S406" s="126">
        <f ca="1">S404</f>
        <v>5048.8683760905442</v>
      </c>
      <c r="T406" s="421"/>
      <c r="U406" s="126">
        <f t="shared" ref="U406:AE406" si="423">U404</f>
        <v>135.21699999999998</v>
      </c>
      <c r="V406" s="126">
        <f t="shared" si="423"/>
        <v>-19.821999999999999</v>
      </c>
      <c r="W406" s="126">
        <f t="shared" si="423"/>
        <v>66.780999999999992</v>
      </c>
      <c r="X406" s="437">
        <f t="shared" si="423"/>
        <v>987.69499999999994</v>
      </c>
      <c r="Y406" s="126">
        <f t="shared" si="423"/>
        <v>-99.947000000000031</v>
      </c>
      <c r="Z406" s="126">
        <f t="shared" si="423"/>
        <v>1152.1760000000002</v>
      </c>
      <c r="AA406" s="126">
        <f t="shared" si="423"/>
        <v>1450.261</v>
      </c>
      <c r="AB406" s="437">
        <f t="shared" si="423"/>
        <v>1683.9400000000003</v>
      </c>
      <c r="AC406" s="126">
        <f t="shared" si="423"/>
        <v>1637.7310000000002</v>
      </c>
      <c r="AD406" s="126">
        <f t="shared" si="423"/>
        <v>1459.3649999999998</v>
      </c>
      <c r="AE406" s="126">
        <f t="shared" si="423"/>
        <v>1091.0690000000002</v>
      </c>
      <c r="AF406" s="530">
        <f t="shared" ref="AF406" si="424">AF404</f>
        <v>1131.9782320029544</v>
      </c>
    </row>
    <row r="407" spans="1:32" s="89" customFormat="1" x14ac:dyDescent="0.2">
      <c r="A407" s="88"/>
      <c r="B407" s="89" t="s">
        <v>102</v>
      </c>
      <c r="D407" s="95">
        <f t="shared" ref="D407:S407" si="425">D45</f>
        <v>1514.325</v>
      </c>
      <c r="E407" s="128">
        <f t="shared" si="425"/>
        <v>1841.7749999999999</v>
      </c>
      <c r="F407" s="128">
        <f t="shared" si="425"/>
        <v>428.08599999999996</v>
      </c>
      <c r="G407" s="128">
        <f t="shared" si="425"/>
        <v>90.887</v>
      </c>
      <c r="H407" s="128">
        <f t="shared" si="425"/>
        <v>562.79200000000003</v>
      </c>
      <c r="I407" s="128">
        <f t="shared" si="425"/>
        <v>622.32600000000002</v>
      </c>
      <c r="J407" s="128">
        <f t="shared" si="425"/>
        <v>-258.95699999999999</v>
      </c>
      <c r="K407" s="128">
        <f t="shared" si="425"/>
        <v>1306.8790000000001</v>
      </c>
      <c r="L407" s="128">
        <f t="shared" si="425"/>
        <v>1168.0509999999999</v>
      </c>
      <c r="M407" s="438">
        <f t="shared" si="425"/>
        <v>4186.43</v>
      </c>
      <c r="N407" s="129">
        <f t="shared" si="425"/>
        <v>5320.1432320029544</v>
      </c>
      <c r="O407" s="129">
        <f t="shared" si="425"/>
        <v>5463.5416626273791</v>
      </c>
      <c r="P407" s="129">
        <f t="shared" ca="1" si="425"/>
        <v>1667.379870517226</v>
      </c>
      <c r="Q407" s="129">
        <f t="shared" ca="1" si="425"/>
        <v>3171.5419973120825</v>
      </c>
      <c r="R407" s="129">
        <f t="shared" ca="1" si="425"/>
        <v>3971.5346459408347</v>
      </c>
      <c r="S407" s="129">
        <f t="shared" ca="1" si="425"/>
        <v>5048.8683760905442</v>
      </c>
      <c r="T407" s="419"/>
      <c r="U407" s="129">
        <f t="shared" ref="U407:AF407" si="426">U45</f>
        <v>135.21700000000001</v>
      </c>
      <c r="V407" s="129">
        <f t="shared" si="426"/>
        <v>-19.821999999999999</v>
      </c>
      <c r="W407" s="129">
        <f t="shared" si="426"/>
        <v>66.780999999999992</v>
      </c>
      <c r="X407" s="438">
        <f t="shared" si="426"/>
        <v>985.875</v>
      </c>
      <c r="Y407" s="129">
        <f t="shared" si="426"/>
        <v>-99.947000000000003</v>
      </c>
      <c r="Z407" s="129">
        <f t="shared" si="426"/>
        <v>1152.184</v>
      </c>
      <c r="AA407" s="129">
        <f t="shared" si="426"/>
        <v>1450.2529999999999</v>
      </c>
      <c r="AB407" s="438">
        <f t="shared" si="426"/>
        <v>1683.9400000000005</v>
      </c>
      <c r="AC407" s="129">
        <f t="shared" si="426"/>
        <v>1637.731</v>
      </c>
      <c r="AD407" s="129">
        <f t="shared" si="426"/>
        <v>1459.365</v>
      </c>
      <c r="AE407" s="129">
        <f t="shared" si="426"/>
        <v>1091.069</v>
      </c>
      <c r="AF407" s="531">
        <f t="shared" si="426"/>
        <v>1131.9782320029544</v>
      </c>
    </row>
    <row r="408" spans="1:32" x14ac:dyDescent="0.2">
      <c r="B408" s="3"/>
      <c r="C408" s="3"/>
      <c r="D408" s="64"/>
      <c r="E408" s="131"/>
      <c r="F408" s="131"/>
      <c r="G408" s="131"/>
      <c r="H408" s="131"/>
      <c r="I408" s="131"/>
      <c r="J408" s="131"/>
      <c r="K408" s="131"/>
      <c r="L408" s="131"/>
      <c r="M408" s="469"/>
      <c r="U408" s="65"/>
      <c r="V408" s="65"/>
      <c r="W408" s="65"/>
      <c r="X408" s="468"/>
      <c r="Y408" s="65"/>
      <c r="Z408" s="65"/>
      <c r="AA408" s="65"/>
      <c r="AB408" s="468"/>
      <c r="AC408" s="65"/>
      <c r="AD408" s="65"/>
      <c r="AE408" s="65"/>
    </row>
    <row r="409" spans="1:32" s="224" customFormat="1" x14ac:dyDescent="0.2">
      <c r="B409" s="58" t="s">
        <v>270</v>
      </c>
      <c r="C409" s="58"/>
      <c r="D409" s="356"/>
      <c r="E409" s="357"/>
      <c r="F409" s="357"/>
      <c r="G409" s="357"/>
      <c r="H409" s="357"/>
      <c r="I409" s="357"/>
      <c r="J409" s="357"/>
      <c r="K409" s="357"/>
      <c r="L409" s="357"/>
      <c r="M409" s="471"/>
      <c r="T409" s="269"/>
      <c r="X409" s="509"/>
      <c r="AB409" s="509"/>
      <c r="AF409" s="510"/>
    </row>
    <row r="410" spans="1:32" x14ac:dyDescent="0.2">
      <c r="B410" s="3" t="s">
        <v>271</v>
      </c>
      <c r="C410" s="3"/>
      <c r="D410" s="64">
        <f>375.63+4974.413</f>
        <v>5350.0429999999997</v>
      </c>
      <c r="E410" s="131">
        <f>62.587+4825.921</f>
        <v>4888.5080000000007</v>
      </c>
      <c r="F410" s="131">
        <f>62.587+4588.519</f>
        <v>4651.1060000000007</v>
      </c>
      <c r="G410" s="131">
        <f>62.587+5914.267</f>
        <v>5976.8540000000003</v>
      </c>
      <c r="H410" s="131">
        <f>65.264+14183.244</f>
        <v>14248.508</v>
      </c>
      <c r="I410" s="131">
        <v>12600.343000000001</v>
      </c>
      <c r="J410" s="131">
        <f>209.015+15236.574</f>
        <v>15445.589</v>
      </c>
      <c r="K410" s="131">
        <f>369.446+16543.223</f>
        <v>16912.669000000002</v>
      </c>
      <c r="L410" s="131">
        <f t="shared" ref="L410" si="427">SUM(L411:L413)</f>
        <v>31724.6</v>
      </c>
      <c r="M410" s="468">
        <f>SUM(M411:M413)</f>
        <v>38843.277000000002</v>
      </c>
      <c r="N410" s="65">
        <f t="shared" ref="N410:S410" si="428">SUM(N411:N413)</f>
        <v>0</v>
      </c>
      <c r="O410" s="65">
        <f t="shared" si="428"/>
        <v>0</v>
      </c>
      <c r="P410" s="65">
        <f t="shared" si="428"/>
        <v>0</v>
      </c>
      <c r="Q410" s="65">
        <f t="shared" si="428"/>
        <v>0</v>
      </c>
      <c r="R410" s="65">
        <f t="shared" si="428"/>
        <v>0</v>
      </c>
      <c r="S410" s="65">
        <f t="shared" si="428"/>
        <v>0</v>
      </c>
      <c r="U410" s="194">
        <f>373.972+18879.222</f>
        <v>19253.194000000003</v>
      </c>
      <c r="V410" s="194">
        <f>6873.972+20209.529</f>
        <v>27083.500999999997</v>
      </c>
      <c r="W410" s="194">
        <f>6917.531+21241.553</f>
        <v>28159.083999999999</v>
      </c>
      <c r="X410" s="469">
        <f t="shared" ref="X410:Y410" si="429">SUM(X411:X413)</f>
        <v>31724.6</v>
      </c>
      <c r="Y410" s="131">
        <f t="shared" si="429"/>
        <v>31086.438999999998</v>
      </c>
      <c r="Z410" s="194">
        <f t="shared" ref="Z410:AE410" si="430">SUM(Z411:Z413)</f>
        <v>32607.439999999999</v>
      </c>
      <c r="AA410" s="194">
        <f t="shared" si="430"/>
        <v>32279.637000000002</v>
      </c>
      <c r="AB410" s="469">
        <f t="shared" si="430"/>
        <v>38843.277000000002</v>
      </c>
      <c r="AC410" s="194">
        <f t="shared" si="430"/>
        <v>37733.514999999999</v>
      </c>
      <c r="AD410" s="194">
        <f t="shared" si="430"/>
        <v>36544.152000000002</v>
      </c>
      <c r="AE410" s="194">
        <f t="shared" si="430"/>
        <v>35225.518000000004</v>
      </c>
    </row>
    <row r="411" spans="1:32" x14ac:dyDescent="0.2">
      <c r="B411" s="2" t="s">
        <v>272</v>
      </c>
      <c r="L411" s="1">
        <v>7561.7910000000002</v>
      </c>
      <c r="M411" s="423">
        <v>8598.348</v>
      </c>
      <c r="U411" s="142">
        <v>0</v>
      </c>
      <c r="V411" s="142">
        <v>0</v>
      </c>
      <c r="W411" s="142">
        <v>0</v>
      </c>
      <c r="X411" s="423">
        <v>7561.7910000000002</v>
      </c>
      <c r="Y411" s="78">
        <v>8187.7640000000001</v>
      </c>
      <c r="Z411" s="78">
        <v>7817.9380000000001</v>
      </c>
      <c r="AA411" s="78">
        <v>8601.0040000000008</v>
      </c>
      <c r="AB411" s="423">
        <v>8598.348</v>
      </c>
      <c r="AC411" s="78">
        <v>4619.0959999999995</v>
      </c>
      <c r="AD411" s="78">
        <v>3652.1089999999999</v>
      </c>
      <c r="AE411" s="78">
        <v>1641.7329999999999</v>
      </c>
    </row>
    <row r="412" spans="1:32" x14ac:dyDescent="0.2">
      <c r="B412" s="2" t="s">
        <v>273</v>
      </c>
      <c r="L412" s="1">
        <v>12533.870999999999</v>
      </c>
      <c r="M412" s="423">
        <v>16037.636</v>
      </c>
      <c r="U412" s="142">
        <v>0</v>
      </c>
      <c r="V412" s="142">
        <v>0</v>
      </c>
      <c r="W412" s="142">
        <v>0</v>
      </c>
      <c r="X412" s="423">
        <v>12533.870999999999</v>
      </c>
      <c r="Y412" s="78">
        <v>12528.995999999999</v>
      </c>
      <c r="Z412" s="78">
        <v>14682.929</v>
      </c>
      <c r="AA412" s="78">
        <v>13893.621999999999</v>
      </c>
      <c r="AB412" s="423">
        <v>16037.636</v>
      </c>
      <c r="AC412" s="78">
        <v>17264.056</v>
      </c>
      <c r="AD412" s="78">
        <v>17410.616000000002</v>
      </c>
      <c r="AE412" s="78">
        <v>17783.776000000002</v>
      </c>
    </row>
    <row r="413" spans="1:32" x14ac:dyDescent="0.2">
      <c r="B413" s="2" t="s">
        <v>274</v>
      </c>
      <c r="L413" s="1">
        <v>11628.938</v>
      </c>
      <c r="M413" s="423">
        <v>14207.293</v>
      </c>
      <c r="U413" s="142">
        <v>0</v>
      </c>
      <c r="V413" s="142">
        <v>0</v>
      </c>
      <c r="W413" s="142">
        <v>0</v>
      </c>
      <c r="X413" s="423">
        <v>11628.938</v>
      </c>
      <c r="Y413" s="78">
        <v>10369.679</v>
      </c>
      <c r="Z413" s="78">
        <v>10106.573</v>
      </c>
      <c r="AA413" s="78">
        <v>9785.0110000000004</v>
      </c>
      <c r="AB413" s="423">
        <v>14207.293</v>
      </c>
      <c r="AC413" s="78">
        <v>15850.362999999999</v>
      </c>
      <c r="AD413" s="78">
        <v>15481.427</v>
      </c>
      <c r="AE413" s="78">
        <v>15800.009</v>
      </c>
    </row>
    <row r="414" spans="1:32" x14ac:dyDescent="0.2">
      <c r="X414" s="423"/>
      <c r="AB414" s="423"/>
      <c r="AD414" s="78"/>
      <c r="AE414" s="78"/>
    </row>
    <row r="415" spans="1:32" x14ac:dyDescent="0.2">
      <c r="B415" s="3" t="s">
        <v>275</v>
      </c>
      <c r="C415" s="3"/>
      <c r="D415" s="64">
        <f t="shared" ref="D415:L415" si="431">SUM(D416:D421)</f>
        <v>79778.474000000002</v>
      </c>
      <c r="E415" s="131">
        <f t="shared" si="431"/>
        <v>101869.63699999999</v>
      </c>
      <c r="F415" s="131">
        <f t="shared" si="431"/>
        <v>127318.83900000001</v>
      </c>
      <c r="G415" s="131">
        <f t="shared" si="431"/>
        <v>139765.71799999999</v>
      </c>
      <c r="H415" s="131">
        <f t="shared" si="431"/>
        <v>225565.79</v>
      </c>
      <c r="I415" s="131">
        <f t="shared" si="431"/>
        <v>283218.02600000001</v>
      </c>
      <c r="J415" s="131">
        <f>SUM(J416:J421)</f>
        <v>321515.94299999997</v>
      </c>
      <c r="K415" s="131">
        <f t="shared" si="431"/>
        <v>337197.46900000004</v>
      </c>
      <c r="L415" s="131">
        <f t="shared" si="431"/>
        <v>429428.9</v>
      </c>
      <c r="M415" s="468">
        <f>SUM(M416:M421)</f>
        <v>711444.85100000002</v>
      </c>
      <c r="N415" s="65">
        <f t="shared" ref="N415:S415" si="432">SUM(N416:N421)</f>
        <v>0</v>
      </c>
      <c r="O415" s="65">
        <f t="shared" si="432"/>
        <v>0</v>
      </c>
      <c r="P415" s="65">
        <f t="shared" si="432"/>
        <v>0</v>
      </c>
      <c r="Q415" s="65">
        <f t="shared" si="432"/>
        <v>0</v>
      </c>
      <c r="R415" s="65">
        <f t="shared" si="432"/>
        <v>0</v>
      </c>
      <c r="S415" s="65">
        <f t="shared" si="432"/>
        <v>0</v>
      </c>
      <c r="U415" s="109">
        <f>SUM(U416:U421)</f>
        <v>409814.24700000003</v>
      </c>
      <c r="V415" s="109">
        <f>SUM(V416:V421)</f>
        <v>388897.77999999997</v>
      </c>
      <c r="W415" s="109">
        <f>SUM(W416:W421)</f>
        <v>418512.58400000003</v>
      </c>
      <c r="X415" s="469">
        <f t="shared" ref="X415:Y415" si="433">SUM(X416:X421)</f>
        <v>432428.9</v>
      </c>
      <c r="Y415" s="131">
        <f t="shared" si="433"/>
        <v>440942.31499999994</v>
      </c>
      <c r="Z415" s="229">
        <f t="shared" ref="Z415:AE415" si="434">SUM(Z416:Z421)</f>
        <v>484662.23499999999</v>
      </c>
      <c r="AA415" s="229">
        <f t="shared" si="434"/>
        <v>577822.13699999999</v>
      </c>
      <c r="AB415" s="469">
        <f t="shared" si="434"/>
        <v>711444.85100000002</v>
      </c>
      <c r="AC415" s="131">
        <f t="shared" si="434"/>
        <v>1074807.2949999999</v>
      </c>
      <c r="AD415" s="194">
        <f t="shared" si="434"/>
        <v>835031.46900000004</v>
      </c>
      <c r="AE415" s="194">
        <f t="shared" si="434"/>
        <v>677395.91399999999</v>
      </c>
    </row>
    <row r="416" spans="1:32" x14ac:dyDescent="0.2">
      <c r="B416" s="2" t="s">
        <v>280</v>
      </c>
      <c r="D416" s="54">
        <v>2636.8879999999999</v>
      </c>
      <c r="E416" s="1">
        <v>2888.5039999999999</v>
      </c>
      <c r="F416" s="1">
        <v>3647.4540000000002</v>
      </c>
      <c r="G416" s="1">
        <v>2393.1260000000002</v>
      </c>
      <c r="H416" s="1">
        <v>2662.3069999999998</v>
      </c>
      <c r="I416" s="1">
        <v>4049.357</v>
      </c>
      <c r="J416" s="1">
        <v>4323.808</v>
      </c>
      <c r="K416" s="1">
        <v>7144.2550000000001</v>
      </c>
      <c r="U416" s="115">
        <v>12833.471</v>
      </c>
      <c r="V416" s="115">
        <v>12671.432000000001</v>
      </c>
      <c r="W416" s="115">
        <v>13270.261</v>
      </c>
      <c r="X416" s="453">
        <v>0</v>
      </c>
      <c r="Y416" s="142">
        <v>0</v>
      </c>
      <c r="Z416" s="142">
        <v>0</v>
      </c>
      <c r="AA416" s="142">
        <v>0</v>
      </c>
      <c r="AB416" s="453">
        <v>0</v>
      </c>
      <c r="AC416" s="142">
        <v>0</v>
      </c>
      <c r="AD416" s="142">
        <v>0</v>
      </c>
      <c r="AE416" s="142">
        <v>0</v>
      </c>
    </row>
    <row r="417" spans="1:32" x14ac:dyDescent="0.2">
      <c r="B417" s="2" t="s">
        <v>276</v>
      </c>
      <c r="D417" s="54">
        <v>10298.61</v>
      </c>
      <c r="E417" s="1">
        <v>11636.339</v>
      </c>
      <c r="F417" s="1">
        <v>12906.182000000001</v>
      </c>
      <c r="G417" s="1">
        <v>22608.394</v>
      </c>
      <c r="H417" s="1">
        <v>22011.518</v>
      </c>
      <c r="I417" s="1">
        <v>29373.25</v>
      </c>
      <c r="J417" s="1">
        <v>51612.802000000003</v>
      </c>
      <c r="K417" s="1">
        <v>66003.5</v>
      </c>
      <c r="L417" s="1">
        <v>92343.175000000003</v>
      </c>
      <c r="M417" s="423">
        <v>98437.653000000006</v>
      </c>
      <c r="U417" s="115">
        <v>68149.069000000003</v>
      </c>
      <c r="V417" s="115">
        <v>80659.48</v>
      </c>
      <c r="W417" s="115">
        <v>78072.228000000003</v>
      </c>
      <c r="X417" s="423">
        <v>92343.175000000003</v>
      </c>
      <c r="Y417" s="78">
        <v>79727.267000000007</v>
      </c>
      <c r="Z417" s="78">
        <v>89297.103000000003</v>
      </c>
      <c r="AA417" s="78">
        <v>86287.92</v>
      </c>
      <c r="AB417" s="423">
        <v>98437.653000000006</v>
      </c>
      <c r="AC417" s="78">
        <v>110407.66099999999</v>
      </c>
      <c r="AD417" s="78">
        <v>91877.351999999999</v>
      </c>
      <c r="AE417" s="78">
        <v>109392.295</v>
      </c>
    </row>
    <row r="418" spans="1:32" x14ac:dyDescent="0.2">
      <c r="B418" s="2" t="s">
        <v>277</v>
      </c>
      <c r="D418" s="54">
        <f>18714.911+19884.501</f>
        <v>38599.411999999997</v>
      </c>
      <c r="E418" s="1">
        <f>26464.759+26421.847</f>
        <v>52886.606</v>
      </c>
      <c r="F418" s="1">
        <f>34882.828+36650.528</f>
        <v>71533.356</v>
      </c>
      <c r="G418" s="1">
        <f>28669.934+36717.66</f>
        <v>65387.594000000005</v>
      </c>
      <c r="H418" s="1">
        <f>49068.758+65208.08</f>
        <v>114276.838</v>
      </c>
      <c r="I418" s="1">
        <f>68362.309+74532.767</f>
        <v>142895.076</v>
      </c>
      <c r="J418" s="1">
        <f>72008.025+69766.108</f>
        <v>141774.13299999997</v>
      </c>
      <c r="K418" s="1">
        <f>75272.094+49286.572</f>
        <v>124558.666</v>
      </c>
      <c r="L418" s="1">
        <v>118865.32399999999</v>
      </c>
      <c r="M418" s="423">
        <v>267088.45199999999</v>
      </c>
      <c r="U418" s="78">
        <f>72080.617+45919.874</f>
        <v>118000.49100000001</v>
      </c>
      <c r="V418" s="115">
        <f>64297.281+38577.119</f>
        <v>102874.4</v>
      </c>
      <c r="W418" s="115">
        <f>62412.354+36195.656</f>
        <v>98608.010000000009</v>
      </c>
      <c r="X418" s="423">
        <v>118865.32399999999</v>
      </c>
      <c r="Y418" s="78">
        <v>131874.89799999999</v>
      </c>
      <c r="Z418" s="78">
        <v>163535.76500000001</v>
      </c>
      <c r="AA418" s="78">
        <v>166430.152</v>
      </c>
      <c r="AB418" s="423">
        <v>267088.45199999999</v>
      </c>
      <c r="AC418" s="78">
        <v>305556.549</v>
      </c>
      <c r="AD418" s="78">
        <v>231621.78200000001</v>
      </c>
      <c r="AE418" s="78">
        <v>190441.05100000001</v>
      </c>
    </row>
    <row r="419" spans="1:32" x14ac:dyDescent="0.2">
      <c r="B419" s="2" t="s">
        <v>281</v>
      </c>
      <c r="D419" s="54">
        <f>214.921+27946.183</f>
        <v>28161.103999999999</v>
      </c>
      <c r="E419" s="1">
        <f>133.017+33360.587</f>
        <v>33493.603999999999</v>
      </c>
      <c r="F419" s="1">
        <f>50.892+39180.955</f>
        <v>39231.847000000002</v>
      </c>
      <c r="G419" s="1">
        <f>0+49376.604</f>
        <v>49376.603999999999</v>
      </c>
      <c r="H419" s="1">
        <f>27.584+86587.543</f>
        <v>86615.127000000008</v>
      </c>
      <c r="I419" s="1">
        <f>294.082+106606.261</f>
        <v>106900.34299999999</v>
      </c>
      <c r="J419" s="1">
        <f>129.32+123675.88</f>
        <v>123805.20000000001</v>
      </c>
      <c r="K419" s="1">
        <f>202.293+139288.755</f>
        <v>139491.04800000001</v>
      </c>
      <c r="L419" s="1">
        <f>313.58+87.475</f>
        <v>401.05499999999995</v>
      </c>
      <c r="M419" s="423">
        <f>514.594+257.79</f>
        <v>772.38400000000001</v>
      </c>
      <c r="U419" s="78">
        <f>212.912+168142.541</f>
        <v>168355.45300000001</v>
      </c>
      <c r="V419" s="115">
        <f>371.748+154133.083</f>
        <v>154504.83100000001</v>
      </c>
      <c r="W419" s="115">
        <f>303.749+187217.034</f>
        <v>187520.78300000002</v>
      </c>
      <c r="X419" s="423">
        <f>313.58+87.475</f>
        <v>401.05499999999995</v>
      </c>
      <c r="Y419" s="78">
        <f>387.819+114.307</f>
        <v>502.12600000000003</v>
      </c>
      <c r="Z419" s="78">
        <f>346.765+244.929</f>
        <v>591.69399999999996</v>
      </c>
      <c r="AA419" s="78">
        <f>506.961+168.869</f>
        <v>675.83</v>
      </c>
      <c r="AB419" s="423">
        <f>514.594+257.79</f>
        <v>772.38400000000001</v>
      </c>
      <c r="AC419" s="78">
        <f>460.417+234.67</f>
        <v>695.08699999999999</v>
      </c>
      <c r="AD419" s="78">
        <f>412.62+291.909</f>
        <v>704.529</v>
      </c>
      <c r="AE419" s="78">
        <f>345.263+497.81</f>
        <v>843.07299999999998</v>
      </c>
    </row>
    <row r="420" spans="1:32" x14ac:dyDescent="0.2">
      <c r="B420" s="2" t="s">
        <v>282</v>
      </c>
      <c r="D420" s="54">
        <v>0</v>
      </c>
      <c r="E420" s="1">
        <v>867.43600000000004</v>
      </c>
      <c r="U420" s="142">
        <v>0</v>
      </c>
      <c r="V420" s="142">
        <v>0</v>
      </c>
      <c r="W420" s="142">
        <v>0</v>
      </c>
      <c r="X420" s="453">
        <v>0</v>
      </c>
      <c r="Y420" s="142">
        <v>0</v>
      </c>
      <c r="Z420" s="142">
        <v>0</v>
      </c>
      <c r="AA420" s="142">
        <v>0</v>
      </c>
      <c r="AB420" s="453">
        <v>0</v>
      </c>
      <c r="AC420" s="142">
        <v>0</v>
      </c>
      <c r="AD420" s="142">
        <v>0</v>
      </c>
      <c r="AE420" s="142">
        <v>0</v>
      </c>
    </row>
    <row r="421" spans="1:32" x14ac:dyDescent="0.2">
      <c r="B421" s="2" t="s">
        <v>278</v>
      </c>
      <c r="D421" s="54">
        <f>20.886+61.574</f>
        <v>82.46</v>
      </c>
      <c r="E421" s="1">
        <f>8.931+88.217</f>
        <v>97.147999999999996</v>
      </c>
      <c r="L421" s="1">
        <v>217819.34599999999</v>
      </c>
      <c r="M421" s="423">
        <v>345146.36200000002</v>
      </c>
      <c r="U421" s="2">
        <f>133.774+42341.989</f>
        <v>42475.762999999999</v>
      </c>
      <c r="V421" s="115">
        <v>38187.637000000002</v>
      </c>
      <c r="W421" s="115">
        <v>41041.302000000003</v>
      </c>
      <c r="X421" s="423">
        <v>220819.34599999999</v>
      </c>
      <c r="Y421" s="78">
        <v>228838.024</v>
      </c>
      <c r="Z421" s="78">
        <v>231237.67300000001</v>
      </c>
      <c r="AA421" s="78">
        <v>324428.23499999999</v>
      </c>
      <c r="AB421" s="423">
        <v>345146.36200000002</v>
      </c>
      <c r="AC421" s="78">
        <v>658147.99800000002</v>
      </c>
      <c r="AD421" s="78">
        <v>510827.80599999998</v>
      </c>
      <c r="AE421" s="78">
        <v>376719.495</v>
      </c>
    </row>
    <row r="422" spans="1:32" x14ac:dyDescent="0.2">
      <c r="X422" s="423"/>
      <c r="AB422" s="423"/>
      <c r="AD422" s="78"/>
      <c r="AE422" s="78"/>
    </row>
    <row r="423" spans="1:32" x14ac:dyDescent="0.2">
      <c r="B423" s="3" t="s">
        <v>279</v>
      </c>
      <c r="C423" s="3"/>
      <c r="D423" s="64">
        <v>4293.0770000000002</v>
      </c>
      <c r="E423" s="131">
        <v>7378.9589999999998</v>
      </c>
      <c r="F423" s="131">
        <v>8202.0339999999997</v>
      </c>
      <c r="G423" s="131">
        <v>15193.92</v>
      </c>
      <c r="H423" s="131">
        <v>20717.866999999998</v>
      </c>
      <c r="I423" s="131">
        <v>31107.221000000001</v>
      </c>
      <c r="J423" s="131">
        <v>30486.577000000001</v>
      </c>
      <c r="K423" s="131">
        <f>38899.698</f>
        <v>38899.697999999997</v>
      </c>
      <c r="L423" s="131">
        <v>1802</v>
      </c>
      <c r="M423" s="469">
        <v>1802</v>
      </c>
      <c r="U423" s="142">
        <v>0</v>
      </c>
      <c r="V423" s="142">
        <v>0</v>
      </c>
      <c r="W423" s="142">
        <v>0</v>
      </c>
      <c r="X423" s="469">
        <v>1802</v>
      </c>
      <c r="Y423" s="131">
        <v>1802</v>
      </c>
      <c r="Z423" s="3">
        <v>1802</v>
      </c>
      <c r="AA423" s="3">
        <v>1802</v>
      </c>
      <c r="AB423" s="469">
        <v>1802</v>
      </c>
      <c r="AC423" s="3">
        <v>1802</v>
      </c>
      <c r="AD423" s="194">
        <v>1802</v>
      </c>
      <c r="AE423" s="194">
        <v>1802</v>
      </c>
    </row>
    <row r="424" spans="1:32" x14ac:dyDescent="0.2">
      <c r="B424" s="3" t="s">
        <v>99</v>
      </c>
      <c r="C424" s="3"/>
      <c r="D424" s="64">
        <f t="shared" ref="D424:S424" si="435">D410+D415+D423</f>
        <v>89421.594000000012</v>
      </c>
      <c r="E424" s="131">
        <f t="shared" si="435"/>
        <v>114137.10399999999</v>
      </c>
      <c r="F424" s="131">
        <f t="shared" si="435"/>
        <v>140171.97899999999</v>
      </c>
      <c r="G424" s="131">
        <f t="shared" si="435"/>
        <v>160936.492</v>
      </c>
      <c r="H424" s="131">
        <f t="shared" si="435"/>
        <v>260532.16500000001</v>
      </c>
      <c r="I424" s="131">
        <f t="shared" si="435"/>
        <v>326925.59000000003</v>
      </c>
      <c r="J424" s="131">
        <f t="shared" si="435"/>
        <v>367448.10899999994</v>
      </c>
      <c r="K424" s="131">
        <f t="shared" si="435"/>
        <v>393009.83600000001</v>
      </c>
      <c r="L424" s="131">
        <f t="shared" si="435"/>
        <v>462955.5</v>
      </c>
      <c r="M424" s="468">
        <f t="shared" si="435"/>
        <v>752090.12800000003</v>
      </c>
      <c r="N424" s="65">
        <f t="shared" si="435"/>
        <v>0</v>
      </c>
      <c r="O424" s="65">
        <f t="shared" si="435"/>
        <v>0</v>
      </c>
      <c r="P424" s="65">
        <f t="shared" si="435"/>
        <v>0</v>
      </c>
      <c r="Q424" s="65">
        <f t="shared" si="435"/>
        <v>0</v>
      </c>
      <c r="R424" s="65">
        <f t="shared" si="435"/>
        <v>0</v>
      </c>
      <c r="S424" s="65">
        <f t="shared" si="435"/>
        <v>0</v>
      </c>
      <c r="U424" s="230">
        <f>SUM(U410+U415+U423)</f>
        <v>429067.44100000005</v>
      </c>
      <c r="V424" s="230">
        <f t="shared" ref="V424:W424" si="436">SUM(V410+V415+V423)</f>
        <v>415981.28099999996</v>
      </c>
      <c r="W424" s="230">
        <f t="shared" si="436"/>
        <v>446671.66800000001</v>
      </c>
      <c r="X424" s="513">
        <f t="shared" ref="X424:Y424" si="437">X410+X415+X423</f>
        <v>465955.5</v>
      </c>
      <c r="Y424" s="231">
        <f t="shared" si="437"/>
        <v>473830.75399999996</v>
      </c>
      <c r="Z424" s="231">
        <f>SUM(Z410+Z415+Z423)</f>
        <v>519071.67499999999</v>
      </c>
      <c r="AA424" s="231">
        <f>SUM(AA410+AA415+AA423)</f>
        <v>611903.77399999998</v>
      </c>
      <c r="AB424" s="513">
        <f t="shared" ref="AB424" si="438">AB410+AB415+AB423</f>
        <v>752090.12800000003</v>
      </c>
      <c r="AC424" s="231">
        <f>SUM(AC410+AC415+AC423)</f>
        <v>1114342.8099999998</v>
      </c>
      <c r="AD424" s="230">
        <f>SUM(AD410+AD415+AD423)</f>
        <v>873377.62100000004</v>
      </c>
      <c r="AE424" s="230">
        <f>SUM(AE410+AE415+AE423)</f>
        <v>714423.43200000003</v>
      </c>
    </row>
    <row r="425" spans="1:32" x14ac:dyDescent="0.2">
      <c r="U425" s="232"/>
      <c r="V425" s="232"/>
      <c r="W425" s="232"/>
    </row>
    <row r="426" spans="1:32" s="224" customFormat="1" x14ac:dyDescent="0.2">
      <c r="B426" s="58" t="s">
        <v>198</v>
      </c>
      <c r="C426" s="58"/>
      <c r="D426" s="356"/>
      <c r="E426" s="357"/>
      <c r="F426" s="357"/>
      <c r="G426" s="357"/>
      <c r="H426" s="357"/>
      <c r="I426" s="357"/>
      <c r="J426" s="357"/>
      <c r="K426" s="357"/>
      <c r="L426" s="357"/>
      <c r="M426" s="471"/>
      <c r="T426" s="269"/>
      <c r="X426" s="509"/>
      <c r="AB426" s="509"/>
      <c r="AF426" s="510"/>
    </row>
    <row r="427" spans="1:32" s="113" customFormat="1" ht="13.5" customHeight="1" x14ac:dyDescent="0.2">
      <c r="A427" s="107"/>
      <c r="B427" s="3" t="s">
        <v>199</v>
      </c>
      <c r="C427" s="2"/>
      <c r="D427" s="60"/>
      <c r="E427" s="1"/>
      <c r="F427" s="1"/>
      <c r="G427" s="1"/>
      <c r="H427" s="1"/>
      <c r="I427" s="1"/>
      <c r="J427" s="1"/>
      <c r="K427" s="1"/>
      <c r="L427" s="1"/>
      <c r="M427" s="423"/>
      <c r="N427" s="2"/>
      <c r="O427" s="2"/>
      <c r="P427" s="2"/>
      <c r="Q427" s="2"/>
      <c r="R427" s="2"/>
      <c r="S427" s="2"/>
      <c r="T427" s="273"/>
      <c r="U427" s="2"/>
      <c r="V427" s="2"/>
      <c r="W427" s="2"/>
      <c r="X427" s="514"/>
      <c r="Y427" s="2"/>
      <c r="Z427" s="2"/>
      <c r="AA427" s="2"/>
      <c r="AB427" s="440"/>
      <c r="AC427" s="2"/>
      <c r="AD427" s="2"/>
      <c r="AE427" s="2"/>
      <c r="AF427" s="511"/>
    </row>
    <row r="428" spans="1:32" s="113" customFormat="1" ht="13.5" customHeight="1" x14ac:dyDescent="0.2">
      <c r="A428" s="107"/>
      <c r="B428" s="233" t="s">
        <v>200</v>
      </c>
      <c r="C428" s="2"/>
      <c r="D428" s="121">
        <f t="shared" ref="D428:S428" si="439">D30</f>
        <v>6982.55</v>
      </c>
      <c r="E428" s="121">
        <f t="shared" si="439"/>
        <v>8029.933</v>
      </c>
      <c r="F428" s="121">
        <f t="shared" si="439"/>
        <v>9033.6749999999993</v>
      </c>
      <c r="G428" s="121">
        <f t="shared" si="439"/>
        <v>10027.379000000001</v>
      </c>
      <c r="H428" s="121">
        <f t="shared" si="439"/>
        <v>10027.379000000001</v>
      </c>
      <c r="I428" s="121">
        <f t="shared" si="439"/>
        <v>10027.379000000001</v>
      </c>
      <c r="J428" s="121">
        <f t="shared" si="439"/>
        <v>10027.379000000001</v>
      </c>
      <c r="K428" s="121">
        <f t="shared" si="439"/>
        <v>10629.022000000001</v>
      </c>
      <c r="L428" s="121">
        <f t="shared" si="439"/>
        <v>11691.924000000001</v>
      </c>
      <c r="M428" s="428">
        <f t="shared" si="439"/>
        <v>12861.116</v>
      </c>
      <c r="N428" s="65">
        <f t="shared" si="439"/>
        <v>14147.227999999999</v>
      </c>
      <c r="O428" s="65">
        <f t="shared" si="439"/>
        <v>14147.227999999999</v>
      </c>
      <c r="P428" s="65">
        <f t="shared" si="439"/>
        <v>14147.227999999999</v>
      </c>
      <c r="Q428" s="65">
        <f t="shared" si="439"/>
        <v>14147.227999999999</v>
      </c>
      <c r="R428" s="65">
        <f t="shared" si="439"/>
        <v>14147.227999999999</v>
      </c>
      <c r="S428" s="65">
        <f t="shared" si="439"/>
        <v>14147.227999999999</v>
      </c>
      <c r="T428" s="273"/>
      <c r="U428" s="8" t="s">
        <v>148</v>
      </c>
      <c r="V428" s="234" t="s">
        <v>148</v>
      </c>
      <c r="W428" s="234" t="s">
        <v>148</v>
      </c>
      <c r="X428" s="472">
        <v>11691.924000000001</v>
      </c>
      <c r="Y428" s="235">
        <v>11691.924000000001</v>
      </c>
      <c r="Z428" s="235">
        <v>12861.116</v>
      </c>
      <c r="AA428" s="235">
        <v>12861.116</v>
      </c>
      <c r="AB428" s="472">
        <v>12861.116</v>
      </c>
      <c r="AC428" s="235">
        <v>12861.116</v>
      </c>
      <c r="AD428" s="235">
        <v>12861.116</v>
      </c>
      <c r="AE428" s="235">
        <v>14147.227999999999</v>
      </c>
      <c r="AF428" s="511"/>
    </row>
    <row r="429" spans="1:32" s="113" customFormat="1" ht="13.5" customHeight="1" x14ac:dyDescent="0.2">
      <c r="A429" s="107"/>
      <c r="B429" s="2" t="s">
        <v>201</v>
      </c>
      <c r="C429" s="2"/>
      <c r="D429" s="115">
        <v>11711.424000000001</v>
      </c>
      <c r="E429" s="115">
        <v>13972.591</v>
      </c>
      <c r="F429" s="115">
        <v>15293.471</v>
      </c>
      <c r="G429" s="115">
        <v>17596.975999999999</v>
      </c>
      <c r="H429" s="115">
        <v>22323.925999999999</v>
      </c>
      <c r="I429" s="115">
        <v>24759.401999999998</v>
      </c>
      <c r="J429" s="115">
        <v>31090.569</v>
      </c>
      <c r="K429" s="115">
        <v>36272.695</v>
      </c>
      <c r="L429" s="115">
        <v>42034.961000000003</v>
      </c>
      <c r="M429" s="452">
        <v>51558.453000000001</v>
      </c>
      <c r="N429" s="7">
        <f ca="1">N37*Assumptions!O110</f>
        <v>67393.535830462453</v>
      </c>
      <c r="O429" s="7">
        <f ca="1">O37*Assumptions!P110</f>
        <v>74369.538722335637</v>
      </c>
      <c r="P429" s="7">
        <f ca="1">P37*Assumptions!Q110</f>
        <v>89182.580229151194</v>
      </c>
      <c r="Q429" s="7">
        <f ca="1">Q37*Assumptions!R110</f>
        <v>105286.70269760615</v>
      </c>
      <c r="R429" s="7">
        <f ca="1">R37*Assumptions!S110</f>
        <v>124453.34574370197</v>
      </c>
      <c r="S429" s="7">
        <f ca="1">S37*Assumptions!T110</f>
        <v>146144.2332483725</v>
      </c>
      <c r="T429" s="273"/>
      <c r="U429" s="8" t="s">
        <v>148</v>
      </c>
      <c r="V429" s="234" t="s">
        <v>148</v>
      </c>
      <c r="W429" s="234" t="s">
        <v>148</v>
      </c>
      <c r="X429" s="452">
        <v>39591.737000000001</v>
      </c>
      <c r="Y429" s="236">
        <v>40252.008000000002</v>
      </c>
      <c r="Z429" s="234">
        <v>42896.247000000003</v>
      </c>
      <c r="AA429" s="236">
        <v>45816.28</v>
      </c>
      <c r="AB429" s="452">
        <v>48792.92</v>
      </c>
      <c r="AC429" s="236">
        <v>51600.582000000002</v>
      </c>
      <c r="AD429" s="236">
        <v>57740.38</v>
      </c>
      <c r="AE429" s="236">
        <v>64036.237000000001</v>
      </c>
      <c r="AF429" s="511"/>
    </row>
    <row r="430" spans="1:32" s="113" customFormat="1" ht="13.5" customHeight="1" x14ac:dyDescent="0.2">
      <c r="A430" s="107"/>
      <c r="B430" s="2" t="s">
        <v>202</v>
      </c>
      <c r="C430" s="2"/>
      <c r="D430" s="60">
        <v>0</v>
      </c>
      <c r="E430" s="1">
        <v>0</v>
      </c>
      <c r="F430" s="1">
        <v>0</v>
      </c>
      <c r="G430" s="1">
        <v>0</v>
      </c>
      <c r="H430" s="1">
        <v>0</v>
      </c>
      <c r="I430" s="1">
        <v>0</v>
      </c>
      <c r="J430" s="237">
        <v>12.132</v>
      </c>
      <c r="K430" s="115">
        <v>22.294</v>
      </c>
      <c r="L430" s="115">
        <v>7027.8180000000002</v>
      </c>
      <c r="M430" s="452">
        <v>6992.866</v>
      </c>
      <c r="N430" s="7">
        <f>M430</f>
        <v>6992.866</v>
      </c>
      <c r="O430" s="7">
        <f t="shared" ref="O430:S430" si="440">N430</f>
        <v>6992.866</v>
      </c>
      <c r="P430" s="7">
        <f t="shared" si="440"/>
        <v>6992.866</v>
      </c>
      <c r="Q430" s="7">
        <f t="shared" si="440"/>
        <v>6992.866</v>
      </c>
      <c r="R430" s="7">
        <f t="shared" si="440"/>
        <v>6992.866</v>
      </c>
      <c r="S430" s="7">
        <f t="shared" si="440"/>
        <v>6992.866</v>
      </c>
      <c r="T430" s="273"/>
      <c r="U430" s="8" t="s">
        <v>148</v>
      </c>
      <c r="V430" s="234" t="s">
        <v>148</v>
      </c>
      <c r="W430" s="234" t="s">
        <v>148</v>
      </c>
      <c r="X430" s="452">
        <v>7000</v>
      </c>
      <c r="Y430" s="115">
        <v>7000</v>
      </c>
      <c r="Z430" s="115">
        <v>7000</v>
      </c>
      <c r="AA430" s="115">
        <v>7000</v>
      </c>
      <c r="AB430" s="452">
        <v>7000</v>
      </c>
      <c r="AC430" s="115">
        <v>7000</v>
      </c>
      <c r="AD430" s="115">
        <v>7000</v>
      </c>
      <c r="AE430" s="115">
        <v>7000</v>
      </c>
      <c r="AF430" s="511"/>
    </row>
    <row r="431" spans="1:32" s="113" customFormat="1" ht="13.5" customHeight="1" x14ac:dyDescent="0.2">
      <c r="A431" s="107"/>
      <c r="B431" s="3" t="s">
        <v>203</v>
      </c>
      <c r="C431" s="2"/>
      <c r="D431" s="121">
        <f t="shared" ref="D431:M431" si="441">SUM(D429:D430)</f>
        <v>11711.424000000001</v>
      </c>
      <c r="E431" s="121">
        <f t="shared" si="441"/>
        <v>13972.591</v>
      </c>
      <c r="F431" s="121">
        <f t="shared" si="441"/>
        <v>15293.471</v>
      </c>
      <c r="G431" s="121">
        <f t="shared" si="441"/>
        <v>17596.975999999999</v>
      </c>
      <c r="H431" s="121">
        <f t="shared" si="441"/>
        <v>22323.925999999999</v>
      </c>
      <c r="I431" s="121">
        <f t="shared" si="441"/>
        <v>24759.401999999998</v>
      </c>
      <c r="J431" s="238">
        <f t="shared" si="441"/>
        <v>31102.701000000001</v>
      </c>
      <c r="K431" s="238">
        <f t="shared" si="441"/>
        <v>36294.989000000001</v>
      </c>
      <c r="L431" s="238">
        <f t="shared" si="441"/>
        <v>49062.779000000002</v>
      </c>
      <c r="M431" s="468">
        <f t="shared" si="441"/>
        <v>58551.319000000003</v>
      </c>
      <c r="N431" s="65">
        <f t="shared" ref="N431:S431" ca="1" si="442">SUM(N429:N430)</f>
        <v>74386.401830462448</v>
      </c>
      <c r="O431" s="65">
        <f t="shared" ca="1" si="442"/>
        <v>81362.404722335632</v>
      </c>
      <c r="P431" s="65">
        <f t="shared" ca="1" si="442"/>
        <v>96175.446229151188</v>
      </c>
      <c r="Q431" s="65">
        <f t="shared" ca="1" si="442"/>
        <v>112279.56869760614</v>
      </c>
      <c r="R431" s="65">
        <f t="shared" ca="1" si="442"/>
        <v>131446.21174370198</v>
      </c>
      <c r="S431" s="65">
        <f t="shared" ca="1" si="442"/>
        <v>153137.09924837251</v>
      </c>
      <c r="T431" s="273"/>
      <c r="U431" s="8" t="s">
        <v>148</v>
      </c>
      <c r="V431" s="234" t="s">
        <v>148</v>
      </c>
      <c r="W431" s="234" t="s">
        <v>148</v>
      </c>
      <c r="X431" s="515">
        <f>SUM(X429:X430)</f>
        <v>46591.737000000001</v>
      </c>
      <c r="Y431" s="239">
        <f t="shared" ref="Y431:AB431" si="443">SUM(Y429:Y430)</f>
        <v>47252.008000000002</v>
      </c>
      <c r="Z431" s="239">
        <f t="shared" si="443"/>
        <v>49896.247000000003</v>
      </c>
      <c r="AA431" s="239">
        <f t="shared" si="443"/>
        <v>52816.28</v>
      </c>
      <c r="AB431" s="515">
        <f t="shared" si="443"/>
        <v>55792.92</v>
      </c>
      <c r="AC431" s="239">
        <f t="shared" ref="AC431" si="444">SUM(AC429:AC430)</f>
        <v>58600.582000000002</v>
      </c>
      <c r="AD431" s="239">
        <f t="shared" ref="AD431" si="445">SUM(AD429:AD430)</f>
        <v>64740.38</v>
      </c>
      <c r="AE431" s="239">
        <f t="shared" ref="AE431" si="446">SUM(AE429:AE430)</f>
        <v>71036.236999999994</v>
      </c>
      <c r="AF431" s="511"/>
    </row>
    <row r="432" spans="1:32" s="113" customFormat="1" ht="13.5" customHeight="1" x14ac:dyDescent="0.2">
      <c r="A432" s="107"/>
      <c r="B432" s="2" t="s">
        <v>204</v>
      </c>
      <c r="C432" s="2"/>
      <c r="D432" s="115">
        <v>656.30700000000002</v>
      </c>
      <c r="E432" s="115">
        <v>1105.44</v>
      </c>
      <c r="F432" s="115">
        <v>1668.153</v>
      </c>
      <c r="G432" s="115">
        <v>1663.69</v>
      </c>
      <c r="H432" s="115">
        <v>1608.038</v>
      </c>
      <c r="I432" s="115">
        <v>1877.375</v>
      </c>
      <c r="J432" s="237">
        <v>10405.079</v>
      </c>
      <c r="K432" s="115">
        <v>10116.370999999999</v>
      </c>
      <c r="L432" s="115">
        <v>9989.7060000000001</v>
      </c>
      <c r="M432" s="452">
        <v>16905.638999999999</v>
      </c>
      <c r="N432" s="7">
        <f t="shared" ref="N432:S432" si="447">N276+N33</f>
        <v>17630.1081051</v>
      </c>
      <c r="O432" s="7">
        <f t="shared" si="447"/>
        <v>17630.1081051</v>
      </c>
      <c r="P432" s="7">
        <f t="shared" si="447"/>
        <v>17630.1081051</v>
      </c>
      <c r="Q432" s="7">
        <f t="shared" si="447"/>
        <v>17630.1081051</v>
      </c>
      <c r="R432" s="7">
        <f t="shared" si="447"/>
        <v>17630.1081051</v>
      </c>
      <c r="S432" s="7">
        <f t="shared" si="447"/>
        <v>17630.1081051</v>
      </c>
      <c r="T432" s="273"/>
      <c r="U432" s="8" t="s">
        <v>148</v>
      </c>
      <c r="V432" s="234" t="s">
        <v>148</v>
      </c>
      <c r="W432" s="234" t="s">
        <v>148</v>
      </c>
      <c r="X432" s="452">
        <v>9916.1730000000007</v>
      </c>
      <c r="Y432" s="234">
        <v>9981.1669999999995</v>
      </c>
      <c r="Z432" s="234">
        <v>9918.2070000000003</v>
      </c>
      <c r="AA432" s="236">
        <v>10661.316000000001</v>
      </c>
      <c r="AB432" s="452">
        <v>15831.79</v>
      </c>
      <c r="AC432" s="236">
        <v>18815.778999999999</v>
      </c>
      <c r="AD432" s="234">
        <v>19710.825000000001</v>
      </c>
      <c r="AE432" s="234">
        <v>21196.417000000001</v>
      </c>
      <c r="AF432" s="511"/>
    </row>
    <row r="433" spans="1:32" s="113" customFormat="1" ht="13.5" customHeight="1" x14ac:dyDescent="0.2">
      <c r="A433" s="107"/>
      <c r="B433" s="3" t="s">
        <v>205</v>
      </c>
      <c r="C433" s="2"/>
      <c r="D433" s="121">
        <f t="shared" ref="D433:M433" si="448">SUM(D431:D432)</f>
        <v>12367.731000000002</v>
      </c>
      <c r="E433" s="121">
        <f t="shared" si="448"/>
        <v>15078.031000000001</v>
      </c>
      <c r="F433" s="121">
        <f t="shared" si="448"/>
        <v>16961.624</v>
      </c>
      <c r="G433" s="121">
        <f t="shared" si="448"/>
        <v>19260.665999999997</v>
      </c>
      <c r="H433" s="121">
        <f t="shared" si="448"/>
        <v>23931.964</v>
      </c>
      <c r="I433" s="121">
        <f t="shared" si="448"/>
        <v>26636.776999999998</v>
      </c>
      <c r="J433" s="238">
        <f t="shared" si="448"/>
        <v>41507.78</v>
      </c>
      <c r="K433" s="238">
        <f t="shared" si="448"/>
        <v>46411.360000000001</v>
      </c>
      <c r="L433" s="238">
        <f t="shared" si="448"/>
        <v>59052.485000000001</v>
      </c>
      <c r="M433" s="468">
        <f t="shared" si="448"/>
        <v>75456.957999999999</v>
      </c>
      <c r="N433" s="65">
        <f t="shared" ref="N433:S433" ca="1" si="449">SUM(N431:N432)</f>
        <v>92016.509935562441</v>
      </c>
      <c r="O433" s="65">
        <f t="shared" ca="1" si="449"/>
        <v>98992.512827435625</v>
      </c>
      <c r="P433" s="65">
        <f t="shared" ca="1" si="449"/>
        <v>113805.55433425118</v>
      </c>
      <c r="Q433" s="65">
        <f t="shared" ca="1" si="449"/>
        <v>129909.67680270615</v>
      </c>
      <c r="R433" s="65">
        <f t="shared" ca="1" si="449"/>
        <v>149076.31984880197</v>
      </c>
      <c r="S433" s="65">
        <f t="shared" ca="1" si="449"/>
        <v>170767.20735347251</v>
      </c>
      <c r="T433" s="273"/>
      <c r="U433" s="8" t="s">
        <v>148</v>
      </c>
      <c r="V433" s="234" t="s">
        <v>148</v>
      </c>
      <c r="W433" s="234" t="s">
        <v>148</v>
      </c>
      <c r="X433" s="515">
        <f>SUM(X431:X432)</f>
        <v>56507.91</v>
      </c>
      <c r="Y433" s="239">
        <f t="shared" ref="Y433:AB433" si="450">SUM(Y431:Y432)</f>
        <v>57233.175000000003</v>
      </c>
      <c r="Z433" s="239">
        <f t="shared" si="450"/>
        <v>59814.454000000005</v>
      </c>
      <c r="AA433" s="239">
        <f t="shared" si="450"/>
        <v>63477.595999999998</v>
      </c>
      <c r="AB433" s="515">
        <f t="shared" si="450"/>
        <v>71624.709999999992</v>
      </c>
      <c r="AC433" s="239">
        <f t="shared" ref="AC433" si="451">SUM(AC431:AC432)</f>
        <v>77416.361000000004</v>
      </c>
      <c r="AD433" s="239">
        <f t="shared" ref="AD433" si="452">SUM(AD431:AD432)</f>
        <v>84451.205000000002</v>
      </c>
      <c r="AE433" s="239">
        <f t="shared" ref="AE433" si="453">SUM(AE431:AE432)</f>
        <v>92232.653999999995</v>
      </c>
      <c r="AF433" s="511"/>
    </row>
    <row r="434" spans="1:32" s="113" customFormat="1" ht="13.5" customHeight="1" x14ac:dyDescent="0.2">
      <c r="A434" s="107"/>
      <c r="B434" s="2"/>
      <c r="C434" s="2"/>
      <c r="D434" s="60"/>
      <c r="E434" s="1"/>
      <c r="F434" s="1"/>
      <c r="G434" s="1"/>
      <c r="H434" s="1"/>
      <c r="I434" s="1"/>
      <c r="J434" s="1"/>
      <c r="K434" s="1"/>
      <c r="L434" s="1"/>
      <c r="M434" s="423"/>
      <c r="N434" s="2"/>
      <c r="O434" s="2"/>
      <c r="P434" s="2"/>
      <c r="Q434" s="2"/>
      <c r="R434" s="2"/>
      <c r="S434" s="2"/>
      <c r="T434" s="273"/>
      <c r="U434" s="8"/>
      <c r="V434" s="234"/>
      <c r="W434" s="234"/>
      <c r="X434" s="516"/>
      <c r="Y434" s="234"/>
      <c r="Z434" s="234"/>
      <c r="AA434" s="234"/>
      <c r="AB434" s="516"/>
      <c r="AC434" s="234"/>
      <c r="AD434" s="234"/>
      <c r="AE434" s="234"/>
      <c r="AF434" s="511"/>
    </row>
    <row r="435" spans="1:32" s="113" customFormat="1" ht="13.5" customHeight="1" x14ac:dyDescent="0.2">
      <c r="A435" s="107"/>
      <c r="B435" s="3" t="s">
        <v>206</v>
      </c>
      <c r="C435" s="2"/>
      <c r="D435" s="240"/>
      <c r="E435" s="241"/>
      <c r="F435" s="242"/>
      <c r="G435" s="115"/>
      <c r="H435" s="241"/>
      <c r="I435" s="241"/>
      <c r="J435" s="1"/>
      <c r="K435" s="243"/>
      <c r="L435" s="1"/>
      <c r="M435" s="423"/>
      <c r="N435" s="2"/>
      <c r="O435" s="2"/>
      <c r="P435" s="2"/>
      <c r="Q435" s="2"/>
      <c r="R435" s="2"/>
      <c r="S435" s="2"/>
      <c r="T435" s="273"/>
      <c r="U435" s="8"/>
      <c r="V435" s="234"/>
      <c r="W435" s="234"/>
      <c r="X435" s="515"/>
      <c r="Y435" s="239"/>
      <c r="Z435" s="239"/>
      <c r="AA435" s="239"/>
      <c r="AB435" s="515"/>
      <c r="AC435" s="234"/>
      <c r="AD435" s="234"/>
      <c r="AE435" s="234"/>
      <c r="AF435" s="511"/>
    </row>
    <row r="436" spans="1:32" s="113" customFormat="1" ht="13.5" customHeight="1" x14ac:dyDescent="0.2">
      <c r="A436" s="107"/>
      <c r="B436" s="2" t="s">
        <v>207</v>
      </c>
      <c r="C436" s="2"/>
      <c r="D436" s="60">
        <v>78900.002999999997</v>
      </c>
      <c r="E436" s="1">
        <v>78051.489000000001</v>
      </c>
      <c r="F436" s="1">
        <v>99377.04</v>
      </c>
      <c r="G436" s="241">
        <v>113888.643</v>
      </c>
      <c r="H436" s="1">
        <v>191648.52100000001</v>
      </c>
      <c r="I436" s="1">
        <v>189974.71</v>
      </c>
      <c r="J436" s="1">
        <v>241352.818</v>
      </c>
      <c r="K436" s="1">
        <v>281852.83299999998</v>
      </c>
      <c r="L436" s="115">
        <v>323222.054</v>
      </c>
      <c r="M436" s="452">
        <v>342898.74099999998</v>
      </c>
      <c r="N436" s="7">
        <f>N11*Assumptions!O112</f>
        <v>365122.60199047078</v>
      </c>
      <c r="O436" s="7">
        <f>O11*Assumptions!P112</f>
        <v>412670.53534165787</v>
      </c>
      <c r="P436" s="7">
        <f ca="1">P11*Assumptions!Q112</f>
        <v>476646.40424582758</v>
      </c>
      <c r="Q436" s="7">
        <f ca="1">Q11*Assumptions!R112</f>
        <v>548014.73702695488</v>
      </c>
      <c r="R436" s="7">
        <f ca="1">R11*Assumptions!S112</f>
        <v>632949.80622060527</v>
      </c>
      <c r="S436" s="7">
        <f ca="1">S11*Assumptions!T112</f>
        <v>732698.50199664279</v>
      </c>
      <c r="T436" s="273"/>
      <c r="U436" s="8" t="s">
        <v>148</v>
      </c>
      <c r="V436" s="234" t="s">
        <v>148</v>
      </c>
      <c r="W436" s="234" t="s">
        <v>148</v>
      </c>
      <c r="X436" s="452">
        <v>323126.91499999998</v>
      </c>
      <c r="Y436" s="236">
        <v>303700.30699999997</v>
      </c>
      <c r="Z436" s="236">
        <v>303137.61700000003</v>
      </c>
      <c r="AA436" s="236">
        <v>295190.54700000002</v>
      </c>
      <c r="AB436" s="452">
        <v>342265.37199999997</v>
      </c>
      <c r="AC436" s="236">
        <v>343767.53399999999</v>
      </c>
      <c r="AD436" s="236">
        <v>315212.21100000001</v>
      </c>
      <c r="AE436" s="236">
        <v>307322.07400000002</v>
      </c>
      <c r="AF436" s="511"/>
    </row>
    <row r="437" spans="1:32" s="113" customFormat="1" ht="13.5" customHeight="1" x14ac:dyDescent="0.2">
      <c r="A437" s="107"/>
      <c r="B437" s="2" t="s">
        <v>208</v>
      </c>
      <c r="C437" s="2"/>
      <c r="D437" s="60">
        <f>3317.331+4184.232+627.553</f>
        <v>8129.116</v>
      </c>
      <c r="E437" s="1">
        <f>3576.99+4445.741+140.562</f>
        <v>8163.2929999999997</v>
      </c>
      <c r="F437" s="1">
        <f>510.262+3863.164+152.474</f>
        <v>4525.9000000000005</v>
      </c>
      <c r="G437" s="1">
        <f>1173.408+8091.641+8091.641</f>
        <v>17356.689999999999</v>
      </c>
      <c r="H437" s="1">
        <f>789.212+6697.94+698.546</f>
        <v>8185.6980000000003</v>
      </c>
      <c r="I437" s="1">
        <f>799.37+8924.575+10231.717</f>
        <v>19955.662000000004</v>
      </c>
      <c r="J437" s="1">
        <f>1426.96+18161.975+269.267</f>
        <v>19858.201999999997</v>
      </c>
      <c r="K437" s="1">
        <f>1717.789+16020.83+75.401</f>
        <v>17814.02</v>
      </c>
      <c r="L437" s="115">
        <v>16845.780999999999</v>
      </c>
      <c r="M437" s="452">
        <v>19624.993999999999</v>
      </c>
      <c r="N437" s="7">
        <f>N10*Assumptions!O113</f>
        <v>32705.782838840452</v>
      </c>
      <c r="O437" s="7">
        <f>O10*Assumptions!P113</f>
        <v>40235.366180976373</v>
      </c>
      <c r="P437" s="7">
        <f>P10*Assumptions!Q113</f>
        <v>47764.323221557803</v>
      </c>
      <c r="Q437" s="7">
        <f>Q10*Assumptions!R113</f>
        <v>53747.85487063598</v>
      </c>
      <c r="R437" s="7">
        <f>R10*Assumptions!S113</f>
        <v>60795.468810994156</v>
      </c>
      <c r="S437" s="7">
        <f>S10*Assumptions!T113</f>
        <v>68969.195113766298</v>
      </c>
      <c r="T437" s="273"/>
      <c r="U437" s="8" t="s">
        <v>148</v>
      </c>
      <c r="V437" s="234" t="s">
        <v>148</v>
      </c>
      <c r="W437" s="234" t="s">
        <v>148</v>
      </c>
      <c r="X437" s="452">
        <v>11628.453</v>
      </c>
      <c r="Y437" s="236">
        <v>11781.752</v>
      </c>
      <c r="Z437" s="236">
        <v>12089.217000000001</v>
      </c>
      <c r="AA437" s="236">
        <v>11265.522999999999</v>
      </c>
      <c r="AB437" s="452">
        <v>14948.695</v>
      </c>
      <c r="AC437" s="236">
        <v>11095.758</v>
      </c>
      <c r="AD437" s="236">
        <v>14495.343000000001</v>
      </c>
      <c r="AE437" s="236">
        <v>16693.146000000001</v>
      </c>
      <c r="AF437" s="511"/>
    </row>
    <row r="438" spans="1:32" s="113" customFormat="1" ht="13.5" customHeight="1" x14ac:dyDescent="0.2">
      <c r="A438" s="107"/>
      <c r="B438" s="2" t="s">
        <v>209</v>
      </c>
      <c r="C438" s="2"/>
      <c r="D438" s="115">
        <v>9093.8629999999994</v>
      </c>
      <c r="E438" s="115">
        <v>12622.413</v>
      </c>
      <c r="F438" s="115">
        <v>16479.775000000001</v>
      </c>
      <c r="G438" s="115">
        <v>23071.224999999999</v>
      </c>
      <c r="H438" s="115">
        <v>1608.038</v>
      </c>
      <c r="I438" s="115">
        <v>32722.825000000001</v>
      </c>
      <c r="J438" s="115">
        <v>41991.875</v>
      </c>
      <c r="K438" s="115">
        <v>47604.402999999998</v>
      </c>
      <c r="L438" s="115">
        <v>56780.995000000003</v>
      </c>
      <c r="M438" s="452">
        <v>76873.047999999995</v>
      </c>
      <c r="N438" s="7">
        <f>M438*(1+Assumptions!O114)</f>
        <v>94202.404151006776</v>
      </c>
      <c r="O438" s="7">
        <f>N438*(1+Assumptions!P114)</f>
        <v>114259.88035826229</v>
      </c>
      <c r="P438" s="7">
        <f>O438*(1+Assumptions!Q114)</f>
        <v>141591.37143649213</v>
      </c>
      <c r="Q438" s="7">
        <f>P438*(1+Assumptions!R114)</f>
        <v>177338.41782351315</v>
      </c>
      <c r="R438" s="7">
        <f>Q438*(1+Assumptions!S114)</f>
        <v>218486.70098908708</v>
      </c>
      <c r="S438" s="7">
        <f>R438*(1+Assumptions!T114)</f>
        <v>269550.01986816118</v>
      </c>
      <c r="T438" s="273"/>
      <c r="U438" s="8" t="s">
        <v>148</v>
      </c>
      <c r="V438" s="234" t="s">
        <v>148</v>
      </c>
      <c r="W438" s="234" t="s">
        <v>148</v>
      </c>
      <c r="X438" s="452">
        <v>53645.29</v>
      </c>
      <c r="Y438" s="236">
        <v>53645.29</v>
      </c>
      <c r="Z438" s="236">
        <v>53645.29</v>
      </c>
      <c r="AA438" s="236">
        <v>53645.29</v>
      </c>
      <c r="AB438" s="452">
        <v>74650.911999999997</v>
      </c>
      <c r="AC438" s="236">
        <v>74650.911999999997</v>
      </c>
      <c r="AD438" s="236">
        <v>74650.911999999997</v>
      </c>
      <c r="AE438" s="236">
        <v>74650.911999999997</v>
      </c>
      <c r="AF438" s="511"/>
    </row>
    <row r="439" spans="1:32" s="113" customFormat="1" ht="13.5" customHeight="1" x14ac:dyDescent="0.2">
      <c r="A439" s="107"/>
      <c r="B439" s="2"/>
      <c r="C439" s="2"/>
      <c r="D439" s="60"/>
      <c r="E439" s="1"/>
      <c r="F439" s="1"/>
      <c r="G439" s="1"/>
      <c r="H439" s="1"/>
      <c r="I439" s="1"/>
      <c r="J439" s="1"/>
      <c r="K439" s="1"/>
      <c r="L439" s="1"/>
      <c r="M439" s="423"/>
      <c r="N439" s="2"/>
      <c r="O439" s="2"/>
      <c r="P439" s="2"/>
      <c r="Q439" s="2"/>
      <c r="R439" s="2"/>
      <c r="S439" s="2"/>
      <c r="T439" s="273"/>
      <c r="U439" s="2"/>
      <c r="V439" s="2"/>
      <c r="W439" s="2"/>
      <c r="X439" s="440"/>
      <c r="Y439" s="2"/>
      <c r="Z439" s="2"/>
      <c r="AA439" s="2"/>
      <c r="AB439" s="440"/>
      <c r="AC439" s="2"/>
      <c r="AD439" s="2"/>
      <c r="AE439" s="2"/>
      <c r="AF439" s="511"/>
    </row>
    <row r="440" spans="1:32" s="113" customFormat="1" ht="13.5" customHeight="1" x14ac:dyDescent="0.2">
      <c r="A440" s="107"/>
      <c r="B440" s="3" t="s">
        <v>210</v>
      </c>
      <c r="C440" s="2"/>
      <c r="D440" s="109">
        <f t="shared" ref="D440:O440" si="454">SUM(D436:D438)</f>
        <v>96122.981999999989</v>
      </c>
      <c r="E440" s="109">
        <f t="shared" si="454"/>
        <v>98837.195000000007</v>
      </c>
      <c r="F440" s="109">
        <f t="shared" si="454"/>
        <v>120382.715</v>
      </c>
      <c r="G440" s="109">
        <f t="shared" si="454"/>
        <v>154316.55799999999</v>
      </c>
      <c r="H440" s="109">
        <f t="shared" si="454"/>
        <v>201442.25700000001</v>
      </c>
      <c r="I440" s="109">
        <f t="shared" si="454"/>
        <v>242653.19700000001</v>
      </c>
      <c r="J440" s="131">
        <f t="shared" si="454"/>
        <v>303202.89500000002</v>
      </c>
      <c r="K440" s="131">
        <f t="shared" si="454"/>
        <v>347271.25599999999</v>
      </c>
      <c r="L440" s="131">
        <f t="shared" si="454"/>
        <v>396848.83</v>
      </c>
      <c r="M440" s="468">
        <f t="shared" si="454"/>
        <v>439396.783</v>
      </c>
      <c r="N440" s="65">
        <f t="shared" si="454"/>
        <v>492030.788980318</v>
      </c>
      <c r="O440" s="65">
        <f t="shared" si="454"/>
        <v>567165.78188089654</v>
      </c>
      <c r="P440" s="65">
        <f ca="1">SUM(P436:P438)</f>
        <v>666002.09890387743</v>
      </c>
      <c r="Q440" s="65">
        <f ca="1">SUM(Q436:Q438)</f>
        <v>779101.00972110406</v>
      </c>
      <c r="R440" s="65">
        <f ca="1">SUM(R436:R438)</f>
        <v>912231.97602068656</v>
      </c>
      <c r="S440" s="65">
        <f ca="1">SUM(S436:S438)</f>
        <v>1071217.7169785704</v>
      </c>
      <c r="T440" s="644"/>
      <c r="U440" s="2"/>
      <c r="V440" s="2"/>
      <c r="W440" s="2"/>
      <c r="X440" s="472">
        <f>SUM(X436:X438)</f>
        <v>388400.65799999994</v>
      </c>
      <c r="Y440" s="244">
        <f t="shared" ref="Y440:AE440" si="455">SUM(Y436:Y438)</f>
        <v>369127.34899999993</v>
      </c>
      <c r="Z440" s="244">
        <f t="shared" si="455"/>
        <v>368872.12400000001</v>
      </c>
      <c r="AA440" s="244">
        <f t="shared" si="455"/>
        <v>360101.36</v>
      </c>
      <c r="AB440" s="472">
        <f t="shared" si="455"/>
        <v>431864.97899999999</v>
      </c>
      <c r="AC440" s="244">
        <f t="shared" si="455"/>
        <v>429514.20399999997</v>
      </c>
      <c r="AD440" s="244">
        <f t="shared" si="455"/>
        <v>404358.46600000001</v>
      </c>
      <c r="AE440" s="244">
        <f t="shared" si="455"/>
        <v>398666.13200000004</v>
      </c>
      <c r="AF440" s="511"/>
    </row>
    <row r="441" spans="1:32" x14ac:dyDescent="0.2">
      <c r="N441" s="11">
        <f>N440/M440-1</f>
        <v>0.11978696252839427</v>
      </c>
    </row>
    <row r="442" spans="1:32" x14ac:dyDescent="0.2">
      <c r="B442" s="3" t="s">
        <v>325</v>
      </c>
    </row>
    <row r="444" spans="1:32" x14ac:dyDescent="0.2">
      <c r="B444" s="2" t="s">
        <v>326</v>
      </c>
    </row>
    <row r="445" spans="1:32" x14ac:dyDescent="0.2">
      <c r="D445" s="217"/>
      <c r="E445" s="217"/>
      <c r="F445" s="245"/>
      <c r="G445" s="245"/>
      <c r="H445" s="245"/>
      <c r="I445" s="245"/>
    </row>
    <row r="446" spans="1:32" x14ac:dyDescent="0.2">
      <c r="A446" s="2"/>
      <c r="B446" s="2" t="s">
        <v>350</v>
      </c>
      <c r="D446" s="78">
        <v>25.064</v>
      </c>
      <c r="E446" s="78">
        <v>10.481999999999999</v>
      </c>
      <c r="F446" s="78">
        <v>4.3730000000000002</v>
      </c>
      <c r="G446" s="78">
        <v>14497.065000000001</v>
      </c>
      <c r="H446" s="78">
        <v>22667.485000000001</v>
      </c>
      <c r="I446" s="78">
        <v>33864.89</v>
      </c>
      <c r="J446" s="78">
        <v>38214.307999999997</v>
      </c>
      <c r="K446" s="78">
        <v>106126.84</v>
      </c>
      <c r="L446" s="78">
        <v>6375.5259999999998</v>
      </c>
      <c r="M446" s="473">
        <v>6532.7250000000004</v>
      </c>
      <c r="AF446" s="520"/>
    </row>
    <row r="447" spans="1:32" x14ac:dyDescent="0.2">
      <c r="A447" s="2"/>
      <c r="B447" s="2" t="s">
        <v>342</v>
      </c>
      <c r="D447" s="78">
        <v>1001.539</v>
      </c>
      <c r="E447" s="78">
        <v>1263.587</v>
      </c>
      <c r="F447" s="78">
        <v>1401.616</v>
      </c>
      <c r="G447" s="78">
        <v>1756.144</v>
      </c>
      <c r="H447" s="78">
        <v>1982.9570000000001</v>
      </c>
      <c r="I447" s="78">
        <v>2896.0749999999998</v>
      </c>
      <c r="J447" s="78">
        <v>3399.5340000000001</v>
      </c>
      <c r="K447" s="78">
        <v>4597.9489999999996</v>
      </c>
      <c r="L447" s="78">
        <v>10788.382</v>
      </c>
      <c r="M447" s="473">
        <v>17428.237000000001</v>
      </c>
      <c r="AF447" s="520"/>
    </row>
    <row r="448" spans="1:32" x14ac:dyDescent="0.2">
      <c r="A448" s="2"/>
      <c r="B448" s="2" t="s">
        <v>338</v>
      </c>
      <c r="D448" s="78">
        <v>3873.0250000000001</v>
      </c>
      <c r="E448" s="78">
        <v>3653.1559999999999</v>
      </c>
      <c r="F448" s="78">
        <v>2903.6080000000002</v>
      </c>
      <c r="G448" s="78">
        <v>2465.0419999999999</v>
      </c>
      <c r="H448" s="78">
        <v>1693.6690000000001</v>
      </c>
      <c r="I448" s="78">
        <v>3539.8820000000001</v>
      </c>
      <c r="J448" s="78">
        <v>4367.7950000000001</v>
      </c>
      <c r="K448" s="78">
        <v>8146.9229999999998</v>
      </c>
      <c r="L448" s="78">
        <v>13151.742</v>
      </c>
      <c r="M448" s="473">
        <v>14735.15</v>
      </c>
      <c r="AF448" s="520"/>
    </row>
    <row r="449" spans="1:32" x14ac:dyDescent="0.2">
      <c r="A449" s="2"/>
      <c r="B449" s="2" t="s">
        <v>334</v>
      </c>
      <c r="D449" s="78">
        <v>4042.1439999999998</v>
      </c>
      <c r="E449" s="78">
        <v>6783.3829999999998</v>
      </c>
      <c r="F449" s="78">
        <v>10927.376</v>
      </c>
      <c r="G449" s="78">
        <v>13690.012000000001</v>
      </c>
      <c r="H449" s="78">
        <v>15510.284</v>
      </c>
      <c r="I449" s="78">
        <v>19097.401999999998</v>
      </c>
      <c r="J449" s="78">
        <v>21655.927</v>
      </c>
      <c r="K449" s="78">
        <v>20610.092000000001</v>
      </c>
      <c r="L449" s="78">
        <v>13500.192999999999</v>
      </c>
      <c r="M449" s="473">
        <v>14159.334000000001</v>
      </c>
      <c r="AF449" s="520"/>
    </row>
    <row r="450" spans="1:32" x14ac:dyDescent="0.2">
      <c r="A450" s="2"/>
      <c r="B450" s="2" t="s">
        <v>331</v>
      </c>
      <c r="D450" s="78">
        <v>851.57</v>
      </c>
      <c r="E450" s="78">
        <v>20.879000000000001</v>
      </c>
      <c r="F450" s="78">
        <v>47.124000000000002</v>
      </c>
      <c r="G450" s="78">
        <v>2975.0630000000001</v>
      </c>
      <c r="H450" s="78">
        <v>672.87900000000002</v>
      </c>
      <c r="I450" s="78">
        <v>689.93799999999999</v>
      </c>
      <c r="J450" s="78">
        <v>3760.8270000000002</v>
      </c>
      <c r="K450" s="78">
        <v>7184.9229999999998</v>
      </c>
      <c r="L450" s="78">
        <v>26154.132000000001</v>
      </c>
      <c r="M450" s="473">
        <v>21959.86</v>
      </c>
      <c r="AF450" s="520"/>
    </row>
    <row r="451" spans="1:32" x14ac:dyDescent="0.2">
      <c r="A451" s="2"/>
      <c r="B451" s="2" t="s">
        <v>330</v>
      </c>
      <c r="D451" s="78">
        <v>2273.6410000000001</v>
      </c>
      <c r="E451" s="78">
        <v>1201.1500000000001</v>
      </c>
      <c r="F451" s="78">
        <v>985.64</v>
      </c>
      <c r="G451" s="78">
        <v>1254.423</v>
      </c>
      <c r="H451" s="78">
        <v>701.46299999999997</v>
      </c>
      <c r="I451" s="78">
        <v>3216.384</v>
      </c>
      <c r="J451" s="78">
        <v>3823.221</v>
      </c>
      <c r="K451" s="78">
        <v>4102.683</v>
      </c>
      <c r="L451" s="78">
        <v>5382.4650000000001</v>
      </c>
      <c r="M451" s="473">
        <v>5556.2060000000001</v>
      </c>
      <c r="AF451" s="520"/>
    </row>
    <row r="452" spans="1:32" x14ac:dyDescent="0.2">
      <c r="A452" s="2"/>
      <c r="B452" s="2" t="s">
        <v>332</v>
      </c>
      <c r="D452" s="78">
        <v>1310.3389999999999</v>
      </c>
      <c r="E452" s="78">
        <v>503.78399999999999</v>
      </c>
      <c r="F452" s="78">
        <v>938.83</v>
      </c>
      <c r="G452" s="78">
        <v>805.96600000000001</v>
      </c>
      <c r="H452" s="78">
        <v>1217.3340000000001</v>
      </c>
      <c r="I452" s="78">
        <v>3410.0279999999998</v>
      </c>
      <c r="J452" s="78">
        <v>4770.0439999999999</v>
      </c>
      <c r="K452" s="78">
        <v>5905.1689999999999</v>
      </c>
      <c r="L452" s="78">
        <v>2953.4810000000002</v>
      </c>
      <c r="M452" s="473">
        <v>2424.5360000000001</v>
      </c>
      <c r="AF452" s="520"/>
    </row>
    <row r="453" spans="1:32" x14ac:dyDescent="0.2">
      <c r="A453" s="2"/>
      <c r="B453" s="2" t="s">
        <v>347</v>
      </c>
      <c r="D453" s="78">
        <v>0</v>
      </c>
      <c r="E453" s="78">
        <v>0</v>
      </c>
      <c r="F453" s="78">
        <v>0</v>
      </c>
      <c r="G453" s="78">
        <v>0</v>
      </c>
      <c r="H453" s="78">
        <v>0</v>
      </c>
      <c r="I453" s="78">
        <v>0</v>
      </c>
      <c r="J453" s="78">
        <v>0</v>
      </c>
      <c r="K453" s="78">
        <v>0</v>
      </c>
      <c r="L453" s="78">
        <v>9758.8029999999999</v>
      </c>
      <c r="M453" s="473">
        <v>6254.098</v>
      </c>
      <c r="AF453" s="520"/>
    </row>
    <row r="454" spans="1:32" x14ac:dyDescent="0.2">
      <c r="A454" s="2"/>
      <c r="B454" s="2" t="s">
        <v>328</v>
      </c>
      <c r="D454" s="78">
        <v>0</v>
      </c>
      <c r="E454" s="78">
        <v>0</v>
      </c>
      <c r="F454" s="78">
        <v>0</v>
      </c>
      <c r="G454" s="78">
        <v>936.27499999999998</v>
      </c>
      <c r="H454" s="78">
        <v>274.18299999999999</v>
      </c>
      <c r="I454" s="78">
        <v>437.09199999999998</v>
      </c>
      <c r="J454" s="78">
        <v>946.64</v>
      </c>
      <c r="K454" s="78">
        <v>930.72</v>
      </c>
      <c r="L454" s="78">
        <v>1359.991</v>
      </c>
      <c r="M454" s="473">
        <v>778.36400000000003</v>
      </c>
      <c r="AF454" s="520"/>
    </row>
    <row r="455" spans="1:32" x14ac:dyDescent="0.2">
      <c r="A455" s="2"/>
      <c r="B455" s="2" t="s">
        <v>351</v>
      </c>
      <c r="D455" s="78">
        <v>0</v>
      </c>
      <c r="E455" s="78">
        <v>0</v>
      </c>
      <c r="F455" s="78">
        <v>0</v>
      </c>
      <c r="G455" s="78">
        <v>0</v>
      </c>
      <c r="H455" s="78">
        <v>0</v>
      </c>
      <c r="I455" s="78">
        <v>0</v>
      </c>
      <c r="J455" s="78">
        <v>0</v>
      </c>
      <c r="K455" s="78">
        <v>0</v>
      </c>
      <c r="L455" s="78">
        <v>118998.351</v>
      </c>
      <c r="M455" s="473">
        <v>118998.351</v>
      </c>
      <c r="AF455" s="520"/>
    </row>
    <row r="456" spans="1:32" x14ac:dyDescent="0.2">
      <c r="A456" s="2"/>
      <c r="B456" s="2" t="s">
        <v>336</v>
      </c>
      <c r="D456" s="78">
        <v>1112.0809999999999</v>
      </c>
      <c r="E456" s="78">
        <v>882.54499999999996</v>
      </c>
      <c r="F456" s="78">
        <v>704.34500000000003</v>
      </c>
      <c r="G456" s="78">
        <v>2254.5320000000002</v>
      </c>
      <c r="H456" s="78">
        <v>1307.6110000000001</v>
      </c>
      <c r="I456" s="78">
        <v>1518.816</v>
      </c>
      <c r="J456" s="78">
        <v>1461.597</v>
      </c>
      <c r="K456" s="78">
        <v>1323.9849999999999</v>
      </c>
      <c r="L456" s="78">
        <v>3028.701</v>
      </c>
      <c r="M456" s="473">
        <v>3641.15</v>
      </c>
      <c r="AF456" s="520"/>
    </row>
    <row r="457" spans="1:32" x14ac:dyDescent="0.2">
      <c r="A457" s="2"/>
      <c r="B457" s="2" t="s">
        <v>340</v>
      </c>
      <c r="D457" s="78">
        <v>6614.7889999999998</v>
      </c>
      <c r="E457" s="78">
        <v>6576.42</v>
      </c>
      <c r="F457" s="78">
        <v>7172.2470000000003</v>
      </c>
      <c r="G457" s="78">
        <v>7546.9530000000004</v>
      </c>
      <c r="H457" s="78">
        <v>12211.516</v>
      </c>
      <c r="I457" s="78">
        <v>17861.322</v>
      </c>
      <c r="J457" s="78">
        <v>25886.649000000001</v>
      </c>
      <c r="K457" s="78">
        <v>36161.773999999998</v>
      </c>
      <c r="L457" s="78">
        <v>50039.79</v>
      </c>
      <c r="M457" s="473">
        <v>49641.377999999997</v>
      </c>
      <c r="AF457" s="520"/>
    </row>
    <row r="458" spans="1:32" x14ac:dyDescent="0.2">
      <c r="A458" s="2"/>
      <c r="B458" s="2" t="s">
        <v>329</v>
      </c>
      <c r="D458" s="78">
        <v>0</v>
      </c>
      <c r="E458" s="78">
        <v>0</v>
      </c>
      <c r="F458" s="78">
        <v>0</v>
      </c>
      <c r="G458" s="78">
        <v>32.826999999999998</v>
      </c>
      <c r="H458" s="78">
        <v>33.933</v>
      </c>
      <c r="I458" s="78">
        <v>10.239000000000001</v>
      </c>
      <c r="J458" s="78">
        <v>52.731000000000002</v>
      </c>
      <c r="K458" s="78">
        <v>35.691000000000003</v>
      </c>
      <c r="L458" s="78">
        <v>211.67599999999999</v>
      </c>
      <c r="M458" s="473">
        <v>247.572</v>
      </c>
      <c r="AF458" s="520"/>
    </row>
    <row r="459" spans="1:32" x14ac:dyDescent="0.2">
      <c r="A459" s="2"/>
      <c r="B459" s="2" t="s">
        <v>348</v>
      </c>
      <c r="D459" s="78">
        <v>0</v>
      </c>
      <c r="E459" s="78">
        <v>0</v>
      </c>
      <c r="F459" s="78">
        <v>0</v>
      </c>
      <c r="G459" s="78">
        <v>0</v>
      </c>
      <c r="H459" s="78">
        <v>0</v>
      </c>
      <c r="I459" s="78">
        <v>0</v>
      </c>
      <c r="J459" s="78">
        <v>0</v>
      </c>
      <c r="K459" s="78">
        <v>0</v>
      </c>
      <c r="L459" s="78">
        <v>2727.7959999999998</v>
      </c>
      <c r="M459" s="473">
        <v>6284.4</v>
      </c>
      <c r="AF459" s="520"/>
    </row>
    <row r="460" spans="1:32" x14ac:dyDescent="0.2">
      <c r="A460" s="2"/>
      <c r="B460" s="2" t="s">
        <v>349</v>
      </c>
      <c r="D460" s="78">
        <v>0</v>
      </c>
      <c r="E460" s="78">
        <v>0</v>
      </c>
      <c r="F460" s="78">
        <v>0</v>
      </c>
      <c r="G460" s="78">
        <v>0</v>
      </c>
      <c r="H460" s="78">
        <v>0</v>
      </c>
      <c r="I460" s="78">
        <v>0</v>
      </c>
      <c r="J460" s="78">
        <v>0</v>
      </c>
      <c r="K460" s="78">
        <v>0</v>
      </c>
      <c r="L460" s="78">
        <v>35817.044000000002</v>
      </c>
      <c r="M460" s="473">
        <v>22022.98</v>
      </c>
      <c r="AF460" s="520"/>
    </row>
    <row r="461" spans="1:32" x14ac:dyDescent="0.2">
      <c r="A461" s="2"/>
      <c r="B461" s="2" t="s">
        <v>345</v>
      </c>
      <c r="D461" s="78">
        <v>0</v>
      </c>
      <c r="E461" s="78">
        <v>0</v>
      </c>
      <c r="F461" s="78">
        <v>0</v>
      </c>
      <c r="G461" s="78">
        <v>5153.7629999999999</v>
      </c>
      <c r="H461" s="78">
        <v>4007.3420000000001</v>
      </c>
      <c r="I461" s="78">
        <v>5514.1930000000002</v>
      </c>
      <c r="J461" s="78">
        <v>8227.027</v>
      </c>
      <c r="K461" s="78">
        <v>8221.6540000000005</v>
      </c>
      <c r="L461" s="78">
        <v>10221.33</v>
      </c>
      <c r="M461" s="473">
        <v>9808.5390000000007</v>
      </c>
      <c r="AF461" s="520"/>
    </row>
    <row r="462" spans="1:32" x14ac:dyDescent="0.2">
      <c r="A462" s="2"/>
      <c r="B462" s="2" t="s">
        <v>346</v>
      </c>
      <c r="D462" s="78">
        <v>2099.7179999999998</v>
      </c>
      <c r="E462" s="78">
        <v>4570.4650000000001</v>
      </c>
      <c r="F462" s="78">
        <v>7312.8549999999996</v>
      </c>
      <c r="G462" s="78">
        <v>18724.427</v>
      </c>
      <c r="H462" s="78">
        <v>40071.832999999999</v>
      </c>
      <c r="I462" s="78">
        <v>22822.499</v>
      </c>
      <c r="J462" s="78">
        <v>71780.653999999995</v>
      </c>
      <c r="K462" s="78">
        <v>74548.3</v>
      </c>
      <c r="L462" s="78">
        <v>71885.423999999999</v>
      </c>
      <c r="M462" s="473">
        <v>80339.578999999998</v>
      </c>
      <c r="AF462" s="520"/>
    </row>
    <row r="463" spans="1:32" x14ac:dyDescent="0.2">
      <c r="A463" s="2"/>
      <c r="B463" s="2" t="s">
        <v>339</v>
      </c>
      <c r="D463" s="78">
        <v>1280.326</v>
      </c>
      <c r="E463" s="78" t="s">
        <v>148</v>
      </c>
      <c r="F463" s="78">
        <v>4.2</v>
      </c>
      <c r="G463" s="78">
        <v>5962.0159999999996</v>
      </c>
      <c r="H463" s="78">
        <v>9474.57</v>
      </c>
      <c r="I463" s="78">
        <v>5498.62</v>
      </c>
      <c r="J463" s="78">
        <v>4609.7560000000003</v>
      </c>
      <c r="K463" s="78">
        <v>4738.616</v>
      </c>
      <c r="L463" s="78">
        <v>4754.8389999999999</v>
      </c>
      <c r="M463" s="473">
        <v>7979.1220000000003</v>
      </c>
      <c r="AF463" s="520"/>
    </row>
    <row r="464" spans="1:32" x14ac:dyDescent="0.2">
      <c r="A464" s="2"/>
      <c r="B464" s="2" t="s">
        <v>335</v>
      </c>
      <c r="D464" s="78">
        <v>950.495</v>
      </c>
      <c r="E464" s="78">
        <v>2188.8710000000001</v>
      </c>
      <c r="F464" s="78">
        <v>3150.3470000000002</v>
      </c>
      <c r="G464" s="78">
        <v>4143.3990000000003</v>
      </c>
      <c r="H464" s="78">
        <v>6871.8339999999998</v>
      </c>
      <c r="I464" s="78">
        <v>8397.5300000000007</v>
      </c>
      <c r="J464" s="78">
        <v>7416.9290000000001</v>
      </c>
      <c r="K464" s="78">
        <v>10780.23</v>
      </c>
      <c r="L464" s="78">
        <v>11456.405000000001</v>
      </c>
      <c r="M464" s="473">
        <v>6511.8459999999995</v>
      </c>
      <c r="AF464" s="520"/>
    </row>
    <row r="465" spans="1:32" x14ac:dyDescent="0.2">
      <c r="A465" s="2"/>
      <c r="B465" s="2" t="s">
        <v>327</v>
      </c>
      <c r="D465" s="78">
        <v>18924.538</v>
      </c>
      <c r="E465" s="78">
        <v>15454.919</v>
      </c>
      <c r="F465" s="78">
        <v>24775.48</v>
      </c>
      <c r="G465" s="78">
        <v>37782.228000000003</v>
      </c>
      <c r="H465" s="78">
        <v>40855.89</v>
      </c>
      <c r="I465" s="78">
        <v>49281.856</v>
      </c>
      <c r="J465" s="78">
        <v>62367.983</v>
      </c>
      <c r="K465" s="78">
        <v>71916.539999999994</v>
      </c>
      <c r="L465" s="78">
        <v>82653.75</v>
      </c>
      <c r="M465" s="473">
        <v>85320.361999999994</v>
      </c>
      <c r="AF465" s="520"/>
    </row>
    <row r="466" spans="1:32" x14ac:dyDescent="0.2">
      <c r="A466" s="2"/>
      <c r="B466" s="2" t="s">
        <v>333</v>
      </c>
      <c r="D466" s="78">
        <v>1971.979</v>
      </c>
      <c r="E466" s="78" t="s">
        <v>148</v>
      </c>
      <c r="F466" s="78">
        <v>1202.5150000000001</v>
      </c>
      <c r="G466" s="78">
        <v>1327.58</v>
      </c>
      <c r="H466" s="78">
        <v>2543.877</v>
      </c>
      <c r="I466" s="78">
        <v>9544.4629999999997</v>
      </c>
      <c r="J466" s="78">
        <v>11916.862999999999</v>
      </c>
      <c r="K466" s="78">
        <v>15555.275</v>
      </c>
      <c r="L466" s="78">
        <v>23466.606</v>
      </c>
      <c r="M466" s="473">
        <v>23973.248</v>
      </c>
      <c r="AF466" s="520"/>
    </row>
    <row r="467" spans="1:32" x14ac:dyDescent="0.2">
      <c r="A467" s="2"/>
      <c r="B467" s="2" t="s">
        <v>337</v>
      </c>
      <c r="D467" s="78">
        <v>3396.2570000000001</v>
      </c>
      <c r="E467" s="78">
        <v>16.643000000000001</v>
      </c>
      <c r="F467" s="78">
        <v>308.584</v>
      </c>
      <c r="G467" s="78">
        <v>2943.576</v>
      </c>
      <c r="H467" s="78">
        <v>5026.7240000000002</v>
      </c>
      <c r="I467" s="78">
        <v>5181.6469999999999</v>
      </c>
      <c r="J467" s="78">
        <v>22040.382000000001</v>
      </c>
      <c r="K467" s="78">
        <v>14315.391</v>
      </c>
      <c r="L467" s="78">
        <v>12699.242</v>
      </c>
      <c r="M467" s="473">
        <v>10940.491</v>
      </c>
      <c r="AF467" s="520"/>
    </row>
    <row r="468" spans="1:32" x14ac:dyDescent="0.2">
      <c r="A468" s="2"/>
      <c r="B468" s="2" t="s">
        <v>159</v>
      </c>
      <c r="D468" s="78">
        <v>8118.8040000000001</v>
      </c>
      <c r="E468" s="78">
        <v>21350.436000000002</v>
      </c>
      <c r="F468" s="78">
        <v>32563.127</v>
      </c>
      <c r="G468" s="78">
        <v>9223.4179999999997</v>
      </c>
      <c r="H468" s="78">
        <v>16160.164000000001</v>
      </c>
      <c r="I468" s="78">
        <v>22992.787</v>
      </c>
      <c r="J468" s="78">
        <v>22917.996999999999</v>
      </c>
      <c r="K468" s="78">
        <v>33530.836000000003</v>
      </c>
      <c r="L468" s="78">
        <v>4878.0940000000001</v>
      </c>
      <c r="M468" s="473">
        <v>3418.75</v>
      </c>
      <c r="AF468" s="520"/>
    </row>
    <row r="469" spans="1:32" ht="12" thickBot="1" x14ac:dyDescent="0.25">
      <c r="A469" s="2"/>
      <c r="D469" s="246">
        <f>SUM(D446:D468)</f>
        <v>57846.308999999994</v>
      </c>
      <c r="E469" s="246">
        <f t="shared" ref="E469:M469" si="456">SUM(E446:E468)</f>
        <v>64476.719999999994</v>
      </c>
      <c r="F469" s="247">
        <f t="shared" si="456"/>
        <v>94402.266999999993</v>
      </c>
      <c r="G469" s="247">
        <f t="shared" si="456"/>
        <v>133474.709</v>
      </c>
      <c r="H469" s="247">
        <f t="shared" si="456"/>
        <v>183285.54799999998</v>
      </c>
      <c r="I469" s="247">
        <f t="shared" si="456"/>
        <v>215775.663</v>
      </c>
      <c r="J469" s="247">
        <f t="shared" si="456"/>
        <v>319616.86399999994</v>
      </c>
      <c r="K469" s="247">
        <f t="shared" si="456"/>
        <v>428733.59099999996</v>
      </c>
      <c r="L469" s="247">
        <f t="shared" si="456"/>
        <v>522263.76300000004</v>
      </c>
      <c r="M469" s="474">
        <f t="shared" si="456"/>
        <v>518956.27799999999</v>
      </c>
      <c r="N469" s="3"/>
      <c r="O469" s="3"/>
      <c r="P469" s="3"/>
      <c r="Q469" s="3"/>
      <c r="R469" s="3"/>
      <c r="S469" s="3"/>
      <c r="AF469" s="520"/>
    </row>
    <row r="470" spans="1:32" ht="12" thickTop="1" x14ac:dyDescent="0.2">
      <c r="A470" s="2"/>
      <c r="AF470" s="520"/>
    </row>
    <row r="473" spans="1:32" x14ac:dyDescent="0.2">
      <c r="A473" s="2"/>
      <c r="B473" s="3" t="s">
        <v>344</v>
      </c>
      <c r="AF473" s="520"/>
    </row>
    <row r="475" spans="1:32" x14ac:dyDescent="0.2">
      <c r="A475" s="2"/>
      <c r="B475" s="2" t="s">
        <v>341</v>
      </c>
      <c r="D475" s="7">
        <v>13.576000000000001</v>
      </c>
      <c r="E475" s="7">
        <v>0</v>
      </c>
      <c r="F475" s="7">
        <v>0</v>
      </c>
      <c r="G475" s="7">
        <v>0</v>
      </c>
      <c r="H475" s="7">
        <v>0</v>
      </c>
      <c r="I475" s="7">
        <v>232.56</v>
      </c>
      <c r="J475" s="7">
        <v>62.591999999999999</v>
      </c>
      <c r="K475" s="7">
        <v>59.712000000000003</v>
      </c>
      <c r="L475" s="7" t="s">
        <v>148</v>
      </c>
      <c r="M475" s="467">
        <v>54.637</v>
      </c>
      <c r="AF475" s="520"/>
    </row>
    <row r="476" spans="1:32" x14ac:dyDescent="0.2">
      <c r="A476" s="2"/>
      <c r="B476" s="2" t="s">
        <v>342</v>
      </c>
      <c r="D476" s="7">
        <v>593.22299999999996</v>
      </c>
      <c r="E476" s="7">
        <v>561.20899999999995</v>
      </c>
      <c r="F476" s="7">
        <v>560.54499999999996</v>
      </c>
      <c r="G476" s="7">
        <v>650.54</v>
      </c>
      <c r="H476" s="7">
        <v>656.36099999999999</v>
      </c>
      <c r="I476" s="7">
        <v>674.19100000000003</v>
      </c>
      <c r="J476" s="7">
        <v>659.56600000000003</v>
      </c>
      <c r="K476" s="7">
        <v>636.49400000000003</v>
      </c>
      <c r="L476" s="7">
        <v>631.91200000000003</v>
      </c>
      <c r="M476" s="467">
        <v>642.23199999999997</v>
      </c>
      <c r="AF476" s="520"/>
    </row>
    <row r="477" spans="1:32" x14ac:dyDescent="0.2">
      <c r="A477" s="2"/>
      <c r="B477" s="2" t="s">
        <v>338</v>
      </c>
      <c r="D477" s="7">
        <v>238.167</v>
      </c>
      <c r="E477" s="7">
        <v>196.74199999999999</v>
      </c>
      <c r="F477" s="7">
        <v>147.166</v>
      </c>
      <c r="G477" s="7">
        <v>87.236999999999995</v>
      </c>
      <c r="H477" s="7">
        <v>0</v>
      </c>
      <c r="I477" s="7">
        <v>0</v>
      </c>
      <c r="J477" s="7">
        <v>0</v>
      </c>
      <c r="K477" s="7">
        <v>0</v>
      </c>
      <c r="L477" s="7" t="s">
        <v>148</v>
      </c>
      <c r="M477" s="467" t="s">
        <v>148</v>
      </c>
      <c r="AF477" s="520"/>
    </row>
    <row r="478" spans="1:32" x14ac:dyDescent="0.2">
      <c r="A478" s="2"/>
      <c r="B478" s="2" t="s">
        <v>334</v>
      </c>
      <c r="D478" s="7">
        <v>11.021000000000001</v>
      </c>
      <c r="E478" s="7">
        <v>52.174999999999997</v>
      </c>
      <c r="F478" s="7">
        <v>29.404</v>
      </c>
      <c r="G478" s="7">
        <v>49.695999999999998</v>
      </c>
      <c r="H478" s="7">
        <v>94.728999999999999</v>
      </c>
      <c r="I478" s="7">
        <v>0</v>
      </c>
      <c r="J478" s="7">
        <v>43.334000000000003</v>
      </c>
      <c r="K478" s="7">
        <v>41.838999999999999</v>
      </c>
      <c r="L478" s="7">
        <v>88.671000000000006</v>
      </c>
      <c r="M478" s="467">
        <v>75.137</v>
      </c>
      <c r="AF478" s="520"/>
    </row>
    <row r="479" spans="1:32" x14ac:dyDescent="0.2">
      <c r="A479" s="2"/>
      <c r="B479" s="2" t="s">
        <v>331</v>
      </c>
      <c r="D479" s="7">
        <v>0</v>
      </c>
      <c r="E479" s="7">
        <v>0</v>
      </c>
      <c r="F479" s="7">
        <v>0</v>
      </c>
      <c r="G479" s="7">
        <v>0</v>
      </c>
      <c r="H479" s="7">
        <v>11.816000000000001</v>
      </c>
      <c r="I479" s="7">
        <v>26.597000000000001</v>
      </c>
      <c r="J479" s="7">
        <v>21.597000000000001</v>
      </c>
      <c r="K479" s="7">
        <v>19.93</v>
      </c>
      <c r="L479" s="7">
        <v>36.442999999999998</v>
      </c>
      <c r="M479" s="467">
        <v>462.35399999999998</v>
      </c>
      <c r="T479" s="51"/>
      <c r="AF479" s="520"/>
    </row>
    <row r="480" spans="1:32" x14ac:dyDescent="0.2">
      <c r="A480" s="2"/>
      <c r="B480" s="2" t="s">
        <v>330</v>
      </c>
      <c r="D480" s="7">
        <v>0</v>
      </c>
      <c r="E480" s="7">
        <v>0</v>
      </c>
      <c r="F480" s="7">
        <v>0</v>
      </c>
      <c r="G480" s="7">
        <v>0</v>
      </c>
      <c r="H480" s="7">
        <v>19.616</v>
      </c>
      <c r="I480" s="7" t="s">
        <v>148</v>
      </c>
      <c r="J480" s="7">
        <v>19.616</v>
      </c>
      <c r="K480" s="7">
        <v>19.616</v>
      </c>
      <c r="L480" s="7">
        <v>37.799999999999997</v>
      </c>
      <c r="M480" s="467" t="s">
        <v>148</v>
      </c>
      <c r="T480" s="51"/>
      <c r="AF480" s="520"/>
    </row>
    <row r="481" spans="1:32" x14ac:dyDescent="0.2">
      <c r="A481" s="2"/>
      <c r="B481" s="2" t="s">
        <v>332</v>
      </c>
      <c r="D481" s="7">
        <v>0</v>
      </c>
      <c r="E481" s="7">
        <v>0</v>
      </c>
      <c r="F481" s="7">
        <v>0</v>
      </c>
      <c r="G481" s="7">
        <v>0</v>
      </c>
      <c r="H481" s="7">
        <v>1.875</v>
      </c>
      <c r="I481" s="7">
        <v>257.452</v>
      </c>
      <c r="J481" s="7">
        <v>260.26299999999998</v>
      </c>
      <c r="K481" s="7">
        <v>258.82100000000003</v>
      </c>
      <c r="L481" s="7">
        <v>154.767</v>
      </c>
      <c r="M481" s="467">
        <v>155.32400000000001</v>
      </c>
      <c r="T481" s="51"/>
      <c r="AF481" s="520"/>
    </row>
    <row r="482" spans="1:32" x14ac:dyDescent="0.2">
      <c r="A482" s="2"/>
      <c r="B482" s="2" t="s">
        <v>347</v>
      </c>
      <c r="D482" s="7">
        <v>0</v>
      </c>
      <c r="E482" s="7">
        <v>0</v>
      </c>
      <c r="F482" s="7">
        <v>0</v>
      </c>
      <c r="G482" s="7">
        <v>0</v>
      </c>
      <c r="H482" s="7">
        <v>0</v>
      </c>
      <c r="I482" s="7">
        <v>0</v>
      </c>
      <c r="J482" s="7">
        <v>0</v>
      </c>
      <c r="K482" s="7">
        <v>0</v>
      </c>
      <c r="L482" s="7">
        <v>38.832999999999998</v>
      </c>
      <c r="M482" s="467">
        <v>38.832999999999998</v>
      </c>
      <c r="T482" s="51"/>
      <c r="AF482" s="520"/>
    </row>
    <row r="483" spans="1:32" x14ac:dyDescent="0.2">
      <c r="A483" s="2"/>
      <c r="B483" s="2" t="s">
        <v>328</v>
      </c>
      <c r="D483" s="7">
        <v>0</v>
      </c>
      <c r="E483" s="7">
        <v>0</v>
      </c>
      <c r="F483" s="7">
        <v>0</v>
      </c>
      <c r="G483" s="7">
        <v>0</v>
      </c>
      <c r="H483" s="7">
        <v>0</v>
      </c>
      <c r="I483" s="7">
        <v>0</v>
      </c>
      <c r="J483" s="7">
        <v>0</v>
      </c>
      <c r="K483" s="7">
        <v>0</v>
      </c>
      <c r="L483" s="7" t="s">
        <v>148</v>
      </c>
      <c r="M483" s="467" t="s">
        <v>148</v>
      </c>
      <c r="T483" s="51"/>
      <c r="AF483" s="520"/>
    </row>
    <row r="484" spans="1:32" x14ac:dyDescent="0.2">
      <c r="A484" s="2"/>
      <c r="B484" s="2" t="s">
        <v>351</v>
      </c>
      <c r="D484" s="7">
        <v>0</v>
      </c>
      <c r="E484" s="7">
        <v>0</v>
      </c>
      <c r="F484" s="7">
        <v>0</v>
      </c>
      <c r="G484" s="7">
        <v>0</v>
      </c>
      <c r="H484" s="7">
        <v>0</v>
      </c>
      <c r="I484" s="7">
        <v>0</v>
      </c>
      <c r="J484" s="7">
        <v>0</v>
      </c>
      <c r="K484" s="7">
        <v>0</v>
      </c>
      <c r="L484" s="7">
        <v>439.15600000000001</v>
      </c>
      <c r="M484" s="467">
        <v>999.98400000000004</v>
      </c>
      <c r="T484" s="51"/>
      <c r="AF484" s="520"/>
    </row>
    <row r="485" spans="1:32" x14ac:dyDescent="0.2">
      <c r="A485" s="2"/>
      <c r="B485" s="2" t="s">
        <v>336</v>
      </c>
      <c r="D485" s="7" t="s">
        <v>148</v>
      </c>
      <c r="E485" s="7">
        <v>103.40300000000001</v>
      </c>
      <c r="F485" s="7">
        <v>180.40299999999999</v>
      </c>
      <c r="G485" s="7">
        <v>177.77799999999999</v>
      </c>
      <c r="H485" s="7">
        <v>116.93899999999999</v>
      </c>
      <c r="I485" s="7">
        <v>108.57</v>
      </c>
      <c r="J485" s="7">
        <v>188.113</v>
      </c>
      <c r="K485" s="7">
        <v>215.346</v>
      </c>
      <c r="L485" s="7">
        <v>230.006</v>
      </c>
      <c r="M485" s="467">
        <v>201.20099999999999</v>
      </c>
      <c r="T485" s="51"/>
      <c r="AF485" s="520"/>
    </row>
    <row r="486" spans="1:32" x14ac:dyDescent="0.2">
      <c r="A486" s="2"/>
      <c r="B486" s="2" t="s">
        <v>340</v>
      </c>
      <c r="D486" s="7">
        <v>351.423</v>
      </c>
      <c r="E486" s="7">
        <v>301.54000000000002</v>
      </c>
      <c r="F486" s="7">
        <v>272.74299999999999</v>
      </c>
      <c r="G486" s="7">
        <v>321.755</v>
      </c>
      <c r="H486" s="7">
        <v>483.35199999999998</v>
      </c>
      <c r="I486" s="7">
        <v>412.03500000000003</v>
      </c>
      <c r="J486" s="7">
        <v>398.43299999999999</v>
      </c>
      <c r="K486" s="7">
        <v>340.17</v>
      </c>
      <c r="L486" s="7">
        <v>334.43799999999999</v>
      </c>
      <c r="M486" s="467">
        <v>383.90499999999997</v>
      </c>
      <c r="T486" s="51"/>
      <c r="AF486" s="520"/>
    </row>
    <row r="487" spans="1:32" x14ac:dyDescent="0.2">
      <c r="A487" s="2"/>
      <c r="B487" s="2" t="s">
        <v>329</v>
      </c>
      <c r="D487" s="7">
        <v>0</v>
      </c>
      <c r="E487" s="7">
        <v>0</v>
      </c>
      <c r="F487" s="7">
        <v>0</v>
      </c>
      <c r="G487" s="7">
        <v>0</v>
      </c>
      <c r="H487" s="7">
        <v>0</v>
      </c>
      <c r="I487" s="7">
        <v>0</v>
      </c>
      <c r="J487" s="7">
        <v>0</v>
      </c>
      <c r="K487" s="7">
        <v>0</v>
      </c>
      <c r="L487" s="7" t="s">
        <v>148</v>
      </c>
      <c r="M487" s="467" t="s">
        <v>148</v>
      </c>
      <c r="T487" s="51"/>
      <c r="AF487" s="520"/>
    </row>
    <row r="488" spans="1:32" x14ac:dyDescent="0.2">
      <c r="A488" s="2"/>
      <c r="B488" s="2" t="s">
        <v>348</v>
      </c>
      <c r="D488" s="7">
        <v>0</v>
      </c>
      <c r="E488" s="7">
        <v>0</v>
      </c>
      <c r="F488" s="7">
        <v>0</v>
      </c>
      <c r="G488" s="7">
        <v>0</v>
      </c>
      <c r="H488" s="7">
        <v>0</v>
      </c>
      <c r="I488" s="7">
        <v>0</v>
      </c>
      <c r="J488" s="7">
        <v>0</v>
      </c>
      <c r="K488" s="7">
        <v>0</v>
      </c>
      <c r="L488" s="7" t="s">
        <v>148</v>
      </c>
      <c r="M488" s="467" t="s">
        <v>148</v>
      </c>
      <c r="T488" s="51"/>
      <c r="AF488" s="520"/>
    </row>
    <row r="489" spans="1:32" x14ac:dyDescent="0.2">
      <c r="A489" s="2"/>
      <c r="B489" s="2" t="s">
        <v>349</v>
      </c>
      <c r="D489" s="7">
        <v>0</v>
      </c>
      <c r="E489" s="7">
        <v>0</v>
      </c>
      <c r="F489" s="7">
        <v>0</v>
      </c>
      <c r="G489" s="7">
        <v>0</v>
      </c>
      <c r="H489" s="7">
        <v>0</v>
      </c>
      <c r="I489" s="7">
        <v>0</v>
      </c>
      <c r="J489" s="7">
        <v>0</v>
      </c>
      <c r="K489" s="7">
        <v>0</v>
      </c>
      <c r="L489" s="7" t="s">
        <v>148</v>
      </c>
      <c r="M489" s="467" t="s">
        <v>148</v>
      </c>
      <c r="T489" s="51"/>
      <c r="AF489" s="520"/>
    </row>
    <row r="490" spans="1:32" x14ac:dyDescent="0.2">
      <c r="A490" s="2"/>
      <c r="B490" s="2" t="s">
        <v>345</v>
      </c>
      <c r="D490" s="7">
        <v>0</v>
      </c>
      <c r="E490" s="7">
        <v>0</v>
      </c>
      <c r="F490" s="7">
        <v>0</v>
      </c>
      <c r="G490" s="7">
        <v>70.308000000000007</v>
      </c>
      <c r="H490" s="7">
        <v>0</v>
      </c>
      <c r="I490" s="7">
        <v>29.597000000000001</v>
      </c>
      <c r="J490" s="7">
        <v>29.597000000000001</v>
      </c>
      <c r="K490" s="7">
        <v>29.597000000000001</v>
      </c>
      <c r="L490" s="7">
        <v>99.905000000000001</v>
      </c>
      <c r="M490" s="467">
        <v>285.327</v>
      </c>
      <c r="T490" s="51"/>
      <c r="AF490" s="520"/>
    </row>
    <row r="491" spans="1:32" x14ac:dyDescent="0.2">
      <c r="A491" s="2"/>
      <c r="B491" s="2" t="s">
        <v>343</v>
      </c>
      <c r="D491" s="7">
        <v>0</v>
      </c>
      <c r="E491" s="7">
        <v>0</v>
      </c>
      <c r="F491" s="7">
        <v>0</v>
      </c>
      <c r="G491" s="7">
        <v>0</v>
      </c>
      <c r="H491" s="7">
        <v>90.590999999999994</v>
      </c>
      <c r="I491" s="7">
        <v>2.7959999999999998</v>
      </c>
      <c r="J491" s="7">
        <v>2.7959999999999998</v>
      </c>
      <c r="K491" s="7">
        <v>2.7959999999999998</v>
      </c>
      <c r="L491" s="7" t="s">
        <v>148</v>
      </c>
      <c r="M491" s="467">
        <v>846.11900000000003</v>
      </c>
      <c r="T491" s="51"/>
      <c r="AF491" s="520"/>
    </row>
    <row r="492" spans="1:32" x14ac:dyDescent="0.2">
      <c r="A492" s="2"/>
      <c r="B492" s="2" t="s">
        <v>339</v>
      </c>
      <c r="D492" s="7">
        <v>0</v>
      </c>
      <c r="E492" s="7">
        <v>0</v>
      </c>
      <c r="F492" s="7">
        <v>0</v>
      </c>
      <c r="G492" s="7">
        <v>0</v>
      </c>
      <c r="H492" s="7">
        <v>0</v>
      </c>
      <c r="I492" s="7">
        <v>0</v>
      </c>
      <c r="J492" s="7">
        <v>0</v>
      </c>
      <c r="K492" s="7">
        <v>0</v>
      </c>
      <c r="L492" s="7">
        <v>19.616</v>
      </c>
      <c r="M492" s="467">
        <v>24.22</v>
      </c>
      <c r="T492" s="51"/>
      <c r="AF492" s="520"/>
    </row>
    <row r="493" spans="1:32" x14ac:dyDescent="0.2">
      <c r="A493" s="2"/>
      <c r="B493" s="2" t="s">
        <v>335</v>
      </c>
      <c r="D493" s="7">
        <v>150</v>
      </c>
      <c r="E493" s="7">
        <v>140.376</v>
      </c>
      <c r="F493" s="7">
        <v>132.679</v>
      </c>
      <c r="G493" s="7">
        <v>125.654</v>
      </c>
      <c r="H493" s="7">
        <v>111.124</v>
      </c>
      <c r="I493" s="7">
        <v>108.718</v>
      </c>
      <c r="J493" s="7">
        <v>108.718</v>
      </c>
      <c r="K493" s="7">
        <v>108.718</v>
      </c>
      <c r="L493" s="7">
        <v>108.718</v>
      </c>
      <c r="M493" s="467">
        <v>108.718</v>
      </c>
      <c r="T493" s="51"/>
      <c r="AF493" s="520"/>
    </row>
    <row r="494" spans="1:32" x14ac:dyDescent="0.2">
      <c r="A494" s="2"/>
      <c r="B494" s="2" t="s">
        <v>327</v>
      </c>
      <c r="D494" s="7">
        <v>1746.8630000000001</v>
      </c>
      <c r="E494" s="7">
        <v>1859.675</v>
      </c>
      <c r="F494" s="7">
        <v>2549.567</v>
      </c>
      <c r="G494" s="7">
        <v>2648.1080000000002</v>
      </c>
      <c r="H494" s="7">
        <v>3920.6689999999999</v>
      </c>
      <c r="I494" s="7">
        <v>4180.8639999999996</v>
      </c>
      <c r="J494" s="7">
        <v>4198.3639999999996</v>
      </c>
      <c r="K494" s="7">
        <v>4220.0240000000003</v>
      </c>
      <c r="L494" s="7">
        <v>4336.6549999999997</v>
      </c>
      <c r="M494" s="467">
        <v>4323.0749999999998</v>
      </c>
      <c r="T494" s="51"/>
      <c r="AF494" s="520"/>
    </row>
    <row r="495" spans="1:32" x14ac:dyDescent="0.2">
      <c r="A495" s="2"/>
      <c r="B495" s="2" t="s">
        <v>333</v>
      </c>
      <c r="D495" s="7">
        <v>0</v>
      </c>
      <c r="E495" s="7">
        <v>0</v>
      </c>
      <c r="F495" s="7">
        <v>0</v>
      </c>
      <c r="G495" s="7">
        <v>0</v>
      </c>
      <c r="H495" s="7">
        <v>0</v>
      </c>
      <c r="I495" s="7">
        <v>0</v>
      </c>
      <c r="J495" s="7">
        <v>12.648</v>
      </c>
      <c r="K495" s="7">
        <v>12.648</v>
      </c>
      <c r="L495" s="7">
        <v>53.790999999999997</v>
      </c>
      <c r="M495" s="467">
        <v>92.884</v>
      </c>
      <c r="T495" s="51"/>
      <c r="AF495" s="520"/>
    </row>
    <row r="496" spans="1:32" x14ac:dyDescent="0.2">
      <c r="A496" s="2"/>
      <c r="B496" s="2" t="s">
        <v>337</v>
      </c>
      <c r="D496" s="7">
        <v>0</v>
      </c>
      <c r="E496" s="7">
        <v>0</v>
      </c>
      <c r="F496" s="7">
        <v>0</v>
      </c>
      <c r="G496" s="7">
        <v>0</v>
      </c>
      <c r="H496" s="7">
        <v>0</v>
      </c>
      <c r="I496" s="7">
        <v>647.08500000000004</v>
      </c>
      <c r="J496" s="7">
        <v>490.54300000000001</v>
      </c>
      <c r="K496" s="7">
        <v>420.67599999999999</v>
      </c>
      <c r="L496" s="7">
        <v>279.22000000000003</v>
      </c>
      <c r="M496" s="467">
        <v>153.06800000000001</v>
      </c>
      <c r="T496" s="51"/>
      <c r="AF496" s="520"/>
    </row>
    <row r="497" spans="1:32" x14ac:dyDescent="0.2">
      <c r="A497" s="2"/>
      <c r="B497" s="2" t="s">
        <v>159</v>
      </c>
      <c r="D497" s="7">
        <v>1214.05</v>
      </c>
      <c r="E497" s="7">
        <v>1432.672</v>
      </c>
      <c r="F497" s="7">
        <v>1127.521</v>
      </c>
      <c r="G497" s="7">
        <v>709.68</v>
      </c>
      <c r="H497" s="7">
        <v>1405.306</v>
      </c>
      <c r="I497" s="7">
        <v>383.91699999999997</v>
      </c>
      <c r="J497" s="7">
        <v>351.11200000000002</v>
      </c>
      <c r="K497" s="7">
        <v>219.74199999999999</v>
      </c>
      <c r="L497" s="7">
        <v>95.311000000000007</v>
      </c>
      <c r="M497" s="467">
        <v>148.70099999999999</v>
      </c>
      <c r="T497" s="51"/>
      <c r="AF497" s="520"/>
    </row>
    <row r="498" spans="1:32" ht="12" thickBot="1" x14ac:dyDescent="0.25">
      <c r="A498" s="2"/>
      <c r="D498" s="246">
        <f>SUM(D475:D497)</f>
        <v>4318.3230000000003</v>
      </c>
      <c r="E498" s="247">
        <f t="shared" ref="E498:M498" si="457">SUM(E475:E497)</f>
        <v>4647.7919999999995</v>
      </c>
      <c r="F498" s="247">
        <f t="shared" si="457"/>
        <v>5000.0280000000002</v>
      </c>
      <c r="G498" s="247">
        <f t="shared" si="457"/>
        <v>4840.7560000000003</v>
      </c>
      <c r="H498" s="247">
        <f t="shared" si="457"/>
        <v>6912.3780000000006</v>
      </c>
      <c r="I498" s="247">
        <f t="shared" si="457"/>
        <v>7064.3819999999996</v>
      </c>
      <c r="J498" s="247">
        <f t="shared" si="457"/>
        <v>6847.2919999999995</v>
      </c>
      <c r="K498" s="247">
        <f t="shared" si="457"/>
        <v>6606.1290000000008</v>
      </c>
      <c r="L498" s="247">
        <f t="shared" si="457"/>
        <v>6985.2420000000002</v>
      </c>
      <c r="M498" s="474">
        <f t="shared" si="457"/>
        <v>8995.7189999999973</v>
      </c>
      <c r="N498" s="3"/>
      <c r="O498" s="3"/>
      <c r="P498" s="3"/>
      <c r="Q498" s="3"/>
      <c r="R498" s="3"/>
      <c r="S498" s="3"/>
      <c r="T498" s="51"/>
      <c r="AF498" s="520"/>
    </row>
    <row r="499" spans="1:32" ht="12" thickTop="1" x14ac:dyDescent="0.2">
      <c r="A499" s="2"/>
      <c r="T499" s="51"/>
      <c r="AF499" s="520"/>
    </row>
    <row r="500" spans="1:32" x14ac:dyDescent="0.2">
      <c r="A500" s="2"/>
      <c r="T500" s="51"/>
      <c r="AF500" s="520"/>
    </row>
    <row r="501" spans="1:32" x14ac:dyDescent="0.2">
      <c r="A501" s="2"/>
      <c r="T501" s="51"/>
      <c r="AF501" s="520"/>
    </row>
    <row r="502" spans="1:32" x14ac:dyDescent="0.2">
      <c r="A502" s="2"/>
      <c r="T502" s="51"/>
      <c r="AF502" s="520"/>
    </row>
    <row r="503" spans="1:32" x14ac:dyDescent="0.2">
      <c r="A503" s="2"/>
      <c r="T503" s="51"/>
      <c r="AF503" s="520"/>
    </row>
    <row r="504" spans="1:32" x14ac:dyDescent="0.2">
      <c r="A504" s="2"/>
      <c r="T504" s="51"/>
      <c r="AF504" s="520"/>
    </row>
    <row r="505" spans="1:32" x14ac:dyDescent="0.2">
      <c r="A505" s="2"/>
      <c r="T505" s="51"/>
      <c r="AF505" s="520"/>
    </row>
    <row r="506" spans="1:32" x14ac:dyDescent="0.2">
      <c r="A506" s="2"/>
      <c r="T506" s="51"/>
      <c r="AF506" s="520"/>
    </row>
    <row r="507" spans="1:32" x14ac:dyDescent="0.2">
      <c r="A507" s="2"/>
      <c r="T507" s="51"/>
      <c r="AF507" s="520"/>
    </row>
    <row r="508" spans="1:32" x14ac:dyDescent="0.2">
      <c r="A508" s="2"/>
      <c r="T508" s="51"/>
      <c r="AF508" s="520"/>
    </row>
    <row r="509" spans="1:32" x14ac:dyDescent="0.2">
      <c r="A509" s="2"/>
      <c r="T509" s="51"/>
      <c r="AF509" s="520"/>
    </row>
    <row r="510" spans="1:32" x14ac:dyDescent="0.2">
      <c r="A510" s="2"/>
      <c r="D510" s="2"/>
      <c r="E510" s="2"/>
      <c r="F510" s="2"/>
      <c r="G510" s="2"/>
      <c r="H510" s="2"/>
      <c r="I510" s="2"/>
      <c r="J510" s="2"/>
      <c r="K510" s="2"/>
      <c r="L510" s="2"/>
      <c r="M510" s="440"/>
      <c r="T510" s="51"/>
      <c r="AF510" s="520"/>
    </row>
    <row r="511" spans="1:32" x14ac:dyDescent="0.2">
      <c r="A511" s="2"/>
      <c r="D511" s="2"/>
      <c r="E511" s="2"/>
      <c r="F511" s="2"/>
      <c r="G511" s="2"/>
      <c r="H511" s="2"/>
      <c r="I511" s="2"/>
      <c r="J511" s="2"/>
      <c r="K511" s="2"/>
      <c r="L511" s="2"/>
      <c r="M511" s="440"/>
      <c r="T511" s="51"/>
      <c r="AF511" s="520"/>
    </row>
    <row r="512" spans="1:32" x14ac:dyDescent="0.2">
      <c r="A512" s="2"/>
      <c r="D512" s="2"/>
      <c r="E512" s="2"/>
      <c r="F512" s="2"/>
      <c r="G512" s="2"/>
      <c r="H512" s="2"/>
      <c r="I512" s="2"/>
      <c r="J512" s="2"/>
      <c r="K512" s="2"/>
      <c r="L512" s="2"/>
      <c r="M512" s="440"/>
      <c r="T512" s="51"/>
      <c r="AF512" s="520"/>
    </row>
    <row r="513" spans="1:32" x14ac:dyDescent="0.2">
      <c r="A513" s="2"/>
      <c r="D513" s="2"/>
      <c r="E513" s="2"/>
      <c r="F513" s="2"/>
      <c r="G513" s="2"/>
      <c r="H513" s="2"/>
      <c r="I513" s="2"/>
      <c r="J513" s="2"/>
      <c r="K513" s="2"/>
      <c r="L513" s="2"/>
      <c r="M513" s="440"/>
      <c r="T513" s="51"/>
      <c r="AF513" s="520"/>
    </row>
    <row r="514" spans="1:32" x14ac:dyDescent="0.2">
      <c r="A514" s="2"/>
      <c r="D514" s="2"/>
      <c r="E514" s="2"/>
      <c r="F514" s="2"/>
      <c r="G514" s="2"/>
      <c r="H514" s="2"/>
      <c r="I514" s="2"/>
      <c r="J514" s="2"/>
      <c r="K514" s="2"/>
      <c r="L514" s="2"/>
      <c r="M514" s="440"/>
      <c r="T514" s="51"/>
      <c r="AF514" s="520"/>
    </row>
    <row r="515" spans="1:32" x14ac:dyDescent="0.2">
      <c r="A515" s="2"/>
      <c r="D515" s="2"/>
      <c r="E515" s="2"/>
      <c r="F515" s="2"/>
      <c r="G515" s="2"/>
      <c r="H515" s="2"/>
      <c r="I515" s="2"/>
      <c r="J515" s="2"/>
      <c r="K515" s="2"/>
      <c r="L515" s="2"/>
      <c r="M515" s="440"/>
      <c r="T515" s="51"/>
      <c r="AF515" s="520"/>
    </row>
    <row r="516" spans="1:32" x14ac:dyDescent="0.2">
      <c r="A516" s="2"/>
      <c r="D516" s="2"/>
      <c r="E516" s="2"/>
      <c r="F516" s="2"/>
      <c r="G516" s="2"/>
      <c r="H516" s="2"/>
      <c r="I516" s="2"/>
      <c r="J516" s="2"/>
      <c r="K516" s="2"/>
      <c r="L516" s="2"/>
      <c r="M516" s="440"/>
      <c r="T516" s="51"/>
      <c r="AF516" s="520"/>
    </row>
    <row r="517" spans="1:32" x14ac:dyDescent="0.2">
      <c r="A517" s="2"/>
      <c r="D517" s="2"/>
      <c r="E517" s="2"/>
      <c r="F517" s="2"/>
      <c r="G517" s="2"/>
      <c r="H517" s="2"/>
      <c r="I517" s="2"/>
      <c r="J517" s="2"/>
      <c r="K517" s="2"/>
      <c r="L517" s="2"/>
      <c r="M517" s="440"/>
      <c r="T517" s="51"/>
      <c r="AF517" s="520"/>
    </row>
    <row r="518" spans="1:32" x14ac:dyDescent="0.2">
      <c r="A518" s="2"/>
      <c r="D518" s="2"/>
      <c r="E518" s="2"/>
      <c r="F518" s="2"/>
      <c r="G518" s="2"/>
      <c r="H518" s="2"/>
      <c r="I518" s="2"/>
      <c r="J518" s="2"/>
      <c r="K518" s="2"/>
      <c r="L518" s="2"/>
      <c r="M518" s="440"/>
      <c r="T518" s="51"/>
      <c r="AF518" s="520"/>
    </row>
    <row r="519" spans="1:32" x14ac:dyDescent="0.2">
      <c r="A519" s="2"/>
      <c r="D519" s="2"/>
      <c r="E519" s="2"/>
      <c r="F519" s="2"/>
      <c r="G519" s="2"/>
      <c r="H519" s="2"/>
      <c r="I519" s="2"/>
      <c r="J519" s="2"/>
      <c r="K519" s="2"/>
      <c r="L519" s="2"/>
      <c r="M519" s="440"/>
      <c r="T519" s="51"/>
      <c r="AF519" s="520"/>
    </row>
    <row r="520" spans="1:32" x14ac:dyDescent="0.2">
      <c r="A520" s="2"/>
      <c r="D520" s="2"/>
      <c r="E520" s="2"/>
      <c r="F520" s="2"/>
      <c r="G520" s="2"/>
      <c r="H520" s="2"/>
      <c r="I520" s="2"/>
      <c r="J520" s="2"/>
      <c r="K520" s="2"/>
      <c r="L520" s="2"/>
      <c r="M520" s="440"/>
      <c r="T520" s="51"/>
      <c r="AF520" s="520"/>
    </row>
    <row r="521" spans="1:32" x14ac:dyDescent="0.2">
      <c r="A521" s="2"/>
      <c r="D521" s="2"/>
      <c r="E521" s="2"/>
      <c r="F521" s="2"/>
      <c r="G521" s="2"/>
      <c r="H521" s="2"/>
      <c r="I521" s="2"/>
      <c r="J521" s="2"/>
      <c r="K521" s="2"/>
      <c r="L521" s="2"/>
      <c r="M521" s="440"/>
      <c r="T521" s="51"/>
      <c r="AF521" s="520"/>
    </row>
    <row r="522" spans="1:32" x14ac:dyDescent="0.2">
      <c r="A522" s="2"/>
      <c r="D522" s="2"/>
      <c r="E522" s="2"/>
      <c r="F522" s="2"/>
      <c r="G522" s="2"/>
      <c r="H522" s="2"/>
      <c r="I522" s="2"/>
      <c r="J522" s="2"/>
      <c r="K522" s="2"/>
      <c r="L522" s="2"/>
      <c r="M522" s="440"/>
      <c r="T522" s="51"/>
      <c r="AF522" s="520"/>
    </row>
    <row r="523" spans="1:32" x14ac:dyDescent="0.2">
      <c r="A523" s="2"/>
      <c r="D523" s="2"/>
      <c r="E523" s="2"/>
      <c r="F523" s="2"/>
      <c r="G523" s="2"/>
      <c r="H523" s="2"/>
      <c r="I523" s="2"/>
      <c r="J523" s="2"/>
      <c r="K523" s="2"/>
      <c r="L523" s="2"/>
      <c r="M523" s="440"/>
      <c r="T523" s="51"/>
      <c r="AF523" s="520"/>
    </row>
    <row r="524" spans="1:32" x14ac:dyDescent="0.2">
      <c r="A524" s="2"/>
      <c r="D524" s="2"/>
      <c r="E524" s="2"/>
      <c r="F524" s="2"/>
      <c r="G524" s="2"/>
      <c r="H524" s="2"/>
      <c r="I524" s="2"/>
      <c r="J524" s="2"/>
      <c r="K524" s="2"/>
      <c r="L524" s="2"/>
      <c r="M524" s="440"/>
      <c r="T524" s="51"/>
      <c r="AF524" s="520"/>
    </row>
    <row r="525" spans="1:32" x14ac:dyDescent="0.2">
      <c r="A525" s="2"/>
      <c r="D525" s="2"/>
      <c r="E525" s="2"/>
      <c r="F525" s="2"/>
      <c r="G525" s="2"/>
      <c r="H525" s="2"/>
      <c r="I525" s="2"/>
      <c r="J525" s="2"/>
      <c r="K525" s="2"/>
      <c r="L525" s="2"/>
      <c r="M525" s="440"/>
      <c r="T525" s="51"/>
      <c r="AF525" s="520"/>
    </row>
    <row r="526" spans="1:32" x14ac:dyDescent="0.2">
      <c r="A526" s="2"/>
      <c r="D526" s="2"/>
      <c r="E526" s="2"/>
      <c r="F526" s="2"/>
      <c r="G526" s="2"/>
      <c r="H526" s="2"/>
      <c r="I526" s="2"/>
      <c r="J526" s="2"/>
      <c r="K526" s="2"/>
      <c r="L526" s="2"/>
      <c r="M526" s="440"/>
      <c r="T526" s="51"/>
      <c r="AF526" s="520"/>
    </row>
    <row r="527" spans="1:32" x14ac:dyDescent="0.2">
      <c r="A527" s="2"/>
      <c r="D527" s="2"/>
      <c r="E527" s="2"/>
      <c r="F527" s="2"/>
      <c r="G527" s="2"/>
      <c r="H527" s="2"/>
      <c r="I527" s="2"/>
      <c r="J527" s="2"/>
      <c r="K527" s="2"/>
      <c r="L527" s="2"/>
      <c r="M527" s="440"/>
      <c r="T527" s="51"/>
      <c r="AF527" s="520"/>
    </row>
    <row r="528" spans="1:32" x14ac:dyDescent="0.2">
      <c r="A528" s="2"/>
      <c r="D528" s="2"/>
      <c r="E528" s="2"/>
      <c r="F528" s="2"/>
      <c r="G528" s="2"/>
      <c r="H528" s="2"/>
      <c r="I528" s="2"/>
      <c r="J528" s="2"/>
      <c r="K528" s="2"/>
      <c r="L528" s="2"/>
      <c r="M528" s="440"/>
      <c r="T528" s="51"/>
      <c r="AF528" s="520"/>
    </row>
    <row r="529" spans="1:32" x14ac:dyDescent="0.2">
      <c r="A529" s="2"/>
      <c r="D529" s="2"/>
      <c r="E529" s="2"/>
      <c r="F529" s="2"/>
      <c r="G529" s="2"/>
      <c r="H529" s="2"/>
      <c r="I529" s="2"/>
      <c r="J529" s="2"/>
      <c r="K529" s="2"/>
      <c r="L529" s="2"/>
      <c r="M529" s="440"/>
      <c r="T529" s="51"/>
      <c r="AF529" s="520"/>
    </row>
    <row r="530" spans="1:32" x14ac:dyDescent="0.2">
      <c r="A530" s="2"/>
      <c r="D530" s="2"/>
      <c r="E530" s="2"/>
      <c r="F530" s="2"/>
      <c r="G530" s="2"/>
      <c r="H530" s="2"/>
      <c r="I530" s="2"/>
      <c r="J530" s="2"/>
      <c r="K530" s="2"/>
      <c r="L530" s="2"/>
      <c r="M530" s="440"/>
      <c r="T530" s="51"/>
      <c r="AF530" s="520"/>
    </row>
    <row r="531" spans="1:32" x14ac:dyDescent="0.2">
      <c r="A531" s="2"/>
      <c r="D531" s="2"/>
      <c r="E531" s="2"/>
      <c r="F531" s="2"/>
      <c r="G531" s="2"/>
      <c r="H531" s="2"/>
      <c r="I531" s="2"/>
      <c r="J531" s="2"/>
      <c r="K531" s="2"/>
      <c r="L531" s="2"/>
      <c r="M531" s="440"/>
      <c r="T531" s="51"/>
      <c r="AF531" s="520"/>
    </row>
    <row r="532" spans="1:32" x14ac:dyDescent="0.2">
      <c r="A532" s="2"/>
      <c r="D532" s="2"/>
      <c r="E532" s="2"/>
      <c r="F532" s="2"/>
      <c r="G532" s="2"/>
      <c r="H532" s="2"/>
      <c r="I532" s="2"/>
      <c r="J532" s="2"/>
      <c r="K532" s="2"/>
      <c r="L532" s="2"/>
      <c r="M532" s="440"/>
      <c r="T532" s="51"/>
      <c r="AF532" s="520"/>
    </row>
    <row r="533" spans="1:32" x14ac:dyDescent="0.2">
      <c r="A533" s="2"/>
      <c r="D533" s="2"/>
      <c r="E533" s="2"/>
      <c r="F533" s="2"/>
      <c r="G533" s="2"/>
      <c r="H533" s="2"/>
      <c r="I533" s="2"/>
      <c r="J533" s="2"/>
      <c r="K533" s="2"/>
      <c r="L533" s="2"/>
      <c r="M533" s="440"/>
      <c r="T533" s="51"/>
      <c r="AF533" s="520"/>
    </row>
    <row r="534" spans="1:32" x14ac:dyDescent="0.2">
      <c r="A534" s="2"/>
      <c r="D534" s="2"/>
      <c r="E534" s="2"/>
      <c r="F534" s="2"/>
      <c r="G534" s="2"/>
      <c r="H534" s="2"/>
      <c r="I534" s="2"/>
      <c r="J534" s="2"/>
      <c r="K534" s="2"/>
      <c r="L534" s="2"/>
      <c r="M534" s="440"/>
      <c r="T534" s="51"/>
      <c r="AF534" s="520"/>
    </row>
    <row r="535" spans="1:32" x14ac:dyDescent="0.2">
      <c r="A535" s="2"/>
      <c r="D535" s="2"/>
      <c r="E535" s="2"/>
      <c r="F535" s="2"/>
      <c r="G535" s="2"/>
      <c r="H535" s="2"/>
      <c r="I535" s="2"/>
      <c r="J535" s="2"/>
      <c r="K535" s="2"/>
      <c r="L535" s="2"/>
      <c r="M535" s="440"/>
      <c r="T535" s="51"/>
      <c r="AF535" s="520"/>
    </row>
    <row r="536" spans="1:32" x14ac:dyDescent="0.2">
      <c r="A536" s="2"/>
      <c r="D536" s="2"/>
      <c r="E536" s="2"/>
      <c r="F536" s="2"/>
      <c r="G536" s="2"/>
      <c r="H536" s="2"/>
      <c r="I536" s="2"/>
      <c r="J536" s="2"/>
      <c r="K536" s="2"/>
      <c r="L536" s="2"/>
      <c r="M536" s="440"/>
      <c r="T536" s="51"/>
      <c r="AF536" s="520"/>
    </row>
    <row r="537" spans="1:32" x14ac:dyDescent="0.2">
      <c r="A537" s="2"/>
      <c r="D537" s="2"/>
      <c r="E537" s="2"/>
      <c r="F537" s="2"/>
      <c r="G537" s="2"/>
      <c r="H537" s="2"/>
      <c r="I537" s="2"/>
      <c r="J537" s="2"/>
      <c r="K537" s="2"/>
      <c r="L537" s="2"/>
      <c r="M537" s="440"/>
      <c r="T537" s="51"/>
      <c r="AF537" s="520"/>
    </row>
    <row r="538" spans="1:32" x14ac:dyDescent="0.2">
      <c r="A538" s="2"/>
      <c r="D538" s="2"/>
      <c r="E538" s="2"/>
      <c r="F538" s="2"/>
      <c r="G538" s="2"/>
      <c r="H538" s="2"/>
      <c r="I538" s="2"/>
      <c r="J538" s="2"/>
      <c r="K538" s="2"/>
      <c r="L538" s="2"/>
      <c r="M538" s="440"/>
      <c r="T538" s="51"/>
      <c r="AF538" s="520"/>
    </row>
    <row r="539" spans="1:32" x14ac:dyDescent="0.2">
      <c r="A539" s="2"/>
      <c r="D539" s="2"/>
      <c r="E539" s="2"/>
      <c r="F539" s="2"/>
      <c r="G539" s="2"/>
      <c r="H539" s="2"/>
      <c r="I539" s="2"/>
      <c r="J539" s="2"/>
      <c r="K539" s="2"/>
      <c r="L539" s="2"/>
      <c r="M539" s="440"/>
      <c r="T539" s="51"/>
      <c r="AF539" s="520"/>
    </row>
    <row r="540" spans="1:32" x14ac:dyDescent="0.2">
      <c r="A540" s="2"/>
      <c r="D540" s="2"/>
      <c r="E540" s="2"/>
      <c r="F540" s="2"/>
      <c r="G540" s="2"/>
      <c r="H540" s="2"/>
      <c r="I540" s="2"/>
      <c r="J540" s="2"/>
      <c r="K540" s="2"/>
      <c r="L540" s="2"/>
      <c r="M540" s="440"/>
      <c r="T540" s="51"/>
      <c r="AF540" s="520"/>
    </row>
    <row r="541" spans="1:32" x14ac:dyDescent="0.2">
      <c r="A541" s="2"/>
      <c r="D541" s="2"/>
      <c r="E541" s="2"/>
      <c r="F541" s="2"/>
      <c r="G541" s="2"/>
      <c r="H541" s="2"/>
      <c r="I541" s="2"/>
      <c r="J541" s="2"/>
      <c r="K541" s="2"/>
      <c r="L541" s="2"/>
      <c r="M541" s="440"/>
      <c r="T541" s="51"/>
      <c r="AF541" s="520"/>
    </row>
  </sheetData>
  <mergeCells count="1">
    <mergeCell ref="AH4:AK4"/>
  </mergeCells>
  <pageMargins left="0.7" right="0.7" top="0.75" bottom="0.75" header="0.3" footer="0.3"/>
  <pageSetup orientation="portrait" r:id="rId1"/>
  <ignoredErrors>
    <ignoredError sqref="AB424 X95" formula="1"/>
    <ignoredError sqref="X431:AE431 F119:H119 E119 Y132:AA132 AB129 AC132:AD132 D132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B1:F70"/>
  <sheetViews>
    <sheetView showGridLines="0" topLeftCell="A3" zoomScaleNormal="100" workbookViewId="0">
      <selection activeCell="E51" sqref="E51"/>
    </sheetView>
  </sheetViews>
  <sheetFormatPr defaultRowHeight="15" x14ac:dyDescent="0.25"/>
  <cols>
    <col min="1" max="1" width="1.7109375" customWidth="1"/>
    <col min="2" max="2" width="10.28515625" customWidth="1"/>
    <col min="3" max="3" width="25.5703125" customWidth="1"/>
    <col min="4" max="6" width="12.7109375" customWidth="1"/>
  </cols>
  <sheetData>
    <row r="1" spans="2:6" ht="15.75" thickBot="1" x14ac:dyDescent="0.3">
      <c r="B1" s="370" t="s">
        <v>710</v>
      </c>
    </row>
    <row r="2" spans="2:6" ht="15.75" thickTop="1" x14ac:dyDescent="0.25"/>
    <row r="3" spans="2:6" x14ac:dyDescent="0.25">
      <c r="B3" s="811" t="s">
        <v>1</v>
      </c>
      <c r="C3" s="823"/>
      <c r="D3" s="811">
        <v>2019</v>
      </c>
      <c r="E3" s="811">
        <v>2020</v>
      </c>
      <c r="F3" s="811" t="s">
        <v>711</v>
      </c>
    </row>
    <row r="4" spans="2:6" x14ac:dyDescent="0.25">
      <c r="B4" s="542" t="s">
        <v>60</v>
      </c>
    </row>
    <row r="5" spans="2:6" x14ac:dyDescent="0.25">
      <c r="B5" s="3" t="s">
        <v>2</v>
      </c>
    </row>
    <row r="6" spans="2:6" x14ac:dyDescent="0.25">
      <c r="B6" s="2" t="s">
        <v>3</v>
      </c>
      <c r="D6" s="54">
        <v>92193.876999999993</v>
      </c>
      <c r="E6" s="7">
        <v>92193.361000000004</v>
      </c>
      <c r="F6" s="703">
        <f t="shared" ref="F6:F14" si="0">(D6-E6)/E6</f>
        <v>5.5969322995905066E-6</v>
      </c>
    </row>
    <row r="7" spans="2:6" x14ac:dyDescent="0.25">
      <c r="B7" s="2" t="s">
        <v>4</v>
      </c>
      <c r="D7" s="54">
        <v>15414.833000000001</v>
      </c>
      <c r="E7" s="7">
        <v>15372.233</v>
      </c>
      <c r="F7" s="703">
        <f t="shared" si="0"/>
        <v>2.7712304386747432E-3</v>
      </c>
    </row>
    <row r="8" spans="2:6" x14ac:dyDescent="0.25">
      <c r="B8" s="2" t="s">
        <v>5</v>
      </c>
      <c r="D8" s="54">
        <v>223689.32500000001</v>
      </c>
      <c r="E8" s="7">
        <v>223689.32500000001</v>
      </c>
      <c r="F8" s="703">
        <f t="shared" si="0"/>
        <v>0</v>
      </c>
    </row>
    <row r="9" spans="2:6" x14ac:dyDescent="0.25">
      <c r="B9" s="2" t="s">
        <v>6</v>
      </c>
      <c r="D9" s="54">
        <v>229667.07199999999</v>
      </c>
      <c r="E9" s="7">
        <v>225646.16200000001</v>
      </c>
      <c r="F9" s="703">
        <f t="shared" si="0"/>
        <v>1.7819536412057274E-2</v>
      </c>
    </row>
    <row r="10" spans="2:6" x14ac:dyDescent="0.25">
      <c r="B10" s="2" t="s">
        <v>7</v>
      </c>
      <c r="D10" s="54">
        <v>493775.34600000002</v>
      </c>
      <c r="E10" s="7">
        <v>493775.34600000002</v>
      </c>
      <c r="F10" s="703">
        <f t="shared" si="0"/>
        <v>0</v>
      </c>
    </row>
    <row r="11" spans="2:6" x14ac:dyDescent="0.25">
      <c r="B11" s="2" t="s">
        <v>8</v>
      </c>
      <c r="D11" s="54">
        <v>23663.521000000001</v>
      </c>
      <c r="E11" s="7">
        <v>23284.415000000001</v>
      </c>
      <c r="F11" s="703">
        <f t="shared" si="0"/>
        <v>1.6281534236526868E-2</v>
      </c>
    </row>
    <row r="12" spans="2:6" x14ac:dyDescent="0.25">
      <c r="B12" s="2" t="s">
        <v>9</v>
      </c>
      <c r="D12" s="54">
        <v>800.53200000000004</v>
      </c>
      <c r="E12" s="7">
        <v>780.38099999999997</v>
      </c>
      <c r="F12" s="704">
        <f t="shared" si="0"/>
        <v>2.5822002329631381E-2</v>
      </c>
    </row>
    <row r="13" spans="2:6" x14ac:dyDescent="0.25">
      <c r="B13" s="2" t="s">
        <v>10</v>
      </c>
      <c r="D13" s="54">
        <v>0</v>
      </c>
      <c r="E13" s="7">
        <v>0</v>
      </c>
      <c r="F13" s="704"/>
    </row>
    <row r="14" spans="2:6" x14ac:dyDescent="0.25">
      <c r="B14" s="2" t="s">
        <v>11</v>
      </c>
      <c r="D14" s="54">
        <v>46910.457000000002</v>
      </c>
      <c r="E14" s="7">
        <v>46517.031000000003</v>
      </c>
      <c r="F14" s="704">
        <f t="shared" si="0"/>
        <v>8.4576765013226977E-3</v>
      </c>
    </row>
    <row r="15" spans="2:6" x14ac:dyDescent="0.25">
      <c r="B15" s="3" t="s">
        <v>12</v>
      </c>
      <c r="D15" s="65">
        <v>1126114.963</v>
      </c>
      <c r="E15" s="65">
        <v>1121258.2540000002</v>
      </c>
      <c r="F15" s="705"/>
    </row>
    <row r="16" spans="2:6" x14ac:dyDescent="0.25">
      <c r="B16" s="2"/>
      <c r="D16" s="7"/>
      <c r="E16" s="7"/>
      <c r="F16" s="81"/>
    </row>
    <row r="17" spans="2:6" x14ac:dyDescent="0.25">
      <c r="B17" s="3" t="s">
        <v>13</v>
      </c>
      <c r="D17" s="65"/>
      <c r="E17" s="7"/>
      <c r="F17" s="81"/>
    </row>
    <row r="18" spans="2:6" x14ac:dyDescent="0.25">
      <c r="B18" s="2" t="s">
        <v>14</v>
      </c>
      <c r="D18" s="54">
        <v>17186.807000000001</v>
      </c>
      <c r="E18" s="7">
        <v>17186.807000000001</v>
      </c>
      <c r="F18" s="703">
        <f t="shared" ref="F18:F23" si="1">(D18-E18)/E18</f>
        <v>0</v>
      </c>
    </row>
    <row r="19" spans="2:6" x14ac:dyDescent="0.25">
      <c r="B19" s="2" t="s">
        <v>15</v>
      </c>
      <c r="D19" s="54">
        <v>42047.39</v>
      </c>
      <c r="E19" s="7">
        <v>42047.39</v>
      </c>
      <c r="F19" s="703">
        <f t="shared" si="1"/>
        <v>0</v>
      </c>
    </row>
    <row r="20" spans="2:6" x14ac:dyDescent="0.25">
      <c r="B20" s="2" t="s">
        <v>16</v>
      </c>
      <c r="D20" s="54">
        <v>932568.76500000001</v>
      </c>
      <c r="E20" s="7">
        <v>932579.11399999994</v>
      </c>
      <c r="F20" s="703">
        <f t="shared" si="1"/>
        <v>-1.1097181831084005E-5</v>
      </c>
    </row>
    <row r="21" spans="2:6" x14ac:dyDescent="0.25">
      <c r="B21" s="2" t="s">
        <v>64</v>
      </c>
      <c r="D21" s="54">
        <v>14000</v>
      </c>
      <c r="E21" s="7">
        <v>14000</v>
      </c>
      <c r="F21" s="703">
        <f t="shared" si="1"/>
        <v>0</v>
      </c>
    </row>
    <row r="22" spans="2:6" x14ac:dyDescent="0.25">
      <c r="B22" s="2" t="s">
        <v>17</v>
      </c>
      <c r="D22" s="54">
        <v>3008.451</v>
      </c>
      <c r="E22" s="7">
        <v>2829.8580000000002</v>
      </c>
      <c r="F22" s="703">
        <f t="shared" si="1"/>
        <v>6.31102337997171E-2</v>
      </c>
    </row>
    <row r="23" spans="2:6" x14ac:dyDescent="0.25">
      <c r="B23" s="2" t="s">
        <v>18</v>
      </c>
      <c r="D23" s="54">
        <v>54522.603999999999</v>
      </c>
      <c r="E23" s="7">
        <v>53599.673000000003</v>
      </c>
      <c r="F23" s="703">
        <f t="shared" si="1"/>
        <v>1.7218966988847055E-2</v>
      </c>
    </row>
    <row r="24" spans="2:6" x14ac:dyDescent="0.25">
      <c r="B24" s="3" t="s">
        <v>19</v>
      </c>
      <c r="D24" s="65">
        <v>1063334.017</v>
      </c>
      <c r="E24" s="65">
        <v>1062242.8419999999</v>
      </c>
      <c r="F24" s="705"/>
    </row>
    <row r="25" spans="2:6" x14ac:dyDescent="0.25">
      <c r="B25" s="2"/>
      <c r="D25" s="7"/>
      <c r="E25" s="7"/>
      <c r="F25" s="81"/>
    </row>
    <row r="26" spans="2:6" x14ac:dyDescent="0.25">
      <c r="B26" s="3" t="s">
        <v>20</v>
      </c>
      <c r="D26" s="65">
        <v>62780.945999999996</v>
      </c>
      <c r="E26" s="65">
        <v>59015.412000000244</v>
      </c>
      <c r="F26" s="705"/>
    </row>
    <row r="27" spans="2:6" x14ac:dyDescent="0.25">
      <c r="B27" s="2"/>
      <c r="D27" s="7"/>
      <c r="E27" s="7"/>
      <c r="F27" s="81"/>
    </row>
    <row r="28" spans="2:6" x14ac:dyDescent="0.25">
      <c r="B28" s="2" t="s">
        <v>21</v>
      </c>
      <c r="D28" s="7"/>
      <c r="E28" s="7"/>
      <c r="F28" s="81"/>
    </row>
    <row r="29" spans="2:6" x14ac:dyDescent="0.25">
      <c r="B29" s="2" t="s">
        <v>22</v>
      </c>
      <c r="D29" s="54">
        <v>12861.116</v>
      </c>
      <c r="E29" s="7">
        <v>12861.116</v>
      </c>
      <c r="F29" s="703">
        <f>(D29-E29)/E29</f>
        <v>0</v>
      </c>
    </row>
    <row r="30" spans="2:6" x14ac:dyDescent="0.25">
      <c r="B30" s="2" t="s">
        <v>23</v>
      </c>
      <c r="D30" s="54">
        <v>18231.98</v>
      </c>
      <c r="E30" s="7">
        <v>36753.460999999996</v>
      </c>
      <c r="F30" s="703">
        <f>(D30-E30)/E30</f>
        <v>-0.50393841820774365</v>
      </c>
    </row>
    <row r="31" spans="2:6" x14ac:dyDescent="0.25">
      <c r="B31" s="2" t="s">
        <v>24</v>
      </c>
      <c r="D31" s="54">
        <v>21117.202000000001</v>
      </c>
      <c r="E31" s="7"/>
      <c r="F31" s="703" t="e">
        <f>(D31-E31)/E31</f>
        <v>#DIV/0!</v>
      </c>
    </row>
    <row r="32" spans="2:6" x14ac:dyDescent="0.25">
      <c r="B32" s="2" t="s">
        <v>25</v>
      </c>
      <c r="D32" s="54">
        <v>9400.8349999999991</v>
      </c>
      <c r="E32" s="7">
        <v>9400.8349999999991</v>
      </c>
      <c r="F32" s="703">
        <f>(D32-E32)/E32</f>
        <v>0</v>
      </c>
    </row>
    <row r="33" spans="2:6" x14ac:dyDescent="0.25">
      <c r="B33" s="3" t="s">
        <v>26</v>
      </c>
      <c r="D33" s="65">
        <v>61611.132999999994</v>
      </c>
      <c r="E33" s="65">
        <v>59015.411999999997</v>
      </c>
      <c r="F33" s="81"/>
    </row>
    <row r="34" spans="2:6" x14ac:dyDescent="0.25">
      <c r="B34" s="2" t="s">
        <v>27</v>
      </c>
      <c r="D34" s="54">
        <v>1169.8130000000001</v>
      </c>
      <c r="E34" s="7">
        <v>0</v>
      </c>
      <c r="F34" s="706" t="e">
        <f>(D34-E34)/E34</f>
        <v>#DIV/0!</v>
      </c>
    </row>
    <row r="35" spans="2:6" x14ac:dyDescent="0.25">
      <c r="B35" s="2"/>
      <c r="D35" s="7"/>
      <c r="E35" s="7"/>
      <c r="F35" s="81"/>
    </row>
    <row r="36" spans="2:6" x14ac:dyDescent="0.25">
      <c r="B36" s="3" t="s">
        <v>28</v>
      </c>
      <c r="D36" s="65">
        <v>62780.945999999996</v>
      </c>
      <c r="E36" s="65">
        <v>59015.411999999997</v>
      </c>
      <c r="F36" s="81"/>
    </row>
    <row r="37" spans="2:6" x14ac:dyDescent="0.25">
      <c r="B37" s="70" t="s">
        <v>29</v>
      </c>
      <c r="D37" s="707">
        <v>0</v>
      </c>
      <c r="E37" s="7">
        <v>2.4738255888223648E-10</v>
      </c>
      <c r="F37" s="81"/>
    </row>
    <row r="38" spans="2:6" x14ac:dyDescent="0.25">
      <c r="B38" s="2"/>
      <c r="D38" s="7"/>
      <c r="E38" s="2"/>
      <c r="F38" s="81"/>
    </row>
    <row r="39" spans="2:6" x14ac:dyDescent="0.25">
      <c r="B39" s="542" t="s">
        <v>30</v>
      </c>
      <c r="D39" s="708"/>
      <c r="E39" s="2"/>
      <c r="F39" s="81"/>
    </row>
    <row r="40" spans="2:6" x14ac:dyDescent="0.25">
      <c r="B40" s="2" t="s">
        <v>31</v>
      </c>
      <c r="D40" s="54">
        <v>94278.81</v>
      </c>
      <c r="E40" s="7">
        <f>SUM(MEBL!Y41:AB41)</f>
        <v>94270.460999999996</v>
      </c>
      <c r="F40" s="703">
        <f>(D40-E40)/E40</f>
        <v>8.8564327695416485E-5</v>
      </c>
    </row>
    <row r="41" spans="2:6" x14ac:dyDescent="0.25">
      <c r="B41" s="2" t="s">
        <v>32</v>
      </c>
      <c r="D41" s="54">
        <v>47746.059000000001</v>
      </c>
      <c r="E41" s="7">
        <f>SUM(MEBL!Y42:AB42)</f>
        <v>47731.08</v>
      </c>
      <c r="F41" s="703">
        <f>(D41-E41)/E41</f>
        <v>3.1382068036171312E-4</v>
      </c>
    </row>
    <row r="42" spans="2:6" x14ac:dyDescent="0.25">
      <c r="B42" s="2" t="s">
        <v>33</v>
      </c>
      <c r="D42" s="54">
        <v>46532.750999999997</v>
      </c>
      <c r="E42" s="7">
        <f>SUM(MEBL!Y43:AB43)</f>
        <v>46539.380999999979</v>
      </c>
      <c r="F42" s="703">
        <f>(D42-E42)/E42</f>
        <v>-1.4245999533132664E-4</v>
      </c>
    </row>
    <row r="43" spans="2:6" x14ac:dyDescent="0.25">
      <c r="B43" s="2"/>
      <c r="D43" s="54"/>
      <c r="E43" s="7">
        <f>SUM(MEBL!Y44:AB44)</f>
        <v>0</v>
      </c>
      <c r="F43" s="703" t="e">
        <f>(D43-E43)/E43</f>
        <v>#DIV/0!</v>
      </c>
    </row>
    <row r="44" spans="2:6" x14ac:dyDescent="0.25">
      <c r="B44" s="2" t="s">
        <v>34</v>
      </c>
      <c r="D44" s="54">
        <v>4186.43</v>
      </c>
      <c r="E44" s="7">
        <f>SUM(MEBL!Y45:AB45)</f>
        <v>4186.43</v>
      </c>
      <c r="F44" s="703">
        <f>(D44-E44)/E44</f>
        <v>0</v>
      </c>
    </row>
    <row r="45" spans="2:6" x14ac:dyDescent="0.25">
      <c r="B45" s="3" t="s">
        <v>35</v>
      </c>
      <c r="D45" s="65">
        <v>42346.320999999996</v>
      </c>
      <c r="E45" s="65">
        <f>SUM(MEBL!Y46:AB46)</f>
        <v>42352.950999999979</v>
      </c>
      <c r="F45" s="81"/>
    </row>
    <row r="46" spans="2:6" x14ac:dyDescent="0.25">
      <c r="B46" s="2"/>
      <c r="D46" s="7"/>
      <c r="E46" s="7"/>
      <c r="F46" s="81"/>
    </row>
    <row r="47" spans="2:6" x14ac:dyDescent="0.25">
      <c r="B47" s="3" t="s">
        <v>36</v>
      </c>
      <c r="D47" s="65"/>
      <c r="E47" s="7"/>
      <c r="F47" s="81"/>
    </row>
    <row r="48" spans="2:6" x14ac:dyDescent="0.25">
      <c r="B48" s="2" t="s">
        <v>37</v>
      </c>
      <c r="D48" s="7">
        <v>7427.4740000000002</v>
      </c>
      <c r="E48" s="7">
        <f>SUM(MEBL!Y49:AB49)</f>
        <v>6174.6440000000002</v>
      </c>
      <c r="F48" s="703">
        <f>(D48-E48)/E48</f>
        <v>0.20289914689818553</v>
      </c>
    </row>
    <row r="49" spans="2:6" x14ac:dyDescent="0.25">
      <c r="B49" s="2" t="s">
        <v>38</v>
      </c>
      <c r="D49" s="7">
        <v>276.464</v>
      </c>
      <c r="E49" s="7">
        <f>SUM(MEBL!Y50:AB50)</f>
        <v>341.464</v>
      </c>
      <c r="F49" s="703">
        <v>-0.41</v>
      </c>
    </row>
    <row r="50" spans="2:6" x14ac:dyDescent="0.25">
      <c r="B50" s="2" t="s">
        <v>39</v>
      </c>
      <c r="D50" s="7">
        <v>2684.0970000000002</v>
      </c>
      <c r="E50" s="7">
        <f>SUM(MEBL!Y51:AB51)</f>
        <v>2684.0970000000002</v>
      </c>
      <c r="F50" s="703">
        <f>(D50-E50)/E50</f>
        <v>0</v>
      </c>
    </row>
    <row r="51" spans="2:6" x14ac:dyDescent="0.25">
      <c r="B51" s="2" t="s">
        <v>40</v>
      </c>
      <c r="D51" s="7">
        <v>-428.78199999999998</v>
      </c>
      <c r="E51" s="7">
        <f>SUM(MEBL!AC52:AF52)</f>
        <v>934.66300000000001</v>
      </c>
      <c r="F51" s="703">
        <f>(D51-E51)/E51</f>
        <v>-1.4587557226508376</v>
      </c>
    </row>
    <row r="52" spans="2:6" x14ac:dyDescent="0.25">
      <c r="B52" s="2" t="s">
        <v>390</v>
      </c>
      <c r="D52" s="7"/>
      <c r="E52" s="7">
        <f>SUM(MEBL!Y52:AB52)</f>
        <v>-417.59899999999999</v>
      </c>
      <c r="F52" s="703">
        <f>(D52-E52)/E52</f>
        <v>-1</v>
      </c>
    </row>
    <row r="53" spans="2:6" x14ac:dyDescent="0.25">
      <c r="B53" s="2" t="s">
        <v>41</v>
      </c>
      <c r="D53" s="7">
        <v>535.61500000000001</v>
      </c>
      <c r="E53" s="7">
        <f>SUM(MEBL!Y54:AB54)</f>
        <v>537.58000000000004</v>
      </c>
      <c r="F53" s="703">
        <f>(D53-E53)/E53</f>
        <v>-3.6552699133152863E-3</v>
      </c>
    </row>
    <row r="54" spans="2:6" x14ac:dyDescent="0.25">
      <c r="B54" s="2" t="s">
        <v>42</v>
      </c>
      <c r="D54" s="7">
        <v>10494.868</v>
      </c>
      <c r="E54" s="7">
        <f>SUM(MEBL!Y55:AB55)</f>
        <v>9320.1860000000015</v>
      </c>
      <c r="F54" s="703">
        <f>(D54-E54)/E54</f>
        <v>0.12603632588448327</v>
      </c>
    </row>
    <row r="55" spans="2:6" x14ac:dyDescent="0.25">
      <c r="B55" s="3" t="s">
        <v>43</v>
      </c>
      <c r="D55" s="65">
        <v>52841.188999999998</v>
      </c>
      <c r="E55" s="65">
        <f>SUM(MEBL!Y56:AB56)</f>
        <v>51673.136999999988</v>
      </c>
      <c r="F55" s="81"/>
    </row>
    <row r="56" spans="2:6" x14ac:dyDescent="0.25">
      <c r="B56" s="2"/>
      <c r="D56" s="7"/>
      <c r="E56" s="7"/>
      <c r="F56" s="81"/>
    </row>
    <row r="57" spans="2:6" x14ac:dyDescent="0.25">
      <c r="B57" s="3" t="s">
        <v>44</v>
      </c>
      <c r="D57" s="65"/>
      <c r="E57" s="7"/>
      <c r="F57" s="81"/>
    </row>
    <row r="58" spans="2:6" x14ac:dyDescent="0.25">
      <c r="B58" s="2" t="s">
        <v>45</v>
      </c>
      <c r="D58" s="7">
        <v>25454.005000000001</v>
      </c>
      <c r="E58" s="7">
        <f>SUM(MEBL!Y59:AB59)</f>
        <v>24830.659</v>
      </c>
      <c r="F58" s="703">
        <f>(D58-E58)/E58</f>
        <v>2.5103884677406322E-2</v>
      </c>
    </row>
    <row r="59" spans="2:6" x14ac:dyDescent="0.25">
      <c r="B59" s="2" t="s">
        <v>46</v>
      </c>
      <c r="D59" s="7">
        <v>628.45799999999997</v>
      </c>
      <c r="E59" s="7">
        <f>SUM(MEBL!Y60:AB60)</f>
        <v>609.524</v>
      </c>
      <c r="F59" s="703">
        <f>(D59-E59)/E59</f>
        <v>3.1063584042629936E-2</v>
      </c>
    </row>
    <row r="60" spans="2:6" x14ac:dyDescent="0.25">
      <c r="B60" s="2" t="s">
        <v>47</v>
      </c>
      <c r="D60" s="7">
        <v>82.275000000000006</v>
      </c>
      <c r="E60" s="7">
        <f>SUM(MEBL!Y61:AB61)</f>
        <v>82.275000000000006</v>
      </c>
      <c r="F60" s="703">
        <f>(D60-E60)/E60</f>
        <v>0</v>
      </c>
    </row>
    <row r="61" spans="2:6" x14ac:dyDescent="0.25">
      <c r="B61" s="65" t="s">
        <v>48</v>
      </c>
      <c r="D61" s="65">
        <v>26164.738000000001</v>
      </c>
      <c r="E61" s="65">
        <f>SUM(MEBL!Y62:AB62)</f>
        <v>25522.457999999999</v>
      </c>
      <c r="F61" s="81"/>
    </row>
    <row r="62" spans="2:6" x14ac:dyDescent="0.25">
      <c r="B62" s="2"/>
      <c r="D62" s="7"/>
      <c r="E62" s="7"/>
      <c r="F62" s="81"/>
    </row>
    <row r="63" spans="2:6" x14ac:dyDescent="0.25">
      <c r="B63" s="81" t="s">
        <v>49</v>
      </c>
      <c r="D63" s="7">
        <v>301.29500000000002</v>
      </c>
      <c r="E63" s="7">
        <f>SUM(MEBL!Y64:AB64)</f>
        <v>0</v>
      </c>
      <c r="F63" s="703" t="e">
        <f>(D63-E63)/E63</f>
        <v>#DIV/0!</v>
      </c>
    </row>
    <row r="64" spans="2:6" x14ac:dyDescent="0.25">
      <c r="B64" s="2" t="s">
        <v>50</v>
      </c>
      <c r="D64" s="7">
        <v>0</v>
      </c>
      <c r="E64" s="7">
        <f>SUM(MEBL!Y65:AB65)</f>
        <v>0</v>
      </c>
      <c r="F64" s="703" t="e">
        <f>(D64-E64)/E64</f>
        <v>#DIV/0!</v>
      </c>
    </row>
    <row r="65" spans="2:6" x14ac:dyDescent="0.25">
      <c r="B65" s="65" t="s">
        <v>51</v>
      </c>
      <c r="D65" s="65">
        <v>26977.745999999996</v>
      </c>
      <c r="E65" s="65">
        <f>SUM(MEBL!Y66:AB66)</f>
        <v>26150.678999999986</v>
      </c>
      <c r="F65" s="81"/>
    </row>
    <row r="66" spans="2:6" x14ac:dyDescent="0.25">
      <c r="B66" s="2"/>
      <c r="D66" s="7"/>
      <c r="E66" s="7"/>
      <c r="F66" s="81"/>
    </row>
    <row r="67" spans="2:6" x14ac:dyDescent="0.25">
      <c r="B67" s="2" t="s">
        <v>52</v>
      </c>
      <c r="D67" s="7">
        <v>11198.107</v>
      </c>
      <c r="E67" s="7">
        <f>SUM(MEBL!Y68:AB68)</f>
        <v>10918.605</v>
      </c>
      <c r="F67" s="703">
        <f>(D67-E67)/E67</f>
        <v>2.5598691407922571E-2</v>
      </c>
    </row>
    <row r="68" spans="2:6" x14ac:dyDescent="0.25">
      <c r="B68" s="3" t="s">
        <v>53</v>
      </c>
      <c r="D68" s="65">
        <v>15779.638999999996</v>
      </c>
      <c r="E68" s="65">
        <f>SUM(MEBL!Y69:AB69)</f>
        <v>15232.073999999986</v>
      </c>
      <c r="F68" s="81"/>
    </row>
    <row r="69" spans="2:6" x14ac:dyDescent="0.25">
      <c r="B69" s="2" t="s">
        <v>62</v>
      </c>
      <c r="D69" s="65">
        <v>-195.19800000000001</v>
      </c>
      <c r="E69" s="7">
        <f>SUM(MEBL!Y70:AB70)</f>
        <v>0</v>
      </c>
      <c r="F69" s="703" t="e">
        <f>(D69-E69)/E69</f>
        <v>#DIV/0!</v>
      </c>
    </row>
    <row r="70" spans="2:6" x14ac:dyDescent="0.25">
      <c r="B70" s="3" t="s">
        <v>63</v>
      </c>
      <c r="D70" s="65">
        <v>15584.440999999995</v>
      </c>
      <c r="E70" s="65">
        <f>SUM(MEBL!Y71:AB71)</f>
        <v>15232.073999999986</v>
      </c>
      <c r="F70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AG143"/>
  <sheetViews>
    <sheetView showGridLines="0" zoomScaleNormal="100" workbookViewId="0">
      <pane xSplit="4" ySplit="3" topLeftCell="E4" activePane="bottomRight" state="frozen"/>
      <selection pane="topRight" activeCell="F1" sqref="F1"/>
      <selection pane="bottomLeft" activeCell="A4" sqref="A4"/>
      <selection pane="bottomRight" activeCell="C1" sqref="C1"/>
    </sheetView>
  </sheetViews>
  <sheetFormatPr defaultColWidth="8.7109375" defaultRowHeight="11.1" customHeight="1" x14ac:dyDescent="0.2"/>
  <cols>
    <col min="1" max="1" width="1.7109375" style="2" customWidth="1"/>
    <col min="2" max="2" width="6.28515625" style="2" customWidth="1"/>
    <col min="3" max="3" width="21.28515625" style="2" customWidth="1"/>
    <col min="4" max="4" width="5.7109375" style="2" customWidth="1"/>
    <col min="5" max="5" width="9.28515625" style="2" customWidth="1"/>
    <col min="6" max="6" width="9.42578125" style="2" customWidth="1"/>
    <col min="7" max="20" width="8.7109375" style="2"/>
    <col min="21" max="21" width="3" style="267" customWidth="1"/>
    <col min="22" max="22" width="12.5703125" style="2" customWidth="1"/>
    <col min="23" max="23" width="18.5703125" style="2" customWidth="1"/>
    <col min="24" max="24" width="8.5703125" style="2" customWidth="1"/>
    <col min="25" max="33" width="12.5703125" style="2" customWidth="1"/>
    <col min="34" max="16384" width="8.7109375" style="2"/>
  </cols>
  <sheetData>
    <row r="1" spans="2:33" ht="11.1" customHeight="1" thickBot="1" x14ac:dyDescent="0.25">
      <c r="B1" s="9" t="s">
        <v>520</v>
      </c>
      <c r="C1" s="259"/>
      <c r="D1" s="259"/>
      <c r="U1" s="273"/>
    </row>
    <row r="2" spans="2:33" ht="11.1" customHeight="1" thickTop="1" x14ac:dyDescent="0.2">
      <c r="B2" s="3"/>
      <c r="C2" s="3"/>
      <c r="D2" s="3"/>
      <c r="U2" s="273"/>
    </row>
    <row r="3" spans="2:33" ht="11.1" customHeight="1" x14ac:dyDescent="0.2">
      <c r="B3" s="58" t="s">
        <v>632</v>
      </c>
      <c r="C3" s="700"/>
      <c r="D3" s="700"/>
      <c r="E3" s="250">
        <v>2010</v>
      </c>
      <c r="F3" s="250">
        <f>E3+1</f>
        <v>2011</v>
      </c>
      <c r="G3" s="250">
        <f t="shared" ref="G3:N3" si="0">F3+1</f>
        <v>2012</v>
      </c>
      <c r="H3" s="250">
        <f t="shared" si="0"/>
        <v>2013</v>
      </c>
      <c r="I3" s="250">
        <f t="shared" si="0"/>
        <v>2014</v>
      </c>
      <c r="J3" s="250">
        <f t="shared" si="0"/>
        <v>2015</v>
      </c>
      <c r="K3" s="250">
        <f t="shared" si="0"/>
        <v>2016</v>
      </c>
      <c r="L3" s="250">
        <f t="shared" si="0"/>
        <v>2017</v>
      </c>
      <c r="M3" s="250">
        <f t="shared" si="0"/>
        <v>2018</v>
      </c>
      <c r="N3" s="250">
        <f t="shared" si="0"/>
        <v>2019</v>
      </c>
      <c r="O3" s="309" t="s">
        <v>477</v>
      </c>
      <c r="P3" s="309" t="s">
        <v>478</v>
      </c>
      <c r="Q3" s="309" t="s">
        <v>479</v>
      </c>
      <c r="R3" s="310" t="s">
        <v>480</v>
      </c>
      <c r="S3" s="310" t="s">
        <v>481</v>
      </c>
      <c r="T3" s="310" t="s">
        <v>482</v>
      </c>
      <c r="U3" s="273"/>
      <c r="V3" s="251"/>
      <c r="W3" s="255"/>
      <c r="X3" s="255"/>
      <c r="Y3" s="252"/>
      <c r="Z3" s="251"/>
      <c r="AA3" s="251"/>
      <c r="AB3" s="251"/>
      <c r="AC3" s="252"/>
      <c r="AD3" s="251"/>
      <c r="AE3" s="251"/>
      <c r="AF3" s="251"/>
      <c r="AG3" s="252"/>
    </row>
    <row r="4" spans="2:33" s="51" customFormat="1" ht="11.1" customHeight="1" x14ac:dyDescent="0.2">
      <c r="B4" s="260" t="s">
        <v>512</v>
      </c>
      <c r="C4" s="260"/>
      <c r="D4" s="260"/>
      <c r="E4" s="264"/>
      <c r="F4" s="264"/>
      <c r="G4" s="264"/>
      <c r="H4" s="264"/>
      <c r="I4" s="264"/>
      <c r="J4" s="264"/>
      <c r="K4" s="264"/>
      <c r="L4" s="264"/>
      <c r="M4" s="264"/>
      <c r="N4" s="264"/>
      <c r="O4" s="265"/>
      <c r="P4" s="265"/>
      <c r="Q4" s="265"/>
      <c r="R4" s="266"/>
      <c r="S4" s="266"/>
      <c r="T4" s="266"/>
      <c r="U4" s="273"/>
      <c r="V4" s="251"/>
      <c r="W4" s="255"/>
      <c r="X4" s="255"/>
      <c r="Y4" s="251"/>
      <c r="Z4" s="251"/>
      <c r="AA4" s="251"/>
      <c r="AB4" s="251"/>
      <c r="AC4" s="251"/>
      <c r="AD4" s="251"/>
      <c r="AE4" s="251"/>
      <c r="AF4" s="251"/>
      <c r="AG4" s="251"/>
    </row>
    <row r="5" spans="2:33" s="51" customFormat="1" ht="11.1" customHeight="1" thickBot="1" x14ac:dyDescent="0.25">
      <c r="B5" s="263"/>
      <c r="C5" s="263"/>
      <c r="D5" s="263"/>
      <c r="E5" s="264"/>
      <c r="F5" s="264"/>
      <c r="G5" s="264"/>
      <c r="H5" s="264"/>
      <c r="I5" s="264"/>
      <c r="J5" s="264"/>
      <c r="K5" s="264"/>
      <c r="L5" s="264"/>
      <c r="M5" s="264"/>
      <c r="N5" s="264"/>
      <c r="O5" s="813">
        <f>(O6/K6)^(1/4)-1</f>
        <v>0.15803528262313238</v>
      </c>
      <c r="P5" s="813"/>
      <c r="Q5" s="813"/>
      <c r="R5" s="814"/>
      <c r="S5" s="814"/>
      <c r="T5" s="266"/>
      <c r="U5" s="273"/>
      <c r="V5" s="251"/>
      <c r="W5" s="1007" t="s">
        <v>508</v>
      </c>
      <c r="X5" s="1007"/>
      <c r="Y5" s="251"/>
      <c r="Z5" s="251"/>
      <c r="AA5" s="251"/>
      <c r="AB5" s="251"/>
      <c r="AC5" s="251"/>
      <c r="AD5" s="251"/>
      <c r="AE5" s="251"/>
      <c r="AF5" s="251"/>
      <c r="AG5" s="251"/>
    </row>
    <row r="6" spans="2:33" ht="11.1" customHeight="1" x14ac:dyDescent="0.2">
      <c r="B6" s="274" t="s">
        <v>287</v>
      </c>
      <c r="C6" s="275"/>
      <c r="D6" s="311" t="s">
        <v>519</v>
      </c>
      <c r="E6" s="276">
        <f>MEBL!D43/(SUM(MEBL!D8:D11))</f>
        <v>4.5431348697056104E-2</v>
      </c>
      <c r="F6" s="276">
        <f>MEBL!E43/(SUM(MEBL!E8:E11))</f>
        <v>5.6503675075634627E-2</v>
      </c>
      <c r="G6" s="276">
        <f>MEBL!F43/(SUM(MEBL!F8:F11))</f>
        <v>4.2578015924056523E-2</v>
      </c>
      <c r="H6" s="276">
        <f>MEBL!G43/(SUM(MEBL!G8:G11))</f>
        <v>3.6676810937715597E-2</v>
      </c>
      <c r="I6" s="276">
        <f>MEBL!H43/(SUM(MEBL!H8:H11))</f>
        <v>3.4612527689640876E-2</v>
      </c>
      <c r="J6" s="276">
        <f>MEBL!I43/(SUM(MEBL!I8:I11))</f>
        <v>3.9080643075196896E-2</v>
      </c>
      <c r="K6" s="276">
        <f>MEBL!J43/(SUM(MEBL!J8:J11))</f>
        <v>3.1587304549494336E-2</v>
      </c>
      <c r="L6" s="276">
        <f>MEBL!K43/(SUM(MEBL!K8:K11))</f>
        <v>2.9951701721855708E-2</v>
      </c>
      <c r="M6" s="276">
        <f>MEBL!L43/(SUM(MEBL!L8:L11))</f>
        <v>3.3833740861618479E-2</v>
      </c>
      <c r="N6" s="276">
        <f>MEBL!M43/(SUM(MEBL!M8:M11))</f>
        <v>4.8343375957320946E-2</v>
      </c>
      <c r="O6" s="324">
        <f>MEBL!N43/(SUM(MEBL!N8:N11))</f>
        <v>5.6806722590910491E-2</v>
      </c>
      <c r="P6" s="324">
        <f>MEBL!O43/(SUM(MEBL!O8:O11))</f>
        <v>4.7239168965521459E-2</v>
      </c>
      <c r="Q6" s="324">
        <f ca="1">MEBL!P43/(SUM(MEBL!P8:P11))</f>
        <v>4.5791103388969918E-2</v>
      </c>
      <c r="R6" s="324">
        <f ca="1">MEBL!Q43/(SUM(MEBL!Q8:Q11))</f>
        <v>4.5849561158982845E-2</v>
      </c>
      <c r="S6" s="324">
        <f ca="1">MEBL!R43/(SUM(MEBL!R8:R11))</f>
        <v>4.6175430142741947E-2</v>
      </c>
      <c r="T6" s="325">
        <f ca="1">MEBL!S43/(SUM(MEBL!S8:S11))</f>
        <v>4.6436499446310613E-2</v>
      </c>
      <c r="U6" s="273"/>
      <c r="W6" s="257" t="s">
        <v>509</v>
      </c>
      <c r="X6" s="709" t="s">
        <v>492</v>
      </c>
    </row>
    <row r="7" spans="2:33" ht="11.1" customHeight="1" x14ac:dyDescent="0.2">
      <c r="B7" s="277" t="s">
        <v>288</v>
      </c>
      <c r="C7" s="261"/>
      <c r="D7" s="312" t="s">
        <v>519</v>
      </c>
      <c r="E7" s="249">
        <f>MEBL!D41/(MEBL!D8+MEBL!D9+MEBL!D10+MEBL!D11)</f>
        <v>9.8289006396578518E-2</v>
      </c>
      <c r="F7" s="249">
        <f>MEBL!E41/(MEBL!E8+MEBL!E9+MEBL!E10+MEBL!E11)</f>
        <v>0.10891736862205015</v>
      </c>
      <c r="G7" s="249">
        <f>MEBL!F41/(MEBL!F8+MEBL!F9+MEBL!F10+MEBL!F11)</f>
        <v>8.8952925771879854E-2</v>
      </c>
      <c r="H7" s="249">
        <f>MEBL!G41/(MEBL!G8+MEBL!G9+MEBL!G10+MEBL!G11)</f>
        <v>7.9835707056098687E-2</v>
      </c>
      <c r="I7" s="249">
        <f>MEBL!H41/(MEBL!H8+MEBL!H9+MEBL!H10+MEBL!H11)</f>
        <v>7.4606071012753364E-2</v>
      </c>
      <c r="J7" s="249">
        <f>MEBL!I41/(MEBL!I8+MEBL!I9+MEBL!I10+MEBL!I11)</f>
        <v>7.103997788969052E-2</v>
      </c>
      <c r="K7" s="249">
        <f>MEBL!J41/(MEBL!J8+MEBL!J9+MEBL!J10+MEBL!J11)</f>
        <v>5.3496364786140845E-2</v>
      </c>
      <c r="L7" s="249">
        <f>MEBL!K41/(MEBL!K8+MEBL!K9+MEBL!K10+MEBL!K11)</f>
        <v>5.191578283546476E-2</v>
      </c>
      <c r="M7" s="249">
        <f>MEBL!L41/(MEBL!L8+MEBL!L9+MEBL!L10+MEBL!L11)</f>
        <v>5.8394326164160314E-2</v>
      </c>
      <c r="N7" s="249">
        <f>MEBL!M41/(MEBL!M8+MEBL!M9+MEBL!M10+MEBL!M11)</f>
        <v>9.7947270657581145E-2</v>
      </c>
      <c r="O7" s="326">
        <f>MEBL!N41/(MEBL!N8+MEBL!N9+MEBL!N10+MEBL!N11)</f>
        <v>9.1877518138020864E-2</v>
      </c>
      <c r="P7" s="326">
        <f>MEBL!O41/(MEBL!O8+MEBL!O9+MEBL!O10+MEBL!O11)</f>
        <v>7.8499119055229327E-2</v>
      </c>
      <c r="Q7" s="326">
        <f ca="1">MEBL!P41/(MEBL!P8+MEBL!P9+MEBL!P10+MEBL!P11)</f>
        <v>7.9807557357179121E-2</v>
      </c>
      <c r="R7" s="326">
        <f ca="1">MEBL!Q41/(MEBL!Q8+MEBL!Q9+MEBL!Q10+MEBL!Q11)</f>
        <v>7.9876913086935869E-2</v>
      </c>
      <c r="S7" s="326">
        <f ca="1">MEBL!R41/(MEBL!R8+MEBL!R9+MEBL!R10+MEBL!R11)</f>
        <v>7.9927102508081729E-2</v>
      </c>
      <c r="T7" s="327">
        <f ca="1">MEBL!S41/(MEBL!S8+MEBL!S9+MEBL!S10+MEBL!S11)</f>
        <v>7.997623952070701E-2</v>
      </c>
      <c r="U7" s="273"/>
      <c r="W7" s="257" t="s">
        <v>637</v>
      </c>
      <c r="X7" s="710">
        <f ca="1">Valuation!R10</f>
        <v>155.91695373759273</v>
      </c>
    </row>
    <row r="8" spans="2:33" ht="11.1" customHeight="1" x14ac:dyDescent="0.2">
      <c r="B8" s="277" t="s">
        <v>289</v>
      </c>
      <c r="C8" s="261"/>
      <c r="D8" s="312" t="s">
        <v>519</v>
      </c>
      <c r="E8" s="249">
        <f>MEBL!D42/(MEBL!D8+MEBL!D9+MEBL!D10+MEBL!D11)</f>
        <v>5.2857657699522421E-2</v>
      </c>
      <c r="F8" s="249">
        <f>MEBL!E42/(MEBL!E8+MEBL!E9+MEBL!E10+MEBL!E11)</f>
        <v>5.2413693546415521E-2</v>
      </c>
      <c r="G8" s="249">
        <f>MEBL!F42/(MEBL!F8+MEBL!F9+MEBL!F10+MEBL!F11)</f>
        <v>4.6374909847823331E-2</v>
      </c>
      <c r="H8" s="249">
        <f>MEBL!G42/(MEBL!G8+MEBL!G9+MEBL!G10+MEBL!G11)</f>
        <v>4.3158896118383083E-2</v>
      </c>
      <c r="I8" s="249">
        <f>MEBL!H42/(MEBL!H8+MEBL!H9+MEBL!H10+MEBL!H11)</f>
        <v>3.9993543323112495E-2</v>
      </c>
      <c r="J8" s="249">
        <f>MEBL!I42/(MEBL!I8+MEBL!I9+MEBL!I10+MEBL!I11)</f>
        <v>3.1959334814493631E-2</v>
      </c>
      <c r="K8" s="249">
        <f>MEBL!J42/(MEBL!J8+MEBL!J9+MEBL!J10+MEBL!J11)</f>
        <v>2.1909060236646512E-2</v>
      </c>
      <c r="L8" s="249">
        <f>MEBL!K42/(MEBL!K8+MEBL!K9+MEBL!K10+MEBL!K11)</f>
        <v>2.1964081113609053E-2</v>
      </c>
      <c r="M8" s="249">
        <f>MEBL!L42/(MEBL!L8+MEBL!L9+MEBL!L10+MEBL!L11)</f>
        <v>2.4560585302541831E-2</v>
      </c>
      <c r="N8" s="249">
        <f>MEBL!M42/(MEBL!M8+MEBL!M9+MEBL!M10+MEBL!M11)</f>
        <v>4.96038947002602E-2</v>
      </c>
      <c r="O8" s="326">
        <f>MEBL!N42/(MEBL!N8+MEBL!N9+MEBL!N10+MEBL!N11)</f>
        <v>3.5070795547110373E-2</v>
      </c>
      <c r="P8" s="326">
        <f>MEBL!O42/(MEBL!O8+MEBL!O9+MEBL!O10+MEBL!O11)</f>
        <v>3.1259950089707875E-2</v>
      </c>
      <c r="Q8" s="326">
        <f ca="1">MEBL!P42/(MEBL!P8+MEBL!P9+MEBL!P10+MEBL!P11)</f>
        <v>3.4016453968209202E-2</v>
      </c>
      <c r="R8" s="326">
        <f ca="1">MEBL!Q42/(MEBL!Q8+MEBL!Q9+MEBL!Q10+MEBL!Q11)</f>
        <v>3.4027351927953031E-2</v>
      </c>
      <c r="S8" s="326">
        <f ca="1">MEBL!R42/(MEBL!R8+MEBL!R9+MEBL!R10+MEBL!R11)</f>
        <v>3.3751672365339783E-2</v>
      </c>
      <c r="T8" s="327">
        <f ca="1">MEBL!S42/(MEBL!S8+MEBL!S9+MEBL!S10+MEBL!S11)</f>
        <v>3.3539740074396397E-2</v>
      </c>
      <c r="U8" s="273"/>
      <c r="W8" s="3" t="s">
        <v>645</v>
      </c>
      <c r="X8" s="711">
        <v>113.81</v>
      </c>
    </row>
    <row r="9" spans="2:33" ht="11.1" customHeight="1" x14ac:dyDescent="0.2">
      <c r="B9" s="277" t="s">
        <v>290</v>
      </c>
      <c r="C9" s="261"/>
      <c r="D9" s="312" t="s">
        <v>519</v>
      </c>
      <c r="E9" s="249">
        <f>MEBL!D302/MEBL!D10</f>
        <v>5.7214571055950687E-2</v>
      </c>
      <c r="F9" s="249">
        <f>MEBL!E302/MEBL!E10</f>
        <v>9.1131423093464503E-2</v>
      </c>
      <c r="G9" s="249">
        <f>MEBL!F302/MEBL!F10</f>
        <v>8.5972599147493597E-2</v>
      </c>
      <c r="H9" s="249">
        <f>MEBL!G302/MEBL!G10</f>
        <v>9.3425892460688303E-2</v>
      </c>
      <c r="I9" s="249">
        <f>MEBL!H302/MEBL!H10</f>
        <v>9.0188311515969968E-2</v>
      </c>
      <c r="J9" s="249">
        <f>MEBL!I302/MEBL!I10</f>
        <v>8.5814357104453232E-2</v>
      </c>
      <c r="K9" s="249">
        <f>MEBL!J302/MEBL!J10</f>
        <v>7.0168853104530693E-2</v>
      </c>
      <c r="L9" s="249">
        <f>MEBL!K302/MEBL!K10</f>
        <v>4.8610678806255241E-2</v>
      </c>
      <c r="M9" s="249">
        <f>MEBL!L302/MEBL!L10</f>
        <v>5.4313909278764193E-2</v>
      </c>
      <c r="N9" s="249">
        <f>MEBL!M302/MEBL!M10</f>
        <v>9.669008624797551E-2</v>
      </c>
      <c r="O9" s="326">
        <f>MEBL!N302/MEBL!N10</f>
        <v>7.631733674755653E-2</v>
      </c>
      <c r="P9" s="326">
        <f>MEBL!O302/MEBL!O10</f>
        <v>7.0000000000000007E-2</v>
      </c>
      <c r="Q9" s="326">
        <f>MEBL!P302/MEBL!P10</f>
        <v>7.7500000000000013E-2</v>
      </c>
      <c r="R9" s="326">
        <f>MEBL!Q302/MEBL!Q10</f>
        <v>7.7500000000000013E-2</v>
      </c>
      <c r="S9" s="326">
        <f>MEBL!R302/MEBL!R10</f>
        <v>7.7500000000000013E-2</v>
      </c>
      <c r="T9" s="327">
        <f>MEBL!S302/MEBL!S10</f>
        <v>7.7500000000000013E-2</v>
      </c>
      <c r="U9" s="273"/>
      <c r="W9" s="3" t="s">
        <v>642</v>
      </c>
      <c r="X9" s="712">
        <f ca="1">X7/X8-1</f>
        <v>0.36997586976182006</v>
      </c>
    </row>
    <row r="10" spans="2:33" ht="11.1" customHeight="1" x14ac:dyDescent="0.2">
      <c r="B10" s="277" t="s">
        <v>291</v>
      </c>
      <c r="C10" s="261"/>
      <c r="D10" s="312" t="s">
        <v>519</v>
      </c>
      <c r="E10" s="249">
        <f>MEBL!D301/MEBL!D11</f>
        <v>0.10786497672022954</v>
      </c>
      <c r="F10" s="249">
        <f>MEBL!E301/MEBL!E11</f>
        <v>0.12041554672046761</v>
      </c>
      <c r="G10" s="249">
        <f>MEBL!F301/MEBL!F11</f>
        <v>9.4790069644722558E-2</v>
      </c>
      <c r="H10" s="249">
        <f>MEBL!G301/MEBL!G11</f>
        <v>6.7796548812866356E-2</v>
      </c>
      <c r="I10" s="249">
        <f>MEBL!H301/MEBL!H11</f>
        <v>7.02481052767603E-2</v>
      </c>
      <c r="J10" s="249">
        <f>MEBL!I301/MEBL!I11</f>
        <v>6.6249968570665355E-2</v>
      </c>
      <c r="K10" s="249">
        <f>MEBL!J301/MEBL!J11</f>
        <v>5.0071959299492791E-2</v>
      </c>
      <c r="L10" s="249">
        <f>MEBL!K301/MEBL!K11</f>
        <v>5.1187642132458876E-2</v>
      </c>
      <c r="M10" s="249">
        <f>MEBL!L301/MEBL!L11</f>
        <v>5.8926124816730874E-2</v>
      </c>
      <c r="N10" s="249">
        <f>MEBL!M301/MEBL!M11</f>
        <v>0.1108554192578096</v>
      </c>
      <c r="O10" s="326">
        <f>MEBL!N301/MEBL!N11</f>
        <v>9.6194438232689056E-2</v>
      </c>
      <c r="P10" s="326">
        <f>MEBL!O301/MEBL!O11</f>
        <v>8.2500000000000004E-2</v>
      </c>
      <c r="Q10" s="326">
        <f ca="1">MEBL!P301/MEBL!P11</f>
        <v>8.2500000000000018E-2</v>
      </c>
      <c r="R10" s="326">
        <f ca="1">MEBL!Q301/MEBL!Q11</f>
        <v>8.2500000000000018E-2</v>
      </c>
      <c r="S10" s="326">
        <f ca="1">MEBL!R301/MEBL!R11</f>
        <v>8.2500000000000018E-2</v>
      </c>
      <c r="T10" s="327">
        <f ca="1">MEBL!S301/MEBL!S11</f>
        <v>8.2500000000000018E-2</v>
      </c>
      <c r="U10" s="273"/>
      <c r="W10" s="3" t="s">
        <v>643</v>
      </c>
      <c r="X10" s="713">
        <f>MEBL!O73/X8</f>
        <v>6.1506018803268607E-2</v>
      </c>
    </row>
    <row r="11" spans="2:33" ht="11.1" customHeight="1" x14ac:dyDescent="0.2">
      <c r="B11" s="278" t="s">
        <v>292</v>
      </c>
      <c r="C11" s="279"/>
      <c r="D11" s="691" t="s">
        <v>519</v>
      </c>
      <c r="E11" s="249">
        <f>MEBL!D313/(MEBL!D258+MEBL!D259+MEBL!D264)</f>
        <v>6.4703522961047755E-2</v>
      </c>
      <c r="F11" s="249">
        <f>MEBL!E313/(MEBL!E258+MEBL!E259+MEBL!E264)</f>
        <v>6.6139251355813833E-2</v>
      </c>
      <c r="G11" s="249">
        <f>MEBL!F313/(MEBL!F258+MEBL!F259+MEBL!F264)</f>
        <v>6.3445019705689873E-2</v>
      </c>
      <c r="H11" s="249">
        <f>MEBL!G313/(MEBL!G258+MEBL!G259+MEBL!G264)</f>
        <v>5.5100958714382739E-2</v>
      </c>
      <c r="I11" s="249">
        <f>MEBL!H313/(MEBL!H258+MEBL!H259+MEBL!H264)</f>
        <v>5.5593918694938314E-2</v>
      </c>
      <c r="J11" s="249">
        <f>MEBL!I313/(MEBL!I258+MEBL!I259+MEBL!I264)</f>
        <v>4.4676328627933901E-2</v>
      </c>
      <c r="K11" s="249">
        <f>MEBL!J313/(MEBL!J258+MEBL!J259+MEBL!J264)</f>
        <v>3.2485516444024427E-2</v>
      </c>
      <c r="L11" s="249">
        <f>MEBL!K313/(MEBL!K258+MEBL!K259+MEBL!K264)</f>
        <v>3.103839571096894E-2</v>
      </c>
      <c r="M11" s="249">
        <f>MEBL!L313/(MEBL!L258+MEBL!L259+MEBL!L264)</f>
        <v>3.6673016359167442E-2</v>
      </c>
      <c r="N11" s="249">
        <f>MEBL!M313/(MEBL!M258+MEBL!M259+MEBL!M264)</f>
        <v>7.3694717379957739E-2</v>
      </c>
      <c r="O11" s="326">
        <f>MEBL!N313/(MEBL!N258+MEBL!N259+MEBL!N264)</f>
        <v>5.2573450989808729E-2</v>
      </c>
      <c r="P11" s="326">
        <f>MEBL!O313/(MEBL!O258+MEBL!O259+MEBL!O264)</f>
        <v>4.6637633337652723E-2</v>
      </c>
      <c r="Q11" s="326">
        <f>MEBL!P313/(MEBL!P258+MEBL!P259+MEBL!P264)</f>
        <v>5.1637633337652727E-2</v>
      </c>
      <c r="R11" s="326">
        <f>MEBL!Q313/(MEBL!Q258+MEBL!Q259+MEBL!Q264)</f>
        <v>5.1637633337652727E-2</v>
      </c>
      <c r="S11" s="326">
        <f>MEBL!R313/(MEBL!R258+MEBL!R259+MEBL!R264)</f>
        <v>5.1637633337652727E-2</v>
      </c>
      <c r="T11" s="327">
        <f>MEBL!S313/(MEBL!S258+MEBL!S259+MEBL!S264)</f>
        <v>5.1637633337652727E-2</v>
      </c>
      <c r="U11" s="273"/>
      <c r="W11" s="3" t="s">
        <v>640</v>
      </c>
      <c r="X11" s="714">
        <f>X8*X12</f>
        <v>161009.59583607002</v>
      </c>
    </row>
    <row r="12" spans="2:33" ht="11.1" customHeight="1" x14ac:dyDescent="0.2">
      <c r="B12" s="277" t="s">
        <v>293</v>
      </c>
      <c r="C12" s="261"/>
      <c r="D12" s="312" t="s">
        <v>519</v>
      </c>
      <c r="E12" s="280" t="s">
        <v>148</v>
      </c>
      <c r="F12" s="280" t="s">
        <v>148</v>
      </c>
      <c r="G12" s="280" t="s">
        <v>148</v>
      </c>
      <c r="H12" s="280" t="s">
        <v>148</v>
      </c>
      <c r="I12" s="280" t="s">
        <v>148</v>
      </c>
      <c r="J12" s="280" t="s">
        <v>148</v>
      </c>
      <c r="K12" s="249">
        <f>MEBL!J314/MEBL!J22</f>
        <v>0</v>
      </c>
      <c r="L12" s="249">
        <f>MEBL!K314/MEBL!K22</f>
        <v>0</v>
      </c>
      <c r="M12" s="249">
        <f>MEBL!L314/MEBL!L22</f>
        <v>6.0645642857142856E-2</v>
      </c>
      <c r="N12" s="249">
        <f>MEBL!M314/MEBL!M22</f>
        <v>0.128111</v>
      </c>
      <c r="O12" s="326">
        <f>MEBL!N314/MEBL!N22</f>
        <v>0.12356144444444443</v>
      </c>
      <c r="P12" s="326">
        <f>MEBL!O314/MEBL!O22</f>
        <v>0.10856144444444443</v>
      </c>
      <c r="Q12" s="326">
        <f>MEBL!P314/MEBL!P22</f>
        <v>0.11356144444444444</v>
      </c>
      <c r="R12" s="326">
        <f>MEBL!Q314/MEBL!Q22</f>
        <v>0.11356144444444444</v>
      </c>
      <c r="S12" s="326">
        <f>MEBL!R314/MEBL!R22</f>
        <v>0.11356144444444444</v>
      </c>
      <c r="T12" s="327">
        <f>MEBL!S314/MEBL!S22</f>
        <v>0.11356144444444444</v>
      </c>
      <c r="U12" s="273"/>
      <c r="W12" s="3" t="s">
        <v>641</v>
      </c>
      <c r="X12" s="715">
        <v>1414.722747</v>
      </c>
    </row>
    <row r="13" spans="2:33" ht="11.1" customHeight="1" x14ac:dyDescent="0.2">
      <c r="B13" s="277" t="s">
        <v>294</v>
      </c>
      <c r="C13" s="261"/>
      <c r="D13" s="312" t="s">
        <v>519</v>
      </c>
      <c r="E13" s="249">
        <f>MEBL!D49/MEBL!D56</f>
        <v>0.12970964866034129</v>
      </c>
      <c r="F13" s="249">
        <f>MEBL!E49/MEBL!E56</f>
        <v>0.11239805843838649</v>
      </c>
      <c r="G13" s="249">
        <f>MEBL!F49/MEBL!F56</f>
        <v>7.804246369338276E-2</v>
      </c>
      <c r="H13" s="249">
        <f>MEBL!G49/MEBL!G56</f>
        <v>8.9519538808254071E-2</v>
      </c>
      <c r="I13" s="249">
        <f>MEBL!H49/MEBL!H56</f>
        <v>8.9395377393469769E-2</v>
      </c>
      <c r="J13" s="249">
        <f>MEBL!I49/MEBL!I56</f>
        <v>8.9550414749484303E-2</v>
      </c>
      <c r="K13" s="249">
        <f>MEBL!J49/MEBL!J56</f>
        <v>0.15350560781758582</v>
      </c>
      <c r="L13" s="249">
        <f>MEBL!K49/MEBL!K56</f>
        <v>0.21289750435733179</v>
      </c>
      <c r="M13" s="249">
        <f>MEBL!L49/MEBL!L56</f>
        <v>0.1912980913776445</v>
      </c>
      <c r="N13" s="249">
        <f>MEBL!M49/MEBL!M56</f>
        <v>0.14056220423049148</v>
      </c>
      <c r="O13" s="326">
        <f>MEBL!N49/MEBL!N56</f>
        <v>9.2736764373798367E-2</v>
      </c>
      <c r="P13" s="326">
        <f>MEBL!O49/MEBL!O56</f>
        <v>0.12238728989392123</v>
      </c>
      <c r="Q13" s="326">
        <f ca="1">MEBL!P49/MEBL!P56</f>
        <v>0.12156520650695485</v>
      </c>
      <c r="R13" s="326">
        <f ca="1">MEBL!Q49/MEBL!Q56</f>
        <v>0.12399447713862452</v>
      </c>
      <c r="S13" s="326">
        <f ca="1">MEBL!R49/MEBL!R56</f>
        <v>0.12280118445390975</v>
      </c>
      <c r="T13" s="327">
        <f ca="1">MEBL!S49/MEBL!S56</f>
        <v>0.12149400256240826</v>
      </c>
      <c r="U13" s="273"/>
      <c r="W13" s="3" t="s">
        <v>511</v>
      </c>
      <c r="X13" s="711">
        <v>120</v>
      </c>
    </row>
    <row r="14" spans="2:33" ht="11.1" customHeight="1" x14ac:dyDescent="0.2">
      <c r="B14" s="277" t="s">
        <v>295</v>
      </c>
      <c r="C14" s="261"/>
      <c r="D14" s="312" t="s">
        <v>519</v>
      </c>
      <c r="E14" s="249">
        <f>MEBL!D49/MEBL!D16</f>
        <v>5.5957429535093981E-3</v>
      </c>
      <c r="F14" s="249">
        <f>MEBL!E49/MEBL!E16</f>
        <v>5.4395423335089847E-3</v>
      </c>
      <c r="G14" s="249">
        <f>MEBL!F49/MEBL!F16</f>
        <v>3.5327551716788702E-3</v>
      </c>
      <c r="H14" s="249">
        <f>MEBL!G49/MEBL!G16</f>
        <v>3.8160145821802436E-3</v>
      </c>
      <c r="I14" s="249">
        <f>MEBL!H49/MEBL!H16</f>
        <v>3.5878043526787074E-3</v>
      </c>
      <c r="J14" s="249">
        <f>MEBL!I49/MEBL!I16</f>
        <v>3.7364148662280363E-3</v>
      </c>
      <c r="K14" s="249">
        <f>MEBL!J49/MEBL!J16</f>
        <v>5.9436576643057413E-3</v>
      </c>
      <c r="L14" s="249">
        <f>MEBL!K49/MEBL!K16</f>
        <v>7.6720848023951382E-3</v>
      </c>
      <c r="M14" s="249">
        <f>MEBL!L49/MEBL!L16</f>
        <v>7.2447303495241817E-3</v>
      </c>
      <c r="N14" s="249">
        <f>MEBL!M49/MEBL!M16</f>
        <v>6.5956622938505441E-3</v>
      </c>
      <c r="O14" s="326">
        <f>MEBL!N49/MEBL!N16</f>
        <v>4.9639396646586238E-3</v>
      </c>
      <c r="P14" s="326">
        <f ca="1">MEBL!O49/MEBL!O16</f>
        <v>5.5811286711316159E-3</v>
      </c>
      <c r="Q14" s="326">
        <f ca="1">MEBL!P49/MEBL!P16</f>
        <v>5.6967268039825967E-3</v>
      </c>
      <c r="R14" s="326">
        <f ca="1">MEBL!Q49/MEBL!Q16</f>
        <v>5.6698348533886717E-3</v>
      </c>
      <c r="S14" s="326">
        <f ca="1">MEBL!R49/MEBL!R16</f>
        <v>5.6121785523932316E-3</v>
      </c>
      <c r="T14" s="327">
        <f ca="1">MEBL!S49/MEBL!S16</f>
        <v>5.5319483667517723E-3</v>
      </c>
      <c r="U14" s="273"/>
      <c r="W14" s="3" t="s">
        <v>510</v>
      </c>
      <c r="X14" s="711">
        <v>55.5</v>
      </c>
    </row>
    <row r="15" spans="2:33" ht="11.1" customHeight="1" x14ac:dyDescent="0.2">
      <c r="B15" s="277" t="s">
        <v>296</v>
      </c>
      <c r="C15" s="261"/>
      <c r="D15" s="312" t="s">
        <v>631</v>
      </c>
      <c r="E15" s="82">
        <f>(MEBL!D56)/MEBL!D16</f>
        <v>4.3140529723910165E-2</v>
      </c>
      <c r="F15" s="82">
        <f>(MEBL!E56)/MEBL!E16</f>
        <v>4.8395340712142208E-2</v>
      </c>
      <c r="G15" s="82">
        <f>(MEBL!F56)/MEBL!F16</f>
        <v>4.5267089280504269E-2</v>
      </c>
      <c r="H15" s="82">
        <f>(MEBL!G56)/MEBL!G16</f>
        <v>4.2627728348265254E-2</v>
      </c>
      <c r="I15" s="82">
        <f>(MEBL!H56)/MEBL!H16</f>
        <v>4.0134114954145185E-2</v>
      </c>
      <c r="J15" s="82">
        <f>(MEBL!I56)/MEBL!I16</f>
        <v>4.1724149203335247E-2</v>
      </c>
      <c r="K15" s="82">
        <f>(MEBL!J56)/MEBL!J16</f>
        <v>3.8719482296495147E-2</v>
      </c>
      <c r="L15" s="82">
        <f>(MEBL!K56)/MEBL!K16</f>
        <v>3.6036518255837063E-2</v>
      </c>
      <c r="M15" s="82">
        <f>(MEBL!L56)/MEBL!L16</f>
        <v>3.7871419925577028E-2</v>
      </c>
      <c r="N15" s="82">
        <f>(MEBL!M56)/MEBL!M16</f>
        <v>4.6923440977313428E-2</v>
      </c>
      <c r="O15" s="328">
        <f>(MEBL!N56)/MEBL!N16</f>
        <v>5.3527203565678035E-2</v>
      </c>
      <c r="P15" s="328">
        <f ca="1">(MEBL!O56)/MEBL!O16</f>
        <v>4.5602191828653452E-2</v>
      </c>
      <c r="Q15" s="328">
        <f ca="1">(MEBL!P56)/MEBL!P16</f>
        <v>4.6861490780725011E-2</v>
      </c>
      <c r="R15" s="328">
        <f ca="1">(MEBL!Q56)/MEBL!Q16</f>
        <v>4.5726511246544123E-2</v>
      </c>
      <c r="S15" s="328">
        <f ca="1">(MEBL!R56)/MEBL!R16</f>
        <v>4.5701338935371733E-2</v>
      </c>
      <c r="T15" s="329">
        <f ca="1">(MEBL!S56)/MEBL!S16</f>
        <v>4.5532686799993741E-2</v>
      </c>
      <c r="U15" s="273"/>
      <c r="W15" s="3" t="s">
        <v>644</v>
      </c>
      <c r="X15" s="716">
        <v>0.25</v>
      </c>
    </row>
    <row r="16" spans="2:33" ht="11.1" customHeight="1" x14ac:dyDescent="0.2">
      <c r="B16" s="277" t="s">
        <v>386</v>
      </c>
      <c r="C16" s="261"/>
      <c r="D16" s="312" t="s">
        <v>630</v>
      </c>
      <c r="E16" s="281">
        <f>MEBL!D56/Assumptions!E15</f>
        <v>1.5699239230064161</v>
      </c>
      <c r="F16" s="281">
        <f>MEBL!E56/Assumptions!F15</f>
        <v>1.9924630612244905</v>
      </c>
      <c r="G16" s="281">
        <f>MEBL!F56/Assumptions!G15</f>
        <v>2.0868372249286078</v>
      </c>
      <c r="H16" s="281">
        <f>MEBL!G56/Assumptions!H15</f>
        <v>2.2495857874519847</v>
      </c>
      <c r="I16" s="281">
        <f>MEBL!H56/Assumptions!I15</f>
        <v>2.36302342172567</v>
      </c>
      <c r="J16" s="281">
        <f>MEBL!I56/Assumptions!J15</f>
        <v>2.5860605989977863</v>
      </c>
      <c r="K16" s="281">
        <f>MEBL!J56/Assumptions!K15</f>
        <v>2.801197753054101</v>
      </c>
      <c r="L16" s="281">
        <f>MEBL!K56/Assumptions!L15</f>
        <v>2.9655037168882838</v>
      </c>
      <c r="M16" s="281">
        <f>MEBL!L56/Assumptions!M15</f>
        <v>3.542105770185719</v>
      </c>
      <c r="N16" s="281">
        <f>MEBL!M56/Assumptions!N15</f>
        <v>4.5361137436689845</v>
      </c>
      <c r="O16" s="330">
        <f>MEBL!N56/Assumptions!O15</f>
        <v>6.1333071962613213</v>
      </c>
      <c r="P16" s="330">
        <f>MEBL!O56/Assumptions!P15</f>
        <v>5.5996299074870128</v>
      </c>
      <c r="Q16" s="330">
        <f ca="1">MEBL!P56/Assumptions!Q15</f>
        <v>6.3308372727235982</v>
      </c>
      <c r="R16" s="330">
        <f ca="1">MEBL!Q56/Assumptions!R15</f>
        <v>6.7491471822225053</v>
      </c>
      <c r="S16" s="330">
        <f ca="1">MEBL!R56/Assumptions!S15</f>
        <v>7.4101923782295165</v>
      </c>
      <c r="T16" s="331">
        <f ca="1">MEBL!S56/Assumptions!T15</f>
        <v>8.1443793997095995</v>
      </c>
      <c r="U16" s="273"/>
    </row>
    <row r="17" spans="1:24" ht="11.1" customHeight="1" thickBot="1" x14ac:dyDescent="0.25">
      <c r="B17" s="282" t="s">
        <v>387</v>
      </c>
      <c r="C17" s="283"/>
      <c r="D17" s="692" t="s">
        <v>630</v>
      </c>
      <c r="E17" s="284">
        <f>MEBL!D56/Assumptions!E13</f>
        <v>30.861027027027028</v>
      </c>
      <c r="F17" s="284">
        <f>MEBL!E56/Assumptions!F13</f>
        <v>35.502069090909103</v>
      </c>
      <c r="G17" s="284">
        <f>MEBL!F56/Assumptions!G13</f>
        <v>40.07400645161291</v>
      </c>
      <c r="H17" s="284">
        <f>MEBL!G56/Assumptions!H13</f>
        <v>40.04390883190883</v>
      </c>
      <c r="I17" s="284">
        <f>MEBL!H56/Assumptions!I13</f>
        <v>41.016123831775708</v>
      </c>
      <c r="J17" s="284">
        <f>MEBL!I56/Assumptions!J13</f>
        <v>40.274021778584398</v>
      </c>
      <c r="K17" s="284">
        <f>MEBL!J56/Assumptions!K13</f>
        <v>44.97614886164623</v>
      </c>
      <c r="L17" s="284">
        <f>MEBL!K56/Assumptions!L13</f>
        <v>47.127331114808648</v>
      </c>
      <c r="M17" s="284">
        <f>MEBL!L56/Assumptions!M13</f>
        <v>54.038580303030308</v>
      </c>
      <c r="N17" s="284">
        <f>MEBL!M56/Assumptions!N13</f>
        <v>69.527880263157897</v>
      </c>
      <c r="O17" s="332">
        <f>MEBL!N56/Assumptions!O13</f>
        <v>90.418133119404615</v>
      </c>
      <c r="P17" s="332">
        <f>MEBL!O56/Assumptions!P13</f>
        <v>82.550582612785178</v>
      </c>
      <c r="Q17" s="332">
        <f ca="1">MEBL!P56/Assumptions!Q13</f>
        <v>93.330151085753897</v>
      </c>
      <c r="R17" s="332">
        <f ca="1">MEBL!Q56/Assumptions!R13</f>
        <v>99.496938411406518</v>
      </c>
      <c r="S17" s="332">
        <f ca="1">MEBL!R56/Assumptions!S13</f>
        <v>109.24216567915842</v>
      </c>
      <c r="T17" s="333">
        <f ca="1">MEBL!S56/Assumptions!T13</f>
        <v>120.06566069065742</v>
      </c>
      <c r="U17" s="273"/>
      <c r="W17" s="3"/>
    </row>
    <row r="18" spans="1:24" ht="11.1" customHeight="1" x14ac:dyDescent="0.2">
      <c r="B18" s="10"/>
      <c r="C18" s="10"/>
      <c r="D18" s="10"/>
      <c r="U18" s="273"/>
      <c r="W18" s="3"/>
    </row>
    <row r="19" spans="1:24" s="51" customFormat="1" ht="11.1" customHeight="1" x14ac:dyDescent="0.2">
      <c r="A19" s="2"/>
      <c r="B19" s="260" t="s">
        <v>513</v>
      </c>
      <c r="C19" s="260"/>
      <c r="D19" s="260"/>
      <c r="E19" s="268"/>
      <c r="F19" s="268"/>
      <c r="G19" s="268"/>
      <c r="H19" s="268"/>
      <c r="I19" s="268"/>
      <c r="J19" s="268"/>
      <c r="K19" s="268"/>
      <c r="L19" s="268"/>
      <c r="M19" s="268"/>
      <c r="N19" s="268"/>
      <c r="O19" s="268"/>
      <c r="P19" s="268"/>
      <c r="Q19" s="268"/>
      <c r="R19" s="268"/>
      <c r="S19" s="268"/>
      <c r="T19" s="268"/>
      <c r="U19" s="273"/>
      <c r="W19" s="3"/>
      <c r="X19" s="2"/>
    </row>
    <row r="20" spans="1:24" s="51" customFormat="1" ht="11.1" customHeight="1" thickBot="1" x14ac:dyDescent="0.25">
      <c r="B20" s="263"/>
      <c r="C20" s="263"/>
      <c r="D20" s="263"/>
      <c r="E20" s="268"/>
      <c r="F20" s="268"/>
      <c r="G20" s="268"/>
      <c r="H20" s="268"/>
      <c r="I20" s="268"/>
      <c r="J20" s="268"/>
      <c r="K20" s="268"/>
      <c r="L20" s="268"/>
      <c r="M20" s="268"/>
      <c r="N20" s="268"/>
      <c r="O20" s="268"/>
      <c r="P20" s="268"/>
      <c r="Q20" s="268"/>
      <c r="R20" s="268"/>
      <c r="S20" s="268"/>
      <c r="T20" s="268"/>
      <c r="U20" s="273"/>
      <c r="W20" s="50"/>
      <c r="X20" s="2"/>
    </row>
    <row r="21" spans="1:24" ht="11.1" customHeight="1" x14ac:dyDescent="0.2">
      <c r="B21" s="274" t="s">
        <v>297</v>
      </c>
      <c r="C21" s="275"/>
      <c r="D21" s="311" t="s">
        <v>519</v>
      </c>
      <c r="E21" s="276">
        <f>MEBL!D59/MEBL!D56</f>
        <v>0.67687823996795859</v>
      </c>
      <c r="F21" s="276">
        <f>MEBL!E59/MEBL!E56</f>
        <v>0.63136653033999834</v>
      </c>
      <c r="G21" s="276">
        <f>MEBL!F59/MEBL!F56</f>
        <v>0.57897130969459554</v>
      </c>
      <c r="H21" s="276">
        <f>MEBL!G59/MEBL!G56</f>
        <v>0.59790933200677421</v>
      </c>
      <c r="I21" s="276">
        <f>MEBL!H59/MEBL!H56</f>
        <v>0.59584124114399728</v>
      </c>
      <c r="J21" s="276">
        <f>MEBL!I59/MEBL!I56</f>
        <v>0.6110881237994561</v>
      </c>
      <c r="K21" s="276">
        <f>MEBL!J59/MEBL!J56</f>
        <v>0.62750585725900032</v>
      </c>
      <c r="L21" s="276">
        <f>MEBL!K59/MEBL!K56</f>
        <v>0.60465052973983535</v>
      </c>
      <c r="M21" s="276">
        <f>MEBL!L59/MEBL!L56</f>
        <v>0.55480064845926713</v>
      </c>
      <c r="N21" s="276">
        <f>MEBL!M59/MEBL!M56</f>
        <v>0.48170765044669989</v>
      </c>
      <c r="O21" s="324">
        <f>MEBL!N59/MEBL!N56</f>
        <v>0.41976149657223344</v>
      </c>
      <c r="P21" s="324">
        <f>MEBL!O59/MEBL!O56</f>
        <v>0.48134630141069584</v>
      </c>
      <c r="Q21" s="324">
        <f ca="1">MEBL!P59/MEBL!P56</f>
        <v>0.44969503677098899</v>
      </c>
      <c r="R21" s="324">
        <f ca="1">MEBL!Q59/MEBL!Q56</f>
        <v>0.44502256185392802</v>
      </c>
      <c r="S21" s="324">
        <f ca="1">MEBL!R59/MEBL!R56</f>
        <v>0.42865750865105151</v>
      </c>
      <c r="T21" s="325">
        <f ca="1">MEBL!S59/MEBL!S56</f>
        <v>0.41248936040902723</v>
      </c>
      <c r="U21" s="273"/>
      <c r="W21" s="273"/>
      <c r="X21" s="51"/>
    </row>
    <row r="22" spans="1:24" ht="11.1" customHeight="1" x14ac:dyDescent="0.2">
      <c r="B22" s="277" t="s">
        <v>298</v>
      </c>
      <c r="C22" s="261"/>
      <c r="D22" s="312" t="s">
        <v>519</v>
      </c>
      <c r="E22" s="249">
        <f>MEBL!D59/MEBL!D16</f>
        <v>2.9200885830805719E-2</v>
      </c>
      <c r="F22" s="249">
        <f>MEBL!E59/MEBL!E16</f>
        <v>3.0555198350047295E-2</v>
      </c>
      <c r="G22" s="249">
        <f>MEBL!F59/MEBL!F16</f>
        <v>2.6208345966795745E-2</v>
      </c>
      <c r="H22" s="249">
        <f>MEBL!G59/MEBL!G16</f>
        <v>2.5487516581677513E-2</v>
      </c>
      <c r="I22" s="249">
        <f>MEBL!H59/MEBL!H16</f>
        <v>2.3913560866493724E-2</v>
      </c>
      <c r="J22" s="249">
        <f>MEBL!I59/MEBL!I16</f>
        <v>2.5497132053794707E-2</v>
      </c>
      <c r="K22" s="249">
        <f>MEBL!J59/MEBL!J16</f>
        <v>2.4296701931086871E-2</v>
      </c>
      <c r="L22" s="249">
        <f>MEBL!K59/MEBL!K16</f>
        <v>2.1789499853371131E-2</v>
      </c>
      <c r="M22" s="249">
        <f>MEBL!L59/MEBL!L16</f>
        <v>2.1011088332783347E-2</v>
      </c>
      <c r="N22" s="249">
        <f>MEBL!M59/MEBL!M16</f>
        <v>2.260338050405605E-2</v>
      </c>
      <c r="O22" s="326">
        <f>MEBL!N59/MEBL!N16</f>
        <v>2.2468659076055605E-2</v>
      </c>
      <c r="P22" s="326">
        <f ca="1">MEBL!O59/MEBL!O16</f>
        <v>2.1950446372943397E-2</v>
      </c>
      <c r="Q22" s="326">
        <f ca="1">MEBL!P59/MEBL!P16</f>
        <v>2.1073379819781496E-2</v>
      </c>
      <c r="R22" s="326">
        <f ca="1">MEBL!Q59/MEBL!Q16</f>
        <v>2.0349329179579517E-2</v>
      </c>
      <c r="S22" s="326">
        <f ca="1">MEBL!R59/MEBL!R16</f>
        <v>1.9590222090053747E-2</v>
      </c>
      <c r="T22" s="327">
        <f ca="1">MEBL!S59/MEBL!S16</f>
        <v>1.8781748855833974E-2</v>
      </c>
      <c r="U22" s="273"/>
      <c r="W22" s="50"/>
      <c r="X22" s="51"/>
    </row>
    <row r="23" spans="1:24" ht="11.1" customHeight="1" x14ac:dyDescent="0.2">
      <c r="B23" s="287" t="s">
        <v>392</v>
      </c>
      <c r="C23" s="285"/>
      <c r="D23" s="693" t="s">
        <v>630</v>
      </c>
      <c r="E23" s="281">
        <f>MEBL!D365/Assumptions!E15</f>
        <v>0.48806599450045829</v>
      </c>
      <c r="F23" s="281">
        <f>MEBL!E365/Assumptions!F15</f>
        <v>0.59841795918367346</v>
      </c>
      <c r="G23" s="281">
        <f>MEBL!F365/Assumptions!G15</f>
        <v>0.5693950949101293</v>
      </c>
      <c r="H23" s="281">
        <f>MEBL!G365/Assumptions!H15</f>
        <v>0.65323927656850189</v>
      </c>
      <c r="I23" s="281">
        <f>MEBL!H365/Assumptions!I15</f>
        <v>0.67536317135549884</v>
      </c>
      <c r="J23" s="281">
        <f>MEBL!I365/Assumptions!J15</f>
        <v>0.78345216175270949</v>
      </c>
      <c r="K23" s="281">
        <f>MEBL!J365/Assumptions!K15</f>
        <v>0.85401996073298425</v>
      </c>
      <c r="L23" s="281">
        <f>MEBL!K365/Assumptions!L15</f>
        <v>0.92300429274421525</v>
      </c>
      <c r="M23" s="281">
        <f>MEBL!L365/Assumptions!M15</f>
        <v>1.0583293276392889</v>
      </c>
      <c r="N23" s="281">
        <f>MEBL!M365/Assumptions!N15</f>
        <v>1.1503938535496609</v>
      </c>
      <c r="O23" s="330">
        <f>MEBL!N365/Assumptions!O15</f>
        <v>1.3554278035207989</v>
      </c>
      <c r="P23" s="330">
        <f>MEBL!O365/Assumptions!P15</f>
        <v>1.368982081556007</v>
      </c>
      <c r="Q23" s="330">
        <f>MEBL!P365/Assumptions!Q15</f>
        <v>1.4237413648182475</v>
      </c>
      <c r="R23" s="330">
        <f>MEBL!Q365/Assumptions!R15</f>
        <v>1.487809726235068</v>
      </c>
      <c r="S23" s="330">
        <f>MEBL!R365/Assumptions!S15</f>
        <v>1.5622002125468215</v>
      </c>
      <c r="T23" s="331">
        <f>MEBL!S365/Assumptions!T15</f>
        <v>1.6403102231741629</v>
      </c>
      <c r="U23" s="273"/>
    </row>
    <row r="24" spans="1:24" ht="11.1" customHeight="1" x14ac:dyDescent="0.2">
      <c r="B24" s="277" t="s">
        <v>299</v>
      </c>
      <c r="C24" s="261"/>
      <c r="D24" s="312" t="s">
        <v>519</v>
      </c>
      <c r="E24" s="286">
        <f>MEBL!D365/MEBL!D62</f>
        <v>0.45266488300086011</v>
      </c>
      <c r="F24" s="286">
        <f>MEBL!E365/MEBL!E62</f>
        <v>0.4757658988424226</v>
      </c>
      <c r="G24" s="286">
        <f>MEBL!F365/MEBL!F62</f>
        <v>0.47125578154343917</v>
      </c>
      <c r="H24" s="286">
        <f>MEBL!G365/MEBL!G62</f>
        <v>0.4853801065271548</v>
      </c>
      <c r="I24" s="286">
        <f>MEBL!H365/MEBL!H62</f>
        <v>0.4708239684312675</v>
      </c>
      <c r="J24" s="286">
        <f>MEBL!I365/MEBL!I62</f>
        <v>0.48929648050657176</v>
      </c>
      <c r="K24" s="286">
        <f>MEBL!J365/MEBL!J62</f>
        <v>0.47944225733075319</v>
      </c>
      <c r="L24" s="286">
        <f>MEBL!K365/MEBL!K62</f>
        <v>0.50584513116514274</v>
      </c>
      <c r="M24" s="286">
        <f>MEBL!L365/MEBL!L62</f>
        <v>0.52786866211182171</v>
      </c>
      <c r="N24" s="286">
        <f>MEBL!M365/MEBL!M62</f>
        <v>0.51217550888527907</v>
      </c>
      <c r="O24" s="334">
        <f>MEBL!N365/MEBL!N62</f>
        <v>0.50920891950285863</v>
      </c>
      <c r="P24" s="334">
        <f>MEBL!O365/MEBL!O62</f>
        <v>0.49706336961383152</v>
      </c>
      <c r="Q24" s="334">
        <f ca="1">MEBL!P365/MEBL!P62</f>
        <v>0.48803439995439235</v>
      </c>
      <c r="R24" s="334">
        <f ca="1">MEBL!Q365/MEBL!Q62</f>
        <v>0.48319804516865844</v>
      </c>
      <c r="S24" s="334">
        <f ca="1">MEBL!R365/MEBL!R62</f>
        <v>0.47894624756175336</v>
      </c>
      <c r="T24" s="335">
        <f ca="1">MEBL!S365/MEBL!S62</f>
        <v>0.47465644756786474</v>
      </c>
      <c r="U24" s="273"/>
    </row>
    <row r="25" spans="1:24" ht="11.1" customHeight="1" x14ac:dyDescent="0.2">
      <c r="B25" s="277" t="s">
        <v>393</v>
      </c>
      <c r="C25" s="261"/>
      <c r="D25" s="312" t="s">
        <v>630</v>
      </c>
      <c r="E25" s="281">
        <f>MEBL!D62/Assumptions!E15</f>
        <v>1.0782060036663612</v>
      </c>
      <c r="F25" s="281">
        <f>MEBL!E62/Assumptions!F15</f>
        <v>1.2577991836734692</v>
      </c>
      <c r="G25" s="281">
        <f>MEBL!F62/Assumptions!G15</f>
        <v>1.2082506299344868</v>
      </c>
      <c r="H25" s="281">
        <f>MEBL!G62/Assumptions!H15</f>
        <v>1.3458303457106273</v>
      </c>
      <c r="I25" s="281">
        <f>MEBL!H62/Assumptions!I15</f>
        <v>1.434428186835375</v>
      </c>
      <c r="J25" s="281">
        <f>MEBL!I62/Assumptions!J15</f>
        <v>1.6011808647010837</v>
      </c>
      <c r="K25" s="281">
        <f>MEBL!J62/Assumptions!K15</f>
        <v>1.7812780322862132</v>
      </c>
      <c r="L25" s="281">
        <f>MEBL!K62/Assumptions!L15</f>
        <v>1.8246776253795414</v>
      </c>
      <c r="M25" s="281">
        <f>MEBL!L62/Assumptions!M15</f>
        <v>2.0049103188002784</v>
      </c>
      <c r="N25" s="281">
        <f>MEBL!M62/Assumptions!N15</f>
        <v>2.2460930551978713</v>
      </c>
      <c r="O25" s="330">
        <f>MEBL!N62/Assumptions!O15</f>
        <v>2.6618304424912766</v>
      </c>
      <c r="P25" s="330">
        <f>MEBL!O62/Assumptions!P15</f>
        <v>2.754139945213764</v>
      </c>
      <c r="Q25" s="330">
        <f ca="1">MEBL!P62/Assumptions!Q15</f>
        <v>2.917297151494441</v>
      </c>
      <c r="R25" s="330">
        <f ca="1">MEBL!Q62/Assumptions!R15</f>
        <v>3.0790888769339988</v>
      </c>
      <c r="S25" s="330">
        <f ca="1">MEBL!R62/Assumptions!S15</f>
        <v>3.2617443408310614</v>
      </c>
      <c r="T25" s="331">
        <f ca="1">MEBL!S62/Assumptions!T15</f>
        <v>3.4557841394109303</v>
      </c>
      <c r="U25" s="273"/>
      <c r="W25" s="51"/>
    </row>
    <row r="26" spans="1:24" ht="11.1" customHeight="1" x14ac:dyDescent="0.2">
      <c r="B26" s="277" t="s">
        <v>394</v>
      </c>
      <c r="C26" s="261"/>
      <c r="D26" s="312" t="s">
        <v>630</v>
      </c>
      <c r="E26" s="281">
        <f>MEBL!D62/Assumptions!E13</f>
        <v>21.195004504504507</v>
      </c>
      <c r="F26" s="281">
        <f>MEBL!E62/Assumptions!F13</f>
        <v>22.411694545454544</v>
      </c>
      <c r="G26" s="281">
        <f>MEBL!F62/Assumptions!G13</f>
        <v>23.202309677419358</v>
      </c>
      <c r="H26" s="281">
        <f>MEBL!G62/Assumptions!H13</f>
        <v>23.956547008547009</v>
      </c>
      <c r="I26" s="281">
        <f>MEBL!H62/Assumptions!I13</f>
        <v>24.898053738317756</v>
      </c>
      <c r="J26" s="281">
        <f>MEBL!I62/Assumptions!J13</f>
        <v>24.935994555353901</v>
      </c>
      <c r="K26" s="281">
        <f>MEBL!J62/Assumptions!K13</f>
        <v>28.600274956217167</v>
      </c>
      <c r="L26" s="281">
        <f>MEBL!K62/Assumptions!L13</f>
        <v>28.997497504159732</v>
      </c>
      <c r="M26" s="281">
        <f>MEBL!L62/Assumptions!M13</f>
        <v>30.587033333333338</v>
      </c>
      <c r="N26" s="281">
        <f>MEBL!M62/Assumptions!N13</f>
        <v>34.427286842105268</v>
      </c>
      <c r="O26" s="330">
        <f>MEBL!N62/Assumptions!O13</f>
        <v>39.241102979020816</v>
      </c>
      <c r="P26" s="330">
        <f>MEBL!O62/Assumptions!P13</f>
        <v>40.601943491042725</v>
      </c>
      <c r="Q26" s="330">
        <f ca="1">MEBL!P62/Assumptions!Q13</f>
        <v>43.007231458009223</v>
      </c>
      <c r="R26" s="330">
        <f ca="1">MEBL!Q62/Assumptions!R13</f>
        <v>45.392389301942011</v>
      </c>
      <c r="S26" s="330">
        <f ca="1">MEBL!R62/Assumptions!S13</f>
        <v>48.085123502455964</v>
      </c>
      <c r="T26" s="331">
        <f ca="1">MEBL!S62/Assumptions!T13</f>
        <v>50.945687269611113</v>
      </c>
      <c r="U26" s="273"/>
    </row>
    <row r="27" spans="1:24" ht="11.1" customHeight="1" x14ac:dyDescent="0.2">
      <c r="B27" s="277" t="s">
        <v>395</v>
      </c>
      <c r="C27" s="261"/>
      <c r="D27" s="312" t="s">
        <v>630</v>
      </c>
      <c r="E27" s="281">
        <f>(MEBL!D59-MEBL!D365)/Assumptions!E13</f>
        <v>11.294923423423423</v>
      </c>
      <c r="F27" s="281">
        <f>(MEBL!E59-MEBL!E365)/Assumptions!F13</f>
        <v>11.75209818181818</v>
      </c>
      <c r="G27" s="281">
        <f>(MEBL!F59-MEBL!F365)/Assumptions!G13</f>
        <v>12.267477419354838</v>
      </c>
      <c r="H27" s="281">
        <f>(MEBL!G59-MEBL!G365)/Assumptions!H13</f>
        <v>12.314595441595438</v>
      </c>
      <c r="I27" s="281">
        <f>(MEBL!H59-MEBL!H365)/Assumptions!I13</f>
        <v>12.716497663551397</v>
      </c>
      <c r="J27" s="281">
        <f>(MEBL!I59-MEBL!I365)/Assumptions!J13</f>
        <v>12.409882032667875</v>
      </c>
      <c r="K27" s="281">
        <f>(MEBL!J59-MEBL!J365)/Assumptions!K13</f>
        <v>14.510616462346762</v>
      </c>
      <c r="L27" s="281">
        <f>(MEBL!K59-MEBL!K365)/Assumptions!L13</f>
        <v>13.827322795341097</v>
      </c>
      <c r="M27" s="281">
        <f>(MEBL!L59-MEBL!L365)/Assumptions!M13</f>
        <v>13.834703030303034</v>
      </c>
      <c r="N27" s="281">
        <f>(MEBL!M59-MEBL!M365)/Assumptions!N13</f>
        <v>15.859298684210527</v>
      </c>
      <c r="O27" s="330">
        <f>(MEBL!N59-MEBL!N365)/Assumptions!O13</f>
        <v>17.972131227421112</v>
      </c>
      <c r="P27" s="330">
        <f>(MEBL!O59-MEBL!O365)/Assumptions!P13</f>
        <v>19.553678775434172</v>
      </c>
      <c r="Q27" s="330">
        <f>(MEBL!P59-MEBL!P365)/Assumptions!Q13</f>
        <v>20.98109732604086</v>
      </c>
      <c r="R27" s="330">
        <f>(MEBL!Q59-MEBL!Q365)/Assumptions!R13</f>
        <v>22.344868652233519</v>
      </c>
      <c r="S27" s="330">
        <f>(MEBL!R59-MEBL!R365)/Assumptions!S13</f>
        <v>23.797285114628696</v>
      </c>
      <c r="T27" s="331">
        <f>(MEBL!S59-MEBL!S365)/Assumptions!T13</f>
        <v>25.344108647079555</v>
      </c>
      <c r="U27" s="273"/>
    </row>
    <row r="28" spans="1:24" ht="11.1" customHeight="1" thickBot="1" x14ac:dyDescent="0.25">
      <c r="B28" s="282" t="s">
        <v>300</v>
      </c>
      <c r="C28" s="283"/>
      <c r="D28" s="692" t="s">
        <v>519</v>
      </c>
      <c r="E28" s="288">
        <f>MEBL!D379/MEBL!D12</f>
        <v>0.11835148262361442</v>
      </c>
      <c r="F28" s="288">
        <f>MEBL!E379/MEBL!E12</f>
        <v>0.11091504990774403</v>
      </c>
      <c r="G28" s="288">
        <f>MEBL!F379/MEBL!F12</f>
        <v>0.11601718168158359</v>
      </c>
      <c r="H28" s="288">
        <f>MEBL!G379/MEBL!G12</f>
        <v>0.1225629205381888</v>
      </c>
      <c r="I28" s="288">
        <f>MEBL!H379/MEBL!H12</f>
        <v>0.13013915140169219</v>
      </c>
      <c r="J28" s="288">
        <f>MEBL!I379/MEBL!I12</f>
        <v>0.12391086571831818</v>
      </c>
      <c r="K28" s="288">
        <f>MEBL!J379/MEBL!J12</f>
        <v>0.15772935418702555</v>
      </c>
      <c r="L28" s="288">
        <f>MEBL!K379/MEBL!K12</f>
        <v>0.12597175092162416</v>
      </c>
      <c r="M28" s="288">
        <f>MEBL!L379/MEBL!L12</f>
        <v>0.11815270450737875</v>
      </c>
      <c r="N28" s="288">
        <f>MEBL!M379/MEBL!M12</f>
        <v>0.16723791865124382</v>
      </c>
      <c r="O28" s="336">
        <f>MEBL!N379/MEBL!N12</f>
        <v>0.19963605301497503</v>
      </c>
      <c r="P28" s="336">
        <f>MEBL!O379/MEBL!O12</f>
        <v>0.21335577337748807</v>
      </c>
      <c r="Q28" s="336">
        <f>MEBL!P379/MEBL!P12</f>
        <v>0.20297888881992904</v>
      </c>
      <c r="R28" s="336">
        <f>MEBL!Q379/MEBL!Q12</f>
        <v>0.18800770874419287</v>
      </c>
      <c r="S28" s="336">
        <f>MEBL!R379/MEBL!R12</f>
        <v>0.18949529857898703</v>
      </c>
      <c r="T28" s="337">
        <f>MEBL!S379/MEBL!S12</f>
        <v>0.18397629807740637</v>
      </c>
      <c r="U28" s="273"/>
    </row>
    <row r="29" spans="1:24" ht="11.1" customHeight="1" x14ac:dyDescent="0.2">
      <c r="B29" s="10"/>
      <c r="C29" s="10"/>
      <c r="D29" s="10"/>
      <c r="U29" s="273"/>
    </row>
    <row r="30" spans="1:24" s="51" customFormat="1" ht="11.1" customHeight="1" x14ac:dyDescent="0.2">
      <c r="A30" s="2"/>
      <c r="B30" s="253" t="s">
        <v>514</v>
      </c>
      <c r="C30" s="253"/>
      <c r="D30" s="253"/>
      <c r="E30" s="213"/>
      <c r="F30" s="213"/>
      <c r="G30" s="213"/>
      <c r="H30" s="213"/>
      <c r="I30" s="213"/>
      <c r="J30" s="213"/>
      <c r="K30" s="213"/>
      <c r="L30" s="213"/>
      <c r="M30" s="213"/>
      <c r="N30" s="213"/>
      <c r="O30" s="213"/>
      <c r="P30" s="213"/>
      <c r="Q30" s="213"/>
      <c r="R30" s="213"/>
      <c r="S30" s="213"/>
      <c r="T30" s="213"/>
      <c r="U30" s="273"/>
      <c r="W30" s="2"/>
      <c r="X30" s="2"/>
    </row>
    <row r="31" spans="1:24" s="51" customFormat="1" ht="11.1" customHeight="1" thickBot="1" x14ac:dyDescent="0.25">
      <c r="B31" s="269"/>
      <c r="C31" s="269"/>
      <c r="D31" s="269"/>
      <c r="E31" s="213"/>
      <c r="F31" s="213"/>
      <c r="G31" s="213"/>
      <c r="H31" s="213"/>
      <c r="I31" s="213"/>
      <c r="J31" s="213"/>
      <c r="K31" s="213"/>
      <c r="L31" s="213"/>
      <c r="M31" s="213"/>
      <c r="N31" s="213"/>
      <c r="O31" s="213"/>
      <c r="P31" s="213"/>
      <c r="Q31" s="213"/>
      <c r="R31" s="213"/>
      <c r="S31" s="213"/>
      <c r="T31" s="213"/>
      <c r="U31" s="273"/>
      <c r="W31" s="2"/>
      <c r="X31" s="2"/>
    </row>
    <row r="32" spans="1:24" ht="11.1" customHeight="1" x14ac:dyDescent="0.2">
      <c r="B32" s="289" t="s">
        <v>301</v>
      </c>
      <c r="C32" s="290"/>
      <c r="D32" s="694" t="s">
        <v>519</v>
      </c>
      <c r="E32" s="276">
        <f>MEBL!D196/MEBL!D192</f>
        <v>7.4651660143087106E-2</v>
      </c>
      <c r="F32" s="276">
        <f>MEBL!E196/MEBL!E192</f>
        <v>7.2309103513682721E-2</v>
      </c>
      <c r="G32" s="276">
        <f>MEBL!F196/MEBL!F192</f>
        <v>5.2965126356552435E-2</v>
      </c>
      <c r="H32" s="276">
        <f>MEBL!G196/MEBL!G192</f>
        <v>3.6267215237007946E-2</v>
      </c>
      <c r="I32" s="276">
        <f>MEBL!H196/MEBL!H192</f>
        <v>3.7713504211994868E-2</v>
      </c>
      <c r="J32" s="276">
        <f>MEBL!I196/MEBL!I192</f>
        <v>3.2739587326933377E-2</v>
      </c>
      <c r="K32" s="276">
        <f>MEBL!J196/MEBL!J192</f>
        <v>2.1423437782056458E-2</v>
      </c>
      <c r="L32" s="276">
        <f>MEBL!K196/MEBL!K192</f>
        <v>1.5408470758242969E-2</v>
      </c>
      <c r="M32" s="276">
        <f>MEBL!L196/MEBL!L192</f>
        <v>1.3374931394579639E-2</v>
      </c>
      <c r="N32" s="276">
        <f>MEBL!M196/MEBL!M192</f>
        <v>1.7760109869414179E-2</v>
      </c>
      <c r="O32" s="324">
        <f>MEBL!N196/MEBL!N192</f>
        <v>1.9633336052449116E-2</v>
      </c>
      <c r="P32" s="324">
        <f>MEBL!O196/MEBL!O192</f>
        <v>2.1000000000000001E-2</v>
      </c>
      <c r="Q32" s="324">
        <f>MEBL!P196/MEBL!P192</f>
        <v>1.7520057171348472E-2</v>
      </c>
      <c r="R32" s="324">
        <f>MEBL!Q196/MEBL!Q192</f>
        <v>1.7435369614937184E-2</v>
      </c>
      <c r="S32" s="324">
        <f>MEBL!R196/MEBL!R192</f>
        <v>1.7857686897558282E-2</v>
      </c>
      <c r="T32" s="325">
        <f>MEBL!S196/MEBL!S192</f>
        <v>1.866977454162979E-2</v>
      </c>
      <c r="U32" s="273"/>
      <c r="W32" s="51"/>
    </row>
    <row r="33" spans="1:27" ht="11.1" customHeight="1" x14ac:dyDescent="0.2">
      <c r="B33" s="291" t="s">
        <v>302</v>
      </c>
      <c r="C33" s="262"/>
      <c r="D33" s="695" t="s">
        <v>519</v>
      </c>
      <c r="E33" s="249">
        <f>MEBL!D210/MEBL!D196</f>
        <v>0.89181517917951003</v>
      </c>
      <c r="F33" s="249">
        <f>MEBL!E210/MEBL!E196</f>
        <v>1.1448737378953275</v>
      </c>
      <c r="G33" s="249">
        <f>MEBL!F210/MEBL!F196</f>
        <v>1.1448317889419817</v>
      </c>
      <c r="H33" s="249">
        <f>MEBL!G210/MEBL!G196</f>
        <v>1.2088692344749454</v>
      </c>
      <c r="I33" s="249">
        <f>MEBL!H210/MEBL!H196</f>
        <v>1.0957470786464516</v>
      </c>
      <c r="J33" s="249">
        <f>MEBL!I210/MEBL!I196</f>
        <v>1.1617208695679255</v>
      </c>
      <c r="K33" s="249">
        <f>MEBL!J210/MEBL!J196</f>
        <v>1.1810073237712075</v>
      </c>
      <c r="L33" s="249">
        <f>MEBL!K210/MEBL!K196</f>
        <v>1.3327687061515145</v>
      </c>
      <c r="M33" s="249">
        <f>MEBL!L210/MEBL!L196</f>
        <v>1.388533282025161</v>
      </c>
      <c r="N33" s="249">
        <f>MEBL!M210/MEBL!M196</f>
        <v>1.4159212843353597</v>
      </c>
      <c r="O33" s="326">
        <f>MEBL!N210/MEBL!N196</f>
        <v>1.4616776046699071</v>
      </c>
      <c r="P33" s="326">
        <f>MEBL!O210/MEBL!O196</f>
        <v>1.5162661264861608</v>
      </c>
      <c r="Q33" s="326">
        <f ca="1">MEBL!P210/MEBL!P196</f>
        <v>1.5913244958095345</v>
      </c>
      <c r="R33" s="326">
        <f ca="1">MEBL!Q210/MEBL!Q196</f>
        <v>1.5041968778487733</v>
      </c>
      <c r="S33" s="326">
        <f ca="1">MEBL!R210/MEBL!R196</f>
        <v>1.4099832702798736</v>
      </c>
      <c r="T33" s="327">
        <f ca="1">MEBL!S210/MEBL!S196</f>
        <v>1.3279797349536873</v>
      </c>
      <c r="U33" s="273"/>
    </row>
    <row r="34" spans="1:27" ht="11.1" customHeight="1" x14ac:dyDescent="0.2">
      <c r="B34" s="291" t="s">
        <v>303</v>
      </c>
      <c r="C34" s="262"/>
      <c r="D34" s="695" t="s">
        <v>519</v>
      </c>
      <c r="E34" s="249">
        <f>MEBL!D208/MEBL!D196</f>
        <v>0.72085784226886218</v>
      </c>
      <c r="F34" s="249">
        <f>MEBL!E208/MEBL!E196</f>
        <v>0.87349433881722749</v>
      </c>
      <c r="G34" s="249">
        <f>MEBL!F208/MEBL!F196</f>
        <v>0.90110935378761858</v>
      </c>
      <c r="H34" s="249">
        <f>MEBL!G208/MEBL!G196</f>
        <v>0.95210706757374253</v>
      </c>
      <c r="I34" s="249">
        <f>MEBL!H208/MEBL!H196</f>
        <v>0.9093400274116954</v>
      </c>
      <c r="J34" s="249">
        <f>MEBL!I208/MEBL!I196</f>
        <v>0.96824718708586266</v>
      </c>
      <c r="K34" s="249">
        <f>MEBL!J208/MEBL!J196</f>
        <v>0.96276177501996396</v>
      </c>
      <c r="L34" s="249">
        <f>MEBL!K208/MEBL!K196</f>
        <v>0.97284370317321989</v>
      </c>
      <c r="M34" s="249">
        <f>MEBL!L208/MEBL!L196</f>
        <v>0.9694052117306744</v>
      </c>
      <c r="N34" s="249">
        <f>MEBL!M208/MEBL!M196</f>
        <v>0.92094017165276054</v>
      </c>
      <c r="O34" s="326">
        <f>MEBL!N208/MEBL!N196</f>
        <v>0.90050692466289395</v>
      </c>
      <c r="P34" s="326">
        <f>MEBL!O208/MEBL!O196</f>
        <v>0.94483755505758926</v>
      </c>
      <c r="Q34" s="326">
        <f>MEBL!P208/MEBL!P196</f>
        <v>0.94129295606158636</v>
      </c>
      <c r="R34" s="326">
        <f>MEBL!Q208/MEBL!Q196</f>
        <v>0.93510667278331416</v>
      </c>
      <c r="S34" s="326">
        <f>MEBL!R208/MEBL!R196</f>
        <v>0.92839398329572054</v>
      </c>
      <c r="T34" s="327">
        <f>MEBL!S208/MEBL!S196</f>
        <v>0.9298919695239436</v>
      </c>
      <c r="U34" s="273"/>
    </row>
    <row r="35" spans="1:27" ht="11.1" customHeight="1" x14ac:dyDescent="0.2">
      <c r="B35" s="291" t="s">
        <v>304</v>
      </c>
      <c r="C35" s="262"/>
      <c r="D35" s="695" t="s">
        <v>519</v>
      </c>
      <c r="E35" s="249">
        <f>MEBL!D209/(MEBL!D192-MEBL!D196)</f>
        <v>1.3791832182888408E-2</v>
      </c>
      <c r="F35" s="249">
        <f>(MEBL!E209/(MEBL!E192-MEBL!E196))</f>
        <v>2.1152736470459441E-2</v>
      </c>
      <c r="G35" s="249">
        <f>(MEBL!F209/(MEBL!F192-MEBL!F196))</f>
        <v>1.3630743632718191E-2</v>
      </c>
      <c r="H35" s="249">
        <f>(MEBL!G209/(MEBL!G192-MEBL!G196))</f>
        <v>9.6624800141219339E-3</v>
      </c>
      <c r="I35" s="249">
        <f>(MEBL!H209/(MEBL!H192-MEBL!H196))</f>
        <v>7.305582217622909E-3</v>
      </c>
      <c r="J35" s="249">
        <f>(MEBL!I209/(MEBL!I192-MEBL!I196))</f>
        <v>6.5486485749787927E-3</v>
      </c>
      <c r="K35" s="249">
        <f>(MEBL!J209/(MEBL!J192-MEBL!J196))</f>
        <v>4.7779296126670536E-3</v>
      </c>
      <c r="L35" s="249">
        <f>(MEBL!K209/(MEBL!K192-MEBL!K196))</f>
        <v>5.632684944814133E-3</v>
      </c>
      <c r="M35" s="249">
        <f>(MEBL!L209/(MEBL!L192-MEBL!L196))</f>
        <v>5.6818029098480508E-3</v>
      </c>
      <c r="N35" s="249">
        <f>(MEBL!M209/(MEBL!M192-MEBL!M196))</f>
        <v>8.949869612156677E-3</v>
      </c>
      <c r="O35" s="326">
        <f>(MEBL!N209/(MEBL!N192-MEBL!N196))</f>
        <v>1.1238297821139005E-2</v>
      </c>
      <c r="P35" s="326">
        <f>(MEBL!O209/(MEBL!O192-MEBL!O196))</f>
        <v>1.2257405515832482E-2</v>
      </c>
      <c r="Q35" s="326">
        <f ca="1">(MEBL!P209/(MEBL!P192-MEBL!P196))</f>
        <v>1.1591676575885014E-2</v>
      </c>
      <c r="R35" s="326">
        <f ca="1">(MEBL!Q209/(MEBL!Q192-MEBL!Q196))</f>
        <v>1.0098366827704935E-2</v>
      </c>
      <c r="S35" s="326">
        <f ca="1">(MEBL!R209/(MEBL!R192-MEBL!R196))</f>
        <v>8.7564404724759307E-3</v>
      </c>
      <c r="T35" s="327">
        <f ca="1">(MEBL!S209/(MEBL!S192-MEBL!S196))</f>
        <v>7.5736063514022537E-3</v>
      </c>
      <c r="U35" s="273"/>
    </row>
    <row r="36" spans="1:27" ht="11.1" customHeight="1" thickBot="1" x14ac:dyDescent="0.25">
      <c r="B36" s="292" t="s">
        <v>305</v>
      </c>
      <c r="C36" s="293"/>
      <c r="D36" s="696" t="s">
        <v>519</v>
      </c>
      <c r="E36" s="288">
        <f>MEBL!D45/MEBL!D192</f>
        <v>2.6178420476231253E-2</v>
      </c>
      <c r="F36" s="288">
        <f>MEBL!E45/MEBL!E192</f>
        <v>2.8653842324250521E-2</v>
      </c>
      <c r="G36" s="288">
        <f>MEBL!F45/MEBL!F192</f>
        <v>4.5347004219718568E-3</v>
      </c>
      <c r="H36" s="288">
        <f>MEBL!G45/MEBL!G192</f>
        <v>6.8093049747724131E-4</v>
      </c>
      <c r="I36" s="288">
        <f>MEBL!H45/MEBL!H192</f>
        <v>3.0705581295578767E-3</v>
      </c>
      <c r="J36" s="288">
        <f>MEBL!I45/MEBL!I192</f>
        <v>2.8841442072103608E-3</v>
      </c>
      <c r="K36" s="288">
        <f>MEBL!J45/MEBL!J192</f>
        <v>-8.1021069025944759E-4</v>
      </c>
      <c r="L36" s="288">
        <f>MEBL!K45/MEBL!K192</f>
        <v>3.0482309467559313E-3</v>
      </c>
      <c r="M36" s="288">
        <f>MEBL!L45/MEBL!L192</f>
        <v>2.2365154980128307E-3</v>
      </c>
      <c r="N36" s="288">
        <f>MEBL!M45/MEBL!M192</f>
        <v>8.2652044556540284E-3</v>
      </c>
      <c r="O36" s="336">
        <f>MEBL!N45/MEBL!N192</f>
        <v>9.8282354949340775E-3</v>
      </c>
      <c r="P36" s="336">
        <f>MEBL!O45/MEBL!O192</f>
        <v>8.9013055546856776E-3</v>
      </c>
      <c r="Q36" s="336">
        <f ca="1">MEBL!P45/MEBL!P192</f>
        <v>2.3615359259612839E-3</v>
      </c>
      <c r="R36" s="336">
        <f ca="1">MEBL!Q45/MEBL!Q192</f>
        <v>3.913567153524194E-3</v>
      </c>
      <c r="S36" s="336">
        <f ca="1">MEBL!R45/MEBL!R192</f>
        <v>4.2476666967063044E-3</v>
      </c>
      <c r="T36" s="337">
        <f ca="1">MEBL!S45/MEBL!S192</f>
        <v>4.6666153695836265E-3</v>
      </c>
      <c r="U36" s="273"/>
      <c r="W36" s="51"/>
    </row>
    <row r="37" spans="1:27" ht="11.1" customHeight="1" x14ac:dyDescent="0.2">
      <c r="B37" s="262"/>
      <c r="C37" s="262"/>
      <c r="D37" s="262"/>
      <c r="U37" s="273"/>
    </row>
    <row r="38" spans="1:27" s="51" customFormat="1" ht="11.1" customHeight="1" x14ac:dyDescent="0.2">
      <c r="A38" s="2"/>
      <c r="B38" s="253" t="s">
        <v>515</v>
      </c>
      <c r="C38" s="253"/>
      <c r="D38" s="253"/>
      <c r="E38" s="213"/>
      <c r="F38" s="213"/>
      <c r="G38" s="213"/>
      <c r="H38" s="213"/>
      <c r="I38" s="213"/>
      <c r="J38" s="213"/>
      <c r="K38" s="213"/>
      <c r="L38" s="213"/>
      <c r="M38" s="213"/>
      <c r="N38" s="213"/>
      <c r="O38" s="213"/>
      <c r="P38" s="213"/>
      <c r="Q38" s="213"/>
      <c r="R38" s="213"/>
      <c r="S38" s="213"/>
      <c r="T38" s="213"/>
      <c r="U38" s="273"/>
      <c r="W38" s="2"/>
      <c r="X38" s="2"/>
      <c r="Y38" s="2"/>
      <c r="Z38" s="2"/>
      <c r="AA38" s="2"/>
    </row>
    <row r="39" spans="1:27" s="51" customFormat="1" ht="11.1" customHeight="1" thickBot="1" x14ac:dyDescent="0.25">
      <c r="B39" s="269"/>
      <c r="C39" s="269"/>
      <c r="D39" s="269"/>
      <c r="E39" s="213"/>
      <c r="F39" s="213"/>
      <c r="G39" s="213"/>
      <c r="H39" s="213"/>
      <c r="I39" s="213"/>
      <c r="J39" s="213"/>
      <c r="K39" s="213"/>
      <c r="L39" s="213"/>
      <c r="M39" s="213"/>
      <c r="N39" s="213"/>
      <c r="O39" s="213"/>
      <c r="P39" s="213"/>
      <c r="Q39" s="213"/>
      <c r="R39" s="213"/>
      <c r="S39" s="213"/>
      <c r="T39" s="213"/>
      <c r="U39" s="273"/>
      <c r="W39" s="2"/>
      <c r="X39" s="2"/>
      <c r="Y39" s="2"/>
      <c r="Z39" s="2"/>
      <c r="AA39" s="2"/>
    </row>
    <row r="40" spans="1:27" ht="11.1" customHeight="1" x14ac:dyDescent="0.2">
      <c r="B40" s="289" t="s">
        <v>306</v>
      </c>
      <c r="C40" s="290"/>
      <c r="D40" s="694" t="s">
        <v>519</v>
      </c>
      <c r="E40" s="276">
        <f>MEBL!D7/MEBL!D16</f>
        <v>8.0479504531990737E-2</v>
      </c>
      <c r="F40" s="276">
        <f>MEBL!E7/MEBL!E16</f>
        <v>8.2490075803233295E-2</v>
      </c>
      <c r="G40" s="276">
        <f>MEBL!F7/MEBL!F16</f>
        <v>6.9689710745847927E-2</v>
      </c>
      <c r="H40" s="276">
        <f>MEBL!G7/MEBL!G16</f>
        <v>8.6686353741040362E-2</v>
      </c>
      <c r="I40" s="276">
        <f>MEBL!H7/MEBL!H16</f>
        <v>6.7966070091802444E-2</v>
      </c>
      <c r="J40" s="276">
        <f>MEBL!I7/MEBL!I16</f>
        <v>8.2139026833084078E-2</v>
      </c>
      <c r="K40" s="276">
        <f>MEBL!J7/MEBL!J16</f>
        <v>8.4486316930792671E-2</v>
      </c>
      <c r="L40" s="276">
        <f>MEBL!K7/MEBL!K16</f>
        <v>8.213624996618657E-2</v>
      </c>
      <c r="M40" s="276">
        <f>MEBL!L7/MEBL!L16</f>
        <v>6.9044135763101644E-2</v>
      </c>
      <c r="N40" s="276">
        <f>MEBL!M7/MEBL!M16</f>
        <v>8.1868974331353414E-2</v>
      </c>
      <c r="O40" s="324">
        <f>MEBL!N7/MEBL!N16</f>
        <v>7.022001101489618E-2</v>
      </c>
      <c r="P40" s="324">
        <f ca="1">MEBL!O7/MEBL!O16</f>
        <v>7.4063510601977411E-2</v>
      </c>
      <c r="Q40" s="324">
        <f ca="1">MEBL!P7/MEBL!P16</f>
        <v>7.1518722642934213E-2</v>
      </c>
      <c r="R40" s="324">
        <f ca="1">MEBL!Q7/MEBL!Q16</f>
        <v>7.7148955145249096E-2</v>
      </c>
      <c r="S40" s="324">
        <f ca="1">MEBL!R7/MEBL!R16</f>
        <v>7.9914414194234104E-2</v>
      </c>
      <c r="T40" s="325">
        <f ca="1">MEBL!S7/MEBL!S16</f>
        <v>8.1318381416449911E-2</v>
      </c>
      <c r="U40" s="273"/>
      <c r="W40" s="51"/>
    </row>
    <row r="41" spans="1:27" ht="11.1" customHeight="1" x14ac:dyDescent="0.2">
      <c r="B41" s="291" t="s">
        <v>323</v>
      </c>
      <c r="C41" s="262"/>
      <c r="D41" s="695" t="s">
        <v>519</v>
      </c>
      <c r="E41" s="285">
        <f>MEBL!D9/MEBL!D16</f>
        <v>6.619138764495143E-2</v>
      </c>
      <c r="F41" s="285">
        <f>MEBL!E9/MEBL!E16</f>
        <v>2.0152137458332737E-2</v>
      </c>
      <c r="G41" s="285">
        <f>MEBL!F9/MEBL!F16</f>
        <v>1.8219150214379275E-3</v>
      </c>
      <c r="H41" s="285">
        <f>MEBL!G9/MEBL!G16</f>
        <v>2.2572569047776114E-2</v>
      </c>
      <c r="I41" s="285">
        <f>MEBL!H9/MEBL!H16</f>
        <v>0.20751042673268752</v>
      </c>
      <c r="J41" s="285">
        <f>MEBL!I9/MEBL!I16</f>
        <v>0.32053105792055997</v>
      </c>
      <c r="K41" s="285">
        <f>MEBL!J9/MEBL!J16</f>
        <v>0.19466524582251046</v>
      </c>
      <c r="L41" s="285">
        <f>MEBL!K9/MEBL!K16</f>
        <v>0.18732231680332351</v>
      </c>
      <c r="M41" s="285">
        <f>MEBL!L9/MEBL!L16</f>
        <v>0.19624563194308028</v>
      </c>
      <c r="N41" s="249">
        <f>MEBL!M9/MEBL!M16</f>
        <v>0.19863808967077903</v>
      </c>
      <c r="O41" s="326" t="s">
        <v>172</v>
      </c>
      <c r="P41" s="326">
        <f ca="1">MEBL!O9/MEBL!O16</f>
        <v>0.15744440526485984</v>
      </c>
      <c r="Q41" s="326">
        <f ca="1">MEBL!P9/MEBL!P16</f>
        <v>0.13194877541476691</v>
      </c>
      <c r="R41" s="326">
        <f ca="1">MEBL!Q9/MEBL!Q16</f>
        <v>0.11545133282262984</v>
      </c>
      <c r="S41" s="326">
        <f ca="1">MEBL!R9/MEBL!R16</f>
        <v>0.10716871586495798</v>
      </c>
      <c r="T41" s="327">
        <f ca="1">MEBL!S9/MEBL!S16</f>
        <v>9.8768674049277264E-2</v>
      </c>
      <c r="U41" s="273"/>
    </row>
    <row r="42" spans="1:27" ht="11.1" customHeight="1" x14ac:dyDescent="0.2">
      <c r="B42" s="291" t="s">
        <v>307</v>
      </c>
      <c r="C42" s="262"/>
      <c r="D42" s="695" t="s">
        <v>519</v>
      </c>
      <c r="E42" s="249">
        <f>MEBL!D10/MEBL!D16</f>
        <v>0.31811209936884899</v>
      </c>
      <c r="F42" s="249">
        <f>MEBL!E10/MEBL!E16</f>
        <v>0.49544791080679307</v>
      </c>
      <c r="G42" s="249">
        <f>MEBL!F10/MEBL!F16</f>
        <v>0.55553779998149666</v>
      </c>
      <c r="H42" s="249">
        <f>MEBL!G10/MEBL!G16</f>
        <v>0.45981985798325148</v>
      </c>
      <c r="I42" s="249">
        <f>MEBL!H10/MEBL!H16</f>
        <v>0.26083149969347236</v>
      </c>
      <c r="J42" s="249">
        <f>MEBL!I10/MEBL!I16</f>
        <v>0.14460836804390767</v>
      </c>
      <c r="K42" s="249">
        <f>MEBL!J10/MEBL!J16</f>
        <v>0.20323103187562996</v>
      </c>
      <c r="L42" s="249">
        <f>MEBL!K10/MEBL!K16</f>
        <v>0.15669977167715071</v>
      </c>
      <c r="M42" s="249">
        <f>MEBL!L10/MEBL!L16</f>
        <v>0.13497763322163001</v>
      </c>
      <c r="N42" s="249">
        <f>MEBL!M10/MEBL!M16</f>
        <v>0.20394638162711279</v>
      </c>
      <c r="O42" s="326">
        <f>MEBL!N10/MEBL!N16</f>
        <v>0.28252598694443665</v>
      </c>
      <c r="P42" s="326">
        <f ca="1">MEBL!O10/MEBL!O16</f>
        <v>0.31488439659096301</v>
      </c>
      <c r="Q42" s="326">
        <f ca="1">MEBL!P10/MEBL!P16</f>
        <v>0.32986644759405992</v>
      </c>
      <c r="R42" s="326">
        <f ca="1">MEBL!Q10/MEBL!Q16</f>
        <v>0.3298546757824804</v>
      </c>
      <c r="S42" s="326">
        <f ca="1">MEBL!R10/MEBL!R16</f>
        <v>0.32974313941184052</v>
      </c>
      <c r="T42" s="327">
        <f ca="1">MEBL!S10/MEBL!S16</f>
        <v>0.32922160655244315</v>
      </c>
      <c r="U42" s="273"/>
    </row>
    <row r="43" spans="1:27" ht="11.1" customHeight="1" x14ac:dyDescent="0.2">
      <c r="B43" s="291" t="s">
        <v>860</v>
      </c>
      <c r="C43" s="262"/>
      <c r="D43" s="695" t="s">
        <v>631</v>
      </c>
      <c r="E43" s="249"/>
      <c r="F43" s="82">
        <f>AVERAGE(MEBL!D16:E16)/AVERAGE(MEBL!D34:E34)</f>
        <v>13.60125730597608</v>
      </c>
      <c r="G43" s="82">
        <f>AVERAGE(MEBL!E16:F16)/AVERAGE(MEBL!E34:F34)</f>
        <v>15.373914698790919</v>
      </c>
      <c r="H43" s="82">
        <f>AVERAGE(MEBL!F16:G16)/AVERAGE(MEBL!F34:G34)</f>
        <v>17.035899051548075</v>
      </c>
      <c r="I43" s="82">
        <f>AVERAGE(MEBL!G16:H16)/AVERAGE(MEBL!G34:H34)</f>
        <v>17.927377479521983</v>
      </c>
      <c r="J43" s="82">
        <f>AVERAGE(MEBL!H16:I16)/AVERAGE(MEBL!H34:I34)</f>
        <v>19.29832286099974</v>
      </c>
      <c r="K43" s="82">
        <f>AVERAGE(MEBL!I16:J16)/AVERAGE(MEBL!I34:J34)</f>
        <v>19.952651074912165</v>
      </c>
      <c r="L43" s="82">
        <f>AVERAGE(MEBL!J16:K16)/AVERAGE(MEBL!J34:K34)</f>
        <v>20.425519652512971</v>
      </c>
      <c r="M43" s="82">
        <f>AVERAGE(MEBL!K16:L16)/AVERAGE(MEBL!K34:L34)</f>
        <v>21.604017791053963</v>
      </c>
      <c r="N43" s="82">
        <f>AVERAGE(MEBL!L16:M16)/AVERAGE(MEBL!L34:M34)</f>
        <v>19.848664406677887</v>
      </c>
      <c r="O43" s="328">
        <f ca="1">AVERAGE(MEBL!M16:N16)/AVERAGE(MEBL!M34:N34)</f>
        <v>17.770466604650629</v>
      </c>
      <c r="P43" s="328">
        <f ca="1">AVERAGE(MEBL!N16:O16)/AVERAGE(MEBL!N34:O34)</f>
        <v>17.222407359119696</v>
      </c>
      <c r="Q43" s="328">
        <f ca="1">AVERAGE(MEBL!O16:P16)/AVERAGE(MEBL!O34:P34)</f>
        <v>16.578355971898489</v>
      </c>
      <c r="R43" s="328">
        <f ca="1">AVERAGE(MEBL!P16:Q16)/AVERAGE(MEBL!P34:Q34)</f>
        <v>15.741471339199242</v>
      </c>
      <c r="S43" s="328">
        <f ca="1">AVERAGE(MEBL!Q16:R16)/AVERAGE(MEBL!Q34:R34)</f>
        <v>15.038222885853457</v>
      </c>
      <c r="T43" s="329">
        <f ca="1">AVERAGE(MEBL!R16:S16)/AVERAGE(MEBL!R34:S34)</f>
        <v>14.478727789545804</v>
      </c>
      <c r="U43" s="273"/>
    </row>
    <row r="44" spans="1:27" ht="11.1" customHeight="1" x14ac:dyDescent="0.2">
      <c r="B44" s="291" t="s">
        <v>396</v>
      </c>
      <c r="C44" s="262"/>
      <c r="D44" s="695" t="s">
        <v>519</v>
      </c>
      <c r="E44" s="285">
        <f>MEBL!D11/MEBL!D16</f>
        <v>0.33999848410060246</v>
      </c>
      <c r="F44" s="285">
        <f>MEBL!E11/MEBL!E16</f>
        <v>0.29224167349003266</v>
      </c>
      <c r="G44" s="285">
        <f>MEBL!F11/MEBL!F16</f>
        <v>0.32312783747322832</v>
      </c>
      <c r="H44" s="285">
        <f>MEBL!G11/MEBL!G16</f>
        <v>0.38705894555993908</v>
      </c>
      <c r="I44" s="285">
        <f>MEBL!H11/MEBL!H16</f>
        <v>0.40171364561065259</v>
      </c>
      <c r="J44" s="285">
        <f>MEBL!I11/MEBL!I16</f>
        <v>0.39027704946561109</v>
      </c>
      <c r="K44" s="285">
        <f>MEBL!J11/MEBL!J16</f>
        <v>0.46969011417599993</v>
      </c>
      <c r="L44" s="285">
        <f>MEBL!K11/MEBL!K16</f>
        <v>0.53428321191706929</v>
      </c>
      <c r="M44" s="285">
        <f>MEBL!L11/MEBL!L16</f>
        <v>0.54426732807631473</v>
      </c>
      <c r="N44" s="249">
        <f>MEBL!M11/MEBL!M16</f>
        <v>0.43847685380591112</v>
      </c>
      <c r="O44" s="326">
        <f>MEBL!N11/MEBL!N16</f>
        <v>0.3881028929722129</v>
      </c>
      <c r="P44" s="326">
        <f ca="1">MEBL!O11/MEBL!O16</f>
        <v>0.3973936784431823</v>
      </c>
      <c r="Q44" s="326">
        <f ca="1">MEBL!P11/MEBL!P16</f>
        <v>0.40504674497460469</v>
      </c>
      <c r="R44" s="326">
        <f ca="1">MEBL!Q11/MEBL!Q16</f>
        <v>0.41383579910836599</v>
      </c>
      <c r="S44" s="326">
        <f ca="1">MEBL!R11/MEBL!R16</f>
        <v>0.42242356588131563</v>
      </c>
      <c r="T44" s="327">
        <f ca="1">MEBL!S11/MEBL!S16</f>
        <v>0.43036087934066825</v>
      </c>
      <c r="U44" s="273"/>
    </row>
    <row r="45" spans="1:27" ht="11.1" customHeight="1" x14ac:dyDescent="0.2">
      <c r="B45" s="291" t="s">
        <v>308</v>
      </c>
      <c r="C45" s="262"/>
      <c r="D45" s="695" t="s">
        <v>519</v>
      </c>
      <c r="E45" s="249">
        <f>MEBL!D21/MEBL!D16</f>
        <v>0.82531318507370421</v>
      </c>
      <c r="F45" s="249">
        <f>MEBL!E21/MEBL!E16</f>
        <v>0.84279811386106418</v>
      </c>
      <c r="G45" s="249">
        <f>MEBL!F21/MEBL!F16</f>
        <v>0.83963313044609111</v>
      </c>
      <c r="H45" s="249">
        <f>MEBL!G21/MEBL!G16</f>
        <v>0.87894713270601843</v>
      </c>
      <c r="I45" s="249">
        <f>MEBL!H21/MEBL!H16</f>
        <v>0.86972196432678672</v>
      </c>
      <c r="J45" s="249">
        <f>MEBL!I21/MEBL!I16</f>
        <v>0.88713174306796094</v>
      </c>
      <c r="K45" s="249">
        <f>MEBL!J21/MEBL!J16</f>
        <v>0.85033520139512286</v>
      </c>
      <c r="L45" s="249">
        <f>MEBL!K21/MEBL!K16</f>
        <v>0.85649910010445229</v>
      </c>
      <c r="M45" s="249">
        <f>MEBL!L21/MEBL!L16</f>
        <v>0.83402539795727637</v>
      </c>
      <c r="N45" s="249">
        <f>MEBL!M21/MEBL!M16</f>
        <v>0.82812927244622714</v>
      </c>
      <c r="O45" s="326">
        <f>MEBL!N21/MEBL!N16</f>
        <v>0.82278356113176088</v>
      </c>
      <c r="P45" s="326">
        <f ca="1">MEBL!O21/MEBL!O16</f>
        <v>0.82864314892358693</v>
      </c>
      <c r="Q45" s="326">
        <f ca="1">MEBL!P21/MEBL!P16</f>
        <v>0.82466611898514974</v>
      </c>
      <c r="R45" s="326">
        <f ca="1">MEBL!Q21/MEBL!Q16</f>
        <v>0.82463668945620094</v>
      </c>
      <c r="S45" s="326">
        <f ca="1">MEBL!R21/MEBL!R16</f>
        <v>0.82435784852960114</v>
      </c>
      <c r="T45" s="327">
        <f ca="1">MEBL!S21/MEBL!S16</f>
        <v>0.82305401638110787</v>
      </c>
      <c r="U45" s="273"/>
      <c r="W45" s="51"/>
    </row>
    <row r="46" spans="1:27" ht="11.1" customHeight="1" x14ac:dyDescent="0.2">
      <c r="B46" s="291" t="s">
        <v>309</v>
      </c>
      <c r="C46" s="262"/>
      <c r="D46" s="695" t="s">
        <v>519</v>
      </c>
      <c r="E46" s="249">
        <f>MEBL!D37/MEBL!D16</f>
        <v>7.8245142870747617E-2</v>
      </c>
      <c r="F46" s="249">
        <f>MEBL!E37/MEBL!E16</f>
        <v>7.3540451105630164E-2</v>
      </c>
      <c r="G46" s="249">
        <f>MEBL!F37/MEBL!F16</f>
        <v>6.0308149232767894E-2</v>
      </c>
      <c r="H46" s="249">
        <f>MEBL!G37/MEBL!G16</f>
        <v>5.7360722317405528E-2</v>
      </c>
      <c r="I46" s="249">
        <f>MEBL!H37/MEBL!H16</f>
        <v>5.4589487324724545E-2</v>
      </c>
      <c r="J46" s="249">
        <f>MEBL!I37/MEBL!I16</f>
        <v>4.9538616657983828E-2</v>
      </c>
      <c r="K46" s="249">
        <f>MEBL!J37/MEBL!J16</f>
        <v>5.2426140019562986E-2</v>
      </c>
      <c r="L46" s="249">
        <f>MEBL!K37/MEBL!K16</f>
        <v>4.8869172525108862E-2</v>
      </c>
      <c r="M46" s="249">
        <f>MEBL!L37/MEBL!L16</f>
        <v>4.6272231372413548E-2</v>
      </c>
      <c r="N46" s="249">
        <f>MEBL!M37/MEBL!M16</f>
        <v>5.5750032690046046E-2</v>
      </c>
      <c r="O46" s="326">
        <f ca="1">MEBL!N37/MEBL!N16</f>
        <v>5.8525342995091843E-2</v>
      </c>
      <c r="P46" s="326">
        <f ca="1">MEBL!O37/MEBL!O16</f>
        <v>5.8510006116876262E-2</v>
      </c>
      <c r="Q46" s="326">
        <f ca="1">MEBL!P37/MEBL!P16</f>
        <v>6.1916503235999301E-2</v>
      </c>
      <c r="R46" s="326">
        <f ca="1">MEBL!Q37/MEBL!Q16</f>
        <v>6.4957141795122866E-2</v>
      </c>
      <c r="S46" s="326">
        <f ca="1">MEBL!R37/MEBL!R16</f>
        <v>6.785830484089915E-2</v>
      </c>
      <c r="T46" s="327">
        <f ca="1">MEBL!S37/MEBL!S16</f>
        <v>7.0130466615839562E-2</v>
      </c>
      <c r="U46" s="273"/>
    </row>
    <row r="47" spans="1:27" ht="11.1" customHeight="1" x14ac:dyDescent="0.2">
      <c r="B47" s="291" t="s">
        <v>715</v>
      </c>
      <c r="C47" s="262"/>
      <c r="D47" s="695" t="s">
        <v>519</v>
      </c>
      <c r="E47" s="249">
        <f>MEBL!D10/MEBL!D21</f>
        <v>0.38544410185381944</v>
      </c>
      <c r="F47" s="249">
        <f>MEBL!E10/MEBL!E21</f>
        <v>0.58786072566895653</v>
      </c>
      <c r="G47" s="249">
        <f>MEBL!F10/MEBL!F21</f>
        <v>0.66164349623310281</v>
      </c>
      <c r="H47" s="249">
        <f>MEBL!G10/MEBL!G21</f>
        <v>0.52314848171539285</v>
      </c>
      <c r="I47" s="249">
        <f>MEBL!H10/MEBL!H21</f>
        <v>0.29990216459046248</v>
      </c>
      <c r="J47" s="249">
        <f>MEBL!I10/MEBL!I21</f>
        <v>0.16300664379769531</v>
      </c>
      <c r="K47" s="249">
        <f>MEBL!J10/MEBL!J21</f>
        <v>0.23900108044709203</v>
      </c>
      <c r="L47" s="249">
        <f>MEBL!K10/MEBL!K21</f>
        <v>0.18295380772500608</v>
      </c>
      <c r="M47" s="249">
        <f>MEBL!L10/MEBL!L21</f>
        <v>0.16183875641224099</v>
      </c>
      <c r="N47" s="249">
        <f>MEBL!M10/MEBL!M21</f>
        <v>0.24627360535713416</v>
      </c>
      <c r="O47" s="326">
        <f>MEBL!N10/MEBL!N21</f>
        <v>0.34337825922994197</v>
      </c>
      <c r="P47" s="326">
        <f>MEBL!O10/MEBL!O21</f>
        <v>0.38</v>
      </c>
      <c r="Q47" s="326">
        <f>MEBL!P10/MEBL!P21</f>
        <v>0.4</v>
      </c>
      <c r="R47" s="326">
        <f>MEBL!Q10/MEBL!Q21</f>
        <v>0.4</v>
      </c>
      <c r="S47" s="326">
        <f>MEBL!R10/MEBL!R21</f>
        <v>0.40000000000000008</v>
      </c>
      <c r="T47" s="327">
        <f>MEBL!S10/MEBL!S21</f>
        <v>0.4</v>
      </c>
      <c r="U47" s="273"/>
    </row>
    <row r="48" spans="1:27" ht="11.1" customHeight="1" thickBot="1" x14ac:dyDescent="0.25">
      <c r="B48" s="292" t="s">
        <v>397</v>
      </c>
      <c r="C48" s="293"/>
      <c r="D48" s="696" t="s">
        <v>519</v>
      </c>
      <c r="E48" s="288">
        <f>MEBL!D11/MEBL!D21</f>
        <v>0.41196298599087455</v>
      </c>
      <c r="F48" s="288">
        <f>MEBL!E11/MEBL!E21</f>
        <v>0.34675169377302245</v>
      </c>
      <c r="G48" s="288">
        <f>MEBL!F11/MEBL!F21</f>
        <v>0.38484407743838406</v>
      </c>
      <c r="H48" s="288">
        <f>MEBL!G11/MEBL!G21</f>
        <v>0.44036658310528753</v>
      </c>
      <c r="I48" s="288">
        <f>MEBL!H11/MEBL!H21</f>
        <v>0.46188743309662339</v>
      </c>
      <c r="J48" s="288">
        <f>MEBL!I11/MEBL!I21</f>
        <v>0.43993133208819579</v>
      </c>
      <c r="K48" s="288">
        <f>MEBL!J11/MEBL!J21</f>
        <v>0.55235877969698477</v>
      </c>
      <c r="L48" s="288">
        <f>MEBL!K11/MEBL!K21</f>
        <v>0.62379891800459808</v>
      </c>
      <c r="M48" s="288">
        <f>MEBL!L11/MEBL!L21</f>
        <v>0.65257884161483926</v>
      </c>
      <c r="N48" s="288">
        <f>MEBL!M11/MEBL!M21</f>
        <v>0.5294787521647264</v>
      </c>
      <c r="O48" s="336">
        <f>MEBL!N11/MEBL!N21</f>
        <v>0.47169500134198955</v>
      </c>
      <c r="P48" s="336">
        <f>MEBL!O11/MEBL!O21</f>
        <v>0.479571548934423</v>
      </c>
      <c r="Q48" s="336">
        <f ca="1">MEBL!P11/MEBL!P21</f>
        <v>0.49116452786136422</v>
      </c>
      <c r="R48" s="336">
        <f ca="1">MEBL!Q11/MEBL!Q21</f>
        <v>0.5018401490009694</v>
      </c>
      <c r="S48" s="336">
        <f ca="1">MEBL!R11/MEBL!R21</f>
        <v>0.51242742048830892</v>
      </c>
      <c r="T48" s="337">
        <f ca="1">MEBL!S11/MEBL!S21</f>
        <v>0.52288291020427202</v>
      </c>
      <c r="U48" s="273"/>
    </row>
    <row r="49" spans="1:27" ht="11.1" customHeight="1" x14ac:dyDescent="0.2">
      <c r="B49" s="10"/>
      <c r="C49" s="10"/>
      <c r="D49" s="10"/>
      <c r="U49" s="273"/>
    </row>
    <row r="50" spans="1:27" s="51" customFormat="1" ht="11.1" customHeight="1" x14ac:dyDescent="0.2">
      <c r="A50" s="50"/>
      <c r="B50" s="253" t="s">
        <v>516</v>
      </c>
      <c r="C50" s="253"/>
      <c r="D50" s="253"/>
      <c r="E50" s="213"/>
      <c r="F50" s="213"/>
      <c r="G50" s="213"/>
      <c r="H50" s="213"/>
      <c r="I50" s="213"/>
      <c r="J50" s="213"/>
      <c r="K50" s="213"/>
      <c r="L50" s="213"/>
      <c r="M50" s="213"/>
      <c r="N50" s="213"/>
      <c r="O50" s="213"/>
      <c r="P50" s="213"/>
      <c r="Q50" s="213"/>
      <c r="R50" s="213"/>
      <c r="S50" s="213"/>
      <c r="T50" s="213"/>
      <c r="U50" s="273"/>
      <c r="W50" s="2"/>
      <c r="X50" s="2"/>
      <c r="Y50" s="2"/>
      <c r="Z50" s="2"/>
      <c r="AA50" s="2"/>
    </row>
    <row r="51" spans="1:27" s="51" customFormat="1" ht="11.1" customHeight="1" thickBot="1" x14ac:dyDescent="0.25">
      <c r="A51" s="273"/>
      <c r="B51" s="269"/>
      <c r="C51" s="269"/>
      <c r="D51" s="269"/>
      <c r="E51" s="213"/>
      <c r="F51" s="213"/>
      <c r="G51" s="213"/>
      <c r="H51" s="213"/>
      <c r="I51" s="213"/>
      <c r="J51" s="213"/>
      <c r="K51" s="213"/>
      <c r="L51" s="213"/>
      <c r="M51" s="213"/>
      <c r="N51" s="213"/>
      <c r="O51" s="213"/>
      <c r="P51" s="213"/>
      <c r="Q51" s="213"/>
      <c r="R51" s="213"/>
      <c r="S51" s="213"/>
      <c r="T51" s="213"/>
      <c r="U51" s="273"/>
      <c r="W51" s="2"/>
      <c r="X51" s="2"/>
      <c r="Y51" s="2"/>
      <c r="Z51" s="2"/>
      <c r="AA51" s="2"/>
    </row>
    <row r="52" spans="1:27" ht="11.1" customHeight="1" x14ac:dyDescent="0.2">
      <c r="B52" s="289" t="s">
        <v>310</v>
      </c>
      <c r="C52" s="290"/>
      <c r="D52" s="694" t="s">
        <v>519</v>
      </c>
      <c r="E52" s="276">
        <f>MEBL!D429/MEBL!D440</f>
        <v>0.12183791801215657</v>
      </c>
      <c r="F52" s="276">
        <f>MEBL!E429/MEBL!E440</f>
        <v>0.14136976469233065</v>
      </c>
      <c r="G52" s="276">
        <f>MEBL!F429/MEBL!F440</f>
        <v>0.12704042270520316</v>
      </c>
      <c r="H52" s="276">
        <f>MEBL!G429/MEBL!G440</f>
        <v>0.11403167766352072</v>
      </c>
      <c r="I52" s="276">
        <f>MEBL!H429/MEBL!H440</f>
        <v>0.11082047199262664</v>
      </c>
      <c r="J52" s="276">
        <f>MEBL!I429/MEBL!I440</f>
        <v>0.10203616645528885</v>
      </c>
      <c r="K52" s="276">
        <f>MEBL!J429/MEBL!J440</f>
        <v>0.10254047541333666</v>
      </c>
      <c r="L52" s="276">
        <f>MEBL!K429/MEBL!K440</f>
        <v>0.10445061136876817</v>
      </c>
      <c r="M52" s="276">
        <f>MEBL!L429/MEBL!L440</f>
        <v>0.10592184686546764</v>
      </c>
      <c r="N52" s="276">
        <f>MEBL!M429/MEBL!M440</f>
        <v>0.11733916813860697</v>
      </c>
      <c r="O52" s="324">
        <f ca="1">MEBL!N429/MEBL!N440</f>
        <v>0.13697015987582498</v>
      </c>
      <c r="P52" s="324">
        <f ca="1">MEBL!O429/MEBL!O440</f>
        <v>0.13112486877417626</v>
      </c>
      <c r="Q52" s="324">
        <f ca="1">MEBL!P429/MEBL!P440</f>
        <v>0.13390735611183519</v>
      </c>
      <c r="R52" s="324">
        <f ca="1">MEBL!Q429/MEBL!Q440</f>
        <v>0.13513870651418586</v>
      </c>
      <c r="S52" s="324">
        <f ca="1">MEBL!R429/MEBL!R440</f>
        <v>0.1364273003086221</v>
      </c>
      <c r="T52" s="325">
        <f ca="1">MEBL!S429/MEBL!S440</f>
        <v>0.13642813307884835</v>
      </c>
      <c r="U52" s="273"/>
      <c r="W52" s="51"/>
    </row>
    <row r="53" spans="1:27" ht="11.1" customHeight="1" x14ac:dyDescent="0.2">
      <c r="B53" s="291" t="s">
        <v>311</v>
      </c>
      <c r="C53" s="262"/>
      <c r="D53" s="695" t="s">
        <v>519</v>
      </c>
      <c r="E53" s="249">
        <f>MEBL!D431/MEBL!D440</f>
        <v>0.12183791801215657</v>
      </c>
      <c r="F53" s="249">
        <f>MEBL!E431/MEBL!E440</f>
        <v>0.14136976469233065</v>
      </c>
      <c r="G53" s="249">
        <f>MEBL!F431/MEBL!F440</f>
        <v>0.12704042270520316</v>
      </c>
      <c r="H53" s="249">
        <f>MEBL!G431/MEBL!G440</f>
        <v>0.11403167766352072</v>
      </c>
      <c r="I53" s="249">
        <f>MEBL!H431/MEBL!H440</f>
        <v>0.11082047199262664</v>
      </c>
      <c r="J53" s="249">
        <f>MEBL!I431/MEBL!I440</f>
        <v>0.10203616645528885</v>
      </c>
      <c r="K53" s="249">
        <f>MEBL!J431/MEBL!J440</f>
        <v>0.10258048822390037</v>
      </c>
      <c r="L53" s="249">
        <f>MEBL!K431/MEBL!K440</f>
        <v>0.10451480902295006</v>
      </c>
      <c r="M53" s="249">
        <f>MEBL!L431/MEBL!L440</f>
        <v>0.12363090247739926</v>
      </c>
      <c r="N53" s="249">
        <f>MEBL!M431/MEBL!M440</f>
        <v>0.13325386362694422</v>
      </c>
      <c r="O53" s="326">
        <f ca="1">MEBL!N431/MEBL!N440</f>
        <v>0.15118241276042996</v>
      </c>
      <c r="P53" s="326">
        <f ca="1">MEBL!O431/MEBL!O440</f>
        <v>0.14345436082641097</v>
      </c>
      <c r="Q53" s="326">
        <f ca="1">MEBL!P431/MEBL!P440</f>
        <v>0.14440712182054546</v>
      </c>
      <c r="R53" s="326">
        <f ca="1">MEBL!Q431/MEBL!Q440</f>
        <v>0.1441142641283433</v>
      </c>
      <c r="S53" s="326">
        <f ca="1">MEBL!R431/MEBL!R440</f>
        <v>0.14409296670030475</v>
      </c>
      <c r="T53" s="327">
        <f ca="1">MEBL!S431/MEBL!S440</f>
        <v>0.14295609269822784</v>
      </c>
      <c r="U53" s="273"/>
    </row>
    <row r="54" spans="1:27" ht="11.1" customHeight="1" x14ac:dyDescent="0.2">
      <c r="B54" s="291" t="s">
        <v>312</v>
      </c>
      <c r="C54" s="262"/>
      <c r="D54" s="695" t="s">
        <v>519</v>
      </c>
      <c r="E54" s="249">
        <f>(MEBL!D431+MEBL!D432)/MEBL!D440</f>
        <v>0.12866570244356343</v>
      </c>
      <c r="F54" s="249">
        <f>(MEBL!E431+MEBL!E432)/MEBL!E440</f>
        <v>0.15255421807549274</v>
      </c>
      <c r="G54" s="249">
        <f>(MEBL!F431+MEBL!F432)/MEBL!F440</f>
        <v>0.1408975034331133</v>
      </c>
      <c r="H54" s="249">
        <f>(MEBL!G431+MEBL!G432)/MEBL!G440</f>
        <v>0.12481269832366271</v>
      </c>
      <c r="I54" s="249">
        <f>(MEBL!H431+MEBL!H432)/MEBL!H440</f>
        <v>0.11880309700858842</v>
      </c>
      <c r="J54" s="249">
        <f>(MEBL!I431+MEBL!I432)/MEBL!I440</f>
        <v>0.10977303134398841</v>
      </c>
      <c r="K54" s="249">
        <f>(MEBL!J431+MEBL!J432)/MEBL!J440</f>
        <v>0.13689770343386726</v>
      </c>
      <c r="L54" s="249">
        <f>(MEBL!K431+MEBL!K432)/MEBL!K440</f>
        <v>0.13364584369746974</v>
      </c>
      <c r="M54" s="249">
        <f>(MEBL!L431+MEBL!L432)/MEBL!L440</f>
        <v>0.1488034751167088</v>
      </c>
      <c r="N54" s="249">
        <f>(MEBL!M431+MEBL!M432)/MEBL!M440</f>
        <v>0.17172851718397766</v>
      </c>
      <c r="O54" s="326">
        <f ca="1">(MEBL!N431+MEBL!N432)/MEBL!N440</f>
        <v>0.18701372352380013</v>
      </c>
      <c r="P54" s="326">
        <f ca="1">(MEBL!O431+MEBL!O432)/MEBL!O440</f>
        <v>0.17453893727358857</v>
      </c>
      <c r="Q54" s="326">
        <f ca="1">(MEBL!P431+MEBL!P432)/MEBL!P440</f>
        <v>0.17087867218670205</v>
      </c>
      <c r="R54" s="326">
        <f ca="1">(MEBL!Q431+MEBL!Q432)/MEBL!Q440</f>
        <v>0.16674304766876133</v>
      </c>
      <c r="S54" s="326">
        <f ca="1">(MEBL!R431+MEBL!R432)/MEBL!R440</f>
        <v>0.16341930974520169</v>
      </c>
      <c r="T54" s="327">
        <f ca="1">(MEBL!S431+MEBL!S432)/MEBL!S440</f>
        <v>0.15941409915729454</v>
      </c>
      <c r="U54" s="273"/>
    </row>
    <row r="55" spans="1:27" ht="11.1" customHeight="1" x14ac:dyDescent="0.2">
      <c r="B55" s="291" t="s">
        <v>313</v>
      </c>
      <c r="C55" s="262"/>
      <c r="D55" s="695" t="s">
        <v>519</v>
      </c>
      <c r="E55" s="249">
        <f>MEBL!D440/MEBL!D16</f>
        <v>0.605270293697039</v>
      </c>
      <c r="F55" s="249">
        <f>MEBL!E440/MEBL!E16</f>
        <v>0.48993402863970714</v>
      </c>
      <c r="G55" s="249">
        <f>MEBL!F440/MEBL!F16</f>
        <v>0.43865415355996179</v>
      </c>
      <c r="H55" s="249">
        <f>MEBL!G440/MEBL!G16</f>
        <v>0.4680164703861629</v>
      </c>
      <c r="I55" s="249">
        <f>MEBL!H440/MEBL!H16</f>
        <v>0.46053843875624573</v>
      </c>
      <c r="J55" s="249">
        <f>MEBL!I440/MEBL!I16</f>
        <v>0.45624372870562396</v>
      </c>
      <c r="K55" s="249">
        <f>MEBL!J440/MEBL!J16</f>
        <v>0.45713503978616177</v>
      </c>
      <c r="L55" s="249">
        <f>MEBL!K440/MEBL!K16</f>
        <v>0.44183930194889814</v>
      </c>
      <c r="M55" s="249">
        <f>MEBL!L440/MEBL!L16</f>
        <v>0.42139446466470742</v>
      </c>
      <c r="N55" s="249">
        <f>MEBL!M440/MEBL!M16</f>
        <v>0.39018821118355035</v>
      </c>
      <c r="O55" s="326">
        <f>MEBL!N440/MEBL!N16</f>
        <v>0.36319254931824207</v>
      </c>
      <c r="P55" s="326">
        <f ca="1">MEBL!O440/MEBL!O16</f>
        <v>0.3792835460144181</v>
      </c>
      <c r="Q55" s="326">
        <f ca="1">MEBL!P440/MEBL!P16</f>
        <v>0.39302566549551848</v>
      </c>
      <c r="R55" s="326">
        <f ca="1">MEBL!Q440/MEBL!Q16</f>
        <v>0.40856962412954961</v>
      </c>
      <c r="S55" s="326">
        <f ca="1">MEBL!R440/MEBL!R16</f>
        <v>0.42278604783854223</v>
      </c>
      <c r="T55" s="327">
        <f ca="1">MEBL!S440/MEBL!S16</f>
        <v>0.43693991318500003</v>
      </c>
      <c r="U55" s="273"/>
    </row>
    <row r="56" spans="1:27" ht="11.1" customHeight="1" x14ac:dyDescent="0.2">
      <c r="B56" s="291" t="s">
        <v>314</v>
      </c>
      <c r="C56" s="262"/>
      <c r="D56" s="695" t="s">
        <v>519</v>
      </c>
      <c r="E56" s="249">
        <f>MEBL!D68/MEBL!D66</f>
        <v>0.22244669260445579</v>
      </c>
      <c r="F56" s="249">
        <f>MEBL!E68/MEBL!E66</f>
        <v>0.26092319786676216</v>
      </c>
      <c r="G56" s="249">
        <f>MEBL!F68/MEBL!F66</f>
        <v>0.32926110649903068</v>
      </c>
      <c r="H56" s="249">
        <f>MEBL!G68/MEBL!G66</f>
        <v>0.29927192409535963</v>
      </c>
      <c r="I56" s="249">
        <f>MEBL!H68/MEBL!H66</f>
        <v>0.33752794434295741</v>
      </c>
      <c r="J56" s="249">
        <f>MEBL!I68/MEBL!I66</f>
        <v>0.40570836064190691</v>
      </c>
      <c r="K56" s="249">
        <f>MEBL!J68/MEBL!J66</f>
        <v>0.37221965655712225</v>
      </c>
      <c r="L56" s="249">
        <f>MEBL!K68/MEBL!K66</f>
        <v>0.41809284430521609</v>
      </c>
      <c r="M56" s="249">
        <f>MEBL!L68/MEBL!L66</f>
        <v>0.39829275249851942</v>
      </c>
      <c r="N56" s="249">
        <f>MEBL!M68/MEBL!M66</f>
        <v>0.41508682749107362</v>
      </c>
      <c r="O56" s="326">
        <f>MEBL!N68/MEBL!N66</f>
        <v>0.40991886424734009</v>
      </c>
      <c r="P56" s="326">
        <f>MEBL!O68/MEBL!O66</f>
        <v>0.4</v>
      </c>
      <c r="Q56" s="326">
        <f ca="1">MEBL!P68/MEBL!P66</f>
        <v>0.39999999999999997</v>
      </c>
      <c r="R56" s="326">
        <f ca="1">MEBL!Q68/MEBL!Q66</f>
        <v>0.4</v>
      </c>
      <c r="S56" s="326">
        <f ca="1">MEBL!R68/MEBL!R66</f>
        <v>0.40000000000000008</v>
      </c>
      <c r="T56" s="327">
        <f ca="1">MEBL!S68/MEBL!S66</f>
        <v>0.4</v>
      </c>
      <c r="U56" s="273"/>
      <c r="W56" s="51"/>
    </row>
    <row r="57" spans="1:27" ht="11.1" customHeight="1" x14ac:dyDescent="0.2">
      <c r="B57" s="291" t="s">
        <v>315</v>
      </c>
      <c r="C57" s="262"/>
      <c r="D57" s="695" t="s">
        <v>519</v>
      </c>
      <c r="E57" s="249">
        <f>MEBL!D73/MEBL!D72</f>
        <v>0</v>
      </c>
      <c r="F57" s="249">
        <f>MEBL!E73/MEBL!E72</f>
        <v>0.27258199762515584</v>
      </c>
      <c r="G57" s="249">
        <f>MEBL!F73/MEBL!F72</f>
        <v>0.38626180248885694</v>
      </c>
      <c r="H57" s="249">
        <f>MEBL!G73/MEBL!G72</f>
        <v>0.38013444342060299</v>
      </c>
      <c r="I57" s="249">
        <f>MEBL!H73/MEBL!H72</f>
        <v>0.60338672209888378</v>
      </c>
      <c r="J57" s="249">
        <f>MEBL!I73/MEBL!I72</f>
        <v>0.59894640009604694</v>
      </c>
      <c r="K57" s="249">
        <f>MEBL!J73/MEBL!J72</f>
        <v>0.48661628275832974</v>
      </c>
      <c r="L57" s="249">
        <f>MEBL!K73/MEBL!K72</f>
        <v>0.56753576462949629</v>
      </c>
      <c r="M57" s="249">
        <f>MEBL!L73/MEBL!L72</f>
        <v>0.4568437076855561</v>
      </c>
      <c r="N57" s="249">
        <f>MEBL!M73/MEBL!M72</f>
        <v>0.41262680579945099</v>
      </c>
      <c r="O57" s="338">
        <f ca="1">MEBL!N73/MEBL!N72</f>
        <v>0.47148266801218436</v>
      </c>
      <c r="P57" s="326">
        <f>MEBL!O73/MEBL!O72</f>
        <v>0.48179417570530492</v>
      </c>
      <c r="Q57" s="326">
        <f ca="1">MEBL!P73/MEBL!P72</f>
        <v>0.3894329384876965</v>
      </c>
      <c r="R57" s="326">
        <f ca="1">MEBL!Q73/MEBL!Q72</f>
        <v>0.40188157593681606</v>
      </c>
      <c r="S57" s="326">
        <f ca="1">MEBL!R73/MEBL!R72</f>
        <v>0.38811688570758307</v>
      </c>
      <c r="T57" s="327">
        <f ca="1">MEBL!S73/MEBL!S72</f>
        <v>0.40728128242063721</v>
      </c>
      <c r="U57" s="273"/>
    </row>
    <row r="58" spans="1:27" ht="11.1" customHeight="1" x14ac:dyDescent="0.2">
      <c r="B58" s="291" t="s">
        <v>294</v>
      </c>
      <c r="C58" s="262"/>
      <c r="D58" s="695" t="s">
        <v>519</v>
      </c>
      <c r="E58" s="249">
        <f>MEBL!D49/(MEBL!D56)</f>
        <v>0.12970964866034129</v>
      </c>
      <c r="F58" s="249">
        <f>MEBL!E49/(MEBL!E56)</f>
        <v>0.11239805843838649</v>
      </c>
      <c r="G58" s="249">
        <f>MEBL!F49/(MEBL!F56)</f>
        <v>7.804246369338276E-2</v>
      </c>
      <c r="H58" s="249">
        <f>MEBL!G49/(MEBL!G56)</f>
        <v>8.9519538808254071E-2</v>
      </c>
      <c r="I58" s="249">
        <f>MEBL!H49/(MEBL!H56)</f>
        <v>8.9395377393469769E-2</v>
      </c>
      <c r="J58" s="249">
        <f>MEBL!I49/(MEBL!I56)</f>
        <v>8.9550414749484303E-2</v>
      </c>
      <c r="K58" s="249">
        <f>MEBL!J49/(MEBL!J56)</f>
        <v>0.15350560781758582</v>
      </c>
      <c r="L58" s="249">
        <f>MEBL!K49/(MEBL!K56)</f>
        <v>0.21289750435733179</v>
      </c>
      <c r="M58" s="249">
        <f>MEBL!L49/(MEBL!L56)</f>
        <v>0.1912980913776445</v>
      </c>
      <c r="N58" s="249">
        <f>MEBL!M49/(MEBL!M56)</f>
        <v>0.14056220423049148</v>
      </c>
      <c r="O58" s="326">
        <f>MEBL!N49/(MEBL!N56)</f>
        <v>9.2736764373798367E-2</v>
      </c>
      <c r="P58" s="326">
        <f>MEBL!O49/(MEBL!O56)</f>
        <v>0.12238728989392123</v>
      </c>
      <c r="Q58" s="326">
        <f ca="1">MEBL!P49/(MEBL!P56)</f>
        <v>0.12156520650695485</v>
      </c>
      <c r="R58" s="326">
        <f ca="1">MEBL!Q49/(MEBL!Q56)</f>
        <v>0.12399447713862452</v>
      </c>
      <c r="S58" s="326">
        <f ca="1">MEBL!R49/(MEBL!R56)</f>
        <v>0.12280118445390975</v>
      </c>
      <c r="T58" s="327">
        <f ca="1">MEBL!S49/(MEBL!S56)</f>
        <v>0.12149400256240826</v>
      </c>
      <c r="U58" s="273"/>
    </row>
    <row r="59" spans="1:27" ht="11.1" customHeight="1" x14ac:dyDescent="0.2">
      <c r="B59" s="291" t="s">
        <v>316</v>
      </c>
      <c r="C59" s="262"/>
      <c r="D59" s="695" t="s">
        <v>519</v>
      </c>
      <c r="E59" s="249">
        <f>(MEBL!D66+MEBL!D45)/MEBL!D16</f>
        <v>2.4920387418145826E-2</v>
      </c>
      <c r="F59" s="249">
        <f>(MEBL!E66+MEBL!E45)/MEBL!E16</f>
        <v>2.9559514501849123E-2</v>
      </c>
      <c r="G59" s="249">
        <f>(MEBL!F66+MEBL!F45)/MEBL!F16</f>
        <v>2.0617927257564974E-2</v>
      </c>
      <c r="H59" s="249">
        <f>(MEBL!G66+MEBL!G45)/MEBL!G16</f>
        <v>1.7401038504763693E-2</v>
      </c>
      <c r="I59" s="249">
        <f>(MEBL!H66+MEBL!H45)/MEBL!H16</f>
        <v>1.7058126126393552E-2</v>
      </c>
      <c r="J59" s="249">
        <f>(MEBL!I66+MEBL!I45)/MEBL!I16</f>
        <v>1.7060412007120801E-2</v>
      </c>
      <c r="K59" s="249">
        <f>(MEBL!J66+MEBL!J45)/MEBL!J16</f>
        <v>1.5466054485468473E-2</v>
      </c>
      <c r="L59" s="249">
        <f>(MEBL!K66+MEBL!K45)/MEBL!K16</f>
        <v>1.4300496452315004E-2</v>
      </c>
      <c r="M59" s="249">
        <f>(MEBL!L66+MEBL!L45)/MEBL!L16</f>
        <v>1.7359189355583303E-2</v>
      </c>
      <c r="N59" s="249">
        <f>(MEBL!M66+MEBL!M45)/MEBL!M16</f>
        <v>2.7674062616997654E-2</v>
      </c>
      <c r="O59" s="326">
        <f>(MEBL!N66+MEBL!N45)/MEBL!N16</f>
        <v>3.4223678328608384E-2</v>
      </c>
      <c r="P59" s="326">
        <f ca="1">(MEBL!O66+MEBL!O45)/MEBL!O16</f>
        <v>2.6826724369065667E-2</v>
      </c>
      <c r="Q59" s="326">
        <f ca="1">(MEBL!P66+MEBL!P45)/MEBL!P16</f>
        <v>2.6251330933990916E-2</v>
      </c>
      <c r="R59" s="326">
        <f ca="1">(MEBL!Q66+MEBL!Q45)/MEBL!Q16</f>
        <v>2.6528403536862068E-2</v>
      </c>
      <c r="S59" s="326">
        <f ca="1">(MEBL!R66+MEBL!R45)/MEBL!R16</f>
        <v>2.7425641390976124E-2</v>
      </c>
      <c r="T59" s="327">
        <f ca="1">(MEBL!S66+MEBL!S45)/MEBL!S16</f>
        <v>2.8271862019898404E-2</v>
      </c>
      <c r="U59" s="273"/>
    </row>
    <row r="60" spans="1:27" ht="11.1" customHeight="1" x14ac:dyDescent="0.2">
      <c r="B60" s="291" t="s">
        <v>317</v>
      </c>
      <c r="C60" s="262"/>
      <c r="D60" s="695" t="s">
        <v>519</v>
      </c>
      <c r="E60" s="249">
        <f>MEBL!D66/MEBL!D16</f>
        <v>1.5384936910557862E-2</v>
      </c>
      <c r="F60" s="249">
        <f>MEBL!E66/MEBL!E16</f>
        <v>2.0429872107628037E-2</v>
      </c>
      <c r="G60" s="249">
        <f>MEBL!F66/MEBL!F16</f>
        <v>1.9058054629830418E-2</v>
      </c>
      <c r="H60" s="249">
        <f>MEBL!G66/MEBL!G16</f>
        <v>1.7125393340723764E-2</v>
      </c>
      <c r="I60" s="249">
        <f>MEBL!H66/MEBL!H16</f>
        <v>1.5771467840865579E-2</v>
      </c>
      <c r="J60" s="249">
        <f>MEBL!I66/MEBL!I16</f>
        <v>1.589029622780776E-2</v>
      </c>
      <c r="K60" s="249">
        <f>MEBL!J66/MEBL!J16</f>
        <v>1.5856480567969782E-2</v>
      </c>
      <c r="L60" s="249">
        <f>MEBL!K66/MEBL!K16</f>
        <v>1.2637731408807704E-2</v>
      </c>
      <c r="M60" s="249">
        <f>MEBL!L66/MEBL!L16</f>
        <v>1.6118892827945625E-2</v>
      </c>
      <c r="N60" s="249">
        <f>MEBL!M66/MEBL!M16</f>
        <v>2.3956475925096109E-2</v>
      </c>
      <c r="O60" s="326">
        <f>MEBL!N66/MEBL!N16</f>
        <v>3.0296614359352107E-2</v>
      </c>
      <c r="P60" s="326">
        <f ca="1">MEBL!O66/MEBL!O16</f>
        <v>2.3173063443459992E-2</v>
      </c>
      <c r="Q60" s="326">
        <f ca="1">MEBL!P66/MEBL!P16</f>
        <v>2.526736544150612E-2</v>
      </c>
      <c r="R60" s="326">
        <f ca="1">MEBL!Q66/MEBL!Q16</f>
        <v>2.4865210054136722E-2</v>
      </c>
      <c r="S60" s="326">
        <f ca="1">MEBL!R66/MEBL!R16</f>
        <v>2.5584980812363507E-2</v>
      </c>
      <c r="T60" s="327">
        <f ca="1">MEBL!S66/MEBL!S16</f>
        <v>2.6212474768393838E-2</v>
      </c>
      <c r="U60" s="273"/>
    </row>
    <row r="61" spans="1:27" ht="11.1" customHeight="1" x14ac:dyDescent="0.2">
      <c r="B61" s="291" t="s">
        <v>318</v>
      </c>
      <c r="C61" s="262"/>
      <c r="D61" s="695" t="s">
        <v>519</v>
      </c>
      <c r="E61" s="249"/>
      <c r="F61" s="249">
        <f>MEBL!E71/(AVERAGE(MEBL!D16:E16))</f>
        <v>1.6341216829766247E-2</v>
      </c>
      <c r="G61" s="249">
        <f>MEBL!F71/(AVERAGE(MEBL!E16:F16))</f>
        <v>1.4734651725764649E-2</v>
      </c>
      <c r="H61" s="249">
        <f>MEBL!G71/(AVERAGE(MEBL!F16:G16))</f>
        <v>1.3098412762697031E-2</v>
      </c>
      <c r="I61" s="249">
        <f>MEBL!H71/(AVERAGE(MEBL!G16:H16))</f>
        <v>1.191475366914355E-2</v>
      </c>
      <c r="J61" s="249">
        <f>MEBL!I71/(AVERAGE(MEBL!H16:I16))</f>
        <v>1.0363638831508915E-2</v>
      </c>
      <c r="K61" s="249">
        <f>MEBL!J71/(AVERAGE(MEBL!I16:J16))</f>
        <v>1.0345259668916812E-2</v>
      </c>
      <c r="L61" s="249">
        <f>MEBL!K71/(AVERAGE(MEBL!J16:K16))</f>
        <v>7.753762480884707E-3</v>
      </c>
      <c r="M61" s="249">
        <f>MEBL!L71/(AVERAGE(MEBL!K16:L16))</f>
        <v>1.0369154207053758E-2</v>
      </c>
      <c r="N61" s="249">
        <f>MEBL!M71/(AVERAGE(MEBL!L16:M16))</f>
        <v>1.5072967214994647E-2</v>
      </c>
      <c r="O61" s="326">
        <f>MEBL!N71/(AVERAGE(MEBL!M16:N16))</f>
        <v>1.935194147568494E-2</v>
      </c>
      <c r="P61" s="326">
        <f ca="1">MEBL!O71/(AVERAGE(MEBL!N16:O16))</f>
        <v>1.4423739823304091E-2</v>
      </c>
      <c r="Q61" s="326">
        <f ca="1">MEBL!P71/(AVERAGE(MEBL!O16:P16))</f>
        <v>1.5943658387874964E-2</v>
      </c>
      <c r="R61" s="326">
        <f ca="1">MEBL!Q71/(AVERAGE(MEBL!P16:Q16))</f>
        <v>1.5639246052083125E-2</v>
      </c>
      <c r="S61" s="326">
        <f ca="1">MEBL!R71/(AVERAGE(MEBL!Q16:R16))</f>
        <v>1.6142359080145521E-2</v>
      </c>
      <c r="T61" s="327">
        <f ca="1">MEBL!S71/(AVERAGE(MEBL!R16:S16))</f>
        <v>1.6579223328469984E-2</v>
      </c>
      <c r="U61" s="273"/>
    </row>
    <row r="62" spans="1:27" ht="11.1" customHeight="1" thickBot="1" x14ac:dyDescent="0.25">
      <c r="B62" s="292" t="s">
        <v>319</v>
      </c>
      <c r="C62" s="293"/>
      <c r="D62" s="696" t="s">
        <v>519</v>
      </c>
      <c r="E62" s="294"/>
      <c r="F62" s="288">
        <f>MEBL!E71/(AVERAGE(MEBL!D37:E37))</f>
        <v>0.21611726395070535</v>
      </c>
      <c r="G62" s="288">
        <f>MEBL!F71/(AVERAGE(MEBL!E37:F37))</f>
        <v>0.22354303096102437</v>
      </c>
      <c r="H62" s="288">
        <f>MEBL!G71/(AVERAGE(MEBL!F37:G37))</f>
        <v>0.22314323756081555</v>
      </c>
      <c r="I62" s="288">
        <f>MEBL!H71/(AVERAGE(MEBL!G37:H37))</f>
        <v>0.213600286602256</v>
      </c>
      <c r="J62" s="288">
        <f>MEBL!I71/(AVERAGE(MEBL!H37:I37))</f>
        <v>0.20000084818525313</v>
      </c>
      <c r="K62" s="288">
        <f>MEBL!J71/(AVERAGE(MEBL!I37:J37))</f>
        <v>0.20228841534724146</v>
      </c>
      <c r="L62" s="288">
        <f>MEBL!K71/(AVERAGE(MEBL!J37:K37))</f>
        <v>0.15354872733492328</v>
      </c>
      <c r="M62" s="288">
        <f>MEBL!L71/(AVERAGE(MEBL!K37:L37))</f>
        <v>0.21851133269335818</v>
      </c>
      <c r="N62" s="288">
        <f>MEBL!M71/(AVERAGE(MEBL!L37:M37))</f>
        <v>0.29305661728794241</v>
      </c>
      <c r="O62" s="336">
        <f ca="1">MEBL!N71/(AVERAGE(MEBL!M37:N37))</f>
        <v>0.33793328862924527</v>
      </c>
      <c r="P62" s="336">
        <f ca="1">MEBL!O71/(AVERAGE(MEBL!N37:O37))</f>
        <v>0.24648677844678638</v>
      </c>
      <c r="Q62" s="336">
        <f ca="1">MEBL!P71/(AVERAGE(MEBL!O37:P37))</f>
        <v>0.26431964424853638</v>
      </c>
      <c r="R62" s="336">
        <f ca="1">MEBL!Q71/(AVERAGE(MEBL!P37:Q37))</f>
        <v>0.24618474349555139</v>
      </c>
      <c r="S62" s="336">
        <f ca="1">MEBL!R71/(AVERAGE(MEBL!Q37:R37))</f>
        <v>0.24275239375070873</v>
      </c>
      <c r="T62" s="337">
        <f ca="1">MEBL!S71/(AVERAGE(MEBL!R37:S37))</f>
        <v>0.24004606153500446</v>
      </c>
      <c r="U62" s="273"/>
    </row>
    <row r="63" spans="1:27" ht="11.1" customHeight="1" x14ac:dyDescent="0.2">
      <c r="B63" s="10"/>
      <c r="C63" s="10"/>
      <c r="D63" s="10"/>
      <c r="U63" s="273"/>
    </row>
    <row r="64" spans="1:27" s="51" customFormat="1" ht="11.1" customHeight="1" x14ac:dyDescent="0.2">
      <c r="A64" s="50"/>
      <c r="B64" s="253" t="s">
        <v>517</v>
      </c>
      <c r="C64" s="253"/>
      <c r="D64" s="253"/>
      <c r="E64" s="213"/>
      <c r="F64" s="213"/>
      <c r="G64" s="213"/>
      <c r="H64" s="213"/>
      <c r="I64" s="213"/>
      <c r="J64" s="213"/>
      <c r="K64" s="213"/>
      <c r="L64" s="213"/>
      <c r="M64" s="213"/>
      <c r="N64" s="213"/>
      <c r="O64" s="213"/>
      <c r="P64" s="213"/>
      <c r="Q64" s="213"/>
      <c r="R64" s="213"/>
      <c r="S64" s="213"/>
      <c r="T64" s="213"/>
      <c r="U64" s="273"/>
      <c r="W64" s="2"/>
      <c r="X64" s="2"/>
      <c r="Y64" s="2"/>
      <c r="Z64" s="2"/>
      <c r="AA64" s="2"/>
    </row>
    <row r="65" spans="1:27" s="51" customFormat="1" ht="11.1" customHeight="1" thickBot="1" x14ac:dyDescent="0.25">
      <c r="A65" s="273"/>
      <c r="B65" s="269"/>
      <c r="C65" s="269"/>
      <c r="D65" s="269"/>
      <c r="E65" s="213"/>
      <c r="F65" s="213"/>
      <c r="G65" s="213"/>
      <c r="H65" s="213"/>
      <c r="I65" s="213"/>
      <c r="J65" s="213"/>
      <c r="K65" s="213"/>
      <c r="L65" s="213"/>
      <c r="M65" s="213"/>
      <c r="N65" s="213"/>
      <c r="O65" s="213"/>
      <c r="P65" s="213"/>
      <c r="Q65" s="213"/>
      <c r="R65" s="213"/>
      <c r="S65" s="213"/>
      <c r="T65" s="213"/>
      <c r="U65" s="273"/>
      <c r="W65" s="2"/>
      <c r="X65" s="2"/>
      <c r="Y65" s="2"/>
      <c r="Z65" s="2"/>
      <c r="AA65" s="2"/>
    </row>
    <row r="66" spans="1:27" ht="11.1" customHeight="1" x14ac:dyDescent="0.2">
      <c r="B66" s="289" t="s">
        <v>320</v>
      </c>
      <c r="C66" s="290"/>
      <c r="D66" s="694" t="s">
        <v>519</v>
      </c>
      <c r="E66" s="295"/>
      <c r="F66" s="276">
        <f>(MEBL!E16/MEBL!D16)-1</f>
        <v>0.27029600167964229</v>
      </c>
      <c r="G66" s="276">
        <f>(MEBL!F16/MEBL!E16)-1</f>
        <v>0.36037637399686706</v>
      </c>
      <c r="H66" s="276">
        <f>(MEBL!G16/MEBL!F16)-1</f>
        <v>0.20146051631395534</v>
      </c>
      <c r="I66" s="276">
        <f>(MEBL!H16/MEBL!G16)-1</f>
        <v>0.32657956632909246</v>
      </c>
      <c r="J66" s="276">
        <f>(MEBL!I16/MEBL!H16)-1</f>
        <v>0.21591835747239618</v>
      </c>
      <c r="K66" s="276">
        <f>(MEBL!J16/MEBL!I16)-1</f>
        <v>0.24709552939419943</v>
      </c>
      <c r="L66" s="276">
        <f>(MEBL!K16/MEBL!J16)-1</f>
        <v>0.1849926637838939</v>
      </c>
      <c r="M66" s="276">
        <f>(MEBL!L16/MEBL!K16)-1</f>
        <v>0.19820681121466821</v>
      </c>
      <c r="N66" s="276">
        <f>(MEBL!M16/MEBL!L16)-1</f>
        <v>0.19576669026415372</v>
      </c>
      <c r="O66" s="324">
        <f>(MEBL!N16/MEBL!M16)-1</f>
        <v>0.20301936985156632</v>
      </c>
      <c r="P66" s="324">
        <f ca="1">(MEBL!O16/MEBL!N16)-1</f>
        <v>0.10380071097892096</v>
      </c>
      <c r="Q66" s="324">
        <f ca="1">(MEBL!P16/MEBL!O16)-1</f>
        <v>0.13320548396172271</v>
      </c>
      <c r="R66" s="324">
        <f ca="1">(MEBL!Q16/MEBL!P16)-1</f>
        <v>0.1253121449643626</v>
      </c>
      <c r="S66" s="324">
        <f ca="1">(MEBL!R16/MEBL!Q16)-1</f>
        <v>0.13150623710775489</v>
      </c>
      <c r="T66" s="325">
        <f ca="1">(MEBL!S16/MEBL!R16)-1</f>
        <v>0.13624342852845484</v>
      </c>
      <c r="U66" s="273"/>
      <c r="W66" s="51"/>
    </row>
    <row r="67" spans="1:27" ht="11.1" customHeight="1" x14ac:dyDescent="0.2">
      <c r="B67" s="291" t="s">
        <v>286</v>
      </c>
      <c r="C67" s="262"/>
      <c r="D67" s="695" t="s">
        <v>519</v>
      </c>
      <c r="E67" s="50"/>
      <c r="F67" s="249">
        <f>(MEBL!E56/MEBL!D56)-1</f>
        <v>0.42502672544805664</v>
      </c>
      <c r="G67" s="249">
        <f>(MEBL!F56/MEBL!E56)-1</f>
        <v>0.2724423027226377</v>
      </c>
      <c r="H67" s="249">
        <f>(MEBL!G56/MEBL!F56)-1</f>
        <v>0.13140768104688871</v>
      </c>
      <c r="I67" s="249">
        <f>(MEBL!H56/MEBL!G56)-1</f>
        <v>0.24897804489829256</v>
      </c>
      <c r="J67" s="249">
        <f>(MEBL!I56/MEBL!H56)-1</f>
        <v>0.2640906377085237</v>
      </c>
      <c r="K67" s="249">
        <f>(MEBL!J56/MEBL!I56)-1</f>
        <v>0.15728886494723548</v>
      </c>
      <c r="L67" s="249">
        <f>(MEBL!K56/MEBL!J56)-1</f>
        <v>0.1028817336575476</v>
      </c>
      <c r="M67" s="249">
        <f>(MEBL!L56/MEBL!K56)-1</f>
        <v>0.25921691388282686</v>
      </c>
      <c r="N67" s="249">
        <f>(MEBL!M56/MEBL!L56)-1</f>
        <v>0.48157866336965793</v>
      </c>
      <c r="O67" s="326">
        <f>(MEBL!N56/MEBL!M56)-1</f>
        <v>0.37232609890293156</v>
      </c>
      <c r="P67" s="326">
        <f>(MEBL!O56/MEBL!N56)-1</f>
        <v>-5.9623361401595965E-2</v>
      </c>
      <c r="Q67" s="326">
        <f ca="1">(MEBL!P56/MEBL!O56)-1</f>
        <v>0.16449881485679763</v>
      </c>
      <c r="R67" s="326">
        <f ca="1">(MEBL!Q56/MEBL!P56)-1</f>
        <v>9.8057223432393537E-2</v>
      </c>
      <c r="S67" s="326">
        <f ca="1">(MEBL!R56/MEBL!Q56)-1</f>
        <v>0.13088334622197517</v>
      </c>
      <c r="T67" s="327">
        <f ca="1">(MEBL!S56/MEBL!R56)-1</f>
        <v>0.13205033736319316</v>
      </c>
      <c r="U67" s="273"/>
    </row>
    <row r="68" spans="1:27" ht="11.1" customHeight="1" x14ac:dyDescent="0.2">
      <c r="B68" s="291" t="s">
        <v>474</v>
      </c>
      <c r="C68" s="262"/>
      <c r="D68" s="695" t="s">
        <v>519</v>
      </c>
      <c r="E68" s="50"/>
      <c r="F68" s="249">
        <f>(MEBL!E62/MEBL!D62)-1</f>
        <v>0.30984799877414582</v>
      </c>
      <c r="G68" s="249">
        <f>(MEBL!F62/MEBL!E62)-1</f>
        <v>0.16703941578552506</v>
      </c>
      <c r="H68" s="249">
        <f>(MEBL!G62/MEBL!F62)-1</f>
        <v>0.16906437012110564</v>
      </c>
      <c r="I68" s="249">
        <f>(MEBL!H62/MEBL!G62)-1</f>
        <v>0.26729532149138024</v>
      </c>
      <c r="J68" s="249">
        <f>(MEBL!I62/MEBL!H62)-1</f>
        <v>0.28934495217741629</v>
      </c>
      <c r="K68" s="249">
        <f>(MEBL!J62/MEBL!I62)-1</f>
        <v>0.18857891925556358</v>
      </c>
      <c r="L68" s="249">
        <f>(MEBL!K62/MEBL!J62)-1</f>
        <v>6.7157878841746177E-2</v>
      </c>
      <c r="M68" s="249">
        <f>(MEBL!L62/MEBL!K62)-1</f>
        <v>0.15836732942013043</v>
      </c>
      <c r="N68" s="249">
        <f>(MEBL!M62/MEBL!L62)-1</f>
        <v>0.29608981662956602</v>
      </c>
      <c r="O68" s="326">
        <f>(MEBL!N62/MEBL!M62)-1</f>
        <v>0.20281596510443523</v>
      </c>
      <c r="P68" s="326">
        <f>(MEBL!O62/MEBL!N62)-1</f>
        <v>6.5719325425993569E-2</v>
      </c>
      <c r="Q68" s="326">
        <f ca="1">(MEBL!P62/MEBL!O62)-1</f>
        <v>9.1017931482074266E-2</v>
      </c>
      <c r="R68" s="326">
        <f ca="1">(MEBL!Q62/MEBL!P62)-1</f>
        <v>8.7123244067673022E-2</v>
      </c>
      <c r="S68" s="326">
        <f ca="1">(MEBL!R62/MEBL!Q62)-1</f>
        <v>9.1100908526326796E-2</v>
      </c>
      <c r="T68" s="327">
        <f ca="1">(MEBL!S62/MEBL!R62)-1</f>
        <v>9.1274266666265591E-2</v>
      </c>
      <c r="U68" s="273"/>
    </row>
    <row r="69" spans="1:27" ht="11.1" customHeight="1" x14ac:dyDescent="0.2">
      <c r="B69" s="291" t="s">
        <v>321</v>
      </c>
      <c r="C69" s="262"/>
      <c r="D69" s="695" t="s">
        <v>519</v>
      </c>
      <c r="E69" s="50"/>
      <c r="F69" s="285">
        <f>(MEBL!E69/MEBL!D69)-1</f>
        <v>0.60337186056084535</v>
      </c>
      <c r="G69" s="285">
        <f>(MEBL!F69/MEBL!E69)-1</f>
        <v>0.15169085805025895</v>
      </c>
      <c r="H69" s="285">
        <f>(MEBL!G69/MEBL!F69)-1</f>
        <v>0.12789200813199963</v>
      </c>
      <c r="I69" s="285">
        <f>(MEBL!H69/MEBL!G69)-1</f>
        <v>0.15500245654542999</v>
      </c>
      <c r="J69" s="285">
        <f>(MEBL!I69/MEBL!H69)-1</f>
        <v>9.8996605315524455E-2</v>
      </c>
      <c r="K69" s="285">
        <f>(MEBL!J69/MEBL!I69)-1</f>
        <v>0.31456668370330254</v>
      </c>
      <c r="L69" s="285">
        <f>(MEBL!K69/MEBL!J69)-1</f>
        <v>-0.12456487565246843</v>
      </c>
      <c r="M69" s="285">
        <f>(MEBL!L69/MEBL!K69)-1</f>
        <v>0.58026315948825546</v>
      </c>
      <c r="N69" s="249">
        <f>(MEBL!M69/MEBL!L69)-1</f>
        <v>0.72758862305409133</v>
      </c>
      <c r="O69" s="326">
        <f>(MEBL!N69/MEBL!M69)-1</f>
        <v>0.53484355731382704</v>
      </c>
      <c r="P69" s="326">
        <f>(MEBL!O69/MEBL!N69)-1</f>
        <v>-0.14154103443820398</v>
      </c>
      <c r="Q69" s="326">
        <f ca="1">(MEBL!P69/MEBL!O69)-1</f>
        <v>0.23562070908068122</v>
      </c>
      <c r="R69" s="326">
        <f ca="1">(MEBL!Q69/MEBL!P69)-1</f>
        <v>0.10740167690953961</v>
      </c>
      <c r="S69" s="326">
        <f ca="1">(MEBL!R69/MEBL!Q69)-1</f>
        <v>0.16425983542637801</v>
      </c>
      <c r="T69" s="327">
        <f ca="1">(MEBL!S69/MEBL!R69)-1</f>
        <v>0.16411078904006615</v>
      </c>
      <c r="U69" s="273"/>
    </row>
    <row r="70" spans="1:27" ht="11.1" customHeight="1" thickBot="1" x14ac:dyDescent="0.25">
      <c r="B70" s="292" t="s">
        <v>322</v>
      </c>
      <c r="C70" s="293"/>
      <c r="D70" s="696" t="s">
        <v>519</v>
      </c>
      <c r="E70" s="296"/>
      <c r="F70" s="288">
        <f>(MEBL!E37/MEBL!D37)-1</f>
        <v>0.19391616621514429</v>
      </c>
      <c r="G70" s="288">
        <f>(MEBL!F37/MEBL!E37)-1</f>
        <v>0.11560073595270226</v>
      </c>
      <c r="H70" s="288">
        <f>(MEBL!G37/MEBL!F37)-1</f>
        <v>0.14274180070785913</v>
      </c>
      <c r="I70" s="288">
        <f>(MEBL!H37/MEBL!G37)-1</f>
        <v>0.2624893044519121</v>
      </c>
      <c r="J70" s="288">
        <f>(MEBL!I37/MEBL!H37)-1</f>
        <v>0.10341599363123022</v>
      </c>
      <c r="K70" s="288">
        <f>(MEBL!J37/MEBL!I37)-1</f>
        <v>0.3197866483268943</v>
      </c>
      <c r="L70" s="288">
        <f>(MEBL!K37/MEBL!J37)-1</f>
        <v>0.10459421399008706</v>
      </c>
      <c r="M70" s="288">
        <f>(MEBL!L37/MEBL!K37)-1</f>
        <v>0.13453328418933475</v>
      </c>
      <c r="N70" s="288">
        <f>(MEBL!M37/MEBL!L37)-1</f>
        <v>0.44069196783188458</v>
      </c>
      <c r="O70" s="336">
        <f ca="1">(MEBL!N37/MEBL!M37)-1</f>
        <v>0.26290726396063779</v>
      </c>
      <c r="P70" s="336">
        <f ca="1">(MEBL!O37/MEBL!N37)-1</f>
        <v>0.10351145411664198</v>
      </c>
      <c r="Q70" s="336">
        <f ca="1">(MEBL!P37/MEBL!O37)-1</f>
        <v>0.19918157032170369</v>
      </c>
      <c r="R70" s="336">
        <f ca="1">(MEBL!Q37/MEBL!P37)-1</f>
        <v>0.18057475380366927</v>
      </c>
      <c r="S70" s="336">
        <f ca="1">(MEBL!R37/MEBL!Q37)-1</f>
        <v>0.18204239049202919</v>
      </c>
      <c r="T70" s="337">
        <f ca="1">(MEBL!S37/MEBL!R37)-1</f>
        <v>0.17428930797361253</v>
      </c>
      <c r="U70" s="273"/>
      <c r="W70" s="51"/>
    </row>
    <row r="71" spans="1:27" ht="11.1" customHeight="1" x14ac:dyDescent="0.2">
      <c r="F71" s="11"/>
      <c r="U71" s="273"/>
    </row>
    <row r="72" spans="1:27" s="51" customFormat="1" ht="11.1" customHeight="1" x14ac:dyDescent="0.2">
      <c r="A72" s="2"/>
      <c r="B72" s="253" t="s">
        <v>518</v>
      </c>
      <c r="C72" s="253"/>
      <c r="D72" s="253"/>
      <c r="E72" s="270"/>
      <c r="F72" s="271"/>
      <c r="G72" s="272"/>
      <c r="H72" s="272"/>
      <c r="I72" s="272"/>
      <c r="J72" s="272"/>
      <c r="K72" s="272"/>
      <c r="L72" s="272"/>
      <c r="M72" s="272"/>
      <c r="N72" s="272"/>
      <c r="O72" s="272"/>
      <c r="P72" s="69"/>
      <c r="U72" s="273"/>
      <c r="W72" s="2"/>
      <c r="X72" s="2"/>
    </row>
    <row r="73" spans="1:27" s="51" customFormat="1" ht="11.1" customHeight="1" thickBot="1" x14ac:dyDescent="0.25">
      <c r="B73" s="269"/>
      <c r="C73" s="269"/>
      <c r="D73" s="269"/>
      <c r="E73" s="270"/>
      <c r="F73" s="271"/>
      <c r="G73" s="272"/>
      <c r="H73" s="272"/>
      <c r="I73" s="272"/>
      <c r="J73" s="272"/>
      <c r="K73" s="272"/>
      <c r="L73" s="272"/>
      <c r="M73" s="272"/>
      <c r="N73" s="272"/>
      <c r="O73" s="272"/>
      <c r="P73" s="69"/>
      <c r="U73" s="273"/>
      <c r="W73" s="2"/>
      <c r="X73" s="2"/>
    </row>
    <row r="74" spans="1:27" ht="11.1" customHeight="1" x14ac:dyDescent="0.2">
      <c r="B74" s="297" t="s">
        <v>0</v>
      </c>
      <c r="C74" s="298"/>
      <c r="D74" s="697" t="s">
        <v>630</v>
      </c>
      <c r="E74" s="299">
        <f>MEBL!D3</f>
        <v>2.6147394023942714</v>
      </c>
      <c r="F74" s="299">
        <f>MEBL!E3</f>
        <v>3.6686208506519242</v>
      </c>
      <c r="G74" s="299">
        <f>MEBL!F3</f>
        <v>3.8833764828280493</v>
      </c>
      <c r="H74" s="299">
        <f>MEBL!G3</f>
        <v>3.9459723420545512</v>
      </c>
      <c r="I74" s="299">
        <f>MEBL!H3</f>
        <v>4.5576077485333304</v>
      </c>
      <c r="J74" s="299">
        <f>MEBL!I3</f>
        <v>5.0087954439978608</v>
      </c>
      <c r="K74" s="299">
        <f>MEBL!J3</f>
        <v>6.1650218175907243</v>
      </c>
      <c r="L74" s="299">
        <f>MEBL!K3</f>
        <v>5.2860104806936468</v>
      </c>
      <c r="M74" s="299">
        <f>MEBL!L3</f>
        <v>7.661263449882159</v>
      </c>
      <c r="N74" s="299">
        <f>MEBL!M3</f>
        <v>12.117487108751122</v>
      </c>
      <c r="O74" s="339">
        <f>MEBL!N3</f>
        <v>16.967749914813961</v>
      </c>
      <c r="P74" s="339">
        <f>MEBL!O3</f>
        <v>14.529025781087135</v>
      </c>
      <c r="Q74" s="339">
        <f ca="1">MEBL!P3</f>
        <v>17.97485345534313</v>
      </c>
      <c r="R74" s="339">
        <f ca="1">MEBL!Q3</f>
        <v>19.906361672219983</v>
      </c>
      <c r="S74" s="339">
        <f ca="1">MEBL!R3</f>
        <v>23.188890593079797</v>
      </c>
      <c r="T74" s="340">
        <f ca="1">MEBL!S3</f>
        <v>27.008361235317654</v>
      </c>
      <c r="U74" s="273"/>
      <c r="W74" s="51"/>
      <c r="X74" s="51"/>
    </row>
    <row r="75" spans="1:27" ht="11.1" customHeight="1" x14ac:dyDescent="0.2">
      <c r="B75" s="300" t="s">
        <v>505</v>
      </c>
      <c r="C75" s="254"/>
      <c r="D75" s="698" t="s">
        <v>631</v>
      </c>
      <c r="E75" s="301">
        <f t="shared" ref="E75:T75" si="1">$X$8/E74</f>
        <v>43.526326140106413</v>
      </c>
      <c r="F75" s="301">
        <f t="shared" si="1"/>
        <v>31.022557149718988</v>
      </c>
      <c r="G75" s="301">
        <f t="shared" si="1"/>
        <v>29.306970494171207</v>
      </c>
      <c r="H75" s="301">
        <f t="shared" si="1"/>
        <v>28.842067337132551</v>
      </c>
      <c r="I75" s="301">
        <f t="shared" si="1"/>
        <v>24.97143376075417</v>
      </c>
      <c r="J75" s="301">
        <f t="shared" si="1"/>
        <v>22.722029931643704</v>
      </c>
      <c r="K75" s="301">
        <f t="shared" si="1"/>
        <v>18.460599713575171</v>
      </c>
      <c r="L75" s="301">
        <f t="shared" si="1"/>
        <v>21.530415124160992</v>
      </c>
      <c r="M75" s="301">
        <f t="shared" si="1"/>
        <v>14.855252106198039</v>
      </c>
      <c r="N75" s="301">
        <f t="shared" si="1"/>
        <v>9.3922113536071024</v>
      </c>
      <c r="O75" s="328">
        <f t="shared" si="1"/>
        <v>6.7074303058083373</v>
      </c>
      <c r="P75" s="328">
        <f t="shared" si="1"/>
        <v>7.8332850195743928</v>
      </c>
      <c r="Q75" s="328">
        <f t="shared" ca="1" si="1"/>
        <v>6.3316232470406772</v>
      </c>
      <c r="R75" s="328">
        <f t="shared" ca="1" si="1"/>
        <v>5.71726776967113</v>
      </c>
      <c r="S75" s="328">
        <f t="shared" ca="1" si="1"/>
        <v>4.9079536402644477</v>
      </c>
      <c r="T75" s="329">
        <f t="shared" ca="1" si="1"/>
        <v>4.2138802502084296</v>
      </c>
      <c r="U75" s="273"/>
      <c r="X75" s="51"/>
    </row>
    <row r="76" spans="1:27" ht="11.1" customHeight="1" x14ac:dyDescent="0.2">
      <c r="B76" s="300" t="s">
        <v>504</v>
      </c>
      <c r="C76" s="254"/>
      <c r="D76" s="698" t="s">
        <v>630</v>
      </c>
      <c r="E76" s="302">
        <f>MEBL!D37/MEBL!D76</f>
        <v>17.795949985055106</v>
      </c>
      <c r="F76" s="302">
        <f>MEBL!E37/MEBL!E76</f>
        <v>18.475541222130481</v>
      </c>
      <c r="G76" s="302">
        <f>MEBL!F37/MEBL!F76</f>
        <v>18.321179912573626</v>
      </c>
      <c r="H76" s="302">
        <f>MEBL!G37/MEBL!G76</f>
        <v>18.861601914426505</v>
      </c>
      <c r="I76" s="302">
        <f>MEBL!H37/MEBL!H76</f>
        <v>23.812570681793172</v>
      </c>
      <c r="J76" s="302">
        <f>MEBL!I37/MEBL!I76</f>
        <v>26.275171339764714</v>
      </c>
      <c r="K76" s="302">
        <f>MEBL!J37/MEBL!J76</f>
        <v>34.677620316722944</v>
      </c>
      <c r="L76" s="302">
        <f>MEBL!K37/MEBL!K76</f>
        <v>36.136508284928055</v>
      </c>
      <c r="M76" s="302">
        <f>MEBL!L37/MEBL!L76</f>
        <v>37.270973536947388</v>
      </c>
      <c r="N76" s="302">
        <f>MEBL!M37/MEBL!M76</f>
        <v>48.814539054060425</v>
      </c>
      <c r="O76" s="341">
        <f ca="1">MEBL!N37/MEBL!N76</f>
        <v>56.043852344816038</v>
      </c>
      <c r="P76" s="341">
        <f ca="1">MEBL!O37/MEBL!O76</f>
        <v>61.845032995326321</v>
      </c>
      <c r="Q76" s="341">
        <f ca="1">MEBL!P37/MEBL!P76</f>
        <v>74.163423783932984</v>
      </c>
      <c r="R76" s="341">
        <f ca="1">MEBL!Q37/MEBL!Q76</f>
        <v>87.555465774953873</v>
      </c>
      <c r="S76" s="341">
        <f ca="1">MEBL!R37/MEBL!R76</f>
        <v>103.49427206526954</v>
      </c>
      <c r="T76" s="342">
        <f ca="1">MEBL!S37/MEBL!S76</f>
        <v>121.53221712275814</v>
      </c>
      <c r="U76" s="273"/>
    </row>
    <row r="77" spans="1:27" ht="11.1" customHeight="1" x14ac:dyDescent="0.2">
      <c r="B77" s="300" t="s">
        <v>506</v>
      </c>
      <c r="C77" s="254"/>
      <c r="D77" s="698" t="s">
        <v>631</v>
      </c>
      <c r="E77" s="301">
        <f t="shared" ref="E77:T77" si="2">$X$8/E76</f>
        <v>6.3952753348698277</v>
      </c>
      <c r="F77" s="301">
        <f t="shared" si="2"/>
        <v>6.1600360515379888</v>
      </c>
      <c r="G77" s="301">
        <f t="shared" si="2"/>
        <v>6.211936160393984</v>
      </c>
      <c r="H77" s="301">
        <f t="shared" si="2"/>
        <v>6.0339519684672789</v>
      </c>
      <c r="I77" s="301">
        <f t="shared" si="2"/>
        <v>4.7794083856312861</v>
      </c>
      <c r="J77" s="301">
        <f t="shared" si="2"/>
        <v>4.3314655698461806</v>
      </c>
      <c r="K77" s="301">
        <f t="shared" si="2"/>
        <v>3.281943771243041</v>
      </c>
      <c r="L77" s="301">
        <f t="shared" si="2"/>
        <v>3.1494465127243156</v>
      </c>
      <c r="M77" s="301">
        <f t="shared" si="2"/>
        <v>3.053582699877107</v>
      </c>
      <c r="N77" s="301">
        <f t="shared" si="2"/>
        <v>2.331477510705557</v>
      </c>
      <c r="O77" s="328">
        <f t="shared" ca="1" si="2"/>
        <v>2.0307312084788767</v>
      </c>
      <c r="P77" s="328">
        <f t="shared" ca="1" si="2"/>
        <v>1.8402447939287334</v>
      </c>
      <c r="Q77" s="328">
        <f t="shared" ca="1" si="2"/>
        <v>1.5345839524827356</v>
      </c>
      <c r="R77" s="328">
        <f t="shared" ca="1" si="2"/>
        <v>1.2998617389864484</v>
      </c>
      <c r="S77" s="328">
        <f t="shared" ca="1" si="2"/>
        <v>1.0996743851507527</v>
      </c>
      <c r="T77" s="329">
        <f t="shared" ca="1" si="2"/>
        <v>0.93645950591884597</v>
      </c>
      <c r="U77" s="273"/>
    </row>
    <row r="78" spans="1:27" ht="11.1" customHeight="1" x14ac:dyDescent="0.2">
      <c r="B78" s="303" t="s">
        <v>589</v>
      </c>
      <c r="C78" s="304"/>
      <c r="D78" s="672" t="s">
        <v>519</v>
      </c>
      <c r="E78" s="305"/>
      <c r="F78" s="305">
        <f>F74/E74-1</f>
        <v>0.40305410447122636</v>
      </c>
      <c r="G78" s="305">
        <f t="shared" ref="G78:T78" si="3">G74/F74-1</f>
        <v>5.8538519219821339E-2</v>
      </c>
      <c r="H78" s="305">
        <f t="shared" si="3"/>
        <v>1.6118926275444867E-2</v>
      </c>
      <c r="I78" s="305">
        <f t="shared" si="3"/>
        <v>0.15500245654542999</v>
      </c>
      <c r="J78" s="305">
        <f t="shared" si="3"/>
        <v>9.8996605315524455E-2</v>
      </c>
      <c r="K78" s="305">
        <f t="shared" si="3"/>
        <v>0.23083920805318425</v>
      </c>
      <c r="L78" s="305">
        <f t="shared" si="3"/>
        <v>-0.14258040975442854</v>
      </c>
      <c r="M78" s="305">
        <f t="shared" si="3"/>
        <v>0.4493470033522946</v>
      </c>
      <c r="N78" s="305">
        <f t="shared" si="3"/>
        <v>0.58165649674108333</v>
      </c>
      <c r="O78" s="343">
        <f t="shared" si="3"/>
        <v>0.40026968979071831</v>
      </c>
      <c r="P78" s="343">
        <f t="shared" si="3"/>
        <v>-0.14372702013940331</v>
      </c>
      <c r="Q78" s="343">
        <f t="shared" ca="1" si="3"/>
        <v>0.23716852913438502</v>
      </c>
      <c r="R78" s="343">
        <f t="shared" ca="1" si="3"/>
        <v>0.10745613151592637</v>
      </c>
      <c r="S78" s="343">
        <f t="shared" ca="1" si="3"/>
        <v>0.16489848697166476</v>
      </c>
      <c r="T78" s="344">
        <f t="shared" ca="1" si="3"/>
        <v>0.1647112278574332</v>
      </c>
      <c r="U78" s="273"/>
      <c r="W78" s="51"/>
    </row>
    <row r="79" spans="1:27" ht="11.1" customHeight="1" thickBot="1" x14ac:dyDescent="0.25">
      <c r="B79" s="306" t="s">
        <v>507</v>
      </c>
      <c r="C79" s="307"/>
      <c r="D79" s="699" t="s">
        <v>631</v>
      </c>
      <c r="E79" s="308"/>
      <c r="F79" s="308">
        <f t="shared" ref="F79:T79" si="4">F75/(F78*100)</f>
        <v>0.76968716620360467</v>
      </c>
      <c r="G79" s="308">
        <f t="shared" si="4"/>
        <v>5.0064420632368449</v>
      </c>
      <c r="H79" s="308">
        <f t="shared" si="4"/>
        <v>17.893293166226446</v>
      </c>
      <c r="I79" s="308">
        <f t="shared" si="4"/>
        <v>1.6110347098554041</v>
      </c>
      <c r="J79" s="308">
        <f t="shared" si="4"/>
        <v>2.2952332415059571</v>
      </c>
      <c r="K79" s="308">
        <f t="shared" si="4"/>
        <v>0.79971681887428492</v>
      </c>
      <c r="L79" s="308">
        <f t="shared" si="4"/>
        <v>-1.5100542326427324</v>
      </c>
      <c r="M79" s="308">
        <f t="shared" si="4"/>
        <v>0.33059644318026765</v>
      </c>
      <c r="N79" s="308">
        <f t="shared" si="4"/>
        <v>0.16147350551794698</v>
      </c>
      <c r="O79" s="345">
        <f t="shared" si="4"/>
        <v>0.16757277597799944</v>
      </c>
      <c r="P79" s="345">
        <f t="shared" si="4"/>
        <v>-0.54501130072666615</v>
      </c>
      <c r="Q79" s="345">
        <f t="shared" ca="1" si="4"/>
        <v>0.26696726037597668</v>
      </c>
      <c r="R79" s="345">
        <f t="shared" ca="1" si="4"/>
        <v>0.53205598312682223</v>
      </c>
      <c r="S79" s="345">
        <f t="shared" ca="1" si="4"/>
        <v>0.29763484980355237</v>
      </c>
      <c r="T79" s="346">
        <f t="shared" ca="1" si="4"/>
        <v>0.25583442640933862</v>
      </c>
      <c r="U79" s="273"/>
    </row>
    <row r="80" spans="1:27" ht="11.1" customHeight="1" x14ac:dyDescent="0.2">
      <c r="Q80" s="136"/>
      <c r="U80" s="273"/>
    </row>
    <row r="81" spans="17:21" ht="11.1" customHeight="1" x14ac:dyDescent="0.2">
      <c r="Q81" s="136"/>
      <c r="U81" s="273"/>
    </row>
    <row r="82" spans="17:21" ht="11.1" customHeight="1" x14ac:dyDescent="0.2">
      <c r="U82" s="273"/>
    </row>
    <row r="83" spans="17:21" ht="11.1" customHeight="1" x14ac:dyDescent="0.2">
      <c r="U83" s="273"/>
    </row>
    <row r="84" spans="17:21" ht="11.1" customHeight="1" x14ac:dyDescent="0.2">
      <c r="U84" s="273"/>
    </row>
    <row r="85" spans="17:21" ht="11.1" customHeight="1" x14ac:dyDescent="0.2">
      <c r="U85" s="273"/>
    </row>
    <row r="86" spans="17:21" ht="11.1" customHeight="1" x14ac:dyDescent="0.2">
      <c r="U86" s="273"/>
    </row>
    <row r="87" spans="17:21" ht="11.1" customHeight="1" x14ac:dyDescent="0.2">
      <c r="U87" s="273"/>
    </row>
    <row r="88" spans="17:21" ht="11.1" customHeight="1" x14ac:dyDescent="0.2">
      <c r="U88" s="273"/>
    </row>
    <row r="89" spans="17:21" ht="11.1" customHeight="1" x14ac:dyDescent="0.2">
      <c r="U89" s="273"/>
    </row>
    <row r="90" spans="17:21" ht="11.1" customHeight="1" x14ac:dyDescent="0.2">
      <c r="U90" s="273"/>
    </row>
    <row r="91" spans="17:21" ht="11.1" customHeight="1" x14ac:dyDescent="0.2">
      <c r="U91" s="273"/>
    </row>
    <row r="92" spans="17:21" ht="11.1" customHeight="1" x14ac:dyDescent="0.2">
      <c r="U92" s="273"/>
    </row>
    <row r="93" spans="17:21" ht="11.1" customHeight="1" x14ac:dyDescent="0.2">
      <c r="U93" s="273"/>
    </row>
    <row r="94" spans="17:21" ht="11.1" customHeight="1" x14ac:dyDescent="0.2">
      <c r="U94" s="273"/>
    </row>
    <row r="95" spans="17:21" ht="11.1" customHeight="1" x14ac:dyDescent="0.2">
      <c r="U95" s="273"/>
    </row>
    <row r="96" spans="17:21" ht="11.1" customHeight="1" x14ac:dyDescent="0.2">
      <c r="U96" s="273"/>
    </row>
    <row r="97" spans="21:21" ht="11.1" customHeight="1" x14ac:dyDescent="0.2">
      <c r="U97" s="273"/>
    </row>
    <row r="98" spans="21:21" ht="11.1" customHeight="1" x14ac:dyDescent="0.2">
      <c r="U98" s="273"/>
    </row>
    <row r="99" spans="21:21" ht="11.1" customHeight="1" x14ac:dyDescent="0.2">
      <c r="U99" s="273"/>
    </row>
    <row r="100" spans="21:21" ht="11.1" customHeight="1" x14ac:dyDescent="0.2">
      <c r="U100" s="273"/>
    </row>
    <row r="101" spans="21:21" ht="11.1" customHeight="1" x14ac:dyDescent="0.2">
      <c r="U101" s="273"/>
    </row>
    <row r="102" spans="21:21" ht="11.1" customHeight="1" x14ac:dyDescent="0.2">
      <c r="U102" s="273"/>
    </row>
    <row r="103" spans="21:21" ht="11.1" customHeight="1" x14ac:dyDescent="0.2">
      <c r="U103" s="273"/>
    </row>
    <row r="104" spans="21:21" ht="11.1" customHeight="1" x14ac:dyDescent="0.2">
      <c r="U104" s="273"/>
    </row>
    <row r="105" spans="21:21" ht="11.1" customHeight="1" x14ac:dyDescent="0.2">
      <c r="U105" s="273"/>
    </row>
    <row r="106" spans="21:21" ht="11.1" customHeight="1" x14ac:dyDescent="0.2">
      <c r="U106" s="273"/>
    </row>
    <row r="107" spans="21:21" ht="11.1" customHeight="1" x14ac:dyDescent="0.2">
      <c r="U107" s="273"/>
    </row>
    <row r="108" spans="21:21" ht="11.1" customHeight="1" x14ac:dyDescent="0.2">
      <c r="U108" s="273"/>
    </row>
    <row r="109" spans="21:21" ht="11.1" customHeight="1" x14ac:dyDescent="0.2">
      <c r="U109" s="273"/>
    </row>
    <row r="110" spans="21:21" ht="11.1" customHeight="1" x14ac:dyDescent="0.2">
      <c r="U110" s="273"/>
    </row>
    <row r="111" spans="21:21" ht="11.1" customHeight="1" x14ac:dyDescent="0.2">
      <c r="U111" s="273"/>
    </row>
    <row r="112" spans="21:21" ht="11.1" customHeight="1" x14ac:dyDescent="0.2">
      <c r="U112" s="273"/>
    </row>
    <row r="113" spans="21:21" ht="11.1" customHeight="1" x14ac:dyDescent="0.2">
      <c r="U113" s="273"/>
    </row>
    <row r="114" spans="21:21" ht="11.1" customHeight="1" x14ac:dyDescent="0.2">
      <c r="U114" s="273"/>
    </row>
    <row r="115" spans="21:21" ht="11.1" customHeight="1" x14ac:dyDescent="0.2">
      <c r="U115" s="273"/>
    </row>
    <row r="116" spans="21:21" ht="11.1" customHeight="1" x14ac:dyDescent="0.2">
      <c r="U116" s="273"/>
    </row>
    <row r="117" spans="21:21" ht="11.1" customHeight="1" x14ac:dyDescent="0.2">
      <c r="U117" s="273"/>
    </row>
    <row r="118" spans="21:21" ht="11.1" customHeight="1" x14ac:dyDescent="0.2">
      <c r="U118" s="273"/>
    </row>
    <row r="119" spans="21:21" ht="11.1" customHeight="1" x14ac:dyDescent="0.2">
      <c r="U119" s="273"/>
    </row>
    <row r="120" spans="21:21" ht="11.1" customHeight="1" x14ac:dyDescent="0.2">
      <c r="U120" s="273"/>
    </row>
    <row r="121" spans="21:21" ht="11.1" customHeight="1" x14ac:dyDescent="0.2">
      <c r="U121" s="273"/>
    </row>
    <row r="122" spans="21:21" ht="11.1" customHeight="1" x14ac:dyDescent="0.2">
      <c r="U122" s="273"/>
    </row>
    <row r="123" spans="21:21" ht="11.1" customHeight="1" x14ac:dyDescent="0.2">
      <c r="U123" s="273"/>
    </row>
    <row r="124" spans="21:21" ht="11.1" customHeight="1" x14ac:dyDescent="0.2">
      <c r="U124" s="273"/>
    </row>
    <row r="125" spans="21:21" ht="11.1" customHeight="1" x14ac:dyDescent="0.2">
      <c r="U125" s="273"/>
    </row>
    <row r="126" spans="21:21" ht="11.1" customHeight="1" x14ac:dyDescent="0.2">
      <c r="U126" s="273"/>
    </row>
    <row r="127" spans="21:21" ht="11.1" customHeight="1" x14ac:dyDescent="0.2">
      <c r="U127" s="273"/>
    </row>
    <row r="128" spans="21:21" ht="11.1" customHeight="1" x14ac:dyDescent="0.2">
      <c r="U128" s="273"/>
    </row>
    <row r="129" spans="21:21" ht="11.1" customHeight="1" x14ac:dyDescent="0.2">
      <c r="U129" s="273"/>
    </row>
    <row r="130" spans="21:21" ht="11.1" customHeight="1" x14ac:dyDescent="0.2">
      <c r="U130" s="273"/>
    </row>
    <row r="131" spans="21:21" ht="11.1" customHeight="1" x14ac:dyDescent="0.2">
      <c r="U131" s="273"/>
    </row>
    <row r="132" spans="21:21" ht="11.1" customHeight="1" x14ac:dyDescent="0.2">
      <c r="U132" s="273"/>
    </row>
    <row r="133" spans="21:21" ht="11.1" customHeight="1" x14ac:dyDescent="0.2">
      <c r="U133" s="273"/>
    </row>
    <row r="134" spans="21:21" ht="11.1" customHeight="1" x14ac:dyDescent="0.2">
      <c r="U134" s="273"/>
    </row>
    <row r="135" spans="21:21" ht="11.1" customHeight="1" x14ac:dyDescent="0.2">
      <c r="U135" s="273"/>
    </row>
    <row r="136" spans="21:21" ht="11.1" customHeight="1" x14ac:dyDescent="0.2">
      <c r="U136" s="273"/>
    </row>
    <row r="137" spans="21:21" ht="11.1" customHeight="1" x14ac:dyDescent="0.2">
      <c r="U137" s="273"/>
    </row>
    <row r="138" spans="21:21" ht="11.1" customHeight="1" x14ac:dyDescent="0.2">
      <c r="U138" s="273"/>
    </row>
    <row r="139" spans="21:21" ht="11.1" customHeight="1" x14ac:dyDescent="0.2">
      <c r="U139" s="273"/>
    </row>
    <row r="140" spans="21:21" ht="11.1" customHeight="1" x14ac:dyDescent="0.2">
      <c r="U140" s="273"/>
    </row>
    <row r="141" spans="21:21" ht="11.1" customHeight="1" x14ac:dyDescent="0.2">
      <c r="U141" s="273"/>
    </row>
    <row r="142" spans="21:21" ht="11.1" customHeight="1" x14ac:dyDescent="0.2">
      <c r="U142" s="273"/>
    </row>
    <row r="143" spans="21:21" ht="11.1" customHeight="1" x14ac:dyDescent="0.2">
      <c r="U143" s="273"/>
    </row>
  </sheetData>
  <mergeCells count="1">
    <mergeCell ref="W5:X5"/>
  </mergeCells>
  <pageMargins left="0.7" right="0.7" top="0.75" bottom="0.75" header="0.3" footer="0.3"/>
  <pageSetup orientation="portrait" r:id="rId1"/>
  <ignoredErrors>
    <ignoredError sqref="E6:M6" formulaRange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B1:AJ1263"/>
  <sheetViews>
    <sheetView showGridLines="0" zoomScaleNormal="100" workbookViewId="0">
      <selection activeCell="M26" sqref="M26"/>
    </sheetView>
  </sheetViews>
  <sheetFormatPr defaultColWidth="8.7109375" defaultRowHeight="11.25" x14ac:dyDescent="0.2"/>
  <cols>
    <col min="1" max="1" width="1.5703125" style="2" customWidth="1"/>
    <col min="2" max="2" width="9.7109375" style="2" bestFit="1" customWidth="1"/>
    <col min="3" max="3" width="8.7109375" style="2"/>
    <col min="4" max="4" width="8.7109375" style="2" bestFit="1" customWidth="1"/>
    <col min="5" max="5" width="2.28515625" style="2" customWidth="1"/>
    <col min="6" max="7" width="8.7109375" style="2"/>
    <col min="8" max="8" width="2.28515625" style="2" customWidth="1"/>
    <col min="9" max="9" width="18.5703125" style="2" customWidth="1"/>
    <col min="10" max="10" width="8.5703125" style="2" customWidth="1"/>
    <col min="11" max="11" width="12.5703125" style="2" customWidth="1"/>
    <col min="12" max="12" width="15.7109375" style="2" customWidth="1"/>
    <col min="13" max="14" width="12.5703125" style="2" customWidth="1"/>
    <col min="15" max="15" width="17.5703125" style="2" customWidth="1"/>
    <col min="16" max="24" width="12.5703125" style="2" customWidth="1"/>
    <col min="25" max="28" width="8.7109375" style="2"/>
    <col min="29" max="29" width="15.7109375" style="2" customWidth="1"/>
    <col min="30" max="16384" width="8.7109375" style="2"/>
  </cols>
  <sheetData>
    <row r="1" spans="2:36" ht="12.75" x14ac:dyDescent="0.2">
      <c r="B1" s="1027" t="s">
        <v>501</v>
      </c>
      <c r="C1" s="1027"/>
      <c r="D1" s="1027"/>
      <c r="F1" s="1027" t="s">
        <v>502</v>
      </c>
      <c r="G1" s="1027"/>
    </row>
    <row r="2" spans="2:36" s="51" customFormat="1" ht="12.75" x14ac:dyDescent="0.2">
      <c r="B2" s="622"/>
      <c r="C2" s="622"/>
      <c r="D2" s="622"/>
      <c r="E2" s="273"/>
      <c r="F2" s="622"/>
      <c r="G2" s="622"/>
      <c r="H2" s="273"/>
    </row>
    <row r="3" spans="2:36" ht="12.75" x14ac:dyDescent="0.2">
      <c r="B3" s="347" t="s">
        <v>522</v>
      </c>
      <c r="C3" s="347" t="s">
        <v>492</v>
      </c>
      <c r="D3" s="347" t="s">
        <v>493</v>
      </c>
      <c r="F3" s="701" t="s">
        <v>492</v>
      </c>
      <c r="G3" s="701" t="s">
        <v>493</v>
      </c>
      <c r="I3" s="1006" t="s">
        <v>503</v>
      </c>
      <c r="J3" s="1006"/>
      <c r="K3" s="322"/>
      <c r="L3" s="1007" t="s">
        <v>594</v>
      </c>
      <c r="M3" s="1007"/>
      <c r="N3" s="113"/>
      <c r="O3" s="1007" t="s">
        <v>635</v>
      </c>
      <c r="P3" s="1007"/>
      <c r="Q3" s="1007"/>
      <c r="R3" s="1007"/>
      <c r="T3" s="1006" t="s">
        <v>494</v>
      </c>
      <c r="U3" s="1006"/>
      <c r="V3" s="113"/>
    </row>
    <row r="4" spans="2:36" ht="10.5" customHeight="1" x14ac:dyDescent="0.2">
      <c r="B4" s="313">
        <v>44185</v>
      </c>
      <c r="C4" s="314">
        <v>100</v>
      </c>
      <c r="D4" s="315">
        <v>43416.77</v>
      </c>
      <c r="F4" s="316">
        <f t="shared" ref="F4:F62" si="0">C4/C5-1</f>
        <v>5.4852320675105481E-2</v>
      </c>
      <c r="G4" s="316">
        <f t="shared" ref="G4:G62" si="1">D4/D5-1</f>
        <v>5.7171109372024631E-2</v>
      </c>
      <c r="I4" s="622"/>
      <c r="J4" s="622"/>
      <c r="K4" s="322"/>
      <c r="L4" s="322"/>
      <c r="M4" s="322"/>
      <c r="T4" s="827"/>
      <c r="U4" s="827"/>
      <c r="V4" s="107"/>
      <c r="AC4" s="816"/>
      <c r="AD4" s="817" t="s">
        <v>478</v>
      </c>
      <c r="AE4" s="817" t="s">
        <v>479</v>
      </c>
      <c r="AF4" s="817" t="s">
        <v>480</v>
      </c>
      <c r="AG4" s="817" t="s">
        <v>481</v>
      </c>
      <c r="AH4" s="817" t="s">
        <v>482</v>
      </c>
    </row>
    <row r="5" spans="2:36" x14ac:dyDescent="0.2">
      <c r="B5" s="313">
        <v>44155</v>
      </c>
      <c r="C5" s="314">
        <v>94.8</v>
      </c>
      <c r="D5" s="315">
        <v>41068.82</v>
      </c>
      <c r="F5" s="316">
        <f t="shared" si="0"/>
        <v>9.5320623916811176E-2</v>
      </c>
      <c r="G5" s="316">
        <f t="shared" si="1"/>
        <v>2.9603389490573617E-2</v>
      </c>
      <c r="I5" s="50" t="s">
        <v>503</v>
      </c>
      <c r="J5" s="650">
        <f ca="1">(U10-U9)/(U8-U9)</f>
        <v>2.3230349668345971</v>
      </c>
      <c r="K5" s="650"/>
      <c r="L5" s="683" t="s">
        <v>594</v>
      </c>
      <c r="M5" s="650">
        <f>MEBL!O75/(Valuation!U8-Valuation!U9)</f>
        <v>7.0720983407394638</v>
      </c>
      <c r="O5" s="672" t="s">
        <v>614</v>
      </c>
      <c r="P5" s="672" t="s">
        <v>403</v>
      </c>
      <c r="Q5" s="672" t="s">
        <v>617</v>
      </c>
      <c r="R5" s="672" t="s">
        <v>618</v>
      </c>
      <c r="T5" s="50" t="s">
        <v>495</v>
      </c>
      <c r="U5" s="828">
        <v>0.1</v>
      </c>
      <c r="V5" s="685" t="s">
        <v>523</v>
      </c>
      <c r="AC5" s="318" t="s">
        <v>679</v>
      </c>
      <c r="AD5" s="818">
        <f>MEBL!O73</f>
        <v>7</v>
      </c>
      <c r="AE5" s="818">
        <f ca="1">MEBL!P73</f>
        <v>7</v>
      </c>
      <c r="AF5" s="818">
        <f ca="1">MEBL!Q73</f>
        <v>8</v>
      </c>
      <c r="AG5" s="818">
        <f ca="1">MEBL!R73</f>
        <v>9</v>
      </c>
      <c r="AH5" s="818">
        <f ca="1">MEBL!S73</f>
        <v>11</v>
      </c>
    </row>
    <row r="6" spans="2:36" x14ac:dyDescent="0.2">
      <c r="B6" s="313">
        <v>44124</v>
      </c>
      <c r="C6" s="314">
        <v>86.55</v>
      </c>
      <c r="D6" s="315">
        <v>39888</v>
      </c>
      <c r="F6" s="316">
        <f t="shared" si="0"/>
        <v>4.8455481526347599E-2</v>
      </c>
      <c r="G6" s="316">
        <f t="shared" si="1"/>
        <v>-1.6846316673683193E-2</v>
      </c>
      <c r="I6" s="50" t="s">
        <v>622</v>
      </c>
      <c r="J6" s="651">
        <f ca="1">Ratios!T76</f>
        <v>121.53221712275814</v>
      </c>
      <c r="K6" s="651"/>
      <c r="L6" s="681" t="s">
        <v>619</v>
      </c>
      <c r="M6" s="651">
        <f ca="1">Ratios!T74</f>
        <v>27.008361235317654</v>
      </c>
      <c r="O6" s="50" t="s">
        <v>615</v>
      </c>
      <c r="P6" s="657">
        <f ca="1">J11</f>
        <v>184.62383585406343</v>
      </c>
      <c r="Q6" s="674">
        <v>0.5</v>
      </c>
      <c r="R6" s="657">
        <f ca="1">P6*Q6</f>
        <v>92.311917927031715</v>
      </c>
      <c r="T6" s="50" t="s">
        <v>496</v>
      </c>
      <c r="U6" s="828">
        <v>7.0000000000000007E-2</v>
      </c>
      <c r="V6" s="685" t="s">
        <v>524</v>
      </c>
      <c r="AC6" s="318" t="s">
        <v>707</v>
      </c>
      <c r="AD6" s="819">
        <f>AD5</f>
        <v>7</v>
      </c>
      <c r="AE6" s="818">
        <f ca="1">AE5/(1+$U$8)^1</f>
        <v>6.0156561564543312</v>
      </c>
      <c r="AF6" s="818">
        <f ca="1">AF5/(1+$U$8)^2</f>
        <v>5.9082643253366367</v>
      </c>
      <c r="AG6" s="818">
        <f ca="1">AG5/(1+$U$8)^3</f>
        <v>5.7121210707863845</v>
      </c>
      <c r="AH6" s="818">
        <f ca="1">AH5/(1+$U$8)^4</f>
        <v>5.9997415737265838</v>
      </c>
    </row>
    <row r="7" spans="2:36" x14ac:dyDescent="0.2">
      <c r="B7" s="313">
        <v>44094</v>
      </c>
      <c r="C7" s="314">
        <v>82.55</v>
      </c>
      <c r="D7" s="315">
        <v>40571.480000000003</v>
      </c>
      <c r="F7" s="316">
        <f t="shared" si="0"/>
        <v>4.5023119980529547E-3</v>
      </c>
      <c r="G7" s="316">
        <f t="shared" si="1"/>
        <v>-1.3121814563669454E-2</v>
      </c>
      <c r="I7" s="50" t="s">
        <v>621</v>
      </c>
      <c r="J7" s="651">
        <f ca="1">J5*J6</f>
        <v>282.32358997310149</v>
      </c>
      <c r="K7" s="651"/>
      <c r="L7" s="681" t="s">
        <v>621</v>
      </c>
      <c r="M7" s="651">
        <f ca="1">M5*M6</f>
        <v>191.00578667838204</v>
      </c>
      <c r="O7" s="50" t="s">
        <v>616</v>
      </c>
      <c r="P7" s="657">
        <f ca="1">J19</f>
        <v>134.35542461799079</v>
      </c>
      <c r="Q7" s="674">
        <v>0.25</v>
      </c>
      <c r="R7" s="657">
        <f t="shared" ref="R7" ca="1" si="2">P7*Q7</f>
        <v>33.588856154497698</v>
      </c>
      <c r="T7" s="50" t="s">
        <v>497</v>
      </c>
      <c r="U7" s="829">
        <f>(COVAR(F4:F63,G4:G63)*12)/(VAR(G4:G63)*12)</f>
        <v>0.90900481283455314</v>
      </c>
      <c r="V7" s="50"/>
      <c r="AC7" s="318" t="s">
        <v>705</v>
      </c>
      <c r="AD7" s="818"/>
      <c r="AE7" s="818"/>
      <c r="AF7" s="818"/>
      <c r="AG7" s="818"/>
      <c r="AH7" s="818">
        <f ca="1">(AH6*(1+U9))/(U8-U9)</f>
        <v>103.71964149168687</v>
      </c>
      <c r="AI7" s="50"/>
      <c r="AJ7" s="50"/>
    </row>
    <row r="8" spans="2:36" x14ac:dyDescent="0.2">
      <c r="B8" s="313">
        <v>44063</v>
      </c>
      <c r="C8" s="314">
        <v>82.18</v>
      </c>
      <c r="D8" s="315">
        <v>41110.93</v>
      </c>
      <c r="F8" s="316">
        <f t="shared" si="0"/>
        <v>6.7272727272727373E-2</v>
      </c>
      <c r="G8" s="316">
        <f t="shared" si="1"/>
        <v>4.718705073354923E-2</v>
      </c>
      <c r="I8" s="50" t="s">
        <v>403</v>
      </c>
      <c r="J8" s="651">
        <f ca="1">J7/(1+U8)^4</f>
        <v>153.98805272775951</v>
      </c>
      <c r="K8" s="651"/>
      <c r="L8" s="681" t="s">
        <v>620</v>
      </c>
      <c r="M8" s="651">
        <f ca="1">M7/(1+U8)^4</f>
        <v>104.18048719605818</v>
      </c>
      <c r="O8" s="50" t="s">
        <v>634</v>
      </c>
      <c r="P8" s="657">
        <f>J26</f>
        <v>120.0647186242533</v>
      </c>
      <c r="Q8" s="674">
        <v>0.25</v>
      </c>
      <c r="R8" s="675">
        <f>P8*Q8</f>
        <v>30.016179656063326</v>
      </c>
      <c r="S8" s="107"/>
      <c r="T8" s="667" t="s">
        <v>498</v>
      </c>
      <c r="U8" s="830">
        <f>U5+U7*(U6)</f>
        <v>0.16363033689841872</v>
      </c>
      <c r="V8" s="50"/>
      <c r="AC8" s="318" t="s">
        <v>706</v>
      </c>
      <c r="AD8" s="819">
        <f>SUM(AD6:AD7)</f>
        <v>7</v>
      </c>
      <c r="AE8" s="818">
        <f t="shared" ref="AE8:AH8" ca="1" si="3">SUM(AE6:AE7)</f>
        <v>6.0156561564543312</v>
      </c>
      <c r="AF8" s="818">
        <f t="shared" ca="1" si="3"/>
        <v>5.9082643253366367</v>
      </c>
      <c r="AG8" s="818">
        <f t="shared" ca="1" si="3"/>
        <v>5.7121210707863845</v>
      </c>
      <c r="AH8" s="818">
        <f t="shared" ca="1" si="3"/>
        <v>109.71938306541345</v>
      </c>
    </row>
    <row r="9" spans="2:36" ht="12" thickBot="1" x14ac:dyDescent="0.25">
      <c r="B9" s="313">
        <v>44032</v>
      </c>
      <c r="C9" s="317">
        <v>77</v>
      </c>
      <c r="D9" s="315">
        <v>39258.44</v>
      </c>
      <c r="F9" s="316">
        <f t="shared" si="0"/>
        <v>0.22826607114372321</v>
      </c>
      <c r="G9" s="316">
        <f t="shared" si="1"/>
        <v>0.14050697927367217</v>
      </c>
      <c r="I9" s="50" t="s">
        <v>623</v>
      </c>
      <c r="J9" s="651">
        <f ca="1">MEBL!O73+NPV(U8,MEBL!P73:S73)</f>
        <v>30.635783126303934</v>
      </c>
      <c r="K9" s="652"/>
      <c r="L9" s="651"/>
      <c r="M9" s="651"/>
      <c r="O9" s="50"/>
      <c r="P9" s="136"/>
      <c r="Q9" s="674"/>
      <c r="R9" s="657"/>
      <c r="T9" s="667" t="s">
        <v>499</v>
      </c>
      <c r="U9" s="831">
        <v>0.1</v>
      </c>
      <c r="V9" s="50"/>
      <c r="AC9" s="820" t="s">
        <v>708</v>
      </c>
      <c r="AD9" s="821">
        <f ca="1">SUM(AD8:AH8)</f>
        <v>134.35542461799079</v>
      </c>
      <c r="AE9" s="822"/>
      <c r="AF9" s="822"/>
      <c r="AG9" s="822"/>
      <c r="AH9" s="822"/>
    </row>
    <row r="10" spans="2:36" ht="12.75" x14ac:dyDescent="0.2">
      <c r="B10" s="313">
        <v>44002</v>
      </c>
      <c r="C10" s="314">
        <v>62.69</v>
      </c>
      <c r="D10" s="315">
        <v>34421.919999999998</v>
      </c>
      <c r="F10" s="316">
        <f t="shared" si="0"/>
        <v>0.11231369765791333</v>
      </c>
      <c r="G10" s="316">
        <f t="shared" si="1"/>
        <v>1.446130894753872E-2</v>
      </c>
      <c r="I10" s="50"/>
      <c r="J10" s="652"/>
      <c r="K10" s="653"/>
      <c r="L10" s="684" t="s">
        <v>636</v>
      </c>
      <c r="M10" s="682">
        <f ca="1">M8</f>
        <v>104.18048719605818</v>
      </c>
      <c r="O10" s="667" t="s">
        <v>637</v>
      </c>
      <c r="P10" s="136"/>
      <c r="Q10" s="674"/>
      <c r="R10" s="702">
        <f ca="1">SUM(R6:R8)</f>
        <v>155.91695373759273</v>
      </c>
      <c r="T10" s="50" t="s">
        <v>500</v>
      </c>
      <c r="U10" s="731">
        <f ca="1">GEOMEAN(Ratios!P62:T62)</f>
        <v>0.24781549756649235</v>
      </c>
      <c r="V10" s="50"/>
    </row>
    <row r="11" spans="2:36" ht="12.75" x14ac:dyDescent="0.2">
      <c r="B11" s="313">
        <v>43971</v>
      </c>
      <c r="C11" s="314">
        <v>56.36</v>
      </c>
      <c r="D11" s="315">
        <v>33931.230000000003</v>
      </c>
      <c r="F11" s="316">
        <f t="shared" si="0"/>
        <v>-5.3568429890847979E-2</v>
      </c>
      <c r="G11" s="316">
        <f t="shared" si="1"/>
        <v>-5.2888105057392609E-3</v>
      </c>
      <c r="I11" s="667" t="s">
        <v>636</v>
      </c>
      <c r="J11" s="682">
        <f ca="1">J8+J9</f>
        <v>184.62383585406343</v>
      </c>
      <c r="K11" s="50"/>
      <c r="L11" s="653"/>
      <c r="M11" s="653"/>
      <c r="R11" s="676"/>
      <c r="T11" s="50"/>
      <c r="U11" s="50"/>
      <c r="V11" s="50"/>
      <c r="W11" s="50"/>
    </row>
    <row r="12" spans="2:36" x14ac:dyDescent="0.2">
      <c r="B12" s="313">
        <v>43941</v>
      </c>
      <c r="C12" s="314">
        <v>59.55</v>
      </c>
      <c r="D12" s="315">
        <v>34111.64</v>
      </c>
      <c r="F12" s="316">
        <f t="shared" si="0"/>
        <v>7.7847351497715156E-3</v>
      </c>
      <c r="G12" s="316">
        <f t="shared" si="1"/>
        <v>0.16694279450034077</v>
      </c>
      <c r="I12" s="50"/>
      <c r="J12" s="50"/>
      <c r="K12" s="50"/>
      <c r="L12" s="50"/>
      <c r="M12" s="50"/>
      <c r="T12" s="50"/>
      <c r="U12" s="50"/>
      <c r="V12" s="50"/>
      <c r="W12" s="50"/>
    </row>
    <row r="13" spans="2:36" ht="13.15" customHeight="1" x14ac:dyDescent="0.2">
      <c r="B13" s="313">
        <v>43910</v>
      </c>
      <c r="C13" s="314">
        <v>59.09</v>
      </c>
      <c r="D13" s="315">
        <v>29231.63</v>
      </c>
      <c r="F13" s="316">
        <f t="shared" si="0"/>
        <v>-0.34937238493723843</v>
      </c>
      <c r="G13" s="316">
        <f t="shared" si="1"/>
        <v>-0.23041484724204808</v>
      </c>
      <c r="I13" s="50"/>
      <c r="J13" s="50"/>
      <c r="K13" s="322"/>
      <c r="T13" s="50"/>
      <c r="U13" s="50"/>
      <c r="V13" s="50"/>
      <c r="W13" s="50"/>
    </row>
    <row r="14" spans="2:36" ht="10.5" customHeight="1" x14ac:dyDescent="0.2">
      <c r="B14" s="313">
        <v>43881</v>
      </c>
      <c r="C14" s="314">
        <v>90.82</v>
      </c>
      <c r="D14" s="315">
        <v>37983.620000000003</v>
      </c>
      <c r="F14" s="316">
        <f t="shared" si="0"/>
        <v>-3.0115335326783454E-2</v>
      </c>
      <c r="G14" s="316">
        <f t="shared" si="1"/>
        <v>-8.7610801005213901E-2</v>
      </c>
      <c r="I14" s="1007" t="s">
        <v>521</v>
      </c>
      <c r="J14" s="1007"/>
      <c r="K14" s="322"/>
      <c r="L14" s="256" t="s">
        <v>561</v>
      </c>
      <c r="M14" s="256" t="s">
        <v>562</v>
      </c>
      <c r="N14" s="256" t="s">
        <v>576</v>
      </c>
      <c r="O14" s="256" t="s">
        <v>0</v>
      </c>
      <c r="P14" s="256" t="s">
        <v>504</v>
      </c>
      <c r="Q14" s="256" t="s">
        <v>578</v>
      </c>
      <c r="R14" s="256" t="s">
        <v>577</v>
      </c>
      <c r="S14" s="256" t="s">
        <v>563</v>
      </c>
      <c r="T14" s="256" t="s">
        <v>564</v>
      </c>
      <c r="U14" s="256" t="s">
        <v>565</v>
      </c>
      <c r="V14" s="256" t="s">
        <v>566</v>
      </c>
      <c r="W14" s="256" t="s">
        <v>590</v>
      </c>
      <c r="X14" s="256" t="s">
        <v>595</v>
      </c>
    </row>
    <row r="15" spans="2:36" ht="12.75" x14ac:dyDescent="0.2">
      <c r="B15" s="313">
        <v>43850</v>
      </c>
      <c r="C15" s="314">
        <v>93.64</v>
      </c>
      <c r="D15" s="315">
        <v>41630.94</v>
      </c>
      <c r="F15" s="316">
        <f t="shared" si="0"/>
        <v>8.4172745166145591E-2</v>
      </c>
      <c r="G15" s="316">
        <f t="shared" si="1"/>
        <v>2.1992346645692162E-2</v>
      </c>
      <c r="I15" s="322"/>
      <c r="J15" s="322"/>
      <c r="K15" s="654"/>
      <c r="L15" s="2" t="s">
        <v>568</v>
      </c>
      <c r="M15" s="53" t="s">
        <v>569</v>
      </c>
      <c r="N15" s="657">
        <v>134.97999999999999</v>
      </c>
      <c r="O15" s="658">
        <v>22.72</v>
      </c>
      <c r="P15" s="659">
        <v>175.66</v>
      </c>
      <c r="Q15" s="659">
        <v>197995.75153000001</v>
      </c>
      <c r="R15" s="636">
        <f>Q15/SUM($Q$15:$Q$19)</f>
        <v>0.26496010973416984</v>
      </c>
      <c r="S15" s="658">
        <f>N15/O15</f>
        <v>5.941021126760563</v>
      </c>
      <c r="T15" s="658">
        <f>AVERAGE('Industry Data'!E359:N359)</f>
        <v>7.8216949919231578</v>
      </c>
      <c r="U15" s="658">
        <f>N15/P15</f>
        <v>0.76841625868154384</v>
      </c>
      <c r="V15" s="658">
        <f>AVERAGE('Industry Data'!E349:N349)</f>
        <v>1.1551472057385312</v>
      </c>
      <c r="W15" s="53" t="s">
        <v>148</v>
      </c>
      <c r="X15" s="657">
        <f>AVERAGE('Industry Data'!E379:N379)</f>
        <v>0.37392720835681581</v>
      </c>
    </row>
    <row r="16" spans="2:36" x14ac:dyDescent="0.2">
      <c r="B16" s="313">
        <v>44184</v>
      </c>
      <c r="C16" s="314">
        <v>86.37</v>
      </c>
      <c r="D16" s="315">
        <v>40735.08</v>
      </c>
      <c r="F16" s="316">
        <f t="shared" si="0"/>
        <v>9.1770951839211357E-2</v>
      </c>
      <c r="G16" s="316">
        <f t="shared" si="1"/>
        <v>3.6841857428479452E-2</v>
      </c>
      <c r="H16" s="680"/>
      <c r="I16" s="50" t="s">
        <v>624</v>
      </c>
      <c r="J16" s="654">
        <f ca="1">(MEBL!S73*(1+U9))/(Valuation!U8-Valuation!U9)</f>
        <v>190.16086649543891</v>
      </c>
      <c r="K16" s="654"/>
      <c r="L16" s="2" t="s">
        <v>567</v>
      </c>
      <c r="M16" s="53" t="s">
        <v>570</v>
      </c>
      <c r="N16" s="657">
        <v>193.94</v>
      </c>
      <c r="O16" s="658">
        <v>26.33</v>
      </c>
      <c r="P16" s="659">
        <v>158.875</v>
      </c>
      <c r="Q16" s="659">
        <v>229830.53756</v>
      </c>
      <c r="R16" s="636">
        <f>Q16/SUM($Q$15:$Q$19)</f>
        <v>0.30756177332892914</v>
      </c>
      <c r="S16" s="658">
        <f>N16/O16</f>
        <v>7.3657424990505129</v>
      </c>
      <c r="T16" s="658">
        <f>AVERAGE('Industry Data'!E360:N360)</f>
        <v>10.171890152904128</v>
      </c>
      <c r="U16" s="658">
        <f>N16/P16</f>
        <v>1.2207081038552321</v>
      </c>
      <c r="V16" s="658">
        <f>AVERAGE('Industry Data'!E350:N350)</f>
        <v>1.6152121800162669</v>
      </c>
      <c r="W16" s="53" t="s">
        <v>148</v>
      </c>
      <c r="X16" s="657">
        <f>AVERAGE('Industry Data'!E380:N380)</f>
        <v>-0.89107358357926514</v>
      </c>
    </row>
    <row r="17" spans="2:24" x14ac:dyDescent="0.2">
      <c r="B17" s="313">
        <v>44154</v>
      </c>
      <c r="C17" s="314">
        <v>79.11</v>
      </c>
      <c r="D17" s="315">
        <v>39287.65</v>
      </c>
      <c r="F17" s="316">
        <f t="shared" si="0"/>
        <v>0.11548223350253806</v>
      </c>
      <c r="G17" s="316">
        <f t="shared" si="1"/>
        <v>0.14863809976002584</v>
      </c>
      <c r="I17" s="50" t="s">
        <v>625</v>
      </c>
      <c r="J17" s="82">
        <f ca="1">J16/(1+U8)^4</f>
        <v>103.71964149168686</v>
      </c>
      <c r="K17" s="655"/>
      <c r="L17" s="2" t="s">
        <v>571</v>
      </c>
      <c r="M17" s="53" t="s">
        <v>572</v>
      </c>
      <c r="N17" s="657">
        <v>130.16</v>
      </c>
      <c r="O17" s="658">
        <v>17.489999999999998</v>
      </c>
      <c r="P17" s="659">
        <v>164.66</v>
      </c>
      <c r="Q17" s="659">
        <v>159339.22818999999</v>
      </c>
      <c r="R17" s="636">
        <f>Q17/SUM($Q$15:$Q$19)</f>
        <v>0.21322952164346534</v>
      </c>
      <c r="S17" s="658">
        <f>N17/O17</f>
        <v>7.4419668381932533</v>
      </c>
      <c r="T17" s="658">
        <f>AVERAGE('Industry Data'!E361:N361)</f>
        <v>8.2014477136495501</v>
      </c>
      <c r="U17" s="658">
        <f>N17/P17</f>
        <v>0.7904773472610227</v>
      </c>
      <c r="V17" s="658">
        <f>AVERAGE('Industry Data'!E351:N351)</f>
        <v>1.0627678233212476</v>
      </c>
      <c r="W17" s="53" t="s">
        <v>148</v>
      </c>
      <c r="X17" s="657">
        <f>AVERAGE('Industry Data'!E381:N381)</f>
        <v>1.3348861650889903</v>
      </c>
    </row>
    <row r="18" spans="2:24" ht="12.75" x14ac:dyDescent="0.2">
      <c r="B18" s="313">
        <v>44123</v>
      </c>
      <c r="C18" s="314">
        <v>70.92</v>
      </c>
      <c r="D18" s="315">
        <v>34203.68</v>
      </c>
      <c r="F18" s="316">
        <f t="shared" si="0"/>
        <v>7.8959379278868091E-2</v>
      </c>
      <c r="G18" s="316">
        <f t="shared" si="1"/>
        <v>6.6237723609169352E-2</v>
      </c>
      <c r="I18" s="50" t="s">
        <v>626</v>
      </c>
      <c r="J18" s="654">
        <f ca="1">J9</f>
        <v>30.635783126303934</v>
      </c>
      <c r="K18" s="656"/>
      <c r="L18" s="50" t="s">
        <v>573</v>
      </c>
      <c r="M18" s="652" t="s">
        <v>574</v>
      </c>
      <c r="N18" s="673">
        <v>85</v>
      </c>
      <c r="O18" s="686">
        <v>14.72</v>
      </c>
      <c r="P18" s="687">
        <v>108.40600000000001</v>
      </c>
      <c r="Q18" s="687">
        <v>97331.275550000006</v>
      </c>
      <c r="R18" s="688">
        <f>Q18/SUM($Q$15:$Q$19)</f>
        <v>0.13024979198297204</v>
      </c>
      <c r="S18" s="686">
        <f>N18/O18</f>
        <v>5.7744565217391299</v>
      </c>
      <c r="T18" s="686">
        <f>AVERAGE('Industry Data'!E362:N362)</f>
        <v>6.5212105656508541</v>
      </c>
      <c r="U18" s="686">
        <f>N18/P18</f>
        <v>0.78408944154382598</v>
      </c>
      <c r="V18" s="686">
        <f>AVERAGE('Industry Data'!E352:N352)</f>
        <v>0.94565476022971906</v>
      </c>
      <c r="W18" s="652" t="s">
        <v>148</v>
      </c>
      <c r="X18" s="673">
        <f>AVERAGE('Industry Data'!E382:N382)</f>
        <v>0.95633554812760546</v>
      </c>
    </row>
    <row r="19" spans="2:24" ht="12.75" x14ac:dyDescent="0.2">
      <c r="B19" s="313">
        <v>44093</v>
      </c>
      <c r="C19" s="314">
        <v>65.73</v>
      </c>
      <c r="D19" s="315">
        <v>32078.85</v>
      </c>
      <c r="F19" s="316">
        <f t="shared" si="0"/>
        <v>-4.0997957397140405E-2</v>
      </c>
      <c r="G19" s="316">
        <f t="shared" si="1"/>
        <v>8.1110820527822147E-2</v>
      </c>
      <c r="I19" s="667" t="s">
        <v>636</v>
      </c>
      <c r="J19" s="678">
        <f ca="1">J17+J18</f>
        <v>134.35542461799079</v>
      </c>
      <c r="K19" s="656"/>
      <c r="L19" s="50" t="s">
        <v>435</v>
      </c>
      <c r="M19" s="652" t="s">
        <v>575</v>
      </c>
      <c r="N19" s="673">
        <v>35.32</v>
      </c>
      <c r="O19" s="686">
        <v>6.24</v>
      </c>
      <c r="P19" s="687">
        <v>53.64</v>
      </c>
      <c r="Q19" s="687">
        <v>62769.472000000002</v>
      </c>
      <c r="R19" s="688">
        <f>Q19/SUM($Q$15:$Q$19)</f>
        <v>8.3998803310463638E-2</v>
      </c>
      <c r="S19" s="686">
        <f>N19/O19</f>
        <v>5.6602564102564097</v>
      </c>
      <c r="T19" s="686">
        <f>AVERAGE('Industry Data'!E363:N363)</f>
        <v>5.5320351641524841</v>
      </c>
      <c r="U19" s="686">
        <f>N19/P19</f>
        <v>0.65846383296047728</v>
      </c>
      <c r="V19" s="686">
        <f>AVERAGE('Industry Data'!E353:N353)</f>
        <v>0.72466587845818942</v>
      </c>
      <c r="W19" s="652" t="s">
        <v>148</v>
      </c>
      <c r="X19" s="673">
        <f>AVERAGE('Industry Data'!E383:N383)</f>
        <v>0.42906733002625091</v>
      </c>
    </row>
    <row r="20" spans="2:24" ht="12.75" x14ac:dyDescent="0.2">
      <c r="B20" s="313">
        <v>44062</v>
      </c>
      <c r="C20" s="314">
        <v>68.540000000000006</v>
      </c>
      <c r="D20" s="315">
        <v>29672.12</v>
      </c>
      <c r="F20" s="316">
        <f t="shared" si="0"/>
        <v>-8.0493694660584869E-2</v>
      </c>
      <c r="G20" s="316">
        <f t="shared" si="1"/>
        <v>-7.0960170928610289E-2</v>
      </c>
      <c r="I20" s="666"/>
      <c r="J20" s="656"/>
      <c r="K20" s="656"/>
      <c r="L20" s="667" t="s">
        <v>582</v>
      </c>
      <c r="M20" s="50"/>
      <c r="N20" s="50"/>
      <c r="O20" s="673"/>
      <c r="P20" s="689"/>
      <c r="Q20" s="689"/>
      <c r="R20" s="674"/>
      <c r="S20" s="690">
        <f>SUMPRODUCT($R$15:$R$19,S15:S19)</f>
        <v>6.6539779892293698</v>
      </c>
      <c r="T20" s="690">
        <f>SUMPRODUCT($R$15:$R$19,T15:T19)</f>
        <v>8.2637831629802125</v>
      </c>
      <c r="U20" s="690">
        <f>SUMPRODUCT($R$15:$R$19,U15:U19)</f>
        <v>0.90503357263598427</v>
      </c>
      <c r="V20" s="690">
        <f>SUMPRODUCT($R$15:$R$19,V15:V19)</f>
        <v>1.2135013297627881</v>
      </c>
      <c r="W20" s="672" t="s">
        <v>148</v>
      </c>
      <c r="X20" s="690">
        <f>SUMPRODUCT($R$15:$R$19,X15:X19)</f>
        <v>0.27025640952837948</v>
      </c>
    </row>
    <row r="21" spans="2:24" ht="12.75" x14ac:dyDescent="0.2">
      <c r="B21" s="313">
        <v>44031</v>
      </c>
      <c r="C21" s="314">
        <v>74.540000000000006</v>
      </c>
      <c r="D21" s="315">
        <v>31938.48</v>
      </c>
      <c r="F21" s="316">
        <f t="shared" si="0"/>
        <v>-5.9313478041393086E-2</v>
      </c>
      <c r="G21" s="316">
        <f t="shared" si="1"/>
        <v>-5.7905855715279397E-2</v>
      </c>
      <c r="I21" s="666"/>
      <c r="J21" s="656"/>
      <c r="K21" s="656"/>
      <c r="L21" s="656"/>
      <c r="M21" s="656"/>
    </row>
    <row r="22" spans="2:24" ht="12.75" x14ac:dyDescent="0.2">
      <c r="B22" s="313">
        <v>44001</v>
      </c>
      <c r="C22" s="314">
        <v>79.239999999999995</v>
      </c>
      <c r="D22" s="315">
        <v>33901.58</v>
      </c>
      <c r="F22" s="316">
        <f t="shared" si="0"/>
        <v>-7.0280417693300623E-2</v>
      </c>
      <c r="G22" s="316">
        <f t="shared" si="1"/>
        <v>-5.7629523341206412E-2</v>
      </c>
      <c r="I22" s="1006" t="s">
        <v>583</v>
      </c>
      <c r="J22" s="1006"/>
      <c r="K22" s="656"/>
      <c r="L22" s="827"/>
      <c r="M22" s="827"/>
      <c r="N22" s="827"/>
      <c r="O22" s="827"/>
      <c r="P22" s="827"/>
      <c r="Q22" s="50"/>
    </row>
    <row r="23" spans="2:24" ht="12.75" x14ac:dyDescent="0.2">
      <c r="B23" s="313">
        <v>43970</v>
      </c>
      <c r="C23" s="314">
        <v>85.23</v>
      </c>
      <c r="D23" s="315">
        <v>35974.79</v>
      </c>
      <c r="F23" s="316">
        <f t="shared" si="0"/>
        <v>8.5594191822697674E-2</v>
      </c>
      <c r="G23" s="316">
        <f t="shared" si="1"/>
        <v>-2.2010665379165739E-2</v>
      </c>
      <c r="I23" s="622"/>
      <c r="J23" s="827"/>
      <c r="K23" s="656"/>
      <c r="L23" s="273"/>
      <c r="M23" s="832"/>
      <c r="N23" s="833"/>
      <c r="O23" s="834"/>
      <c r="P23" s="834"/>
      <c r="Q23" s="50"/>
    </row>
    <row r="24" spans="2:24" ht="12.75" x14ac:dyDescent="0.2">
      <c r="B24" s="313">
        <v>43940</v>
      </c>
      <c r="C24" s="314">
        <v>78.510000000000005</v>
      </c>
      <c r="D24" s="315">
        <v>36784.44</v>
      </c>
      <c r="F24" s="316">
        <f t="shared" si="0"/>
        <v>-3.0621064328929415E-2</v>
      </c>
      <c r="G24" s="316">
        <f t="shared" si="1"/>
        <v>-4.825179420916359E-2</v>
      </c>
      <c r="I24" s="50" t="s">
        <v>627</v>
      </c>
      <c r="J24" s="677">
        <f>T20</f>
        <v>8.2637831629802125</v>
      </c>
      <c r="K24" s="656"/>
      <c r="L24" s="273"/>
      <c r="M24" s="832"/>
      <c r="N24" s="833"/>
      <c r="O24" s="834"/>
      <c r="P24" s="834"/>
      <c r="Q24" s="50"/>
    </row>
    <row r="25" spans="2:24" ht="12.75" x14ac:dyDescent="0.2">
      <c r="B25" s="313">
        <v>43909</v>
      </c>
      <c r="C25" s="314">
        <v>80.989999999999995</v>
      </c>
      <c r="D25" s="315">
        <v>38649.339999999997</v>
      </c>
      <c r="F25" s="316">
        <f t="shared" si="0"/>
        <v>1.022826493700868E-2</v>
      </c>
      <c r="G25" s="316">
        <f t="shared" si="1"/>
        <v>-1.0376754594849324E-2</v>
      </c>
      <c r="I25" s="50" t="s">
        <v>584</v>
      </c>
      <c r="J25" s="677">
        <f>MEBL!O3</f>
        <v>14.529025781087135</v>
      </c>
      <c r="K25" s="656"/>
      <c r="L25" s="273"/>
      <c r="M25" s="832"/>
      <c r="N25" s="833"/>
      <c r="O25" s="834"/>
      <c r="P25" s="834"/>
      <c r="Q25" s="50"/>
    </row>
    <row r="26" spans="2:24" ht="12.75" x14ac:dyDescent="0.2">
      <c r="B26" s="313">
        <v>43880</v>
      </c>
      <c r="C26" s="314">
        <v>80.17</v>
      </c>
      <c r="D26" s="315">
        <v>39054.6</v>
      </c>
      <c r="F26" s="316">
        <f t="shared" si="0"/>
        <v>6.7225772097976533E-2</v>
      </c>
      <c r="G26" s="316">
        <f t="shared" si="1"/>
        <v>-4.2768150213531864E-2</v>
      </c>
      <c r="I26" s="667" t="s">
        <v>585</v>
      </c>
      <c r="J26" s="678">
        <f>J25*J24</f>
        <v>120.0647186242533</v>
      </c>
      <c r="K26" s="656"/>
      <c r="L26" s="273"/>
      <c r="M26" s="832"/>
      <c r="N26" s="833"/>
      <c r="O26" s="834"/>
      <c r="P26" s="834"/>
      <c r="Q26" s="50"/>
    </row>
    <row r="27" spans="2:24" ht="12.75" x14ac:dyDescent="0.2">
      <c r="B27" s="313">
        <v>43849</v>
      </c>
      <c r="C27" s="314">
        <v>75.12</v>
      </c>
      <c r="D27" s="315">
        <v>40799.519999999997</v>
      </c>
      <c r="F27" s="316">
        <f t="shared" si="0"/>
        <v>3.7413148049172396E-3</v>
      </c>
      <c r="G27" s="316">
        <f t="shared" si="1"/>
        <v>0.10070637583575759</v>
      </c>
      <c r="I27" s="50"/>
      <c r="J27" s="677"/>
      <c r="K27" s="656"/>
      <c r="L27" s="273"/>
      <c r="M27" s="832"/>
      <c r="N27" s="833"/>
      <c r="O27" s="834"/>
      <c r="P27" s="834"/>
      <c r="Q27" s="50"/>
    </row>
    <row r="28" spans="2:24" ht="12.75" x14ac:dyDescent="0.2">
      <c r="B28" s="313">
        <v>44183</v>
      </c>
      <c r="C28" s="314">
        <v>74.84</v>
      </c>
      <c r="D28" s="315">
        <v>37066.67</v>
      </c>
      <c r="F28" s="316">
        <f t="shared" si="0"/>
        <v>-7.9572008363055002E-2</v>
      </c>
      <c r="G28" s="316">
        <f t="shared" si="1"/>
        <v>-8.4683856664468093E-2</v>
      </c>
      <c r="I28" s="50" t="s">
        <v>628</v>
      </c>
      <c r="J28" s="677">
        <f>V20</f>
        <v>1.2135013297627881</v>
      </c>
      <c r="K28" s="656"/>
      <c r="L28" s="418"/>
      <c r="M28" s="835"/>
      <c r="N28" s="836"/>
      <c r="O28" s="837"/>
      <c r="P28" s="837"/>
      <c r="Q28" s="50"/>
    </row>
    <row r="29" spans="2:24" ht="12.75" x14ac:dyDescent="0.2">
      <c r="B29" s="313">
        <v>44153</v>
      </c>
      <c r="C29" s="314">
        <v>81.31</v>
      </c>
      <c r="D29" s="315">
        <v>40496.03</v>
      </c>
      <c r="F29" s="316">
        <f t="shared" si="0"/>
        <v>-1.5140503875968991E-2</v>
      </c>
      <c r="G29" s="316">
        <f t="shared" si="1"/>
        <v>-2.7691421909004199E-2</v>
      </c>
      <c r="I29" s="50" t="s">
        <v>586</v>
      </c>
      <c r="J29" s="677">
        <f ca="1">Ratios!P76</f>
        <v>61.845032995326321</v>
      </c>
      <c r="K29" s="656"/>
      <c r="L29" s="273"/>
      <c r="M29" s="838"/>
      <c r="N29" s="273"/>
      <c r="O29" s="273"/>
      <c r="P29" s="834"/>
      <c r="Q29" s="50"/>
    </row>
    <row r="30" spans="2:24" ht="12.75" x14ac:dyDescent="0.2">
      <c r="B30" s="313">
        <v>44122</v>
      </c>
      <c r="C30" s="314">
        <v>82.56</v>
      </c>
      <c r="D30" s="315">
        <v>41649.360000000001</v>
      </c>
      <c r="F30" s="316">
        <f t="shared" si="0"/>
        <v>0.12250169952413326</v>
      </c>
      <c r="G30" s="316">
        <f t="shared" si="1"/>
        <v>1.5872984900212606E-2</v>
      </c>
      <c r="I30" s="667" t="s">
        <v>587</v>
      </c>
      <c r="J30" s="678">
        <f ca="1">J29*J28</f>
        <v>75.049029779051992</v>
      </c>
      <c r="K30" s="656"/>
      <c r="L30" s="418"/>
      <c r="M30" s="838"/>
      <c r="N30" s="273"/>
      <c r="O30" s="273"/>
      <c r="P30" s="839"/>
      <c r="Q30" s="50"/>
    </row>
    <row r="31" spans="2:24" ht="12.75" x14ac:dyDescent="0.2">
      <c r="B31" s="313">
        <v>44092</v>
      </c>
      <c r="C31" s="314">
        <v>73.55</v>
      </c>
      <c r="D31" s="315">
        <v>40998.589999999997</v>
      </c>
      <c r="F31" s="316">
        <f t="shared" si="0"/>
        <v>4.5338260375213046E-2</v>
      </c>
      <c r="G31" s="316">
        <f t="shared" si="1"/>
        <v>-1.7815287344426167E-2</v>
      </c>
      <c r="I31" s="667"/>
      <c r="J31" s="656"/>
      <c r="K31" s="656"/>
      <c r="L31" s="656"/>
      <c r="M31" s="656"/>
      <c r="N31" s="50"/>
      <c r="O31" s="50"/>
      <c r="P31" s="50"/>
      <c r="Q31" s="50"/>
    </row>
    <row r="32" spans="2:24" ht="12.75" x14ac:dyDescent="0.2">
      <c r="B32" s="313">
        <v>44061</v>
      </c>
      <c r="C32" s="314">
        <v>70.36</v>
      </c>
      <c r="D32" s="315">
        <v>41742.239999999998</v>
      </c>
      <c r="F32" s="316">
        <f t="shared" si="0"/>
        <v>4.4071820744917556E-2</v>
      </c>
      <c r="G32" s="316">
        <f t="shared" si="1"/>
        <v>-2.2714465086627111E-2</v>
      </c>
      <c r="I32" s="50" t="s">
        <v>629</v>
      </c>
      <c r="J32" s="677">
        <f>X20</f>
        <v>0.27025640952837948</v>
      </c>
      <c r="K32" s="656"/>
      <c r="L32" s="656"/>
      <c r="M32" s="656"/>
    </row>
    <row r="33" spans="2:35" ht="12.75" x14ac:dyDescent="0.2">
      <c r="B33" s="313">
        <v>44030</v>
      </c>
      <c r="C33" s="314">
        <v>67.39</v>
      </c>
      <c r="D33" s="315">
        <v>42712.43</v>
      </c>
      <c r="F33" s="316">
        <f t="shared" si="0"/>
        <v>9.7557003257328967E-2</v>
      </c>
      <c r="G33" s="316">
        <f t="shared" si="1"/>
        <v>1.912461913249297E-2</v>
      </c>
      <c r="I33" s="50" t="s">
        <v>592</v>
      </c>
      <c r="J33" s="679">
        <f ca="1">MEDIAN(Ratios!P78:T78)</f>
        <v>0.1647112278574332</v>
      </c>
      <c r="K33" s="656"/>
      <c r="L33" s="656"/>
      <c r="M33" s="656"/>
    </row>
    <row r="34" spans="2:35" ht="12.75" x14ac:dyDescent="0.2">
      <c r="B34" s="313">
        <v>44000</v>
      </c>
      <c r="C34" s="314">
        <v>61.4</v>
      </c>
      <c r="D34" s="315">
        <v>41910.9</v>
      </c>
      <c r="F34" s="316">
        <f t="shared" si="0"/>
        <v>8.9618456078083275E-2</v>
      </c>
      <c r="G34" s="316">
        <f t="shared" si="1"/>
        <v>-2.1839285414212095E-2</v>
      </c>
      <c r="I34" s="50" t="s">
        <v>584</v>
      </c>
      <c r="J34" s="677">
        <f ca="1">MEDIAN(Ratios!P74:T74)</f>
        <v>19.906361672219983</v>
      </c>
      <c r="K34" s="656"/>
      <c r="L34" s="656"/>
      <c r="M34" s="656"/>
    </row>
    <row r="35" spans="2:35" ht="12.75" x14ac:dyDescent="0.2">
      <c r="B35" s="313">
        <v>43969</v>
      </c>
      <c r="C35" s="314">
        <v>56.35</v>
      </c>
      <c r="D35" s="315">
        <v>42846.64</v>
      </c>
      <c r="F35" s="316">
        <f t="shared" si="0"/>
        <v>-5.0547598989048037E-2</v>
      </c>
      <c r="G35" s="316">
        <f t="shared" si="1"/>
        <v>-5.808499047898763E-2</v>
      </c>
      <c r="I35" s="667" t="s">
        <v>593</v>
      </c>
      <c r="J35" s="678">
        <f ca="1">(J33*100)*J32*J34</f>
        <v>88.611705965359775</v>
      </c>
      <c r="K35" s="656"/>
      <c r="L35" s="656"/>
      <c r="M35" s="656"/>
    </row>
    <row r="36" spans="2:35" ht="12.75" x14ac:dyDescent="0.2">
      <c r="B36" s="313">
        <v>43939</v>
      </c>
      <c r="C36" s="314">
        <v>59.35</v>
      </c>
      <c r="D36" s="315">
        <v>45488.86</v>
      </c>
      <c r="F36" s="316">
        <f t="shared" si="0"/>
        <v>-5.0293378038557268E-3</v>
      </c>
      <c r="G36" s="316">
        <f t="shared" si="1"/>
        <v>-1.5680318171742424E-3</v>
      </c>
      <c r="I36" s="667"/>
      <c r="J36" s="670"/>
      <c r="K36" s="50"/>
      <c r="L36" s="656"/>
      <c r="M36" s="656"/>
    </row>
    <row r="37" spans="2:35" x14ac:dyDescent="0.2">
      <c r="B37" s="313">
        <v>43908</v>
      </c>
      <c r="C37" s="314">
        <v>59.65</v>
      </c>
      <c r="D37" s="315">
        <v>45560.3</v>
      </c>
      <c r="F37" s="316">
        <f t="shared" si="0"/>
        <v>5.8562555456965315E-2</v>
      </c>
      <c r="G37" s="316">
        <f t="shared" si="1"/>
        <v>5.3674608181789596E-2</v>
      </c>
      <c r="I37" s="50"/>
      <c r="J37" s="50"/>
      <c r="K37" s="50"/>
    </row>
    <row r="38" spans="2:35" x14ac:dyDescent="0.2">
      <c r="B38" s="313">
        <v>43879</v>
      </c>
      <c r="C38" s="314">
        <v>56.35</v>
      </c>
      <c r="D38" s="315">
        <v>43239.44</v>
      </c>
      <c r="F38" s="316">
        <f t="shared" si="0"/>
        <v>-2.5760719225449535E-2</v>
      </c>
      <c r="G38" s="316">
        <f t="shared" si="1"/>
        <v>-1.8379738042023641E-2</v>
      </c>
      <c r="U38" s="50"/>
      <c r="AI38" s="50"/>
    </row>
    <row r="39" spans="2:35" x14ac:dyDescent="0.2">
      <c r="B39" s="313">
        <v>43848</v>
      </c>
      <c r="C39" s="314">
        <v>57.84</v>
      </c>
      <c r="D39" s="315">
        <v>44049.05</v>
      </c>
      <c r="F39" s="316">
        <f t="shared" si="0"/>
        <v>0.1406034312758826</v>
      </c>
      <c r="G39" s="316">
        <f t="shared" si="1"/>
        <v>8.8397310896463299E-2</v>
      </c>
      <c r="U39" s="50"/>
      <c r="AI39" s="50"/>
    </row>
    <row r="40" spans="2:35" x14ac:dyDescent="0.2">
      <c r="B40" s="313">
        <v>44182</v>
      </c>
      <c r="C40" s="314">
        <v>50.71</v>
      </c>
      <c r="D40" s="315">
        <v>40471.480000000003</v>
      </c>
      <c r="F40" s="316">
        <f t="shared" si="0"/>
        <v>1.4808885331198729E-2</v>
      </c>
      <c r="G40" s="316">
        <f t="shared" si="1"/>
        <v>1.1525015021109697E-2</v>
      </c>
      <c r="U40" s="50"/>
      <c r="AI40" s="50"/>
    </row>
    <row r="41" spans="2:35" x14ac:dyDescent="0.2">
      <c r="B41" s="313">
        <v>44152</v>
      </c>
      <c r="C41" s="314">
        <v>49.97</v>
      </c>
      <c r="D41" s="315">
        <v>40010.36</v>
      </c>
      <c r="F41" s="316">
        <f t="shared" si="0"/>
        <v>1.5444015444015413E-2</v>
      </c>
      <c r="G41" s="316">
        <f t="shared" si="1"/>
        <v>9.9242273366686451E-3</v>
      </c>
    </row>
    <row r="42" spans="2:35" x14ac:dyDescent="0.2">
      <c r="B42" s="313">
        <v>44121</v>
      </c>
      <c r="C42" s="314">
        <v>49.21</v>
      </c>
      <c r="D42" s="315">
        <v>39617.19</v>
      </c>
      <c r="F42" s="316">
        <f t="shared" si="0"/>
        <v>-0.12077898874396997</v>
      </c>
      <c r="G42" s="316">
        <f t="shared" si="1"/>
        <v>-6.5836549414785894E-2</v>
      </c>
    </row>
    <row r="43" spans="2:35" x14ac:dyDescent="0.2">
      <c r="B43" s="313">
        <v>44091</v>
      </c>
      <c r="C43" s="314">
        <v>55.97</v>
      </c>
      <c r="D43" s="315">
        <v>42409.27</v>
      </c>
      <c r="F43" s="316">
        <f t="shared" si="0"/>
        <v>1.083619288423332E-2</v>
      </c>
      <c r="G43" s="316">
        <f t="shared" si="1"/>
        <v>2.9176603289878811E-2</v>
      </c>
    </row>
    <row r="44" spans="2:35" x14ac:dyDescent="0.2">
      <c r="B44" s="313">
        <v>44060</v>
      </c>
      <c r="C44" s="314">
        <v>55.37</v>
      </c>
      <c r="D44" s="315">
        <v>41206.99</v>
      </c>
      <c r="F44" s="316">
        <f t="shared" si="0"/>
        <v>-5.9453032104637371E-2</v>
      </c>
      <c r="G44" s="316">
        <f t="shared" si="1"/>
        <v>-0.10439932667470109</v>
      </c>
    </row>
    <row r="45" spans="2:35" x14ac:dyDescent="0.2">
      <c r="B45" s="313">
        <v>44029</v>
      </c>
      <c r="C45" s="314">
        <v>58.87</v>
      </c>
      <c r="D45" s="315">
        <v>46010.45</v>
      </c>
      <c r="F45" s="316">
        <f t="shared" si="0"/>
        <v>1.2730087734388329E-2</v>
      </c>
      <c r="G45" s="316">
        <f t="shared" si="1"/>
        <v>-1.1915312886486951E-2</v>
      </c>
    </row>
    <row r="46" spans="2:35" x14ac:dyDescent="0.2">
      <c r="B46" s="313">
        <v>43999</v>
      </c>
      <c r="C46" s="314">
        <v>58.13</v>
      </c>
      <c r="D46" s="315">
        <v>46565.29</v>
      </c>
      <c r="F46" s="316">
        <f t="shared" si="0"/>
        <v>-4.8297314996725516E-2</v>
      </c>
      <c r="G46" s="316">
        <f t="shared" si="1"/>
        <v>-7.9584009747078355E-2</v>
      </c>
    </row>
    <row r="47" spans="2:35" x14ac:dyDescent="0.2">
      <c r="B47" s="313">
        <v>43968</v>
      </c>
      <c r="C47" s="314">
        <v>61.08</v>
      </c>
      <c r="D47" s="315">
        <v>50591.57</v>
      </c>
      <c r="F47" s="316">
        <f t="shared" si="0"/>
        <v>3.7540343128928066E-2</v>
      </c>
      <c r="G47" s="316">
        <f t="shared" si="1"/>
        <v>2.6179440943268739E-2</v>
      </c>
    </row>
    <row r="48" spans="2:35" x14ac:dyDescent="0.2">
      <c r="B48" s="313">
        <v>43938</v>
      </c>
      <c r="C48" s="314">
        <v>58.87</v>
      </c>
      <c r="D48" s="315">
        <v>49300.9</v>
      </c>
      <c r="F48" s="316">
        <f t="shared" si="0"/>
        <v>0.1187761307487647</v>
      </c>
      <c r="G48" s="316">
        <f t="shared" si="1"/>
        <v>2.3776303354540174E-2</v>
      </c>
    </row>
    <row r="49" spans="2:7" x14ac:dyDescent="0.2">
      <c r="B49" s="313">
        <v>43907</v>
      </c>
      <c r="C49" s="314">
        <v>52.62</v>
      </c>
      <c r="D49" s="315">
        <v>48155.93</v>
      </c>
      <c r="F49" s="316">
        <f t="shared" si="0"/>
        <v>0.11909825606125035</v>
      </c>
      <c r="G49" s="316">
        <f t="shared" si="1"/>
        <v>-7.7944988516353009E-3</v>
      </c>
    </row>
    <row r="50" spans="2:7" x14ac:dyDescent="0.2">
      <c r="B50" s="313">
        <v>43878</v>
      </c>
      <c r="C50" s="314">
        <v>47.02</v>
      </c>
      <c r="D50" s="315">
        <v>48534.23</v>
      </c>
      <c r="F50" s="316">
        <f t="shared" si="0"/>
        <v>-3.09150865622424E-2</v>
      </c>
      <c r="G50" s="316">
        <f t="shared" si="1"/>
        <v>-4.5826636096432116E-3</v>
      </c>
    </row>
    <row r="51" spans="2:7" x14ac:dyDescent="0.2">
      <c r="B51" s="313">
        <v>43847</v>
      </c>
      <c r="C51" s="314">
        <v>48.52</v>
      </c>
      <c r="D51" s="315">
        <v>48757.67</v>
      </c>
      <c r="F51" s="316">
        <f t="shared" si="0"/>
        <v>-1.6220600162205945E-2</v>
      </c>
      <c r="G51" s="316">
        <f t="shared" si="1"/>
        <v>1.988622161161846E-2</v>
      </c>
    </row>
    <row r="52" spans="2:7" x14ac:dyDescent="0.2">
      <c r="B52" s="313">
        <v>44181</v>
      </c>
      <c r="C52" s="314">
        <v>49.32</v>
      </c>
      <c r="D52" s="315">
        <v>47806.97</v>
      </c>
      <c r="F52" s="316">
        <f t="shared" si="0"/>
        <v>0.17066223593638741</v>
      </c>
      <c r="G52" s="316">
        <f t="shared" si="1"/>
        <v>0.12164034989138339</v>
      </c>
    </row>
    <row r="53" spans="2:7" x14ac:dyDescent="0.2">
      <c r="B53" s="313">
        <v>44151</v>
      </c>
      <c r="C53" s="314">
        <v>42.13</v>
      </c>
      <c r="D53" s="315">
        <v>42622.37</v>
      </c>
      <c r="F53" s="316">
        <f t="shared" si="0"/>
        <v>9.3717549325025962E-2</v>
      </c>
      <c r="G53" s="316">
        <f t="shared" si="1"/>
        <v>6.8394769718833848E-2</v>
      </c>
    </row>
    <row r="54" spans="2:7" x14ac:dyDescent="0.2">
      <c r="B54" s="313">
        <v>44120</v>
      </c>
      <c r="C54" s="314">
        <v>38.520000000000003</v>
      </c>
      <c r="D54" s="315">
        <v>39893.839999999997</v>
      </c>
      <c r="F54" s="316">
        <f t="shared" si="0"/>
        <v>-4.818383988139352E-2</v>
      </c>
      <c r="G54" s="316">
        <f t="shared" si="1"/>
        <v>-1.5982759526523393E-2</v>
      </c>
    </row>
    <row r="55" spans="2:7" x14ac:dyDescent="0.2">
      <c r="B55" s="313">
        <v>44090</v>
      </c>
      <c r="C55" s="314">
        <v>40.47</v>
      </c>
      <c r="D55" s="315">
        <v>40541.81</v>
      </c>
      <c r="F55" s="316">
        <f t="shared" si="0"/>
        <v>3.716043054843654E-2</v>
      </c>
      <c r="G55" s="316">
        <f t="shared" si="1"/>
        <v>1.839331135872313E-2</v>
      </c>
    </row>
    <row r="56" spans="2:7" x14ac:dyDescent="0.2">
      <c r="B56" s="313">
        <v>44059</v>
      </c>
      <c r="C56" s="314">
        <v>39.020000000000003</v>
      </c>
      <c r="D56" s="315">
        <v>39809.58</v>
      </c>
      <c r="F56" s="316">
        <f t="shared" si="0"/>
        <v>0.12807169702226084</v>
      </c>
      <c r="G56" s="316">
        <f t="shared" si="1"/>
        <v>7.7027678325531923E-3</v>
      </c>
    </row>
    <row r="57" spans="2:7" x14ac:dyDescent="0.2">
      <c r="B57" s="313">
        <v>44028</v>
      </c>
      <c r="C57" s="314">
        <v>34.590000000000003</v>
      </c>
      <c r="D57" s="315">
        <v>39505.279999999999</v>
      </c>
      <c r="F57" s="316">
        <f t="shared" si="0"/>
        <v>0.10617204988807183</v>
      </c>
      <c r="G57" s="316">
        <f t="shared" si="1"/>
        <v>4.5568520048677286E-2</v>
      </c>
    </row>
    <row r="58" spans="2:7" x14ac:dyDescent="0.2">
      <c r="B58" s="313">
        <v>43998</v>
      </c>
      <c r="C58" s="314">
        <v>31.27</v>
      </c>
      <c r="D58" s="315">
        <v>37783.54</v>
      </c>
      <c r="F58" s="316">
        <f t="shared" si="0"/>
        <v>2.3903077930582883E-2</v>
      </c>
      <c r="G58" s="316">
        <f t="shared" si="1"/>
        <v>4.7751123356837732E-2</v>
      </c>
    </row>
    <row r="59" spans="2:7" x14ac:dyDescent="0.2">
      <c r="B59" s="313">
        <v>43967</v>
      </c>
      <c r="C59" s="314">
        <v>30.54</v>
      </c>
      <c r="D59" s="315">
        <v>36061.56</v>
      </c>
      <c r="F59" s="316">
        <f t="shared" si="0"/>
        <v>-1.0689990281827044E-2</v>
      </c>
      <c r="G59" s="316">
        <f t="shared" si="1"/>
        <v>3.8660640813795277E-2</v>
      </c>
    </row>
    <row r="60" spans="2:7" x14ac:dyDescent="0.2">
      <c r="B60" s="313">
        <v>43937</v>
      </c>
      <c r="C60" s="314">
        <v>30.87</v>
      </c>
      <c r="D60" s="315">
        <v>34719.29</v>
      </c>
      <c r="F60" s="316">
        <f t="shared" si="0"/>
        <v>-1.2940795858945586E-3</v>
      </c>
      <c r="G60" s="316">
        <f t="shared" si="1"/>
        <v>4.7686713539937919E-2</v>
      </c>
    </row>
    <row r="61" spans="2:7" x14ac:dyDescent="0.2">
      <c r="B61" s="313">
        <v>43906</v>
      </c>
      <c r="C61" s="314">
        <v>30.91</v>
      </c>
      <c r="D61" s="315">
        <v>33139</v>
      </c>
      <c r="F61" s="316">
        <f t="shared" si="0"/>
        <v>3.5714285714285587E-3</v>
      </c>
      <c r="G61" s="316">
        <f t="shared" si="1"/>
        <v>5.6407957918373608E-2</v>
      </c>
    </row>
    <row r="62" spans="2:7" x14ac:dyDescent="0.2">
      <c r="B62" s="313">
        <v>43877</v>
      </c>
      <c r="C62" s="314">
        <v>30.8</v>
      </c>
      <c r="D62" s="315">
        <v>31369.51</v>
      </c>
      <c r="F62" s="316">
        <f t="shared" si="0"/>
        <v>-3.7800687285223233E-2</v>
      </c>
      <c r="G62" s="316">
        <f t="shared" si="1"/>
        <v>2.2655965442544002E-3</v>
      </c>
    </row>
    <row r="63" spans="2:7" x14ac:dyDescent="0.2">
      <c r="B63" s="313">
        <v>43846</v>
      </c>
      <c r="C63" s="314">
        <v>32.01</v>
      </c>
      <c r="D63" s="315">
        <v>31298.6</v>
      </c>
      <c r="F63" s="316">
        <f>C63/C64-1</f>
        <v>-4.93020493020494E-2</v>
      </c>
      <c r="G63" s="316">
        <f>D63/D64-1</f>
        <v>-2.9908664759871639E-2</v>
      </c>
    </row>
    <row r="64" spans="2:7" x14ac:dyDescent="0.2">
      <c r="B64" s="313">
        <v>44180</v>
      </c>
      <c r="C64" s="314">
        <v>33.67</v>
      </c>
      <c r="D64" s="315">
        <v>32263.56</v>
      </c>
      <c r="F64" s="318"/>
      <c r="G64" s="318"/>
    </row>
    <row r="65" spans="2:4" x14ac:dyDescent="0.2">
      <c r="B65" s="319"/>
      <c r="C65" s="53"/>
      <c r="D65" s="320"/>
    </row>
    <row r="66" spans="2:4" x14ac:dyDescent="0.2">
      <c r="B66" s="319"/>
      <c r="C66" s="53"/>
      <c r="D66" s="320"/>
    </row>
    <row r="67" spans="2:4" x14ac:dyDescent="0.2">
      <c r="B67" s="319"/>
      <c r="C67" s="53"/>
      <c r="D67" s="320"/>
    </row>
    <row r="68" spans="2:4" x14ac:dyDescent="0.2">
      <c r="B68" s="319"/>
      <c r="C68" s="53"/>
      <c r="D68" s="320"/>
    </row>
    <row r="69" spans="2:4" x14ac:dyDescent="0.2">
      <c r="B69" s="319"/>
      <c r="C69" s="53"/>
      <c r="D69" s="320"/>
    </row>
    <row r="70" spans="2:4" x14ac:dyDescent="0.2">
      <c r="B70" s="319"/>
      <c r="C70" s="53"/>
      <c r="D70" s="320"/>
    </row>
    <row r="71" spans="2:4" x14ac:dyDescent="0.2">
      <c r="B71" s="319"/>
      <c r="C71" s="53"/>
      <c r="D71" s="320"/>
    </row>
    <row r="72" spans="2:4" x14ac:dyDescent="0.2">
      <c r="B72" s="319"/>
      <c r="C72" s="53"/>
      <c r="D72" s="320"/>
    </row>
    <row r="73" spans="2:4" x14ac:dyDescent="0.2">
      <c r="B73" s="319"/>
      <c r="C73" s="53"/>
      <c r="D73" s="320"/>
    </row>
    <row r="74" spans="2:4" x14ac:dyDescent="0.2">
      <c r="B74" s="319"/>
      <c r="C74" s="53"/>
      <c r="D74" s="320"/>
    </row>
    <row r="75" spans="2:4" x14ac:dyDescent="0.2">
      <c r="B75" s="321"/>
      <c r="D75" s="320"/>
    </row>
    <row r="76" spans="2:4" x14ac:dyDescent="0.2">
      <c r="B76" s="321"/>
      <c r="D76" s="320"/>
    </row>
    <row r="77" spans="2:4" x14ac:dyDescent="0.2">
      <c r="B77" s="321"/>
      <c r="D77" s="320"/>
    </row>
    <row r="78" spans="2:4" x14ac:dyDescent="0.2">
      <c r="B78" s="321"/>
      <c r="D78" s="320"/>
    </row>
    <row r="79" spans="2:4" x14ac:dyDescent="0.2">
      <c r="B79" s="321"/>
      <c r="D79" s="320"/>
    </row>
    <row r="80" spans="2:4" x14ac:dyDescent="0.2">
      <c r="B80" s="321"/>
      <c r="D80" s="320"/>
    </row>
    <row r="81" spans="2:4" x14ac:dyDescent="0.2">
      <c r="B81" s="321"/>
      <c r="D81" s="320"/>
    </row>
    <row r="82" spans="2:4" x14ac:dyDescent="0.2">
      <c r="B82" s="321"/>
      <c r="D82" s="320"/>
    </row>
    <row r="83" spans="2:4" x14ac:dyDescent="0.2">
      <c r="B83" s="321"/>
      <c r="D83" s="320"/>
    </row>
    <row r="84" spans="2:4" x14ac:dyDescent="0.2">
      <c r="B84" s="321"/>
      <c r="D84" s="320"/>
    </row>
    <row r="85" spans="2:4" x14ac:dyDescent="0.2">
      <c r="B85" s="321"/>
      <c r="D85" s="320"/>
    </row>
    <row r="86" spans="2:4" x14ac:dyDescent="0.2">
      <c r="B86" s="321"/>
      <c r="D86" s="320"/>
    </row>
    <row r="87" spans="2:4" x14ac:dyDescent="0.2">
      <c r="B87" s="321"/>
      <c r="D87" s="320"/>
    </row>
    <row r="88" spans="2:4" x14ac:dyDescent="0.2">
      <c r="B88" s="321"/>
      <c r="D88" s="320"/>
    </row>
    <row r="89" spans="2:4" x14ac:dyDescent="0.2">
      <c r="B89" s="321"/>
      <c r="D89" s="320"/>
    </row>
    <row r="90" spans="2:4" x14ac:dyDescent="0.2">
      <c r="B90" s="321"/>
      <c r="D90" s="320"/>
    </row>
    <row r="91" spans="2:4" x14ac:dyDescent="0.2">
      <c r="B91" s="321"/>
      <c r="D91" s="320"/>
    </row>
    <row r="92" spans="2:4" x14ac:dyDescent="0.2">
      <c r="B92" s="321"/>
      <c r="D92" s="320"/>
    </row>
    <row r="93" spans="2:4" x14ac:dyDescent="0.2">
      <c r="B93" s="321"/>
      <c r="D93" s="320"/>
    </row>
    <row r="94" spans="2:4" x14ac:dyDescent="0.2">
      <c r="B94" s="321"/>
      <c r="D94" s="320"/>
    </row>
    <row r="95" spans="2:4" x14ac:dyDescent="0.2">
      <c r="B95" s="321"/>
      <c r="D95" s="320"/>
    </row>
    <row r="96" spans="2:4" x14ac:dyDescent="0.2">
      <c r="B96" s="321"/>
      <c r="D96" s="320"/>
    </row>
    <row r="97" spans="2:4" x14ac:dyDescent="0.2">
      <c r="B97" s="321"/>
      <c r="D97" s="320"/>
    </row>
    <row r="98" spans="2:4" x14ac:dyDescent="0.2">
      <c r="B98" s="321"/>
      <c r="D98" s="320"/>
    </row>
    <row r="99" spans="2:4" x14ac:dyDescent="0.2">
      <c r="B99" s="321"/>
      <c r="D99" s="320"/>
    </row>
    <row r="100" spans="2:4" x14ac:dyDescent="0.2">
      <c r="B100" s="321"/>
      <c r="D100" s="320"/>
    </row>
    <row r="101" spans="2:4" x14ac:dyDescent="0.2">
      <c r="B101" s="321"/>
      <c r="D101" s="320"/>
    </row>
    <row r="102" spans="2:4" x14ac:dyDescent="0.2">
      <c r="B102" s="321"/>
      <c r="D102" s="320"/>
    </row>
    <row r="103" spans="2:4" x14ac:dyDescent="0.2">
      <c r="B103" s="321"/>
      <c r="D103" s="320"/>
    </row>
    <row r="104" spans="2:4" x14ac:dyDescent="0.2">
      <c r="B104" s="321"/>
      <c r="D104" s="320"/>
    </row>
    <row r="105" spans="2:4" x14ac:dyDescent="0.2">
      <c r="B105" s="321"/>
      <c r="D105" s="320"/>
    </row>
    <row r="106" spans="2:4" x14ac:dyDescent="0.2">
      <c r="B106" s="321"/>
      <c r="D106" s="320"/>
    </row>
    <row r="107" spans="2:4" x14ac:dyDescent="0.2">
      <c r="B107" s="321"/>
      <c r="D107" s="320"/>
    </row>
    <row r="108" spans="2:4" x14ac:dyDescent="0.2">
      <c r="B108" s="321"/>
      <c r="D108" s="320"/>
    </row>
    <row r="109" spans="2:4" x14ac:dyDescent="0.2">
      <c r="B109" s="321"/>
      <c r="D109" s="320"/>
    </row>
    <row r="110" spans="2:4" x14ac:dyDescent="0.2">
      <c r="B110" s="321"/>
      <c r="D110" s="320"/>
    </row>
    <row r="111" spans="2:4" x14ac:dyDescent="0.2">
      <c r="B111" s="321"/>
      <c r="D111" s="320"/>
    </row>
    <row r="112" spans="2:4" x14ac:dyDescent="0.2">
      <c r="B112" s="321"/>
      <c r="D112" s="320"/>
    </row>
    <row r="113" spans="2:4" x14ac:dyDescent="0.2">
      <c r="B113" s="321"/>
      <c r="D113" s="320"/>
    </row>
    <row r="114" spans="2:4" x14ac:dyDescent="0.2">
      <c r="B114" s="321"/>
      <c r="D114" s="320"/>
    </row>
    <row r="115" spans="2:4" x14ac:dyDescent="0.2">
      <c r="B115" s="321"/>
      <c r="D115" s="320"/>
    </row>
    <row r="116" spans="2:4" x14ac:dyDescent="0.2">
      <c r="B116" s="321"/>
      <c r="D116" s="320"/>
    </row>
    <row r="117" spans="2:4" x14ac:dyDescent="0.2">
      <c r="B117" s="321"/>
      <c r="D117" s="320"/>
    </row>
    <row r="118" spans="2:4" x14ac:dyDescent="0.2">
      <c r="B118" s="321"/>
      <c r="D118" s="320"/>
    </row>
    <row r="119" spans="2:4" x14ac:dyDescent="0.2">
      <c r="B119" s="321"/>
      <c r="D119" s="320"/>
    </row>
    <row r="120" spans="2:4" x14ac:dyDescent="0.2">
      <c r="B120" s="321"/>
      <c r="D120" s="320"/>
    </row>
    <row r="121" spans="2:4" x14ac:dyDescent="0.2">
      <c r="B121" s="321"/>
      <c r="D121" s="320"/>
    </row>
    <row r="122" spans="2:4" x14ac:dyDescent="0.2">
      <c r="B122" s="321"/>
      <c r="D122" s="320"/>
    </row>
    <row r="123" spans="2:4" x14ac:dyDescent="0.2">
      <c r="B123" s="321"/>
      <c r="D123" s="320"/>
    </row>
    <row r="124" spans="2:4" x14ac:dyDescent="0.2">
      <c r="B124" s="321"/>
      <c r="D124" s="320"/>
    </row>
    <row r="125" spans="2:4" x14ac:dyDescent="0.2">
      <c r="B125" s="321"/>
      <c r="D125" s="320"/>
    </row>
    <row r="126" spans="2:4" x14ac:dyDescent="0.2">
      <c r="B126" s="321"/>
      <c r="D126" s="320"/>
    </row>
    <row r="127" spans="2:4" x14ac:dyDescent="0.2">
      <c r="B127" s="321"/>
      <c r="D127" s="320"/>
    </row>
    <row r="128" spans="2:4" x14ac:dyDescent="0.2">
      <c r="B128" s="321"/>
      <c r="D128" s="320"/>
    </row>
    <row r="129" spans="2:4" x14ac:dyDescent="0.2">
      <c r="B129" s="321"/>
      <c r="D129" s="320"/>
    </row>
    <row r="130" spans="2:4" x14ac:dyDescent="0.2">
      <c r="B130" s="321"/>
      <c r="D130" s="320"/>
    </row>
    <row r="131" spans="2:4" x14ac:dyDescent="0.2">
      <c r="B131" s="321"/>
      <c r="D131" s="320"/>
    </row>
    <row r="132" spans="2:4" x14ac:dyDescent="0.2">
      <c r="B132" s="321"/>
      <c r="D132" s="320"/>
    </row>
    <row r="133" spans="2:4" x14ac:dyDescent="0.2">
      <c r="B133" s="321"/>
      <c r="D133" s="320"/>
    </row>
    <row r="134" spans="2:4" x14ac:dyDescent="0.2">
      <c r="B134" s="321"/>
      <c r="D134" s="320"/>
    </row>
    <row r="135" spans="2:4" x14ac:dyDescent="0.2">
      <c r="B135" s="321"/>
      <c r="D135" s="320"/>
    </row>
    <row r="136" spans="2:4" x14ac:dyDescent="0.2">
      <c r="B136" s="321"/>
      <c r="D136" s="320"/>
    </row>
    <row r="137" spans="2:4" x14ac:dyDescent="0.2">
      <c r="B137" s="321"/>
      <c r="D137" s="320"/>
    </row>
    <row r="138" spans="2:4" x14ac:dyDescent="0.2">
      <c r="B138" s="321"/>
      <c r="D138" s="320"/>
    </row>
    <row r="139" spans="2:4" x14ac:dyDescent="0.2">
      <c r="B139" s="321"/>
      <c r="D139" s="320"/>
    </row>
    <row r="140" spans="2:4" x14ac:dyDescent="0.2">
      <c r="B140" s="321"/>
      <c r="D140" s="320"/>
    </row>
    <row r="141" spans="2:4" x14ac:dyDescent="0.2">
      <c r="B141" s="321"/>
      <c r="D141" s="320"/>
    </row>
    <row r="142" spans="2:4" x14ac:dyDescent="0.2">
      <c r="B142" s="321"/>
      <c r="D142" s="320"/>
    </row>
    <row r="143" spans="2:4" x14ac:dyDescent="0.2">
      <c r="B143" s="321"/>
      <c r="D143" s="320"/>
    </row>
    <row r="144" spans="2:4" x14ac:dyDescent="0.2">
      <c r="B144" s="321"/>
      <c r="D144" s="320"/>
    </row>
    <row r="145" spans="2:4" x14ac:dyDescent="0.2">
      <c r="B145" s="321"/>
      <c r="D145" s="320"/>
    </row>
    <row r="146" spans="2:4" x14ac:dyDescent="0.2">
      <c r="B146" s="321"/>
      <c r="D146" s="320"/>
    </row>
    <row r="147" spans="2:4" x14ac:dyDescent="0.2">
      <c r="B147" s="321"/>
      <c r="D147" s="320"/>
    </row>
    <row r="148" spans="2:4" x14ac:dyDescent="0.2">
      <c r="B148" s="321"/>
      <c r="D148" s="320"/>
    </row>
    <row r="149" spans="2:4" x14ac:dyDescent="0.2">
      <c r="B149" s="321"/>
      <c r="D149" s="320"/>
    </row>
    <row r="150" spans="2:4" x14ac:dyDescent="0.2">
      <c r="B150" s="321"/>
      <c r="D150" s="320"/>
    </row>
    <row r="151" spans="2:4" x14ac:dyDescent="0.2">
      <c r="B151" s="321"/>
      <c r="D151" s="320"/>
    </row>
    <row r="152" spans="2:4" x14ac:dyDescent="0.2">
      <c r="B152" s="321"/>
      <c r="D152" s="320"/>
    </row>
    <row r="153" spans="2:4" x14ac:dyDescent="0.2">
      <c r="B153" s="321"/>
      <c r="D153" s="320"/>
    </row>
    <row r="154" spans="2:4" x14ac:dyDescent="0.2">
      <c r="B154" s="321"/>
      <c r="D154" s="320"/>
    </row>
    <row r="155" spans="2:4" x14ac:dyDescent="0.2">
      <c r="B155" s="321"/>
      <c r="D155" s="320"/>
    </row>
    <row r="156" spans="2:4" x14ac:dyDescent="0.2">
      <c r="B156" s="321"/>
      <c r="D156" s="320"/>
    </row>
    <row r="157" spans="2:4" x14ac:dyDescent="0.2">
      <c r="B157" s="321"/>
      <c r="D157" s="320"/>
    </row>
    <row r="158" spans="2:4" x14ac:dyDescent="0.2">
      <c r="B158" s="321"/>
      <c r="D158" s="320"/>
    </row>
    <row r="159" spans="2:4" x14ac:dyDescent="0.2">
      <c r="B159" s="321"/>
      <c r="D159" s="320"/>
    </row>
    <row r="160" spans="2:4" x14ac:dyDescent="0.2">
      <c r="B160" s="321"/>
      <c r="D160" s="320"/>
    </row>
    <row r="161" spans="2:4" x14ac:dyDescent="0.2">
      <c r="B161" s="321"/>
      <c r="D161" s="320"/>
    </row>
    <row r="162" spans="2:4" x14ac:dyDescent="0.2">
      <c r="B162" s="321"/>
      <c r="D162" s="320"/>
    </row>
    <row r="163" spans="2:4" x14ac:dyDescent="0.2">
      <c r="B163" s="321"/>
      <c r="D163" s="320"/>
    </row>
    <row r="164" spans="2:4" x14ac:dyDescent="0.2">
      <c r="B164" s="321"/>
      <c r="D164" s="320"/>
    </row>
    <row r="165" spans="2:4" x14ac:dyDescent="0.2">
      <c r="B165" s="321"/>
      <c r="D165" s="320"/>
    </row>
    <row r="166" spans="2:4" x14ac:dyDescent="0.2">
      <c r="B166" s="321"/>
      <c r="D166" s="320"/>
    </row>
    <row r="167" spans="2:4" x14ac:dyDescent="0.2">
      <c r="B167" s="321"/>
      <c r="D167" s="320"/>
    </row>
    <row r="168" spans="2:4" x14ac:dyDescent="0.2">
      <c r="B168" s="321"/>
      <c r="D168" s="320"/>
    </row>
    <row r="169" spans="2:4" x14ac:dyDescent="0.2">
      <c r="B169" s="321"/>
      <c r="D169" s="320"/>
    </row>
    <row r="170" spans="2:4" x14ac:dyDescent="0.2">
      <c r="B170" s="321"/>
      <c r="D170" s="320"/>
    </row>
    <row r="171" spans="2:4" x14ac:dyDescent="0.2">
      <c r="B171" s="321"/>
      <c r="D171" s="320"/>
    </row>
    <row r="172" spans="2:4" x14ac:dyDescent="0.2">
      <c r="B172" s="321"/>
      <c r="D172" s="320"/>
    </row>
    <row r="173" spans="2:4" x14ac:dyDescent="0.2">
      <c r="B173" s="321"/>
      <c r="D173" s="320"/>
    </row>
    <row r="174" spans="2:4" x14ac:dyDescent="0.2">
      <c r="B174" s="321"/>
      <c r="D174" s="320"/>
    </row>
    <row r="175" spans="2:4" x14ac:dyDescent="0.2">
      <c r="B175" s="321"/>
      <c r="D175" s="320"/>
    </row>
    <row r="176" spans="2:4" x14ac:dyDescent="0.2">
      <c r="B176" s="321"/>
      <c r="D176" s="320"/>
    </row>
    <row r="177" spans="2:4" x14ac:dyDescent="0.2">
      <c r="B177" s="321"/>
      <c r="D177" s="320"/>
    </row>
    <row r="178" spans="2:4" x14ac:dyDescent="0.2">
      <c r="B178" s="321"/>
      <c r="D178" s="320"/>
    </row>
    <row r="179" spans="2:4" x14ac:dyDescent="0.2">
      <c r="B179" s="321"/>
      <c r="D179" s="320"/>
    </row>
    <row r="180" spans="2:4" x14ac:dyDescent="0.2">
      <c r="B180" s="321"/>
      <c r="D180" s="320"/>
    </row>
    <row r="181" spans="2:4" x14ac:dyDescent="0.2">
      <c r="B181" s="321"/>
      <c r="D181" s="320"/>
    </row>
    <row r="182" spans="2:4" x14ac:dyDescent="0.2">
      <c r="B182" s="321"/>
      <c r="D182" s="320"/>
    </row>
    <row r="183" spans="2:4" x14ac:dyDescent="0.2">
      <c r="B183" s="321"/>
      <c r="D183" s="320"/>
    </row>
    <row r="184" spans="2:4" x14ac:dyDescent="0.2">
      <c r="B184" s="321"/>
      <c r="D184" s="320"/>
    </row>
    <row r="185" spans="2:4" x14ac:dyDescent="0.2">
      <c r="B185" s="321"/>
      <c r="D185" s="320"/>
    </row>
    <row r="186" spans="2:4" x14ac:dyDescent="0.2">
      <c r="B186" s="321"/>
      <c r="D186" s="320"/>
    </row>
    <row r="187" spans="2:4" x14ac:dyDescent="0.2">
      <c r="B187" s="321"/>
      <c r="D187" s="320"/>
    </row>
    <row r="188" spans="2:4" x14ac:dyDescent="0.2">
      <c r="B188" s="321"/>
      <c r="D188" s="320"/>
    </row>
    <row r="189" spans="2:4" x14ac:dyDescent="0.2">
      <c r="B189" s="321"/>
      <c r="D189" s="320"/>
    </row>
    <row r="190" spans="2:4" x14ac:dyDescent="0.2">
      <c r="B190" s="321"/>
      <c r="D190" s="320"/>
    </row>
    <row r="191" spans="2:4" x14ac:dyDescent="0.2">
      <c r="B191" s="321"/>
      <c r="D191" s="320"/>
    </row>
    <row r="192" spans="2:4" x14ac:dyDescent="0.2">
      <c r="B192" s="321"/>
      <c r="D192" s="320"/>
    </row>
    <row r="193" spans="2:4" x14ac:dyDescent="0.2">
      <c r="B193" s="321"/>
      <c r="D193" s="320"/>
    </row>
    <row r="194" spans="2:4" x14ac:dyDescent="0.2">
      <c r="B194" s="321"/>
      <c r="D194" s="320"/>
    </row>
    <row r="195" spans="2:4" x14ac:dyDescent="0.2">
      <c r="B195" s="321"/>
      <c r="D195" s="320"/>
    </row>
    <row r="196" spans="2:4" x14ac:dyDescent="0.2">
      <c r="B196" s="321"/>
      <c r="D196" s="320"/>
    </row>
    <row r="197" spans="2:4" x14ac:dyDescent="0.2">
      <c r="B197" s="321"/>
      <c r="D197" s="320"/>
    </row>
    <row r="198" spans="2:4" x14ac:dyDescent="0.2">
      <c r="B198" s="321"/>
      <c r="D198" s="320"/>
    </row>
    <row r="199" spans="2:4" x14ac:dyDescent="0.2">
      <c r="B199" s="321"/>
      <c r="D199" s="320"/>
    </row>
    <row r="200" spans="2:4" x14ac:dyDescent="0.2">
      <c r="B200" s="321"/>
      <c r="D200" s="320"/>
    </row>
    <row r="201" spans="2:4" x14ac:dyDescent="0.2">
      <c r="B201" s="321"/>
      <c r="D201" s="320"/>
    </row>
    <row r="202" spans="2:4" x14ac:dyDescent="0.2">
      <c r="B202" s="321"/>
      <c r="D202" s="320"/>
    </row>
    <row r="203" spans="2:4" x14ac:dyDescent="0.2">
      <c r="B203" s="321"/>
      <c r="D203" s="320"/>
    </row>
    <row r="204" spans="2:4" x14ac:dyDescent="0.2">
      <c r="B204" s="321"/>
      <c r="D204" s="320"/>
    </row>
    <row r="205" spans="2:4" x14ac:dyDescent="0.2">
      <c r="B205" s="321"/>
      <c r="D205" s="320"/>
    </row>
    <row r="206" spans="2:4" x14ac:dyDescent="0.2">
      <c r="B206" s="321"/>
      <c r="D206" s="320"/>
    </row>
    <row r="207" spans="2:4" x14ac:dyDescent="0.2">
      <c r="B207" s="321"/>
      <c r="D207" s="320"/>
    </row>
    <row r="208" spans="2:4" x14ac:dyDescent="0.2">
      <c r="B208" s="321"/>
      <c r="D208" s="320"/>
    </row>
    <row r="209" spans="2:4" x14ac:dyDescent="0.2">
      <c r="B209" s="321"/>
      <c r="D209" s="320"/>
    </row>
    <row r="210" spans="2:4" x14ac:dyDescent="0.2">
      <c r="B210" s="321"/>
      <c r="D210" s="320"/>
    </row>
    <row r="211" spans="2:4" x14ac:dyDescent="0.2">
      <c r="B211" s="321"/>
      <c r="D211" s="320"/>
    </row>
    <row r="212" spans="2:4" x14ac:dyDescent="0.2">
      <c r="B212" s="321"/>
      <c r="D212" s="320"/>
    </row>
    <row r="213" spans="2:4" x14ac:dyDescent="0.2">
      <c r="B213" s="321"/>
      <c r="D213" s="320"/>
    </row>
    <row r="214" spans="2:4" x14ac:dyDescent="0.2">
      <c r="B214" s="321"/>
      <c r="D214" s="320"/>
    </row>
    <row r="215" spans="2:4" x14ac:dyDescent="0.2">
      <c r="B215" s="321"/>
      <c r="D215" s="320"/>
    </row>
    <row r="216" spans="2:4" x14ac:dyDescent="0.2">
      <c r="B216" s="321"/>
      <c r="D216" s="320"/>
    </row>
    <row r="217" spans="2:4" x14ac:dyDescent="0.2">
      <c r="B217" s="321"/>
      <c r="D217" s="320"/>
    </row>
    <row r="218" spans="2:4" x14ac:dyDescent="0.2">
      <c r="B218" s="321"/>
      <c r="D218" s="320"/>
    </row>
    <row r="219" spans="2:4" x14ac:dyDescent="0.2">
      <c r="B219" s="321"/>
      <c r="D219" s="320"/>
    </row>
    <row r="220" spans="2:4" x14ac:dyDescent="0.2">
      <c r="B220" s="321"/>
      <c r="D220" s="320"/>
    </row>
    <row r="221" spans="2:4" x14ac:dyDescent="0.2">
      <c r="B221" s="321"/>
      <c r="D221" s="320"/>
    </row>
    <row r="222" spans="2:4" x14ac:dyDescent="0.2">
      <c r="B222" s="321"/>
      <c r="D222" s="320"/>
    </row>
    <row r="223" spans="2:4" x14ac:dyDescent="0.2">
      <c r="B223" s="321"/>
      <c r="D223" s="320"/>
    </row>
    <row r="224" spans="2:4" x14ac:dyDescent="0.2">
      <c r="B224" s="321"/>
      <c r="D224" s="320"/>
    </row>
    <row r="225" spans="2:4" x14ac:dyDescent="0.2">
      <c r="B225" s="321"/>
      <c r="D225" s="320"/>
    </row>
    <row r="226" spans="2:4" x14ac:dyDescent="0.2">
      <c r="B226" s="321"/>
      <c r="D226" s="320"/>
    </row>
    <row r="227" spans="2:4" x14ac:dyDescent="0.2">
      <c r="B227" s="321"/>
      <c r="D227" s="320"/>
    </row>
    <row r="228" spans="2:4" x14ac:dyDescent="0.2">
      <c r="B228" s="321"/>
      <c r="D228" s="320"/>
    </row>
    <row r="229" spans="2:4" x14ac:dyDescent="0.2">
      <c r="B229" s="321"/>
      <c r="D229" s="320"/>
    </row>
    <row r="230" spans="2:4" x14ac:dyDescent="0.2">
      <c r="B230" s="321"/>
      <c r="D230" s="320"/>
    </row>
    <row r="231" spans="2:4" x14ac:dyDescent="0.2">
      <c r="B231" s="321"/>
      <c r="D231" s="320"/>
    </row>
    <row r="232" spans="2:4" x14ac:dyDescent="0.2">
      <c r="B232" s="321"/>
      <c r="D232" s="320"/>
    </row>
    <row r="233" spans="2:4" x14ac:dyDescent="0.2">
      <c r="B233" s="321"/>
      <c r="D233" s="320"/>
    </row>
    <row r="234" spans="2:4" x14ac:dyDescent="0.2">
      <c r="B234" s="321"/>
      <c r="D234" s="320"/>
    </row>
    <row r="235" spans="2:4" x14ac:dyDescent="0.2">
      <c r="B235" s="321"/>
      <c r="D235" s="320"/>
    </row>
    <row r="236" spans="2:4" x14ac:dyDescent="0.2">
      <c r="B236" s="321"/>
      <c r="D236" s="320"/>
    </row>
    <row r="237" spans="2:4" x14ac:dyDescent="0.2">
      <c r="B237" s="321"/>
      <c r="D237" s="320"/>
    </row>
    <row r="238" spans="2:4" x14ac:dyDescent="0.2">
      <c r="B238" s="321"/>
      <c r="D238" s="320"/>
    </row>
    <row r="239" spans="2:4" x14ac:dyDescent="0.2">
      <c r="B239" s="321"/>
      <c r="D239" s="320"/>
    </row>
    <row r="240" spans="2:4" x14ac:dyDescent="0.2">
      <c r="B240" s="321"/>
      <c r="D240" s="320"/>
    </row>
    <row r="241" spans="2:4" x14ac:dyDescent="0.2">
      <c r="B241" s="321"/>
      <c r="D241" s="320"/>
    </row>
    <row r="242" spans="2:4" x14ac:dyDescent="0.2">
      <c r="B242" s="321"/>
      <c r="D242" s="320"/>
    </row>
    <row r="243" spans="2:4" x14ac:dyDescent="0.2">
      <c r="B243" s="321"/>
      <c r="D243" s="320"/>
    </row>
    <row r="244" spans="2:4" x14ac:dyDescent="0.2">
      <c r="B244" s="321"/>
      <c r="D244" s="320"/>
    </row>
    <row r="245" spans="2:4" x14ac:dyDescent="0.2">
      <c r="B245" s="321"/>
      <c r="D245" s="320"/>
    </row>
    <row r="246" spans="2:4" x14ac:dyDescent="0.2">
      <c r="B246" s="321"/>
      <c r="D246" s="320"/>
    </row>
    <row r="247" spans="2:4" x14ac:dyDescent="0.2">
      <c r="B247" s="321"/>
      <c r="D247" s="320"/>
    </row>
    <row r="248" spans="2:4" x14ac:dyDescent="0.2">
      <c r="B248" s="321"/>
      <c r="D248" s="320"/>
    </row>
    <row r="249" spans="2:4" x14ac:dyDescent="0.2">
      <c r="B249" s="321"/>
      <c r="D249" s="320"/>
    </row>
    <row r="250" spans="2:4" x14ac:dyDescent="0.2">
      <c r="B250" s="321"/>
      <c r="D250" s="320"/>
    </row>
    <row r="251" spans="2:4" x14ac:dyDescent="0.2">
      <c r="B251" s="321"/>
      <c r="D251" s="320"/>
    </row>
    <row r="252" spans="2:4" x14ac:dyDescent="0.2">
      <c r="B252" s="321"/>
      <c r="D252" s="320"/>
    </row>
    <row r="253" spans="2:4" x14ac:dyDescent="0.2">
      <c r="B253" s="321"/>
      <c r="D253" s="320"/>
    </row>
    <row r="254" spans="2:4" x14ac:dyDescent="0.2">
      <c r="B254" s="321"/>
      <c r="D254" s="320"/>
    </row>
    <row r="255" spans="2:4" x14ac:dyDescent="0.2">
      <c r="B255" s="321"/>
      <c r="D255" s="320"/>
    </row>
    <row r="256" spans="2:4" x14ac:dyDescent="0.2">
      <c r="B256" s="321"/>
      <c r="D256" s="320"/>
    </row>
    <row r="257" spans="2:4" x14ac:dyDescent="0.2">
      <c r="B257" s="321"/>
      <c r="D257" s="320"/>
    </row>
    <row r="258" spans="2:4" x14ac:dyDescent="0.2">
      <c r="B258" s="321"/>
      <c r="D258" s="320"/>
    </row>
    <row r="259" spans="2:4" x14ac:dyDescent="0.2">
      <c r="B259" s="321"/>
      <c r="D259" s="320"/>
    </row>
    <row r="260" spans="2:4" x14ac:dyDescent="0.2">
      <c r="B260" s="321"/>
      <c r="D260" s="320"/>
    </row>
    <row r="261" spans="2:4" x14ac:dyDescent="0.2">
      <c r="B261" s="321"/>
      <c r="D261" s="320"/>
    </row>
    <row r="262" spans="2:4" x14ac:dyDescent="0.2">
      <c r="B262" s="321"/>
      <c r="D262" s="320"/>
    </row>
    <row r="263" spans="2:4" x14ac:dyDescent="0.2">
      <c r="B263" s="321"/>
      <c r="D263" s="320"/>
    </row>
    <row r="264" spans="2:4" x14ac:dyDescent="0.2">
      <c r="B264" s="321"/>
      <c r="D264" s="320"/>
    </row>
    <row r="265" spans="2:4" x14ac:dyDescent="0.2">
      <c r="B265" s="321"/>
      <c r="D265" s="320"/>
    </row>
    <row r="266" spans="2:4" x14ac:dyDescent="0.2">
      <c r="B266" s="321"/>
      <c r="D266" s="320"/>
    </row>
    <row r="267" spans="2:4" x14ac:dyDescent="0.2">
      <c r="B267" s="321"/>
      <c r="D267" s="320"/>
    </row>
    <row r="268" spans="2:4" x14ac:dyDescent="0.2">
      <c r="B268" s="321"/>
      <c r="D268" s="320"/>
    </row>
    <row r="269" spans="2:4" x14ac:dyDescent="0.2">
      <c r="B269" s="321"/>
      <c r="D269" s="320"/>
    </row>
    <row r="270" spans="2:4" x14ac:dyDescent="0.2">
      <c r="B270" s="321"/>
      <c r="D270" s="320"/>
    </row>
    <row r="271" spans="2:4" x14ac:dyDescent="0.2">
      <c r="B271" s="321"/>
      <c r="D271" s="320"/>
    </row>
    <row r="272" spans="2:4" x14ac:dyDescent="0.2">
      <c r="B272" s="321"/>
      <c r="D272" s="320"/>
    </row>
    <row r="273" spans="2:4" x14ac:dyDescent="0.2">
      <c r="B273" s="321"/>
      <c r="D273" s="320"/>
    </row>
    <row r="274" spans="2:4" x14ac:dyDescent="0.2">
      <c r="B274" s="321"/>
      <c r="D274" s="320"/>
    </row>
    <row r="275" spans="2:4" x14ac:dyDescent="0.2">
      <c r="B275" s="321"/>
      <c r="D275" s="320"/>
    </row>
    <row r="276" spans="2:4" x14ac:dyDescent="0.2">
      <c r="B276" s="321"/>
      <c r="D276" s="320"/>
    </row>
    <row r="277" spans="2:4" x14ac:dyDescent="0.2">
      <c r="B277" s="321"/>
      <c r="D277" s="320"/>
    </row>
    <row r="278" spans="2:4" x14ac:dyDescent="0.2">
      <c r="B278" s="321"/>
      <c r="D278" s="320"/>
    </row>
    <row r="279" spans="2:4" x14ac:dyDescent="0.2">
      <c r="B279" s="321"/>
      <c r="D279" s="320"/>
    </row>
    <row r="280" spans="2:4" x14ac:dyDescent="0.2">
      <c r="B280" s="321"/>
      <c r="D280" s="320"/>
    </row>
    <row r="281" spans="2:4" x14ac:dyDescent="0.2">
      <c r="B281" s="321"/>
      <c r="D281" s="320"/>
    </row>
    <row r="282" spans="2:4" x14ac:dyDescent="0.2">
      <c r="B282" s="321"/>
      <c r="D282" s="320"/>
    </row>
    <row r="283" spans="2:4" x14ac:dyDescent="0.2">
      <c r="B283" s="321"/>
      <c r="D283" s="320"/>
    </row>
    <row r="284" spans="2:4" x14ac:dyDescent="0.2">
      <c r="B284" s="321"/>
      <c r="D284" s="320"/>
    </row>
    <row r="285" spans="2:4" x14ac:dyDescent="0.2">
      <c r="B285" s="321"/>
      <c r="D285" s="320"/>
    </row>
    <row r="286" spans="2:4" x14ac:dyDescent="0.2">
      <c r="B286" s="321"/>
      <c r="D286" s="320"/>
    </row>
    <row r="287" spans="2:4" x14ac:dyDescent="0.2">
      <c r="B287" s="321"/>
      <c r="D287" s="320"/>
    </row>
    <row r="288" spans="2:4" x14ac:dyDescent="0.2">
      <c r="B288" s="321"/>
      <c r="D288" s="320"/>
    </row>
    <row r="289" spans="2:4" x14ac:dyDescent="0.2">
      <c r="B289" s="321"/>
      <c r="D289" s="320"/>
    </row>
    <row r="290" spans="2:4" x14ac:dyDescent="0.2">
      <c r="B290" s="321"/>
      <c r="D290" s="320"/>
    </row>
    <row r="291" spans="2:4" x14ac:dyDescent="0.2">
      <c r="B291" s="321"/>
      <c r="D291" s="320"/>
    </row>
    <row r="292" spans="2:4" x14ac:dyDescent="0.2">
      <c r="B292" s="321"/>
      <c r="D292" s="320"/>
    </row>
    <row r="293" spans="2:4" x14ac:dyDescent="0.2">
      <c r="B293" s="321"/>
      <c r="D293" s="320"/>
    </row>
    <row r="294" spans="2:4" x14ac:dyDescent="0.2">
      <c r="B294" s="321"/>
      <c r="D294" s="320"/>
    </row>
    <row r="295" spans="2:4" x14ac:dyDescent="0.2">
      <c r="B295" s="321"/>
      <c r="D295" s="320"/>
    </row>
    <row r="296" spans="2:4" x14ac:dyDescent="0.2">
      <c r="B296" s="321"/>
      <c r="D296" s="320"/>
    </row>
    <row r="297" spans="2:4" x14ac:dyDescent="0.2">
      <c r="B297" s="321"/>
      <c r="D297" s="320"/>
    </row>
    <row r="298" spans="2:4" x14ac:dyDescent="0.2">
      <c r="B298" s="321"/>
      <c r="D298" s="320"/>
    </row>
    <row r="299" spans="2:4" x14ac:dyDescent="0.2">
      <c r="B299" s="321"/>
      <c r="D299" s="320"/>
    </row>
    <row r="300" spans="2:4" x14ac:dyDescent="0.2">
      <c r="B300" s="321"/>
      <c r="D300" s="320"/>
    </row>
    <row r="301" spans="2:4" x14ac:dyDescent="0.2">
      <c r="B301" s="321"/>
      <c r="D301" s="320"/>
    </row>
    <row r="302" spans="2:4" x14ac:dyDescent="0.2">
      <c r="B302" s="321"/>
      <c r="D302" s="320"/>
    </row>
    <row r="303" spans="2:4" x14ac:dyDescent="0.2">
      <c r="B303" s="321"/>
      <c r="D303" s="320"/>
    </row>
    <row r="304" spans="2:4" x14ac:dyDescent="0.2">
      <c r="B304" s="321"/>
      <c r="D304" s="320"/>
    </row>
    <row r="305" spans="2:4" x14ac:dyDescent="0.2">
      <c r="B305" s="321"/>
      <c r="D305" s="320"/>
    </row>
    <row r="306" spans="2:4" x14ac:dyDescent="0.2">
      <c r="B306" s="321"/>
      <c r="D306" s="320"/>
    </row>
    <row r="307" spans="2:4" x14ac:dyDescent="0.2">
      <c r="B307" s="321"/>
      <c r="D307" s="320"/>
    </row>
    <row r="308" spans="2:4" x14ac:dyDescent="0.2">
      <c r="B308" s="321"/>
      <c r="D308" s="320"/>
    </row>
    <row r="309" spans="2:4" x14ac:dyDescent="0.2">
      <c r="B309" s="321"/>
      <c r="D309" s="320"/>
    </row>
    <row r="310" spans="2:4" x14ac:dyDescent="0.2">
      <c r="B310" s="321"/>
      <c r="D310" s="320"/>
    </row>
    <row r="311" spans="2:4" x14ac:dyDescent="0.2">
      <c r="B311" s="321"/>
      <c r="D311" s="320"/>
    </row>
    <row r="312" spans="2:4" x14ac:dyDescent="0.2">
      <c r="B312" s="321"/>
      <c r="D312" s="320"/>
    </row>
    <row r="313" spans="2:4" x14ac:dyDescent="0.2">
      <c r="B313" s="321"/>
      <c r="D313" s="320"/>
    </row>
    <row r="314" spans="2:4" x14ac:dyDescent="0.2">
      <c r="B314" s="321"/>
      <c r="D314" s="320"/>
    </row>
    <row r="315" spans="2:4" x14ac:dyDescent="0.2">
      <c r="B315" s="321"/>
      <c r="D315" s="320"/>
    </row>
    <row r="316" spans="2:4" x14ac:dyDescent="0.2">
      <c r="B316" s="321"/>
      <c r="D316" s="320"/>
    </row>
    <row r="317" spans="2:4" x14ac:dyDescent="0.2">
      <c r="B317" s="321"/>
      <c r="D317" s="320"/>
    </row>
    <row r="318" spans="2:4" x14ac:dyDescent="0.2">
      <c r="B318" s="321"/>
      <c r="D318" s="320"/>
    </row>
    <row r="319" spans="2:4" x14ac:dyDescent="0.2">
      <c r="B319" s="321"/>
      <c r="D319" s="320"/>
    </row>
    <row r="320" spans="2:4" x14ac:dyDescent="0.2">
      <c r="B320" s="321"/>
      <c r="D320" s="320"/>
    </row>
    <row r="321" spans="2:4" x14ac:dyDescent="0.2">
      <c r="B321" s="321"/>
      <c r="D321" s="320"/>
    </row>
    <row r="322" spans="2:4" x14ac:dyDescent="0.2">
      <c r="B322" s="321"/>
      <c r="D322" s="320"/>
    </row>
    <row r="323" spans="2:4" x14ac:dyDescent="0.2">
      <c r="B323" s="321"/>
      <c r="D323" s="320"/>
    </row>
    <row r="324" spans="2:4" x14ac:dyDescent="0.2">
      <c r="B324" s="321"/>
      <c r="D324" s="320"/>
    </row>
    <row r="325" spans="2:4" x14ac:dyDescent="0.2">
      <c r="B325" s="321"/>
      <c r="D325" s="320"/>
    </row>
    <row r="326" spans="2:4" x14ac:dyDescent="0.2">
      <c r="B326" s="321"/>
      <c r="D326" s="320"/>
    </row>
    <row r="327" spans="2:4" x14ac:dyDescent="0.2">
      <c r="B327" s="321"/>
      <c r="D327" s="320"/>
    </row>
    <row r="328" spans="2:4" x14ac:dyDescent="0.2">
      <c r="B328" s="321"/>
      <c r="D328" s="320"/>
    </row>
    <row r="329" spans="2:4" x14ac:dyDescent="0.2">
      <c r="B329" s="321"/>
      <c r="D329" s="320"/>
    </row>
    <row r="330" spans="2:4" x14ac:dyDescent="0.2">
      <c r="B330" s="321"/>
      <c r="D330" s="320"/>
    </row>
    <row r="331" spans="2:4" x14ac:dyDescent="0.2">
      <c r="B331" s="321"/>
      <c r="D331" s="320"/>
    </row>
    <row r="332" spans="2:4" x14ac:dyDescent="0.2">
      <c r="B332" s="321"/>
      <c r="D332" s="320"/>
    </row>
    <row r="333" spans="2:4" x14ac:dyDescent="0.2">
      <c r="B333" s="321"/>
      <c r="D333" s="320"/>
    </row>
    <row r="334" spans="2:4" x14ac:dyDescent="0.2">
      <c r="B334" s="321"/>
      <c r="D334" s="320"/>
    </row>
    <row r="335" spans="2:4" x14ac:dyDescent="0.2">
      <c r="B335" s="321"/>
      <c r="D335" s="320"/>
    </row>
    <row r="336" spans="2:4" x14ac:dyDescent="0.2">
      <c r="B336" s="321"/>
      <c r="D336" s="320"/>
    </row>
    <row r="337" spans="2:4" x14ac:dyDescent="0.2">
      <c r="B337" s="321"/>
      <c r="D337" s="320"/>
    </row>
    <row r="338" spans="2:4" x14ac:dyDescent="0.2">
      <c r="B338" s="321"/>
      <c r="D338" s="320"/>
    </row>
    <row r="339" spans="2:4" x14ac:dyDescent="0.2">
      <c r="B339" s="321"/>
      <c r="D339" s="320"/>
    </row>
    <row r="340" spans="2:4" x14ac:dyDescent="0.2">
      <c r="B340" s="321"/>
      <c r="D340" s="320"/>
    </row>
    <row r="341" spans="2:4" x14ac:dyDescent="0.2">
      <c r="B341" s="321"/>
      <c r="D341" s="320"/>
    </row>
    <row r="342" spans="2:4" x14ac:dyDescent="0.2">
      <c r="B342" s="321"/>
      <c r="D342" s="320"/>
    </row>
    <row r="343" spans="2:4" x14ac:dyDescent="0.2">
      <c r="B343" s="321"/>
      <c r="D343" s="320"/>
    </row>
    <row r="344" spans="2:4" x14ac:dyDescent="0.2">
      <c r="B344" s="321"/>
      <c r="D344" s="320"/>
    </row>
    <row r="345" spans="2:4" x14ac:dyDescent="0.2">
      <c r="B345" s="321"/>
      <c r="D345" s="320"/>
    </row>
    <row r="346" spans="2:4" x14ac:dyDescent="0.2">
      <c r="B346" s="321"/>
      <c r="D346" s="320"/>
    </row>
    <row r="347" spans="2:4" x14ac:dyDescent="0.2">
      <c r="B347" s="321"/>
      <c r="D347" s="320"/>
    </row>
    <row r="348" spans="2:4" x14ac:dyDescent="0.2">
      <c r="B348" s="321"/>
      <c r="D348" s="320"/>
    </row>
    <row r="349" spans="2:4" x14ac:dyDescent="0.2">
      <c r="B349" s="321"/>
      <c r="D349" s="320"/>
    </row>
    <row r="350" spans="2:4" x14ac:dyDescent="0.2">
      <c r="B350" s="321"/>
      <c r="D350" s="320"/>
    </row>
    <row r="351" spans="2:4" x14ac:dyDescent="0.2">
      <c r="B351" s="321"/>
      <c r="D351" s="320"/>
    </row>
    <row r="352" spans="2:4" x14ac:dyDescent="0.2">
      <c r="B352" s="321"/>
      <c r="D352" s="320"/>
    </row>
    <row r="353" spans="2:4" x14ac:dyDescent="0.2">
      <c r="B353" s="321"/>
      <c r="D353" s="320"/>
    </row>
    <row r="354" spans="2:4" x14ac:dyDescent="0.2">
      <c r="B354" s="321"/>
      <c r="D354" s="320"/>
    </row>
    <row r="355" spans="2:4" x14ac:dyDescent="0.2">
      <c r="B355" s="321"/>
      <c r="D355" s="320"/>
    </row>
    <row r="356" spans="2:4" x14ac:dyDescent="0.2">
      <c r="B356" s="321"/>
      <c r="D356" s="320"/>
    </row>
    <row r="357" spans="2:4" x14ac:dyDescent="0.2">
      <c r="B357" s="321"/>
      <c r="D357" s="320"/>
    </row>
    <row r="358" spans="2:4" x14ac:dyDescent="0.2">
      <c r="B358" s="321"/>
      <c r="D358" s="320"/>
    </row>
    <row r="359" spans="2:4" x14ac:dyDescent="0.2">
      <c r="B359" s="321"/>
      <c r="D359" s="320"/>
    </row>
    <row r="360" spans="2:4" x14ac:dyDescent="0.2">
      <c r="B360" s="321"/>
      <c r="D360" s="320"/>
    </row>
    <row r="361" spans="2:4" x14ac:dyDescent="0.2">
      <c r="B361" s="321"/>
      <c r="D361" s="320"/>
    </row>
    <row r="362" spans="2:4" x14ac:dyDescent="0.2">
      <c r="B362" s="321"/>
      <c r="D362" s="320"/>
    </row>
    <row r="363" spans="2:4" x14ac:dyDescent="0.2">
      <c r="B363" s="321"/>
      <c r="D363" s="320"/>
    </row>
    <row r="364" spans="2:4" x14ac:dyDescent="0.2">
      <c r="B364" s="321"/>
      <c r="D364" s="320"/>
    </row>
    <row r="365" spans="2:4" x14ac:dyDescent="0.2">
      <c r="B365" s="321"/>
      <c r="D365" s="320"/>
    </row>
    <row r="366" spans="2:4" x14ac:dyDescent="0.2">
      <c r="B366" s="321"/>
      <c r="D366" s="320"/>
    </row>
    <row r="367" spans="2:4" x14ac:dyDescent="0.2">
      <c r="B367" s="321"/>
      <c r="D367" s="320"/>
    </row>
    <row r="368" spans="2:4" x14ac:dyDescent="0.2">
      <c r="B368" s="321"/>
      <c r="D368" s="320"/>
    </row>
    <row r="369" spans="2:4" x14ac:dyDescent="0.2">
      <c r="B369" s="321"/>
      <c r="D369" s="320"/>
    </row>
    <row r="370" spans="2:4" x14ac:dyDescent="0.2">
      <c r="B370" s="321"/>
      <c r="D370" s="320"/>
    </row>
    <row r="371" spans="2:4" x14ac:dyDescent="0.2">
      <c r="B371" s="321"/>
      <c r="D371" s="320"/>
    </row>
    <row r="372" spans="2:4" x14ac:dyDescent="0.2">
      <c r="B372" s="321"/>
      <c r="D372" s="320"/>
    </row>
    <row r="373" spans="2:4" x14ac:dyDescent="0.2">
      <c r="B373" s="321"/>
      <c r="D373" s="320"/>
    </row>
    <row r="374" spans="2:4" x14ac:dyDescent="0.2">
      <c r="B374" s="321"/>
      <c r="D374" s="320"/>
    </row>
    <row r="375" spans="2:4" x14ac:dyDescent="0.2">
      <c r="B375" s="321"/>
      <c r="D375" s="320"/>
    </row>
    <row r="376" spans="2:4" x14ac:dyDescent="0.2">
      <c r="B376" s="321"/>
      <c r="D376" s="320"/>
    </row>
    <row r="377" spans="2:4" x14ac:dyDescent="0.2">
      <c r="B377" s="321"/>
      <c r="D377" s="320"/>
    </row>
    <row r="378" spans="2:4" x14ac:dyDescent="0.2">
      <c r="B378" s="321"/>
      <c r="D378" s="320"/>
    </row>
    <row r="379" spans="2:4" x14ac:dyDescent="0.2">
      <c r="B379" s="321"/>
      <c r="D379" s="320"/>
    </row>
    <row r="380" spans="2:4" x14ac:dyDescent="0.2">
      <c r="B380" s="321"/>
      <c r="D380" s="320"/>
    </row>
    <row r="381" spans="2:4" x14ac:dyDescent="0.2">
      <c r="B381" s="321"/>
      <c r="D381" s="320"/>
    </row>
    <row r="382" spans="2:4" x14ac:dyDescent="0.2">
      <c r="B382" s="321"/>
      <c r="D382" s="320"/>
    </row>
    <row r="383" spans="2:4" x14ac:dyDescent="0.2">
      <c r="B383" s="321"/>
      <c r="D383" s="320"/>
    </row>
    <row r="384" spans="2:4" x14ac:dyDescent="0.2">
      <c r="B384" s="321"/>
      <c r="D384" s="320"/>
    </row>
    <row r="385" spans="2:4" x14ac:dyDescent="0.2">
      <c r="B385" s="321"/>
      <c r="D385" s="320"/>
    </row>
    <row r="386" spans="2:4" x14ac:dyDescent="0.2">
      <c r="B386" s="321"/>
      <c r="D386" s="320"/>
    </row>
    <row r="387" spans="2:4" x14ac:dyDescent="0.2">
      <c r="B387" s="321"/>
      <c r="D387" s="320"/>
    </row>
    <row r="388" spans="2:4" x14ac:dyDescent="0.2">
      <c r="B388" s="321"/>
      <c r="D388" s="320"/>
    </row>
    <row r="389" spans="2:4" x14ac:dyDescent="0.2">
      <c r="B389" s="321"/>
      <c r="D389" s="320"/>
    </row>
    <row r="390" spans="2:4" x14ac:dyDescent="0.2">
      <c r="B390" s="321"/>
      <c r="D390" s="320"/>
    </row>
    <row r="391" spans="2:4" x14ac:dyDescent="0.2">
      <c r="B391" s="321"/>
      <c r="D391" s="320"/>
    </row>
    <row r="392" spans="2:4" x14ac:dyDescent="0.2">
      <c r="B392" s="321"/>
      <c r="D392" s="320"/>
    </row>
    <row r="393" spans="2:4" x14ac:dyDescent="0.2">
      <c r="B393" s="321"/>
      <c r="D393" s="320"/>
    </row>
    <row r="394" spans="2:4" x14ac:dyDescent="0.2">
      <c r="B394" s="321"/>
      <c r="D394" s="320"/>
    </row>
    <row r="395" spans="2:4" x14ac:dyDescent="0.2">
      <c r="B395" s="321"/>
      <c r="D395" s="320"/>
    </row>
    <row r="396" spans="2:4" x14ac:dyDescent="0.2">
      <c r="B396" s="321"/>
      <c r="D396" s="320"/>
    </row>
    <row r="397" spans="2:4" x14ac:dyDescent="0.2">
      <c r="B397" s="321"/>
      <c r="D397" s="320"/>
    </row>
    <row r="398" spans="2:4" x14ac:dyDescent="0.2">
      <c r="B398" s="321"/>
      <c r="D398" s="320"/>
    </row>
    <row r="399" spans="2:4" x14ac:dyDescent="0.2">
      <c r="B399" s="321"/>
      <c r="D399" s="320"/>
    </row>
    <row r="400" spans="2:4" x14ac:dyDescent="0.2">
      <c r="B400" s="321"/>
      <c r="D400" s="320"/>
    </row>
    <row r="401" spans="2:4" x14ac:dyDescent="0.2">
      <c r="B401" s="321"/>
      <c r="D401" s="320"/>
    </row>
    <row r="402" spans="2:4" x14ac:dyDescent="0.2">
      <c r="B402" s="321"/>
      <c r="D402" s="320"/>
    </row>
    <row r="403" spans="2:4" x14ac:dyDescent="0.2">
      <c r="B403" s="321"/>
      <c r="D403" s="320"/>
    </row>
    <row r="404" spans="2:4" x14ac:dyDescent="0.2">
      <c r="B404" s="321"/>
      <c r="D404" s="320"/>
    </row>
    <row r="405" spans="2:4" x14ac:dyDescent="0.2">
      <c r="B405" s="321"/>
      <c r="D405" s="320"/>
    </row>
    <row r="406" spans="2:4" x14ac:dyDescent="0.2">
      <c r="B406" s="321"/>
      <c r="D406" s="320"/>
    </row>
    <row r="407" spans="2:4" x14ac:dyDescent="0.2">
      <c r="B407" s="321"/>
      <c r="D407" s="320"/>
    </row>
    <row r="408" spans="2:4" x14ac:dyDescent="0.2">
      <c r="B408" s="321"/>
      <c r="D408" s="320"/>
    </row>
    <row r="409" spans="2:4" x14ac:dyDescent="0.2">
      <c r="B409" s="321"/>
      <c r="D409" s="320"/>
    </row>
    <row r="410" spans="2:4" x14ac:dyDescent="0.2">
      <c r="B410" s="321"/>
      <c r="D410" s="320"/>
    </row>
    <row r="411" spans="2:4" x14ac:dyDescent="0.2">
      <c r="B411" s="321"/>
      <c r="D411" s="320"/>
    </row>
    <row r="412" spans="2:4" x14ac:dyDescent="0.2">
      <c r="B412" s="321"/>
      <c r="D412" s="320"/>
    </row>
    <row r="413" spans="2:4" x14ac:dyDescent="0.2">
      <c r="B413" s="321"/>
      <c r="D413" s="320"/>
    </row>
    <row r="414" spans="2:4" x14ac:dyDescent="0.2">
      <c r="B414" s="321"/>
      <c r="D414" s="320"/>
    </row>
    <row r="415" spans="2:4" x14ac:dyDescent="0.2">
      <c r="B415" s="321"/>
      <c r="D415" s="320"/>
    </row>
    <row r="416" spans="2:4" x14ac:dyDescent="0.2">
      <c r="B416" s="321"/>
      <c r="D416" s="320"/>
    </row>
    <row r="417" spans="2:4" x14ac:dyDescent="0.2">
      <c r="B417" s="321"/>
      <c r="D417" s="320"/>
    </row>
    <row r="418" spans="2:4" x14ac:dyDescent="0.2">
      <c r="B418" s="321"/>
      <c r="D418" s="320"/>
    </row>
    <row r="419" spans="2:4" x14ac:dyDescent="0.2">
      <c r="B419" s="321"/>
      <c r="D419" s="320"/>
    </row>
    <row r="420" spans="2:4" x14ac:dyDescent="0.2">
      <c r="B420" s="321"/>
      <c r="D420" s="320"/>
    </row>
    <row r="421" spans="2:4" x14ac:dyDescent="0.2">
      <c r="B421" s="321"/>
      <c r="D421" s="320"/>
    </row>
    <row r="422" spans="2:4" x14ac:dyDescent="0.2">
      <c r="B422" s="321"/>
      <c r="D422" s="320"/>
    </row>
    <row r="423" spans="2:4" x14ac:dyDescent="0.2">
      <c r="B423" s="321"/>
      <c r="D423" s="320"/>
    </row>
    <row r="424" spans="2:4" x14ac:dyDescent="0.2">
      <c r="B424" s="321"/>
      <c r="D424" s="320"/>
    </row>
    <row r="425" spans="2:4" x14ac:dyDescent="0.2">
      <c r="B425" s="321"/>
      <c r="D425" s="320"/>
    </row>
    <row r="426" spans="2:4" x14ac:dyDescent="0.2">
      <c r="B426" s="321"/>
      <c r="D426" s="320"/>
    </row>
    <row r="427" spans="2:4" x14ac:dyDescent="0.2">
      <c r="B427" s="321"/>
      <c r="D427" s="320"/>
    </row>
    <row r="428" spans="2:4" x14ac:dyDescent="0.2">
      <c r="B428" s="321"/>
      <c r="D428" s="320"/>
    </row>
    <row r="429" spans="2:4" x14ac:dyDescent="0.2">
      <c r="B429" s="321"/>
      <c r="D429" s="320"/>
    </row>
    <row r="430" spans="2:4" x14ac:dyDescent="0.2">
      <c r="B430" s="321"/>
      <c r="D430" s="320"/>
    </row>
    <row r="431" spans="2:4" x14ac:dyDescent="0.2">
      <c r="B431" s="321"/>
      <c r="D431" s="320"/>
    </row>
    <row r="432" spans="2:4" x14ac:dyDescent="0.2">
      <c r="B432" s="321"/>
      <c r="D432" s="320"/>
    </row>
    <row r="433" spans="2:4" x14ac:dyDescent="0.2">
      <c r="B433" s="321"/>
      <c r="D433" s="320"/>
    </row>
    <row r="434" spans="2:4" x14ac:dyDescent="0.2">
      <c r="B434" s="321"/>
      <c r="D434" s="320"/>
    </row>
    <row r="435" spans="2:4" x14ac:dyDescent="0.2">
      <c r="B435" s="321"/>
      <c r="D435" s="320"/>
    </row>
    <row r="436" spans="2:4" x14ac:dyDescent="0.2">
      <c r="B436" s="321"/>
      <c r="D436" s="320"/>
    </row>
    <row r="437" spans="2:4" x14ac:dyDescent="0.2">
      <c r="B437" s="321"/>
      <c r="D437" s="320"/>
    </row>
    <row r="438" spans="2:4" x14ac:dyDescent="0.2">
      <c r="B438" s="321"/>
      <c r="D438" s="320"/>
    </row>
    <row r="439" spans="2:4" x14ac:dyDescent="0.2">
      <c r="B439" s="321"/>
      <c r="D439" s="320"/>
    </row>
    <row r="440" spans="2:4" x14ac:dyDescent="0.2">
      <c r="B440" s="321"/>
      <c r="D440" s="320"/>
    </row>
    <row r="441" spans="2:4" x14ac:dyDescent="0.2">
      <c r="B441" s="321"/>
      <c r="D441" s="320"/>
    </row>
    <row r="442" spans="2:4" x14ac:dyDescent="0.2">
      <c r="B442" s="321"/>
      <c r="D442" s="320"/>
    </row>
    <row r="443" spans="2:4" x14ac:dyDescent="0.2">
      <c r="B443" s="321"/>
      <c r="D443" s="320"/>
    </row>
    <row r="444" spans="2:4" x14ac:dyDescent="0.2">
      <c r="B444" s="321"/>
      <c r="D444" s="320"/>
    </row>
    <row r="445" spans="2:4" x14ac:dyDescent="0.2">
      <c r="B445" s="321"/>
      <c r="D445" s="320"/>
    </row>
    <row r="446" spans="2:4" x14ac:dyDescent="0.2">
      <c r="B446" s="321"/>
      <c r="D446" s="320"/>
    </row>
    <row r="447" spans="2:4" x14ac:dyDescent="0.2">
      <c r="B447" s="321"/>
      <c r="D447" s="320"/>
    </row>
    <row r="448" spans="2:4" x14ac:dyDescent="0.2">
      <c r="B448" s="321"/>
      <c r="D448" s="320"/>
    </row>
    <row r="449" spans="2:4" x14ac:dyDescent="0.2">
      <c r="B449" s="321"/>
      <c r="D449" s="320"/>
    </row>
    <row r="450" spans="2:4" x14ac:dyDescent="0.2">
      <c r="B450" s="321"/>
      <c r="D450" s="320"/>
    </row>
    <row r="451" spans="2:4" x14ac:dyDescent="0.2">
      <c r="B451" s="321"/>
      <c r="D451" s="320"/>
    </row>
    <row r="452" spans="2:4" x14ac:dyDescent="0.2">
      <c r="B452" s="321"/>
      <c r="D452" s="320"/>
    </row>
    <row r="453" spans="2:4" x14ac:dyDescent="0.2">
      <c r="B453" s="321"/>
      <c r="D453" s="320"/>
    </row>
    <row r="454" spans="2:4" x14ac:dyDescent="0.2">
      <c r="B454" s="321"/>
      <c r="D454" s="320"/>
    </row>
    <row r="455" spans="2:4" x14ac:dyDescent="0.2">
      <c r="B455" s="321"/>
      <c r="D455" s="320"/>
    </row>
    <row r="456" spans="2:4" x14ac:dyDescent="0.2">
      <c r="B456" s="321"/>
      <c r="D456" s="320"/>
    </row>
    <row r="457" spans="2:4" x14ac:dyDescent="0.2">
      <c r="B457" s="321"/>
      <c r="D457" s="320"/>
    </row>
    <row r="458" spans="2:4" x14ac:dyDescent="0.2">
      <c r="B458" s="321"/>
      <c r="D458" s="320"/>
    </row>
    <row r="459" spans="2:4" x14ac:dyDescent="0.2">
      <c r="B459" s="321"/>
      <c r="D459" s="320"/>
    </row>
    <row r="460" spans="2:4" x14ac:dyDescent="0.2">
      <c r="B460" s="321"/>
      <c r="D460" s="320"/>
    </row>
    <row r="461" spans="2:4" x14ac:dyDescent="0.2">
      <c r="B461" s="321"/>
      <c r="D461" s="320"/>
    </row>
    <row r="462" spans="2:4" x14ac:dyDescent="0.2">
      <c r="B462" s="321"/>
      <c r="D462" s="320"/>
    </row>
    <row r="463" spans="2:4" x14ac:dyDescent="0.2">
      <c r="B463" s="321"/>
      <c r="D463" s="320"/>
    </row>
    <row r="464" spans="2:4" x14ac:dyDescent="0.2">
      <c r="B464" s="321"/>
      <c r="D464" s="320"/>
    </row>
    <row r="465" spans="2:4" x14ac:dyDescent="0.2">
      <c r="B465" s="321"/>
      <c r="D465" s="320"/>
    </row>
    <row r="466" spans="2:4" x14ac:dyDescent="0.2">
      <c r="B466" s="321"/>
      <c r="D466" s="320"/>
    </row>
    <row r="467" spans="2:4" x14ac:dyDescent="0.2">
      <c r="B467" s="321"/>
      <c r="D467" s="320"/>
    </row>
    <row r="468" spans="2:4" x14ac:dyDescent="0.2">
      <c r="B468" s="321"/>
      <c r="D468" s="320"/>
    </row>
    <row r="469" spans="2:4" x14ac:dyDescent="0.2">
      <c r="B469" s="321"/>
      <c r="D469" s="320"/>
    </row>
    <row r="470" spans="2:4" x14ac:dyDescent="0.2">
      <c r="B470" s="321"/>
      <c r="D470" s="320"/>
    </row>
    <row r="471" spans="2:4" x14ac:dyDescent="0.2">
      <c r="B471" s="321"/>
      <c r="D471" s="320"/>
    </row>
    <row r="472" spans="2:4" x14ac:dyDescent="0.2">
      <c r="B472" s="321"/>
      <c r="D472" s="320"/>
    </row>
    <row r="473" spans="2:4" x14ac:dyDescent="0.2">
      <c r="B473" s="321"/>
      <c r="D473" s="320"/>
    </row>
    <row r="474" spans="2:4" x14ac:dyDescent="0.2">
      <c r="B474" s="321"/>
      <c r="D474" s="320"/>
    </row>
    <row r="475" spans="2:4" x14ac:dyDescent="0.2">
      <c r="B475" s="321"/>
      <c r="D475" s="320"/>
    </row>
    <row r="476" spans="2:4" x14ac:dyDescent="0.2">
      <c r="B476" s="321"/>
      <c r="D476" s="320"/>
    </row>
    <row r="477" spans="2:4" x14ac:dyDescent="0.2">
      <c r="B477" s="321"/>
      <c r="D477" s="320"/>
    </row>
    <row r="478" spans="2:4" x14ac:dyDescent="0.2">
      <c r="B478" s="321"/>
      <c r="D478" s="320"/>
    </row>
    <row r="479" spans="2:4" x14ac:dyDescent="0.2">
      <c r="B479" s="321"/>
      <c r="D479" s="320"/>
    </row>
    <row r="480" spans="2:4" x14ac:dyDescent="0.2">
      <c r="B480" s="321"/>
      <c r="D480" s="320"/>
    </row>
    <row r="481" spans="2:4" x14ac:dyDescent="0.2">
      <c r="B481" s="321"/>
      <c r="D481" s="320"/>
    </row>
    <row r="482" spans="2:4" x14ac:dyDescent="0.2">
      <c r="B482" s="321"/>
      <c r="D482" s="320"/>
    </row>
    <row r="483" spans="2:4" x14ac:dyDescent="0.2">
      <c r="B483" s="321"/>
      <c r="D483" s="320"/>
    </row>
    <row r="484" spans="2:4" x14ac:dyDescent="0.2">
      <c r="B484" s="321"/>
      <c r="D484" s="320"/>
    </row>
    <row r="485" spans="2:4" x14ac:dyDescent="0.2">
      <c r="B485" s="321"/>
      <c r="D485" s="320"/>
    </row>
    <row r="486" spans="2:4" x14ac:dyDescent="0.2">
      <c r="B486" s="321"/>
      <c r="D486" s="320"/>
    </row>
    <row r="487" spans="2:4" x14ac:dyDescent="0.2">
      <c r="B487" s="321"/>
      <c r="D487" s="320"/>
    </row>
    <row r="488" spans="2:4" x14ac:dyDescent="0.2">
      <c r="B488" s="321"/>
      <c r="D488" s="320"/>
    </row>
    <row r="489" spans="2:4" x14ac:dyDescent="0.2">
      <c r="B489" s="321"/>
      <c r="D489" s="320"/>
    </row>
    <row r="490" spans="2:4" x14ac:dyDescent="0.2">
      <c r="B490" s="321"/>
      <c r="D490" s="320"/>
    </row>
    <row r="491" spans="2:4" x14ac:dyDescent="0.2">
      <c r="B491" s="321"/>
      <c r="D491" s="320"/>
    </row>
    <row r="492" spans="2:4" x14ac:dyDescent="0.2">
      <c r="B492" s="321"/>
      <c r="D492" s="320"/>
    </row>
    <row r="493" spans="2:4" x14ac:dyDescent="0.2">
      <c r="B493" s="321"/>
      <c r="D493" s="320"/>
    </row>
    <row r="494" spans="2:4" x14ac:dyDescent="0.2">
      <c r="B494" s="321"/>
      <c r="D494" s="320"/>
    </row>
    <row r="495" spans="2:4" x14ac:dyDescent="0.2">
      <c r="B495" s="321"/>
      <c r="D495" s="320"/>
    </row>
    <row r="496" spans="2:4" x14ac:dyDescent="0.2">
      <c r="B496" s="321"/>
      <c r="D496" s="320"/>
    </row>
    <row r="497" spans="2:4" x14ac:dyDescent="0.2">
      <c r="B497" s="321"/>
      <c r="D497" s="320"/>
    </row>
    <row r="498" spans="2:4" x14ac:dyDescent="0.2">
      <c r="B498" s="321"/>
      <c r="D498" s="320"/>
    </row>
    <row r="499" spans="2:4" x14ac:dyDescent="0.2">
      <c r="B499" s="321"/>
      <c r="D499" s="320"/>
    </row>
    <row r="500" spans="2:4" x14ac:dyDescent="0.2">
      <c r="B500" s="321"/>
      <c r="D500" s="320"/>
    </row>
    <row r="501" spans="2:4" x14ac:dyDescent="0.2">
      <c r="B501" s="321"/>
      <c r="D501" s="320"/>
    </row>
    <row r="502" spans="2:4" x14ac:dyDescent="0.2">
      <c r="B502" s="321"/>
      <c r="D502" s="320"/>
    </row>
    <row r="503" spans="2:4" x14ac:dyDescent="0.2">
      <c r="B503" s="321"/>
      <c r="D503" s="320"/>
    </row>
    <row r="504" spans="2:4" x14ac:dyDescent="0.2">
      <c r="B504" s="321"/>
      <c r="D504" s="320"/>
    </row>
    <row r="505" spans="2:4" x14ac:dyDescent="0.2">
      <c r="B505" s="321"/>
      <c r="D505" s="320"/>
    </row>
    <row r="506" spans="2:4" x14ac:dyDescent="0.2">
      <c r="B506" s="321"/>
      <c r="D506" s="320"/>
    </row>
    <row r="507" spans="2:4" x14ac:dyDescent="0.2">
      <c r="B507" s="321"/>
      <c r="D507" s="320"/>
    </row>
    <row r="508" spans="2:4" x14ac:dyDescent="0.2">
      <c r="B508" s="321"/>
      <c r="D508" s="320"/>
    </row>
    <row r="509" spans="2:4" x14ac:dyDescent="0.2">
      <c r="B509" s="321"/>
      <c r="D509" s="320"/>
    </row>
    <row r="510" spans="2:4" x14ac:dyDescent="0.2">
      <c r="B510" s="321"/>
      <c r="D510" s="320"/>
    </row>
    <row r="511" spans="2:4" x14ac:dyDescent="0.2">
      <c r="B511" s="321"/>
      <c r="D511" s="320"/>
    </row>
    <row r="512" spans="2:4" x14ac:dyDescent="0.2">
      <c r="B512" s="321"/>
      <c r="D512" s="320"/>
    </row>
    <row r="513" spans="2:4" x14ac:dyDescent="0.2">
      <c r="B513" s="321"/>
      <c r="D513" s="320"/>
    </row>
    <row r="514" spans="2:4" x14ac:dyDescent="0.2">
      <c r="B514" s="321"/>
      <c r="D514" s="320"/>
    </row>
    <row r="515" spans="2:4" x14ac:dyDescent="0.2">
      <c r="B515" s="321"/>
      <c r="D515" s="320"/>
    </row>
    <row r="516" spans="2:4" x14ac:dyDescent="0.2">
      <c r="B516" s="321"/>
      <c r="D516" s="320"/>
    </row>
    <row r="517" spans="2:4" x14ac:dyDescent="0.2">
      <c r="B517" s="321"/>
      <c r="D517" s="320"/>
    </row>
    <row r="518" spans="2:4" x14ac:dyDescent="0.2">
      <c r="B518" s="321"/>
      <c r="D518" s="320"/>
    </row>
    <row r="519" spans="2:4" x14ac:dyDescent="0.2">
      <c r="B519" s="321"/>
      <c r="D519" s="320"/>
    </row>
    <row r="520" spans="2:4" x14ac:dyDescent="0.2">
      <c r="B520" s="321"/>
      <c r="D520" s="320"/>
    </row>
    <row r="521" spans="2:4" x14ac:dyDescent="0.2">
      <c r="B521" s="321"/>
      <c r="D521" s="320"/>
    </row>
    <row r="522" spans="2:4" x14ac:dyDescent="0.2">
      <c r="B522" s="321"/>
      <c r="D522" s="320"/>
    </row>
    <row r="523" spans="2:4" x14ac:dyDescent="0.2">
      <c r="B523" s="321"/>
      <c r="D523" s="320"/>
    </row>
    <row r="524" spans="2:4" x14ac:dyDescent="0.2">
      <c r="B524" s="321"/>
      <c r="D524" s="320"/>
    </row>
    <row r="525" spans="2:4" x14ac:dyDescent="0.2">
      <c r="B525" s="321"/>
      <c r="D525" s="320"/>
    </row>
    <row r="526" spans="2:4" x14ac:dyDescent="0.2">
      <c r="B526" s="321"/>
      <c r="D526" s="320"/>
    </row>
    <row r="527" spans="2:4" x14ac:dyDescent="0.2">
      <c r="B527" s="321"/>
      <c r="D527" s="320"/>
    </row>
    <row r="528" spans="2:4" x14ac:dyDescent="0.2">
      <c r="B528" s="321"/>
      <c r="D528" s="320"/>
    </row>
    <row r="529" spans="2:4" x14ac:dyDescent="0.2">
      <c r="B529" s="321"/>
      <c r="D529" s="320"/>
    </row>
    <row r="530" spans="2:4" x14ac:dyDescent="0.2">
      <c r="B530" s="321"/>
      <c r="D530" s="320"/>
    </row>
    <row r="531" spans="2:4" x14ac:dyDescent="0.2">
      <c r="B531" s="321"/>
      <c r="D531" s="320"/>
    </row>
    <row r="532" spans="2:4" x14ac:dyDescent="0.2">
      <c r="B532" s="321"/>
      <c r="D532" s="320"/>
    </row>
    <row r="533" spans="2:4" x14ac:dyDescent="0.2">
      <c r="B533" s="321"/>
      <c r="D533" s="320"/>
    </row>
    <row r="534" spans="2:4" x14ac:dyDescent="0.2">
      <c r="B534" s="321"/>
      <c r="D534" s="320"/>
    </row>
    <row r="535" spans="2:4" x14ac:dyDescent="0.2">
      <c r="B535" s="321"/>
      <c r="D535" s="320"/>
    </row>
    <row r="536" spans="2:4" x14ac:dyDescent="0.2">
      <c r="B536" s="321"/>
      <c r="D536" s="320"/>
    </row>
    <row r="537" spans="2:4" x14ac:dyDescent="0.2">
      <c r="B537" s="321"/>
      <c r="D537" s="320"/>
    </row>
    <row r="538" spans="2:4" x14ac:dyDescent="0.2">
      <c r="B538" s="321"/>
      <c r="D538" s="320"/>
    </row>
    <row r="539" spans="2:4" x14ac:dyDescent="0.2">
      <c r="B539" s="321"/>
      <c r="D539" s="320"/>
    </row>
    <row r="540" spans="2:4" x14ac:dyDescent="0.2">
      <c r="B540" s="321"/>
      <c r="D540" s="320"/>
    </row>
    <row r="541" spans="2:4" x14ac:dyDescent="0.2">
      <c r="B541" s="321"/>
      <c r="D541" s="320"/>
    </row>
    <row r="542" spans="2:4" x14ac:dyDescent="0.2">
      <c r="B542" s="321"/>
      <c r="D542" s="320"/>
    </row>
    <row r="543" spans="2:4" x14ac:dyDescent="0.2">
      <c r="B543" s="321"/>
      <c r="D543" s="320"/>
    </row>
    <row r="544" spans="2:4" x14ac:dyDescent="0.2">
      <c r="B544" s="321"/>
      <c r="D544" s="320"/>
    </row>
    <row r="545" spans="2:4" x14ac:dyDescent="0.2">
      <c r="B545" s="321"/>
      <c r="D545" s="320"/>
    </row>
    <row r="546" spans="2:4" x14ac:dyDescent="0.2">
      <c r="B546" s="321"/>
      <c r="D546" s="320"/>
    </row>
    <row r="547" spans="2:4" x14ac:dyDescent="0.2">
      <c r="B547" s="321"/>
      <c r="D547" s="320"/>
    </row>
    <row r="548" spans="2:4" x14ac:dyDescent="0.2">
      <c r="B548" s="321"/>
      <c r="D548" s="320"/>
    </row>
    <row r="549" spans="2:4" x14ac:dyDescent="0.2">
      <c r="B549" s="321"/>
      <c r="D549" s="320"/>
    </row>
    <row r="550" spans="2:4" x14ac:dyDescent="0.2">
      <c r="B550" s="321"/>
      <c r="D550" s="320"/>
    </row>
    <row r="551" spans="2:4" x14ac:dyDescent="0.2">
      <c r="B551" s="321"/>
      <c r="D551" s="320"/>
    </row>
    <row r="552" spans="2:4" x14ac:dyDescent="0.2">
      <c r="B552" s="321"/>
      <c r="D552" s="320"/>
    </row>
    <row r="553" spans="2:4" x14ac:dyDescent="0.2">
      <c r="B553" s="321"/>
      <c r="D553" s="320"/>
    </row>
    <row r="554" spans="2:4" x14ac:dyDescent="0.2">
      <c r="B554" s="321"/>
      <c r="D554" s="320"/>
    </row>
    <row r="555" spans="2:4" x14ac:dyDescent="0.2">
      <c r="B555" s="321"/>
      <c r="D555" s="320"/>
    </row>
    <row r="556" spans="2:4" x14ac:dyDescent="0.2">
      <c r="B556" s="321"/>
      <c r="D556" s="320"/>
    </row>
    <row r="557" spans="2:4" x14ac:dyDescent="0.2">
      <c r="B557" s="321"/>
      <c r="D557" s="320"/>
    </row>
    <row r="558" spans="2:4" x14ac:dyDescent="0.2">
      <c r="B558" s="321"/>
      <c r="D558" s="320"/>
    </row>
    <row r="559" spans="2:4" x14ac:dyDescent="0.2">
      <c r="B559" s="321"/>
      <c r="D559" s="320"/>
    </row>
    <row r="560" spans="2:4" x14ac:dyDescent="0.2">
      <c r="B560" s="321"/>
      <c r="D560" s="320"/>
    </row>
    <row r="561" spans="2:4" x14ac:dyDescent="0.2">
      <c r="B561" s="321"/>
      <c r="D561" s="320"/>
    </row>
    <row r="562" spans="2:4" x14ac:dyDescent="0.2">
      <c r="B562" s="321"/>
      <c r="D562" s="320"/>
    </row>
    <row r="563" spans="2:4" x14ac:dyDescent="0.2">
      <c r="B563" s="321"/>
      <c r="D563" s="320"/>
    </row>
    <row r="564" spans="2:4" x14ac:dyDescent="0.2">
      <c r="B564" s="321"/>
      <c r="D564" s="320"/>
    </row>
    <row r="565" spans="2:4" x14ac:dyDescent="0.2">
      <c r="B565" s="321"/>
      <c r="D565" s="320"/>
    </row>
    <row r="566" spans="2:4" x14ac:dyDescent="0.2">
      <c r="B566" s="321"/>
      <c r="D566" s="320"/>
    </row>
    <row r="567" spans="2:4" x14ac:dyDescent="0.2">
      <c r="B567" s="321"/>
      <c r="D567" s="320"/>
    </row>
    <row r="568" spans="2:4" x14ac:dyDescent="0.2">
      <c r="B568" s="321"/>
      <c r="D568" s="320"/>
    </row>
    <row r="569" spans="2:4" x14ac:dyDescent="0.2">
      <c r="B569" s="321"/>
      <c r="D569" s="320"/>
    </row>
    <row r="570" spans="2:4" x14ac:dyDescent="0.2">
      <c r="B570" s="321"/>
      <c r="D570" s="320"/>
    </row>
    <row r="571" spans="2:4" x14ac:dyDescent="0.2">
      <c r="B571" s="321"/>
      <c r="D571" s="320"/>
    </row>
    <row r="572" spans="2:4" x14ac:dyDescent="0.2">
      <c r="B572" s="321"/>
      <c r="D572" s="320"/>
    </row>
    <row r="573" spans="2:4" x14ac:dyDescent="0.2">
      <c r="B573" s="321"/>
      <c r="D573" s="320"/>
    </row>
    <row r="574" spans="2:4" x14ac:dyDescent="0.2">
      <c r="B574" s="321"/>
      <c r="D574" s="320"/>
    </row>
    <row r="575" spans="2:4" x14ac:dyDescent="0.2">
      <c r="B575" s="321"/>
      <c r="D575" s="320"/>
    </row>
    <row r="576" spans="2:4" x14ac:dyDescent="0.2">
      <c r="B576" s="321"/>
      <c r="D576" s="320"/>
    </row>
    <row r="577" spans="2:4" x14ac:dyDescent="0.2">
      <c r="B577" s="321"/>
      <c r="D577" s="320"/>
    </row>
    <row r="578" spans="2:4" x14ac:dyDescent="0.2">
      <c r="B578" s="321"/>
      <c r="D578" s="320"/>
    </row>
    <row r="579" spans="2:4" x14ac:dyDescent="0.2">
      <c r="B579" s="321"/>
      <c r="D579" s="320"/>
    </row>
    <row r="580" spans="2:4" x14ac:dyDescent="0.2">
      <c r="B580" s="321"/>
      <c r="D580" s="320"/>
    </row>
    <row r="581" spans="2:4" x14ac:dyDescent="0.2">
      <c r="B581" s="321"/>
      <c r="D581" s="320"/>
    </row>
    <row r="582" spans="2:4" x14ac:dyDescent="0.2">
      <c r="B582" s="321"/>
      <c r="D582" s="320"/>
    </row>
    <row r="583" spans="2:4" x14ac:dyDescent="0.2">
      <c r="B583" s="321"/>
      <c r="D583" s="320"/>
    </row>
    <row r="584" spans="2:4" x14ac:dyDescent="0.2">
      <c r="B584" s="321"/>
      <c r="D584" s="320"/>
    </row>
    <row r="585" spans="2:4" x14ac:dyDescent="0.2">
      <c r="B585" s="321"/>
      <c r="D585" s="320"/>
    </row>
    <row r="586" spans="2:4" x14ac:dyDescent="0.2">
      <c r="B586" s="321"/>
      <c r="D586" s="320"/>
    </row>
    <row r="587" spans="2:4" x14ac:dyDescent="0.2">
      <c r="B587" s="321"/>
      <c r="D587" s="320"/>
    </row>
    <row r="588" spans="2:4" x14ac:dyDescent="0.2">
      <c r="B588" s="321"/>
      <c r="D588" s="320"/>
    </row>
    <row r="589" spans="2:4" x14ac:dyDescent="0.2">
      <c r="B589" s="321"/>
      <c r="D589" s="320"/>
    </row>
    <row r="590" spans="2:4" x14ac:dyDescent="0.2">
      <c r="B590" s="321"/>
      <c r="D590" s="320"/>
    </row>
    <row r="591" spans="2:4" x14ac:dyDescent="0.2">
      <c r="B591" s="321"/>
      <c r="D591" s="320"/>
    </row>
    <row r="592" spans="2:4" x14ac:dyDescent="0.2">
      <c r="B592" s="321"/>
      <c r="D592" s="320"/>
    </row>
    <row r="593" spans="2:4" x14ac:dyDescent="0.2">
      <c r="B593" s="321"/>
      <c r="D593" s="320"/>
    </row>
    <row r="594" spans="2:4" x14ac:dyDescent="0.2">
      <c r="B594" s="321"/>
      <c r="D594" s="320"/>
    </row>
    <row r="595" spans="2:4" x14ac:dyDescent="0.2">
      <c r="B595" s="321"/>
      <c r="D595" s="320"/>
    </row>
    <row r="596" spans="2:4" x14ac:dyDescent="0.2">
      <c r="B596" s="321"/>
      <c r="D596" s="320"/>
    </row>
    <row r="597" spans="2:4" x14ac:dyDescent="0.2">
      <c r="B597" s="321"/>
      <c r="D597" s="320"/>
    </row>
    <row r="598" spans="2:4" x14ac:dyDescent="0.2">
      <c r="B598" s="321"/>
      <c r="D598" s="320"/>
    </row>
    <row r="599" spans="2:4" x14ac:dyDescent="0.2">
      <c r="B599" s="321"/>
      <c r="D599" s="320"/>
    </row>
    <row r="600" spans="2:4" x14ac:dyDescent="0.2">
      <c r="B600" s="321"/>
      <c r="D600" s="320"/>
    </row>
    <row r="601" spans="2:4" x14ac:dyDescent="0.2">
      <c r="B601" s="321"/>
      <c r="D601" s="320"/>
    </row>
    <row r="602" spans="2:4" x14ac:dyDescent="0.2">
      <c r="B602" s="321"/>
      <c r="D602" s="320"/>
    </row>
    <row r="603" spans="2:4" x14ac:dyDescent="0.2">
      <c r="B603" s="321"/>
      <c r="D603" s="320"/>
    </row>
    <row r="604" spans="2:4" x14ac:dyDescent="0.2">
      <c r="B604" s="321"/>
      <c r="D604" s="320"/>
    </row>
    <row r="605" spans="2:4" x14ac:dyDescent="0.2">
      <c r="B605" s="321"/>
      <c r="D605" s="320"/>
    </row>
    <row r="606" spans="2:4" x14ac:dyDescent="0.2">
      <c r="B606" s="321"/>
      <c r="D606" s="320"/>
    </row>
    <row r="607" spans="2:4" x14ac:dyDescent="0.2">
      <c r="B607" s="321"/>
      <c r="D607" s="320"/>
    </row>
    <row r="608" spans="2:4" x14ac:dyDescent="0.2">
      <c r="B608" s="321"/>
      <c r="D608" s="320"/>
    </row>
    <row r="609" spans="2:4" x14ac:dyDescent="0.2">
      <c r="B609" s="321"/>
      <c r="D609" s="320"/>
    </row>
    <row r="610" spans="2:4" x14ac:dyDescent="0.2">
      <c r="B610" s="321"/>
      <c r="D610" s="320"/>
    </row>
    <row r="611" spans="2:4" x14ac:dyDescent="0.2">
      <c r="B611" s="321"/>
      <c r="D611" s="320"/>
    </row>
    <row r="612" spans="2:4" x14ac:dyDescent="0.2">
      <c r="B612" s="321"/>
      <c r="D612" s="320"/>
    </row>
    <row r="613" spans="2:4" x14ac:dyDescent="0.2">
      <c r="B613" s="321"/>
      <c r="D613" s="320"/>
    </row>
    <row r="614" spans="2:4" x14ac:dyDescent="0.2">
      <c r="B614" s="321"/>
      <c r="D614" s="320"/>
    </row>
    <row r="615" spans="2:4" x14ac:dyDescent="0.2">
      <c r="B615" s="321"/>
      <c r="D615" s="320"/>
    </row>
    <row r="616" spans="2:4" x14ac:dyDescent="0.2">
      <c r="B616" s="321"/>
      <c r="D616" s="320"/>
    </row>
    <row r="617" spans="2:4" x14ac:dyDescent="0.2">
      <c r="B617" s="321"/>
      <c r="D617" s="320"/>
    </row>
    <row r="618" spans="2:4" x14ac:dyDescent="0.2">
      <c r="B618" s="321"/>
      <c r="D618" s="320"/>
    </row>
    <row r="619" spans="2:4" x14ac:dyDescent="0.2">
      <c r="B619" s="321"/>
      <c r="D619" s="320"/>
    </row>
    <row r="620" spans="2:4" x14ac:dyDescent="0.2">
      <c r="B620" s="321"/>
      <c r="D620" s="320"/>
    </row>
    <row r="621" spans="2:4" x14ac:dyDescent="0.2">
      <c r="B621" s="321"/>
      <c r="D621" s="320"/>
    </row>
    <row r="622" spans="2:4" x14ac:dyDescent="0.2">
      <c r="B622" s="321"/>
      <c r="D622" s="320"/>
    </row>
    <row r="623" spans="2:4" x14ac:dyDescent="0.2">
      <c r="B623" s="321"/>
      <c r="D623" s="320"/>
    </row>
    <row r="624" spans="2:4" x14ac:dyDescent="0.2">
      <c r="B624" s="321"/>
      <c r="D624" s="320"/>
    </row>
    <row r="625" spans="2:4" x14ac:dyDescent="0.2">
      <c r="B625" s="321"/>
      <c r="D625" s="320"/>
    </row>
    <row r="626" spans="2:4" x14ac:dyDescent="0.2">
      <c r="B626" s="321"/>
      <c r="D626" s="320"/>
    </row>
    <row r="627" spans="2:4" x14ac:dyDescent="0.2">
      <c r="B627" s="321"/>
      <c r="D627" s="320"/>
    </row>
    <row r="628" spans="2:4" x14ac:dyDescent="0.2">
      <c r="B628" s="321"/>
      <c r="D628" s="320"/>
    </row>
    <row r="629" spans="2:4" x14ac:dyDescent="0.2">
      <c r="B629" s="321"/>
      <c r="D629" s="320"/>
    </row>
    <row r="630" spans="2:4" x14ac:dyDescent="0.2">
      <c r="B630" s="321"/>
      <c r="D630" s="320"/>
    </row>
    <row r="631" spans="2:4" x14ac:dyDescent="0.2">
      <c r="B631" s="321"/>
      <c r="D631" s="320"/>
    </row>
    <row r="632" spans="2:4" x14ac:dyDescent="0.2">
      <c r="B632" s="321"/>
      <c r="D632" s="320"/>
    </row>
    <row r="633" spans="2:4" x14ac:dyDescent="0.2">
      <c r="B633" s="321"/>
      <c r="D633" s="320"/>
    </row>
    <row r="634" spans="2:4" x14ac:dyDescent="0.2">
      <c r="B634" s="321"/>
      <c r="D634" s="320"/>
    </row>
    <row r="635" spans="2:4" x14ac:dyDescent="0.2">
      <c r="B635" s="321"/>
      <c r="D635" s="320"/>
    </row>
    <row r="636" spans="2:4" x14ac:dyDescent="0.2">
      <c r="B636" s="321"/>
      <c r="D636" s="320"/>
    </row>
    <row r="637" spans="2:4" x14ac:dyDescent="0.2">
      <c r="B637" s="321"/>
      <c r="D637" s="320"/>
    </row>
    <row r="638" spans="2:4" x14ac:dyDescent="0.2">
      <c r="B638" s="321"/>
      <c r="D638" s="320"/>
    </row>
    <row r="639" spans="2:4" x14ac:dyDescent="0.2">
      <c r="B639" s="321"/>
      <c r="D639" s="320"/>
    </row>
    <row r="640" spans="2:4" x14ac:dyDescent="0.2">
      <c r="B640" s="321"/>
      <c r="D640" s="320"/>
    </row>
    <row r="641" spans="2:4" x14ac:dyDescent="0.2">
      <c r="B641" s="321"/>
      <c r="D641" s="320"/>
    </row>
    <row r="642" spans="2:4" x14ac:dyDescent="0.2">
      <c r="B642" s="321"/>
      <c r="D642" s="320"/>
    </row>
    <row r="643" spans="2:4" x14ac:dyDescent="0.2">
      <c r="B643" s="321"/>
      <c r="D643" s="320"/>
    </row>
    <row r="644" spans="2:4" x14ac:dyDescent="0.2">
      <c r="B644" s="321"/>
      <c r="D644" s="320"/>
    </row>
    <row r="645" spans="2:4" x14ac:dyDescent="0.2">
      <c r="B645" s="321"/>
      <c r="D645" s="320"/>
    </row>
    <row r="646" spans="2:4" x14ac:dyDescent="0.2">
      <c r="B646" s="321"/>
      <c r="D646" s="320"/>
    </row>
    <row r="647" spans="2:4" x14ac:dyDescent="0.2">
      <c r="B647" s="321"/>
      <c r="D647" s="320"/>
    </row>
    <row r="648" spans="2:4" x14ac:dyDescent="0.2">
      <c r="B648" s="321"/>
      <c r="D648" s="320"/>
    </row>
    <row r="649" spans="2:4" x14ac:dyDescent="0.2">
      <c r="B649" s="321"/>
      <c r="D649" s="320"/>
    </row>
    <row r="650" spans="2:4" x14ac:dyDescent="0.2">
      <c r="B650" s="321"/>
      <c r="D650" s="320"/>
    </row>
    <row r="651" spans="2:4" x14ac:dyDescent="0.2">
      <c r="B651" s="321"/>
      <c r="D651" s="320"/>
    </row>
    <row r="652" spans="2:4" x14ac:dyDescent="0.2">
      <c r="B652" s="321"/>
      <c r="D652" s="320"/>
    </row>
    <row r="653" spans="2:4" x14ac:dyDescent="0.2">
      <c r="B653" s="321"/>
      <c r="D653" s="320"/>
    </row>
    <row r="654" spans="2:4" x14ac:dyDescent="0.2">
      <c r="B654" s="321"/>
      <c r="D654" s="320"/>
    </row>
    <row r="655" spans="2:4" x14ac:dyDescent="0.2">
      <c r="B655" s="321"/>
      <c r="D655" s="320"/>
    </row>
    <row r="656" spans="2:4" x14ac:dyDescent="0.2">
      <c r="B656" s="321"/>
      <c r="D656" s="320"/>
    </row>
    <row r="657" spans="2:4" x14ac:dyDescent="0.2">
      <c r="B657" s="321"/>
      <c r="D657" s="320"/>
    </row>
    <row r="658" spans="2:4" x14ac:dyDescent="0.2">
      <c r="B658" s="321"/>
      <c r="D658" s="320"/>
    </row>
    <row r="659" spans="2:4" x14ac:dyDescent="0.2">
      <c r="B659" s="321"/>
      <c r="D659" s="320"/>
    </row>
    <row r="660" spans="2:4" x14ac:dyDescent="0.2">
      <c r="B660" s="321"/>
      <c r="D660" s="320"/>
    </row>
    <row r="661" spans="2:4" x14ac:dyDescent="0.2">
      <c r="B661" s="321"/>
      <c r="D661" s="320"/>
    </row>
    <row r="662" spans="2:4" x14ac:dyDescent="0.2">
      <c r="B662" s="321"/>
      <c r="D662" s="320"/>
    </row>
    <row r="663" spans="2:4" x14ac:dyDescent="0.2">
      <c r="B663" s="321"/>
      <c r="D663" s="320"/>
    </row>
    <row r="664" spans="2:4" x14ac:dyDescent="0.2">
      <c r="B664" s="321"/>
      <c r="D664" s="320"/>
    </row>
    <row r="665" spans="2:4" x14ac:dyDescent="0.2">
      <c r="B665" s="321"/>
      <c r="D665" s="320"/>
    </row>
    <row r="666" spans="2:4" x14ac:dyDescent="0.2">
      <c r="B666" s="321"/>
      <c r="D666" s="320"/>
    </row>
    <row r="667" spans="2:4" x14ac:dyDescent="0.2">
      <c r="B667" s="321"/>
      <c r="D667" s="320"/>
    </row>
    <row r="668" spans="2:4" x14ac:dyDescent="0.2">
      <c r="B668" s="321"/>
      <c r="D668" s="320"/>
    </row>
    <row r="669" spans="2:4" x14ac:dyDescent="0.2">
      <c r="B669" s="321"/>
      <c r="D669" s="320"/>
    </row>
    <row r="670" spans="2:4" x14ac:dyDescent="0.2">
      <c r="B670" s="321"/>
      <c r="D670" s="320"/>
    </row>
    <row r="671" spans="2:4" x14ac:dyDescent="0.2">
      <c r="B671" s="321"/>
      <c r="D671" s="320"/>
    </row>
    <row r="672" spans="2:4" x14ac:dyDescent="0.2">
      <c r="B672" s="321"/>
      <c r="D672" s="320"/>
    </row>
    <row r="673" spans="2:4" x14ac:dyDescent="0.2">
      <c r="B673" s="321"/>
      <c r="D673" s="320"/>
    </row>
    <row r="674" spans="2:4" x14ac:dyDescent="0.2">
      <c r="B674" s="321"/>
      <c r="D674" s="320"/>
    </row>
    <row r="675" spans="2:4" x14ac:dyDescent="0.2">
      <c r="B675" s="321"/>
      <c r="D675" s="320"/>
    </row>
    <row r="676" spans="2:4" x14ac:dyDescent="0.2">
      <c r="B676" s="321"/>
      <c r="D676" s="320"/>
    </row>
    <row r="677" spans="2:4" x14ac:dyDescent="0.2">
      <c r="B677" s="321"/>
      <c r="D677" s="320"/>
    </row>
    <row r="678" spans="2:4" x14ac:dyDescent="0.2">
      <c r="B678" s="321"/>
      <c r="D678" s="320"/>
    </row>
    <row r="679" spans="2:4" x14ac:dyDescent="0.2">
      <c r="B679" s="321"/>
      <c r="D679" s="320"/>
    </row>
    <row r="680" spans="2:4" x14ac:dyDescent="0.2">
      <c r="B680" s="321"/>
      <c r="D680" s="320"/>
    </row>
    <row r="681" spans="2:4" x14ac:dyDescent="0.2">
      <c r="B681" s="321"/>
      <c r="D681" s="320"/>
    </row>
    <row r="682" spans="2:4" x14ac:dyDescent="0.2">
      <c r="B682" s="321"/>
      <c r="D682" s="320"/>
    </row>
    <row r="683" spans="2:4" x14ac:dyDescent="0.2">
      <c r="B683" s="321"/>
      <c r="D683" s="320"/>
    </row>
    <row r="684" spans="2:4" x14ac:dyDescent="0.2">
      <c r="B684" s="321"/>
      <c r="D684" s="320"/>
    </row>
    <row r="685" spans="2:4" x14ac:dyDescent="0.2">
      <c r="B685" s="321"/>
      <c r="D685" s="320"/>
    </row>
    <row r="686" spans="2:4" x14ac:dyDescent="0.2">
      <c r="B686" s="321"/>
      <c r="D686" s="320"/>
    </row>
    <row r="687" spans="2:4" x14ac:dyDescent="0.2">
      <c r="B687" s="321"/>
      <c r="D687" s="320"/>
    </row>
    <row r="688" spans="2:4" x14ac:dyDescent="0.2">
      <c r="B688" s="321"/>
      <c r="D688" s="320"/>
    </row>
    <row r="689" spans="2:4" x14ac:dyDescent="0.2">
      <c r="B689" s="321"/>
      <c r="D689" s="320"/>
    </row>
    <row r="690" spans="2:4" x14ac:dyDescent="0.2">
      <c r="B690" s="321"/>
      <c r="D690" s="320"/>
    </row>
    <row r="691" spans="2:4" x14ac:dyDescent="0.2">
      <c r="B691" s="321"/>
      <c r="D691" s="320"/>
    </row>
    <row r="692" spans="2:4" x14ac:dyDescent="0.2">
      <c r="B692" s="321"/>
      <c r="D692" s="320"/>
    </row>
    <row r="693" spans="2:4" x14ac:dyDescent="0.2">
      <c r="B693" s="321"/>
      <c r="D693" s="320"/>
    </row>
    <row r="694" spans="2:4" x14ac:dyDescent="0.2">
      <c r="B694" s="321"/>
      <c r="D694" s="320"/>
    </row>
    <row r="695" spans="2:4" x14ac:dyDescent="0.2">
      <c r="B695" s="321"/>
      <c r="D695" s="320"/>
    </row>
    <row r="696" spans="2:4" x14ac:dyDescent="0.2">
      <c r="B696" s="321"/>
      <c r="D696" s="320"/>
    </row>
    <row r="697" spans="2:4" x14ac:dyDescent="0.2">
      <c r="B697" s="321"/>
      <c r="D697" s="320"/>
    </row>
    <row r="698" spans="2:4" x14ac:dyDescent="0.2">
      <c r="B698" s="321"/>
      <c r="D698" s="320"/>
    </row>
    <row r="699" spans="2:4" x14ac:dyDescent="0.2">
      <c r="B699" s="321"/>
      <c r="D699" s="320"/>
    </row>
    <row r="700" spans="2:4" x14ac:dyDescent="0.2">
      <c r="B700" s="321"/>
      <c r="D700" s="320"/>
    </row>
    <row r="701" spans="2:4" x14ac:dyDescent="0.2">
      <c r="B701" s="321"/>
      <c r="D701" s="320"/>
    </row>
    <row r="702" spans="2:4" x14ac:dyDescent="0.2">
      <c r="B702" s="321"/>
      <c r="D702" s="320"/>
    </row>
    <row r="703" spans="2:4" x14ac:dyDescent="0.2">
      <c r="B703" s="321"/>
      <c r="D703" s="320"/>
    </row>
    <row r="704" spans="2:4" x14ac:dyDescent="0.2">
      <c r="B704" s="321"/>
      <c r="D704" s="320"/>
    </row>
    <row r="705" spans="2:4" x14ac:dyDescent="0.2">
      <c r="B705" s="321"/>
      <c r="D705" s="320"/>
    </row>
    <row r="706" spans="2:4" x14ac:dyDescent="0.2">
      <c r="B706" s="321"/>
      <c r="D706" s="320"/>
    </row>
    <row r="707" spans="2:4" x14ac:dyDescent="0.2">
      <c r="B707" s="321"/>
      <c r="D707" s="320"/>
    </row>
    <row r="708" spans="2:4" x14ac:dyDescent="0.2">
      <c r="B708" s="321"/>
      <c r="D708" s="320"/>
    </row>
    <row r="709" spans="2:4" x14ac:dyDescent="0.2">
      <c r="B709" s="321"/>
      <c r="D709" s="320"/>
    </row>
    <row r="710" spans="2:4" x14ac:dyDescent="0.2">
      <c r="B710" s="321"/>
      <c r="D710" s="320"/>
    </row>
    <row r="711" spans="2:4" x14ac:dyDescent="0.2">
      <c r="B711" s="321"/>
      <c r="D711" s="320"/>
    </row>
    <row r="712" spans="2:4" x14ac:dyDescent="0.2">
      <c r="B712" s="321"/>
      <c r="D712" s="320"/>
    </row>
    <row r="713" spans="2:4" x14ac:dyDescent="0.2">
      <c r="B713" s="321"/>
      <c r="D713" s="320"/>
    </row>
    <row r="714" spans="2:4" x14ac:dyDescent="0.2">
      <c r="B714" s="321"/>
      <c r="D714" s="320"/>
    </row>
    <row r="715" spans="2:4" x14ac:dyDescent="0.2">
      <c r="B715" s="321"/>
      <c r="D715" s="320"/>
    </row>
    <row r="716" spans="2:4" x14ac:dyDescent="0.2">
      <c r="B716" s="321"/>
      <c r="D716" s="320"/>
    </row>
    <row r="717" spans="2:4" x14ac:dyDescent="0.2">
      <c r="B717" s="321"/>
      <c r="D717" s="320"/>
    </row>
    <row r="718" spans="2:4" x14ac:dyDescent="0.2">
      <c r="B718" s="321"/>
      <c r="D718" s="320"/>
    </row>
    <row r="719" spans="2:4" x14ac:dyDescent="0.2">
      <c r="B719" s="321"/>
      <c r="D719" s="320"/>
    </row>
    <row r="720" spans="2:4" x14ac:dyDescent="0.2">
      <c r="B720" s="321"/>
      <c r="D720" s="320"/>
    </row>
    <row r="721" spans="2:4" x14ac:dyDescent="0.2">
      <c r="B721" s="321"/>
      <c r="D721" s="320"/>
    </row>
    <row r="722" spans="2:4" x14ac:dyDescent="0.2">
      <c r="B722" s="321"/>
      <c r="D722" s="320"/>
    </row>
    <row r="723" spans="2:4" x14ac:dyDescent="0.2">
      <c r="B723" s="321"/>
      <c r="D723" s="320"/>
    </row>
    <row r="724" spans="2:4" x14ac:dyDescent="0.2">
      <c r="B724" s="321"/>
      <c r="D724" s="320"/>
    </row>
    <row r="725" spans="2:4" x14ac:dyDescent="0.2">
      <c r="B725" s="321"/>
      <c r="D725" s="320"/>
    </row>
    <row r="726" spans="2:4" x14ac:dyDescent="0.2">
      <c r="B726" s="321"/>
      <c r="D726" s="320"/>
    </row>
    <row r="727" spans="2:4" x14ac:dyDescent="0.2">
      <c r="B727" s="321"/>
      <c r="D727" s="320"/>
    </row>
    <row r="728" spans="2:4" x14ac:dyDescent="0.2">
      <c r="B728" s="321"/>
      <c r="D728" s="320"/>
    </row>
    <row r="729" spans="2:4" x14ac:dyDescent="0.2">
      <c r="B729" s="321"/>
      <c r="D729" s="320"/>
    </row>
    <row r="730" spans="2:4" x14ac:dyDescent="0.2">
      <c r="B730" s="321"/>
      <c r="D730" s="320"/>
    </row>
    <row r="731" spans="2:4" x14ac:dyDescent="0.2">
      <c r="B731" s="321"/>
      <c r="D731" s="320"/>
    </row>
    <row r="732" spans="2:4" x14ac:dyDescent="0.2">
      <c r="B732" s="321"/>
      <c r="D732" s="320"/>
    </row>
    <row r="733" spans="2:4" x14ac:dyDescent="0.2">
      <c r="B733" s="321"/>
      <c r="D733" s="320"/>
    </row>
    <row r="734" spans="2:4" x14ac:dyDescent="0.2">
      <c r="B734" s="321"/>
      <c r="D734" s="320"/>
    </row>
    <row r="735" spans="2:4" x14ac:dyDescent="0.2">
      <c r="B735" s="321"/>
      <c r="D735" s="320"/>
    </row>
    <row r="736" spans="2:4" x14ac:dyDescent="0.2">
      <c r="B736" s="321"/>
      <c r="D736" s="320"/>
    </row>
    <row r="737" spans="2:4" x14ac:dyDescent="0.2">
      <c r="B737" s="321"/>
      <c r="D737" s="320"/>
    </row>
    <row r="738" spans="2:4" x14ac:dyDescent="0.2">
      <c r="B738" s="321"/>
      <c r="D738" s="320"/>
    </row>
    <row r="739" spans="2:4" x14ac:dyDescent="0.2">
      <c r="B739" s="321"/>
      <c r="D739" s="320"/>
    </row>
    <row r="740" spans="2:4" x14ac:dyDescent="0.2">
      <c r="B740" s="321"/>
      <c r="D740" s="320"/>
    </row>
    <row r="741" spans="2:4" x14ac:dyDescent="0.2">
      <c r="B741" s="321"/>
      <c r="D741" s="320"/>
    </row>
    <row r="742" spans="2:4" x14ac:dyDescent="0.2">
      <c r="B742" s="321"/>
      <c r="D742" s="320"/>
    </row>
    <row r="743" spans="2:4" x14ac:dyDescent="0.2">
      <c r="B743" s="321"/>
      <c r="D743" s="320"/>
    </row>
    <row r="744" spans="2:4" x14ac:dyDescent="0.2">
      <c r="B744" s="321"/>
      <c r="D744" s="320"/>
    </row>
    <row r="745" spans="2:4" x14ac:dyDescent="0.2">
      <c r="B745" s="321"/>
      <c r="D745" s="320"/>
    </row>
    <row r="746" spans="2:4" x14ac:dyDescent="0.2">
      <c r="B746" s="321"/>
      <c r="D746" s="320"/>
    </row>
    <row r="747" spans="2:4" x14ac:dyDescent="0.2">
      <c r="B747" s="321"/>
      <c r="D747" s="320"/>
    </row>
    <row r="748" spans="2:4" x14ac:dyDescent="0.2">
      <c r="B748" s="321"/>
      <c r="D748" s="320"/>
    </row>
    <row r="749" spans="2:4" x14ac:dyDescent="0.2">
      <c r="B749" s="321"/>
      <c r="D749" s="320"/>
    </row>
    <row r="750" spans="2:4" x14ac:dyDescent="0.2">
      <c r="B750" s="321"/>
      <c r="D750" s="320"/>
    </row>
    <row r="751" spans="2:4" x14ac:dyDescent="0.2">
      <c r="B751" s="321"/>
      <c r="D751" s="320"/>
    </row>
    <row r="752" spans="2:4" x14ac:dyDescent="0.2">
      <c r="B752" s="321"/>
      <c r="D752" s="320"/>
    </row>
    <row r="753" spans="2:4" x14ac:dyDescent="0.2">
      <c r="B753" s="321"/>
      <c r="D753" s="320"/>
    </row>
    <row r="754" spans="2:4" x14ac:dyDescent="0.2">
      <c r="B754" s="321"/>
      <c r="D754" s="320"/>
    </row>
    <row r="755" spans="2:4" x14ac:dyDescent="0.2">
      <c r="B755" s="321"/>
      <c r="D755" s="320"/>
    </row>
    <row r="756" spans="2:4" x14ac:dyDescent="0.2">
      <c r="B756" s="321"/>
      <c r="D756" s="320"/>
    </row>
    <row r="757" spans="2:4" x14ac:dyDescent="0.2">
      <c r="B757" s="321"/>
      <c r="D757" s="320"/>
    </row>
    <row r="758" spans="2:4" x14ac:dyDescent="0.2">
      <c r="B758" s="321"/>
      <c r="D758" s="320"/>
    </row>
    <row r="759" spans="2:4" x14ac:dyDescent="0.2">
      <c r="B759" s="321"/>
      <c r="D759" s="320"/>
    </row>
    <row r="760" spans="2:4" x14ac:dyDescent="0.2">
      <c r="B760" s="321"/>
      <c r="D760" s="320"/>
    </row>
    <row r="761" spans="2:4" x14ac:dyDescent="0.2">
      <c r="B761" s="321"/>
      <c r="D761" s="320"/>
    </row>
    <row r="762" spans="2:4" x14ac:dyDescent="0.2">
      <c r="B762" s="321"/>
      <c r="D762" s="320"/>
    </row>
    <row r="763" spans="2:4" x14ac:dyDescent="0.2">
      <c r="B763" s="321"/>
      <c r="D763" s="320"/>
    </row>
    <row r="764" spans="2:4" x14ac:dyDescent="0.2">
      <c r="B764" s="321"/>
      <c r="D764" s="320"/>
    </row>
    <row r="765" spans="2:4" x14ac:dyDescent="0.2">
      <c r="B765" s="321"/>
      <c r="D765" s="320"/>
    </row>
    <row r="766" spans="2:4" x14ac:dyDescent="0.2">
      <c r="B766" s="321"/>
      <c r="D766" s="320"/>
    </row>
    <row r="767" spans="2:4" x14ac:dyDescent="0.2">
      <c r="B767" s="321"/>
      <c r="D767" s="320"/>
    </row>
    <row r="768" spans="2:4" x14ac:dyDescent="0.2">
      <c r="B768" s="321"/>
      <c r="D768" s="320"/>
    </row>
    <row r="769" spans="2:4" x14ac:dyDescent="0.2">
      <c r="B769" s="321"/>
      <c r="D769" s="320"/>
    </row>
    <row r="770" spans="2:4" x14ac:dyDescent="0.2">
      <c r="B770" s="321"/>
      <c r="D770" s="320"/>
    </row>
    <row r="771" spans="2:4" x14ac:dyDescent="0.2">
      <c r="B771" s="321"/>
      <c r="D771" s="320"/>
    </row>
    <row r="772" spans="2:4" x14ac:dyDescent="0.2">
      <c r="B772" s="321"/>
      <c r="D772" s="320"/>
    </row>
    <row r="773" spans="2:4" x14ac:dyDescent="0.2">
      <c r="B773" s="321"/>
      <c r="D773" s="320"/>
    </row>
    <row r="774" spans="2:4" x14ac:dyDescent="0.2">
      <c r="B774" s="321"/>
      <c r="D774" s="320"/>
    </row>
    <row r="775" spans="2:4" x14ac:dyDescent="0.2">
      <c r="B775" s="321"/>
      <c r="D775" s="320"/>
    </row>
    <row r="776" spans="2:4" x14ac:dyDescent="0.2">
      <c r="B776" s="321"/>
      <c r="D776" s="320"/>
    </row>
    <row r="777" spans="2:4" x14ac:dyDescent="0.2">
      <c r="B777" s="321"/>
      <c r="D777" s="320"/>
    </row>
    <row r="778" spans="2:4" x14ac:dyDescent="0.2">
      <c r="B778" s="321"/>
      <c r="D778" s="320"/>
    </row>
    <row r="779" spans="2:4" x14ac:dyDescent="0.2">
      <c r="B779" s="321"/>
      <c r="D779" s="320"/>
    </row>
    <row r="780" spans="2:4" x14ac:dyDescent="0.2">
      <c r="B780" s="321"/>
      <c r="D780" s="320"/>
    </row>
    <row r="781" spans="2:4" x14ac:dyDescent="0.2">
      <c r="B781" s="321"/>
      <c r="D781" s="320"/>
    </row>
    <row r="782" spans="2:4" x14ac:dyDescent="0.2">
      <c r="B782" s="321"/>
      <c r="D782" s="320"/>
    </row>
    <row r="783" spans="2:4" x14ac:dyDescent="0.2">
      <c r="B783" s="321"/>
      <c r="D783" s="320"/>
    </row>
    <row r="784" spans="2:4" x14ac:dyDescent="0.2">
      <c r="B784" s="321"/>
      <c r="D784" s="320"/>
    </row>
    <row r="785" spans="2:4" x14ac:dyDescent="0.2">
      <c r="B785" s="321"/>
      <c r="D785" s="320"/>
    </row>
    <row r="786" spans="2:4" x14ac:dyDescent="0.2">
      <c r="B786" s="321"/>
      <c r="D786" s="320"/>
    </row>
    <row r="787" spans="2:4" x14ac:dyDescent="0.2">
      <c r="B787" s="321"/>
      <c r="D787" s="320"/>
    </row>
    <row r="788" spans="2:4" x14ac:dyDescent="0.2">
      <c r="B788" s="321"/>
      <c r="D788" s="320"/>
    </row>
    <row r="789" spans="2:4" x14ac:dyDescent="0.2">
      <c r="B789" s="321"/>
      <c r="D789" s="320"/>
    </row>
    <row r="790" spans="2:4" x14ac:dyDescent="0.2">
      <c r="B790" s="321"/>
      <c r="D790" s="320"/>
    </row>
    <row r="791" spans="2:4" x14ac:dyDescent="0.2">
      <c r="B791" s="321"/>
      <c r="D791" s="320"/>
    </row>
    <row r="792" spans="2:4" x14ac:dyDescent="0.2">
      <c r="B792" s="321"/>
      <c r="D792" s="320"/>
    </row>
    <row r="793" spans="2:4" x14ac:dyDescent="0.2">
      <c r="B793" s="321"/>
      <c r="D793" s="320"/>
    </row>
    <row r="794" spans="2:4" x14ac:dyDescent="0.2">
      <c r="B794" s="321"/>
      <c r="D794" s="320"/>
    </row>
    <row r="795" spans="2:4" x14ac:dyDescent="0.2">
      <c r="B795" s="321"/>
      <c r="D795" s="320"/>
    </row>
    <row r="796" spans="2:4" x14ac:dyDescent="0.2">
      <c r="B796" s="321"/>
      <c r="D796" s="320"/>
    </row>
    <row r="797" spans="2:4" x14ac:dyDescent="0.2">
      <c r="B797" s="321"/>
      <c r="D797" s="320"/>
    </row>
    <row r="798" spans="2:4" x14ac:dyDescent="0.2">
      <c r="B798" s="321"/>
      <c r="D798" s="320"/>
    </row>
    <row r="799" spans="2:4" x14ac:dyDescent="0.2">
      <c r="B799" s="321"/>
      <c r="D799" s="320"/>
    </row>
    <row r="800" spans="2:4" x14ac:dyDescent="0.2">
      <c r="B800" s="321"/>
      <c r="D800" s="320"/>
    </row>
    <row r="801" spans="2:4" x14ac:dyDescent="0.2">
      <c r="B801" s="321"/>
      <c r="D801" s="320"/>
    </row>
    <row r="802" spans="2:4" x14ac:dyDescent="0.2">
      <c r="B802" s="321"/>
      <c r="D802" s="320"/>
    </row>
    <row r="803" spans="2:4" x14ac:dyDescent="0.2">
      <c r="B803" s="321"/>
      <c r="D803" s="320"/>
    </row>
    <row r="804" spans="2:4" x14ac:dyDescent="0.2">
      <c r="B804" s="321"/>
      <c r="D804" s="320"/>
    </row>
    <row r="805" spans="2:4" x14ac:dyDescent="0.2">
      <c r="B805" s="321"/>
      <c r="D805" s="320"/>
    </row>
    <row r="806" spans="2:4" x14ac:dyDescent="0.2">
      <c r="B806" s="321"/>
      <c r="D806" s="320"/>
    </row>
    <row r="807" spans="2:4" x14ac:dyDescent="0.2">
      <c r="B807" s="321"/>
      <c r="D807" s="320"/>
    </row>
    <row r="808" spans="2:4" x14ac:dyDescent="0.2">
      <c r="B808" s="321"/>
      <c r="D808" s="320"/>
    </row>
    <row r="809" spans="2:4" x14ac:dyDescent="0.2">
      <c r="B809" s="321"/>
      <c r="D809" s="320"/>
    </row>
    <row r="810" spans="2:4" x14ac:dyDescent="0.2">
      <c r="B810" s="321"/>
      <c r="D810" s="320"/>
    </row>
    <row r="811" spans="2:4" x14ac:dyDescent="0.2">
      <c r="B811" s="321"/>
      <c r="D811" s="320"/>
    </row>
    <row r="812" spans="2:4" x14ac:dyDescent="0.2">
      <c r="B812" s="321"/>
      <c r="D812" s="320"/>
    </row>
    <row r="813" spans="2:4" x14ac:dyDescent="0.2">
      <c r="B813" s="321"/>
      <c r="D813" s="320"/>
    </row>
    <row r="814" spans="2:4" x14ac:dyDescent="0.2">
      <c r="B814" s="321"/>
      <c r="D814" s="320"/>
    </row>
    <row r="815" spans="2:4" x14ac:dyDescent="0.2">
      <c r="B815" s="321"/>
      <c r="D815" s="320"/>
    </row>
    <row r="816" spans="2:4" x14ac:dyDescent="0.2">
      <c r="B816" s="321"/>
      <c r="D816" s="320"/>
    </row>
    <row r="817" spans="2:4" x14ac:dyDescent="0.2">
      <c r="B817" s="321"/>
      <c r="D817" s="320"/>
    </row>
    <row r="818" spans="2:4" x14ac:dyDescent="0.2">
      <c r="B818" s="321"/>
      <c r="D818" s="320"/>
    </row>
    <row r="819" spans="2:4" x14ac:dyDescent="0.2">
      <c r="B819" s="321"/>
      <c r="D819" s="320"/>
    </row>
    <row r="820" spans="2:4" x14ac:dyDescent="0.2">
      <c r="B820" s="321"/>
      <c r="D820" s="320"/>
    </row>
    <row r="821" spans="2:4" x14ac:dyDescent="0.2">
      <c r="B821" s="321"/>
      <c r="D821" s="320"/>
    </row>
    <row r="822" spans="2:4" x14ac:dyDescent="0.2">
      <c r="B822" s="321"/>
      <c r="D822" s="320"/>
    </row>
    <row r="823" spans="2:4" x14ac:dyDescent="0.2">
      <c r="B823" s="321"/>
      <c r="D823" s="320"/>
    </row>
    <row r="824" spans="2:4" x14ac:dyDescent="0.2">
      <c r="B824" s="321"/>
      <c r="D824" s="320"/>
    </row>
    <row r="825" spans="2:4" x14ac:dyDescent="0.2">
      <c r="B825" s="321"/>
      <c r="D825" s="320"/>
    </row>
    <row r="826" spans="2:4" x14ac:dyDescent="0.2">
      <c r="B826" s="321"/>
      <c r="D826" s="320"/>
    </row>
    <row r="827" spans="2:4" x14ac:dyDescent="0.2">
      <c r="B827" s="321"/>
      <c r="D827" s="320"/>
    </row>
    <row r="828" spans="2:4" x14ac:dyDescent="0.2">
      <c r="B828" s="321"/>
      <c r="D828" s="320"/>
    </row>
    <row r="829" spans="2:4" x14ac:dyDescent="0.2">
      <c r="B829" s="321"/>
      <c r="D829" s="320"/>
    </row>
    <row r="830" spans="2:4" x14ac:dyDescent="0.2">
      <c r="B830" s="321"/>
      <c r="D830" s="320"/>
    </row>
    <row r="831" spans="2:4" x14ac:dyDescent="0.2">
      <c r="B831" s="321"/>
      <c r="D831" s="320"/>
    </row>
    <row r="832" spans="2:4" x14ac:dyDescent="0.2">
      <c r="B832" s="321"/>
      <c r="D832" s="320"/>
    </row>
    <row r="833" spans="2:4" x14ac:dyDescent="0.2">
      <c r="B833" s="321"/>
      <c r="D833" s="320"/>
    </row>
    <row r="834" spans="2:4" x14ac:dyDescent="0.2">
      <c r="B834" s="321"/>
      <c r="D834" s="320"/>
    </row>
    <row r="835" spans="2:4" x14ac:dyDescent="0.2">
      <c r="B835" s="321"/>
      <c r="D835" s="320"/>
    </row>
    <row r="836" spans="2:4" x14ac:dyDescent="0.2">
      <c r="B836" s="321"/>
      <c r="D836" s="320"/>
    </row>
    <row r="837" spans="2:4" x14ac:dyDescent="0.2">
      <c r="B837" s="321"/>
      <c r="D837" s="320"/>
    </row>
    <row r="838" spans="2:4" x14ac:dyDescent="0.2">
      <c r="B838" s="321"/>
      <c r="D838" s="320"/>
    </row>
    <row r="839" spans="2:4" x14ac:dyDescent="0.2">
      <c r="B839" s="321"/>
      <c r="D839" s="320"/>
    </row>
    <row r="840" spans="2:4" x14ac:dyDescent="0.2">
      <c r="B840" s="321"/>
      <c r="D840" s="320"/>
    </row>
    <row r="841" spans="2:4" x14ac:dyDescent="0.2">
      <c r="B841" s="321"/>
      <c r="D841" s="320"/>
    </row>
    <row r="842" spans="2:4" x14ac:dyDescent="0.2">
      <c r="B842" s="321"/>
      <c r="D842" s="320"/>
    </row>
    <row r="843" spans="2:4" x14ac:dyDescent="0.2">
      <c r="B843" s="321"/>
      <c r="D843" s="320"/>
    </row>
    <row r="844" spans="2:4" x14ac:dyDescent="0.2">
      <c r="B844" s="321"/>
      <c r="D844" s="320"/>
    </row>
    <row r="845" spans="2:4" x14ac:dyDescent="0.2">
      <c r="B845" s="321"/>
      <c r="D845" s="320"/>
    </row>
    <row r="846" spans="2:4" x14ac:dyDescent="0.2">
      <c r="B846" s="321"/>
      <c r="D846" s="320"/>
    </row>
    <row r="847" spans="2:4" x14ac:dyDescent="0.2">
      <c r="B847" s="321"/>
      <c r="D847" s="320"/>
    </row>
    <row r="848" spans="2:4" x14ac:dyDescent="0.2">
      <c r="B848" s="321"/>
      <c r="D848" s="320"/>
    </row>
    <row r="849" spans="2:4" x14ac:dyDescent="0.2">
      <c r="B849" s="321"/>
      <c r="D849" s="320"/>
    </row>
    <row r="850" spans="2:4" x14ac:dyDescent="0.2">
      <c r="B850" s="321"/>
      <c r="D850" s="320"/>
    </row>
    <row r="851" spans="2:4" x14ac:dyDescent="0.2">
      <c r="B851" s="321"/>
      <c r="D851" s="320"/>
    </row>
    <row r="852" spans="2:4" x14ac:dyDescent="0.2">
      <c r="B852" s="321"/>
      <c r="D852" s="320"/>
    </row>
    <row r="853" spans="2:4" x14ac:dyDescent="0.2">
      <c r="B853" s="321"/>
      <c r="D853" s="320"/>
    </row>
    <row r="854" spans="2:4" x14ac:dyDescent="0.2">
      <c r="B854" s="321"/>
      <c r="D854" s="320"/>
    </row>
    <row r="855" spans="2:4" x14ac:dyDescent="0.2">
      <c r="B855" s="321"/>
      <c r="D855" s="320"/>
    </row>
    <row r="856" spans="2:4" x14ac:dyDescent="0.2">
      <c r="B856" s="321"/>
      <c r="D856" s="320"/>
    </row>
    <row r="857" spans="2:4" x14ac:dyDescent="0.2">
      <c r="B857" s="321"/>
      <c r="D857" s="320"/>
    </row>
    <row r="858" spans="2:4" x14ac:dyDescent="0.2">
      <c r="B858" s="321"/>
      <c r="D858" s="320"/>
    </row>
    <row r="859" spans="2:4" x14ac:dyDescent="0.2">
      <c r="B859" s="321"/>
      <c r="D859" s="320"/>
    </row>
    <row r="860" spans="2:4" x14ac:dyDescent="0.2">
      <c r="B860" s="321"/>
      <c r="D860" s="320"/>
    </row>
    <row r="861" spans="2:4" x14ac:dyDescent="0.2">
      <c r="B861" s="321"/>
      <c r="D861" s="320"/>
    </row>
    <row r="862" spans="2:4" x14ac:dyDescent="0.2">
      <c r="B862" s="321"/>
      <c r="D862" s="320"/>
    </row>
    <row r="863" spans="2:4" x14ac:dyDescent="0.2">
      <c r="B863" s="321"/>
      <c r="D863" s="320"/>
    </row>
    <row r="864" spans="2:4" x14ac:dyDescent="0.2">
      <c r="B864" s="321"/>
      <c r="D864" s="320"/>
    </row>
    <row r="865" spans="2:4" x14ac:dyDescent="0.2">
      <c r="B865" s="321"/>
      <c r="D865" s="320"/>
    </row>
    <row r="866" spans="2:4" x14ac:dyDescent="0.2">
      <c r="B866" s="321"/>
      <c r="D866" s="320"/>
    </row>
    <row r="867" spans="2:4" x14ac:dyDescent="0.2">
      <c r="B867" s="321"/>
      <c r="D867" s="320"/>
    </row>
    <row r="868" spans="2:4" x14ac:dyDescent="0.2">
      <c r="B868" s="321"/>
      <c r="D868" s="320"/>
    </row>
    <row r="869" spans="2:4" x14ac:dyDescent="0.2">
      <c r="B869" s="321"/>
      <c r="D869" s="320"/>
    </row>
    <row r="870" spans="2:4" x14ac:dyDescent="0.2">
      <c r="B870" s="321"/>
      <c r="D870" s="320"/>
    </row>
    <row r="871" spans="2:4" x14ac:dyDescent="0.2">
      <c r="B871" s="321"/>
      <c r="D871" s="320"/>
    </row>
    <row r="872" spans="2:4" x14ac:dyDescent="0.2">
      <c r="B872" s="321"/>
      <c r="D872" s="320"/>
    </row>
    <row r="873" spans="2:4" x14ac:dyDescent="0.2">
      <c r="B873" s="321"/>
      <c r="D873" s="320"/>
    </row>
    <row r="874" spans="2:4" x14ac:dyDescent="0.2">
      <c r="B874" s="321"/>
      <c r="D874" s="320"/>
    </row>
    <row r="875" spans="2:4" x14ac:dyDescent="0.2">
      <c r="B875" s="321"/>
      <c r="D875" s="320"/>
    </row>
    <row r="876" spans="2:4" x14ac:dyDescent="0.2">
      <c r="B876" s="321"/>
      <c r="D876" s="320"/>
    </row>
    <row r="877" spans="2:4" x14ac:dyDescent="0.2">
      <c r="B877" s="321"/>
      <c r="D877" s="320"/>
    </row>
    <row r="878" spans="2:4" x14ac:dyDescent="0.2">
      <c r="B878" s="321"/>
      <c r="D878" s="320"/>
    </row>
    <row r="879" spans="2:4" x14ac:dyDescent="0.2">
      <c r="B879" s="321"/>
      <c r="D879" s="320"/>
    </row>
    <row r="880" spans="2:4" x14ac:dyDescent="0.2">
      <c r="B880" s="321"/>
      <c r="D880" s="320"/>
    </row>
    <row r="881" spans="2:4" x14ac:dyDescent="0.2">
      <c r="B881" s="321"/>
      <c r="D881" s="320"/>
    </row>
    <row r="882" spans="2:4" x14ac:dyDescent="0.2">
      <c r="B882" s="321"/>
      <c r="D882" s="320"/>
    </row>
    <row r="883" spans="2:4" x14ac:dyDescent="0.2">
      <c r="B883" s="321"/>
      <c r="D883" s="320"/>
    </row>
    <row r="884" spans="2:4" x14ac:dyDescent="0.2">
      <c r="B884" s="321"/>
      <c r="D884" s="320"/>
    </row>
    <row r="885" spans="2:4" x14ac:dyDescent="0.2">
      <c r="B885" s="321"/>
      <c r="D885" s="320"/>
    </row>
    <row r="886" spans="2:4" x14ac:dyDescent="0.2">
      <c r="B886" s="321"/>
      <c r="D886" s="320"/>
    </row>
    <row r="887" spans="2:4" x14ac:dyDescent="0.2">
      <c r="B887" s="321"/>
      <c r="D887" s="320"/>
    </row>
    <row r="888" spans="2:4" x14ac:dyDescent="0.2">
      <c r="B888" s="321"/>
      <c r="D888" s="320"/>
    </row>
    <row r="889" spans="2:4" x14ac:dyDescent="0.2">
      <c r="B889" s="321"/>
      <c r="D889" s="320"/>
    </row>
    <row r="890" spans="2:4" x14ac:dyDescent="0.2">
      <c r="B890" s="321"/>
      <c r="D890" s="320"/>
    </row>
    <row r="891" spans="2:4" x14ac:dyDescent="0.2">
      <c r="B891" s="321"/>
      <c r="D891" s="320"/>
    </row>
    <row r="892" spans="2:4" x14ac:dyDescent="0.2">
      <c r="B892" s="321"/>
      <c r="D892" s="320"/>
    </row>
    <row r="893" spans="2:4" x14ac:dyDescent="0.2">
      <c r="B893" s="321"/>
      <c r="D893" s="320"/>
    </row>
    <row r="894" spans="2:4" x14ac:dyDescent="0.2">
      <c r="B894" s="321"/>
      <c r="D894" s="320"/>
    </row>
    <row r="895" spans="2:4" x14ac:dyDescent="0.2">
      <c r="B895" s="321"/>
      <c r="D895" s="320"/>
    </row>
    <row r="896" spans="2:4" x14ac:dyDescent="0.2">
      <c r="B896" s="321"/>
      <c r="D896" s="320"/>
    </row>
    <row r="897" spans="2:4" x14ac:dyDescent="0.2">
      <c r="B897" s="321"/>
      <c r="D897" s="320"/>
    </row>
    <row r="898" spans="2:4" x14ac:dyDescent="0.2">
      <c r="B898" s="321"/>
      <c r="D898" s="320"/>
    </row>
    <row r="899" spans="2:4" x14ac:dyDescent="0.2">
      <c r="B899" s="321"/>
      <c r="D899" s="320"/>
    </row>
    <row r="900" spans="2:4" x14ac:dyDescent="0.2">
      <c r="B900" s="321"/>
      <c r="D900" s="320"/>
    </row>
    <row r="901" spans="2:4" x14ac:dyDescent="0.2">
      <c r="B901" s="321"/>
      <c r="D901" s="320"/>
    </row>
    <row r="902" spans="2:4" x14ac:dyDescent="0.2">
      <c r="B902" s="321"/>
      <c r="D902" s="320"/>
    </row>
    <row r="903" spans="2:4" x14ac:dyDescent="0.2">
      <c r="B903" s="321"/>
      <c r="D903" s="320"/>
    </row>
    <row r="904" spans="2:4" x14ac:dyDescent="0.2">
      <c r="B904" s="321"/>
      <c r="D904" s="320"/>
    </row>
    <row r="905" spans="2:4" x14ac:dyDescent="0.2">
      <c r="B905" s="321"/>
      <c r="D905" s="320"/>
    </row>
    <row r="906" spans="2:4" x14ac:dyDescent="0.2">
      <c r="B906" s="321"/>
      <c r="D906" s="320"/>
    </row>
    <row r="907" spans="2:4" x14ac:dyDescent="0.2">
      <c r="B907" s="321"/>
      <c r="D907" s="320"/>
    </row>
    <row r="908" spans="2:4" x14ac:dyDescent="0.2">
      <c r="B908" s="321"/>
      <c r="D908" s="320"/>
    </row>
    <row r="909" spans="2:4" x14ac:dyDescent="0.2">
      <c r="B909" s="321"/>
      <c r="D909" s="320"/>
    </row>
    <row r="910" spans="2:4" x14ac:dyDescent="0.2">
      <c r="B910" s="321"/>
      <c r="D910" s="320"/>
    </row>
    <row r="911" spans="2:4" x14ac:dyDescent="0.2">
      <c r="B911" s="321"/>
      <c r="D911" s="320"/>
    </row>
    <row r="912" spans="2:4" x14ac:dyDescent="0.2">
      <c r="B912" s="321"/>
      <c r="D912" s="320"/>
    </row>
    <row r="913" spans="2:4" x14ac:dyDescent="0.2">
      <c r="B913" s="321"/>
      <c r="D913" s="320"/>
    </row>
    <row r="914" spans="2:4" x14ac:dyDescent="0.2">
      <c r="B914" s="321"/>
      <c r="D914" s="320"/>
    </row>
    <row r="915" spans="2:4" x14ac:dyDescent="0.2">
      <c r="B915" s="321"/>
      <c r="D915" s="320"/>
    </row>
    <row r="916" spans="2:4" x14ac:dyDescent="0.2">
      <c r="B916" s="321"/>
      <c r="D916" s="320"/>
    </row>
    <row r="917" spans="2:4" x14ac:dyDescent="0.2">
      <c r="B917" s="321"/>
      <c r="D917" s="320"/>
    </row>
    <row r="918" spans="2:4" x14ac:dyDescent="0.2">
      <c r="B918" s="321"/>
      <c r="D918" s="320"/>
    </row>
    <row r="919" spans="2:4" x14ac:dyDescent="0.2">
      <c r="B919" s="321"/>
      <c r="D919" s="320"/>
    </row>
    <row r="920" spans="2:4" x14ac:dyDescent="0.2">
      <c r="B920" s="321"/>
      <c r="D920" s="320"/>
    </row>
    <row r="921" spans="2:4" x14ac:dyDescent="0.2">
      <c r="B921" s="321"/>
      <c r="D921" s="320"/>
    </row>
    <row r="922" spans="2:4" x14ac:dyDescent="0.2">
      <c r="B922" s="321"/>
      <c r="D922" s="320"/>
    </row>
    <row r="923" spans="2:4" x14ac:dyDescent="0.2">
      <c r="B923" s="321"/>
      <c r="D923" s="320"/>
    </row>
    <row r="924" spans="2:4" x14ac:dyDescent="0.2">
      <c r="B924" s="321"/>
      <c r="D924" s="320"/>
    </row>
    <row r="925" spans="2:4" x14ac:dyDescent="0.2">
      <c r="B925" s="321"/>
      <c r="D925" s="320"/>
    </row>
    <row r="926" spans="2:4" x14ac:dyDescent="0.2">
      <c r="B926" s="321"/>
      <c r="D926" s="320"/>
    </row>
    <row r="927" spans="2:4" x14ac:dyDescent="0.2">
      <c r="B927" s="321"/>
      <c r="D927" s="320"/>
    </row>
    <row r="928" spans="2:4" x14ac:dyDescent="0.2">
      <c r="B928" s="321"/>
      <c r="D928" s="320"/>
    </row>
    <row r="929" spans="2:4" x14ac:dyDescent="0.2">
      <c r="B929" s="321"/>
      <c r="D929" s="320"/>
    </row>
    <row r="930" spans="2:4" x14ac:dyDescent="0.2">
      <c r="B930" s="321"/>
      <c r="D930" s="320"/>
    </row>
    <row r="931" spans="2:4" x14ac:dyDescent="0.2">
      <c r="B931" s="321"/>
      <c r="D931" s="320"/>
    </row>
    <row r="932" spans="2:4" x14ac:dyDescent="0.2">
      <c r="B932" s="321"/>
      <c r="D932" s="320"/>
    </row>
    <row r="933" spans="2:4" x14ac:dyDescent="0.2">
      <c r="B933" s="321"/>
      <c r="D933" s="320"/>
    </row>
    <row r="934" spans="2:4" x14ac:dyDescent="0.2">
      <c r="B934" s="321"/>
      <c r="D934" s="320"/>
    </row>
    <row r="935" spans="2:4" x14ac:dyDescent="0.2">
      <c r="B935" s="321"/>
      <c r="D935" s="320"/>
    </row>
    <row r="936" spans="2:4" x14ac:dyDescent="0.2">
      <c r="B936" s="321"/>
      <c r="D936" s="320"/>
    </row>
    <row r="937" spans="2:4" x14ac:dyDescent="0.2">
      <c r="B937" s="321"/>
      <c r="D937" s="320"/>
    </row>
    <row r="938" spans="2:4" x14ac:dyDescent="0.2">
      <c r="B938" s="321"/>
      <c r="D938" s="320"/>
    </row>
    <row r="939" spans="2:4" x14ac:dyDescent="0.2">
      <c r="B939" s="321"/>
      <c r="D939" s="320"/>
    </row>
    <row r="940" spans="2:4" x14ac:dyDescent="0.2">
      <c r="B940" s="321"/>
      <c r="D940" s="320"/>
    </row>
    <row r="941" spans="2:4" x14ac:dyDescent="0.2">
      <c r="B941" s="321"/>
      <c r="D941" s="320"/>
    </row>
    <row r="942" spans="2:4" x14ac:dyDescent="0.2">
      <c r="B942" s="321"/>
      <c r="D942" s="320"/>
    </row>
    <row r="943" spans="2:4" x14ac:dyDescent="0.2">
      <c r="B943" s="321"/>
      <c r="D943" s="320"/>
    </row>
    <row r="944" spans="2:4" x14ac:dyDescent="0.2">
      <c r="B944" s="321"/>
      <c r="D944" s="320"/>
    </row>
    <row r="945" spans="2:4" x14ac:dyDescent="0.2">
      <c r="B945" s="321"/>
      <c r="D945" s="320"/>
    </row>
    <row r="946" spans="2:4" x14ac:dyDescent="0.2">
      <c r="B946" s="321"/>
      <c r="D946" s="320"/>
    </row>
    <row r="947" spans="2:4" x14ac:dyDescent="0.2">
      <c r="B947" s="321"/>
      <c r="D947" s="320"/>
    </row>
    <row r="948" spans="2:4" x14ac:dyDescent="0.2">
      <c r="B948" s="321"/>
      <c r="D948" s="320"/>
    </row>
    <row r="949" spans="2:4" x14ac:dyDescent="0.2">
      <c r="B949" s="321"/>
      <c r="D949" s="320"/>
    </row>
    <row r="950" spans="2:4" x14ac:dyDescent="0.2">
      <c r="B950" s="321"/>
      <c r="D950" s="320"/>
    </row>
    <row r="951" spans="2:4" x14ac:dyDescent="0.2">
      <c r="B951" s="321"/>
      <c r="D951" s="320"/>
    </row>
    <row r="952" spans="2:4" x14ac:dyDescent="0.2">
      <c r="B952" s="321"/>
      <c r="D952" s="320"/>
    </row>
    <row r="953" spans="2:4" x14ac:dyDescent="0.2">
      <c r="B953" s="321"/>
      <c r="D953" s="320"/>
    </row>
    <row r="954" spans="2:4" x14ac:dyDescent="0.2">
      <c r="B954" s="321"/>
      <c r="D954" s="320"/>
    </row>
    <row r="955" spans="2:4" x14ac:dyDescent="0.2">
      <c r="B955" s="321"/>
      <c r="D955" s="320"/>
    </row>
    <row r="956" spans="2:4" x14ac:dyDescent="0.2">
      <c r="B956" s="321"/>
      <c r="D956" s="320"/>
    </row>
    <row r="957" spans="2:4" x14ac:dyDescent="0.2">
      <c r="B957" s="321"/>
      <c r="D957" s="320"/>
    </row>
    <row r="958" spans="2:4" x14ac:dyDescent="0.2">
      <c r="B958" s="321"/>
      <c r="D958" s="320"/>
    </row>
    <row r="959" spans="2:4" x14ac:dyDescent="0.2">
      <c r="B959" s="321"/>
      <c r="D959" s="320"/>
    </row>
    <row r="960" spans="2:4" x14ac:dyDescent="0.2">
      <c r="B960" s="321"/>
      <c r="D960" s="320"/>
    </row>
    <row r="961" spans="2:4" x14ac:dyDescent="0.2">
      <c r="B961" s="321"/>
      <c r="D961" s="320"/>
    </row>
    <row r="962" spans="2:4" x14ac:dyDescent="0.2">
      <c r="B962" s="321"/>
      <c r="D962" s="320"/>
    </row>
    <row r="963" spans="2:4" x14ac:dyDescent="0.2">
      <c r="B963" s="321"/>
      <c r="D963" s="320"/>
    </row>
    <row r="964" spans="2:4" x14ac:dyDescent="0.2">
      <c r="B964" s="321"/>
      <c r="D964" s="320"/>
    </row>
    <row r="965" spans="2:4" x14ac:dyDescent="0.2">
      <c r="B965" s="321"/>
      <c r="D965" s="320"/>
    </row>
    <row r="966" spans="2:4" x14ac:dyDescent="0.2">
      <c r="B966" s="321"/>
      <c r="D966" s="320"/>
    </row>
    <row r="967" spans="2:4" x14ac:dyDescent="0.2">
      <c r="B967" s="321"/>
      <c r="D967" s="320"/>
    </row>
    <row r="968" spans="2:4" x14ac:dyDescent="0.2">
      <c r="B968" s="321"/>
      <c r="D968" s="320"/>
    </row>
    <row r="969" spans="2:4" x14ac:dyDescent="0.2">
      <c r="B969" s="321"/>
      <c r="D969" s="320"/>
    </row>
    <row r="970" spans="2:4" x14ac:dyDescent="0.2">
      <c r="B970" s="321"/>
      <c r="D970" s="320"/>
    </row>
    <row r="971" spans="2:4" x14ac:dyDescent="0.2">
      <c r="B971" s="321"/>
      <c r="D971" s="320"/>
    </row>
    <row r="972" spans="2:4" x14ac:dyDescent="0.2">
      <c r="B972" s="321"/>
      <c r="D972" s="320"/>
    </row>
    <row r="973" spans="2:4" x14ac:dyDescent="0.2">
      <c r="B973" s="321"/>
      <c r="D973" s="320"/>
    </row>
    <row r="974" spans="2:4" x14ac:dyDescent="0.2">
      <c r="B974" s="321"/>
      <c r="D974" s="320"/>
    </row>
    <row r="975" spans="2:4" x14ac:dyDescent="0.2">
      <c r="B975" s="321"/>
      <c r="D975" s="320"/>
    </row>
    <row r="976" spans="2:4" x14ac:dyDescent="0.2">
      <c r="B976" s="321"/>
      <c r="D976" s="320"/>
    </row>
    <row r="977" spans="2:4" x14ac:dyDescent="0.2">
      <c r="B977" s="321"/>
      <c r="D977" s="320"/>
    </row>
    <row r="978" spans="2:4" x14ac:dyDescent="0.2">
      <c r="B978" s="321"/>
      <c r="D978" s="320"/>
    </row>
    <row r="979" spans="2:4" x14ac:dyDescent="0.2">
      <c r="B979" s="321"/>
      <c r="D979" s="320"/>
    </row>
    <row r="980" spans="2:4" x14ac:dyDescent="0.2">
      <c r="B980" s="321"/>
      <c r="D980" s="320"/>
    </row>
    <row r="981" spans="2:4" x14ac:dyDescent="0.2">
      <c r="B981" s="321"/>
      <c r="D981" s="320"/>
    </row>
    <row r="982" spans="2:4" x14ac:dyDescent="0.2">
      <c r="B982" s="321"/>
      <c r="D982" s="320"/>
    </row>
    <row r="983" spans="2:4" x14ac:dyDescent="0.2">
      <c r="B983" s="321"/>
      <c r="D983" s="320"/>
    </row>
    <row r="984" spans="2:4" x14ac:dyDescent="0.2">
      <c r="B984" s="321"/>
      <c r="D984" s="320"/>
    </row>
    <row r="985" spans="2:4" x14ac:dyDescent="0.2">
      <c r="B985" s="321"/>
      <c r="D985" s="320"/>
    </row>
    <row r="986" spans="2:4" x14ac:dyDescent="0.2">
      <c r="B986" s="321"/>
      <c r="D986" s="320"/>
    </row>
    <row r="987" spans="2:4" x14ac:dyDescent="0.2">
      <c r="B987" s="321"/>
      <c r="D987" s="320"/>
    </row>
    <row r="988" spans="2:4" x14ac:dyDescent="0.2">
      <c r="B988" s="321"/>
      <c r="D988" s="320"/>
    </row>
    <row r="989" spans="2:4" x14ac:dyDescent="0.2">
      <c r="B989" s="321"/>
      <c r="D989" s="320"/>
    </row>
    <row r="990" spans="2:4" x14ac:dyDescent="0.2">
      <c r="B990" s="321"/>
      <c r="D990" s="320"/>
    </row>
    <row r="991" spans="2:4" x14ac:dyDescent="0.2">
      <c r="B991" s="321"/>
      <c r="D991" s="320"/>
    </row>
    <row r="992" spans="2:4" x14ac:dyDescent="0.2">
      <c r="B992" s="321"/>
      <c r="D992" s="320"/>
    </row>
    <row r="993" spans="2:4" x14ac:dyDescent="0.2">
      <c r="B993" s="321"/>
      <c r="D993" s="320"/>
    </row>
    <row r="994" spans="2:4" x14ac:dyDescent="0.2">
      <c r="B994" s="321"/>
      <c r="D994" s="320"/>
    </row>
    <row r="995" spans="2:4" x14ac:dyDescent="0.2">
      <c r="B995" s="321"/>
      <c r="D995" s="320"/>
    </row>
    <row r="996" spans="2:4" x14ac:dyDescent="0.2">
      <c r="B996" s="321"/>
      <c r="D996" s="320"/>
    </row>
    <row r="997" spans="2:4" x14ac:dyDescent="0.2">
      <c r="B997" s="321"/>
      <c r="D997" s="320"/>
    </row>
    <row r="998" spans="2:4" x14ac:dyDescent="0.2">
      <c r="B998" s="321"/>
      <c r="D998" s="320"/>
    </row>
    <row r="999" spans="2:4" x14ac:dyDescent="0.2">
      <c r="B999" s="321"/>
      <c r="D999" s="320"/>
    </row>
    <row r="1000" spans="2:4" x14ac:dyDescent="0.2">
      <c r="B1000" s="321"/>
      <c r="D1000" s="320"/>
    </row>
    <row r="1001" spans="2:4" x14ac:dyDescent="0.2">
      <c r="B1001" s="321"/>
      <c r="D1001" s="320"/>
    </row>
    <row r="1002" spans="2:4" x14ac:dyDescent="0.2">
      <c r="B1002" s="321"/>
      <c r="D1002" s="320"/>
    </row>
    <row r="1003" spans="2:4" x14ac:dyDescent="0.2">
      <c r="B1003" s="321"/>
      <c r="D1003" s="320"/>
    </row>
    <row r="1004" spans="2:4" x14ac:dyDescent="0.2">
      <c r="B1004" s="321"/>
      <c r="D1004" s="320"/>
    </row>
    <row r="1005" spans="2:4" x14ac:dyDescent="0.2">
      <c r="B1005" s="321"/>
      <c r="D1005" s="320"/>
    </row>
    <row r="1006" spans="2:4" x14ac:dyDescent="0.2">
      <c r="B1006" s="321"/>
      <c r="D1006" s="320"/>
    </row>
    <row r="1007" spans="2:4" x14ac:dyDescent="0.2">
      <c r="B1007" s="321"/>
      <c r="D1007" s="320"/>
    </row>
    <row r="1008" spans="2:4" x14ac:dyDescent="0.2">
      <c r="B1008" s="321"/>
      <c r="D1008" s="320"/>
    </row>
    <row r="1009" spans="2:4" x14ac:dyDescent="0.2">
      <c r="B1009" s="321"/>
      <c r="D1009" s="320"/>
    </row>
    <row r="1010" spans="2:4" x14ac:dyDescent="0.2">
      <c r="B1010" s="321"/>
      <c r="D1010" s="320"/>
    </row>
    <row r="1011" spans="2:4" x14ac:dyDescent="0.2">
      <c r="B1011" s="321"/>
      <c r="D1011" s="320"/>
    </row>
    <row r="1012" spans="2:4" x14ac:dyDescent="0.2">
      <c r="B1012" s="321"/>
      <c r="D1012" s="320"/>
    </row>
    <row r="1013" spans="2:4" x14ac:dyDescent="0.2">
      <c r="B1013" s="321"/>
      <c r="D1013" s="320"/>
    </row>
    <row r="1014" spans="2:4" x14ac:dyDescent="0.2">
      <c r="B1014" s="321"/>
      <c r="D1014" s="320"/>
    </row>
    <row r="1015" spans="2:4" x14ac:dyDescent="0.2">
      <c r="B1015" s="321"/>
      <c r="D1015" s="320"/>
    </row>
    <row r="1016" spans="2:4" x14ac:dyDescent="0.2">
      <c r="B1016" s="321"/>
      <c r="D1016" s="320"/>
    </row>
    <row r="1017" spans="2:4" x14ac:dyDescent="0.2">
      <c r="B1017" s="321"/>
      <c r="D1017" s="320"/>
    </row>
    <row r="1018" spans="2:4" x14ac:dyDescent="0.2">
      <c r="B1018" s="321"/>
      <c r="D1018" s="320"/>
    </row>
    <row r="1019" spans="2:4" x14ac:dyDescent="0.2">
      <c r="B1019" s="321"/>
      <c r="D1019" s="320"/>
    </row>
    <row r="1020" spans="2:4" x14ac:dyDescent="0.2">
      <c r="B1020" s="321"/>
      <c r="D1020" s="320"/>
    </row>
    <row r="1021" spans="2:4" x14ac:dyDescent="0.2">
      <c r="B1021" s="321"/>
      <c r="D1021" s="320"/>
    </row>
    <row r="1022" spans="2:4" x14ac:dyDescent="0.2">
      <c r="B1022" s="321"/>
      <c r="D1022" s="320"/>
    </row>
    <row r="1023" spans="2:4" x14ac:dyDescent="0.2">
      <c r="B1023" s="321"/>
      <c r="D1023" s="320"/>
    </row>
    <row r="1024" spans="2:4" x14ac:dyDescent="0.2">
      <c r="B1024" s="321"/>
      <c r="D1024" s="320"/>
    </row>
    <row r="1025" spans="2:4" x14ac:dyDescent="0.2">
      <c r="B1025" s="321"/>
      <c r="D1025" s="320"/>
    </row>
    <row r="1026" spans="2:4" x14ac:dyDescent="0.2">
      <c r="B1026" s="321"/>
      <c r="D1026" s="320"/>
    </row>
    <row r="1027" spans="2:4" x14ac:dyDescent="0.2">
      <c r="B1027" s="321"/>
      <c r="D1027" s="320"/>
    </row>
    <row r="1028" spans="2:4" x14ac:dyDescent="0.2">
      <c r="B1028" s="321"/>
      <c r="D1028" s="320"/>
    </row>
    <row r="1029" spans="2:4" x14ac:dyDescent="0.2">
      <c r="B1029" s="321"/>
      <c r="D1029" s="320"/>
    </row>
    <row r="1030" spans="2:4" x14ac:dyDescent="0.2">
      <c r="B1030" s="321"/>
      <c r="D1030" s="320"/>
    </row>
    <row r="1031" spans="2:4" x14ac:dyDescent="0.2">
      <c r="B1031" s="321"/>
      <c r="D1031" s="320"/>
    </row>
    <row r="1032" spans="2:4" x14ac:dyDescent="0.2">
      <c r="B1032" s="321"/>
      <c r="D1032" s="320"/>
    </row>
    <row r="1033" spans="2:4" x14ac:dyDescent="0.2">
      <c r="B1033" s="321"/>
      <c r="D1033" s="320"/>
    </row>
    <row r="1034" spans="2:4" x14ac:dyDescent="0.2">
      <c r="B1034" s="321"/>
      <c r="D1034" s="320"/>
    </row>
    <row r="1035" spans="2:4" x14ac:dyDescent="0.2">
      <c r="B1035" s="321"/>
      <c r="D1035" s="320"/>
    </row>
    <row r="1036" spans="2:4" x14ac:dyDescent="0.2">
      <c r="B1036" s="321"/>
      <c r="D1036" s="320"/>
    </row>
    <row r="1037" spans="2:4" x14ac:dyDescent="0.2">
      <c r="B1037" s="321"/>
      <c r="D1037" s="320"/>
    </row>
    <row r="1038" spans="2:4" x14ac:dyDescent="0.2">
      <c r="B1038" s="321"/>
      <c r="D1038" s="320"/>
    </row>
    <row r="1039" spans="2:4" x14ac:dyDescent="0.2">
      <c r="B1039" s="321"/>
      <c r="D1039" s="320"/>
    </row>
    <row r="1040" spans="2:4" x14ac:dyDescent="0.2">
      <c r="B1040" s="321"/>
      <c r="D1040" s="320"/>
    </row>
    <row r="1041" spans="2:4" x14ac:dyDescent="0.2">
      <c r="B1041" s="321"/>
      <c r="D1041" s="320"/>
    </row>
    <row r="1042" spans="2:4" x14ac:dyDescent="0.2">
      <c r="B1042" s="321"/>
      <c r="D1042" s="320"/>
    </row>
    <row r="1043" spans="2:4" x14ac:dyDescent="0.2">
      <c r="B1043" s="321"/>
      <c r="D1043" s="320"/>
    </row>
    <row r="1044" spans="2:4" x14ac:dyDescent="0.2">
      <c r="B1044" s="321"/>
      <c r="D1044" s="320"/>
    </row>
    <row r="1045" spans="2:4" x14ac:dyDescent="0.2">
      <c r="B1045" s="321"/>
      <c r="D1045" s="320"/>
    </row>
    <row r="1046" spans="2:4" x14ac:dyDescent="0.2">
      <c r="B1046" s="321"/>
      <c r="D1046" s="320"/>
    </row>
    <row r="1047" spans="2:4" x14ac:dyDescent="0.2">
      <c r="B1047" s="321"/>
      <c r="D1047" s="320"/>
    </row>
    <row r="1048" spans="2:4" x14ac:dyDescent="0.2">
      <c r="B1048" s="321"/>
      <c r="D1048" s="320"/>
    </row>
    <row r="1049" spans="2:4" x14ac:dyDescent="0.2">
      <c r="B1049" s="321"/>
      <c r="D1049" s="320"/>
    </row>
    <row r="1050" spans="2:4" x14ac:dyDescent="0.2">
      <c r="B1050" s="321"/>
      <c r="D1050" s="320"/>
    </row>
    <row r="1051" spans="2:4" x14ac:dyDescent="0.2">
      <c r="B1051" s="321"/>
      <c r="D1051" s="320"/>
    </row>
    <row r="1052" spans="2:4" x14ac:dyDescent="0.2">
      <c r="B1052" s="321"/>
      <c r="D1052" s="320"/>
    </row>
    <row r="1053" spans="2:4" x14ac:dyDescent="0.2">
      <c r="B1053" s="321"/>
      <c r="D1053" s="320"/>
    </row>
    <row r="1054" spans="2:4" x14ac:dyDescent="0.2">
      <c r="B1054" s="321"/>
      <c r="D1054" s="320"/>
    </row>
    <row r="1055" spans="2:4" x14ac:dyDescent="0.2">
      <c r="B1055" s="321"/>
      <c r="D1055" s="320"/>
    </row>
    <row r="1056" spans="2:4" x14ac:dyDescent="0.2">
      <c r="B1056" s="321"/>
      <c r="D1056" s="320"/>
    </row>
    <row r="1057" spans="2:4" x14ac:dyDescent="0.2">
      <c r="B1057" s="321"/>
      <c r="D1057" s="320"/>
    </row>
    <row r="1058" spans="2:4" x14ac:dyDescent="0.2">
      <c r="B1058" s="321"/>
      <c r="D1058" s="320"/>
    </row>
    <row r="1059" spans="2:4" x14ac:dyDescent="0.2">
      <c r="B1059" s="321"/>
      <c r="D1059" s="320"/>
    </row>
    <row r="1060" spans="2:4" x14ac:dyDescent="0.2">
      <c r="B1060" s="321"/>
      <c r="D1060" s="320"/>
    </row>
    <row r="1061" spans="2:4" x14ac:dyDescent="0.2">
      <c r="B1061" s="321"/>
      <c r="D1061" s="320"/>
    </row>
    <row r="1062" spans="2:4" x14ac:dyDescent="0.2">
      <c r="B1062" s="321"/>
      <c r="D1062" s="320"/>
    </row>
    <row r="1063" spans="2:4" x14ac:dyDescent="0.2">
      <c r="B1063" s="321"/>
      <c r="D1063" s="320"/>
    </row>
    <row r="1064" spans="2:4" x14ac:dyDescent="0.2">
      <c r="B1064" s="321"/>
      <c r="D1064" s="320"/>
    </row>
    <row r="1065" spans="2:4" x14ac:dyDescent="0.2">
      <c r="B1065" s="321"/>
      <c r="D1065" s="320"/>
    </row>
    <row r="1066" spans="2:4" x14ac:dyDescent="0.2">
      <c r="B1066" s="321"/>
      <c r="D1066" s="320"/>
    </row>
    <row r="1067" spans="2:4" x14ac:dyDescent="0.2">
      <c r="B1067" s="321"/>
      <c r="D1067" s="320"/>
    </row>
    <row r="1068" spans="2:4" x14ac:dyDescent="0.2">
      <c r="B1068" s="321"/>
      <c r="D1068" s="320"/>
    </row>
    <row r="1069" spans="2:4" x14ac:dyDescent="0.2">
      <c r="B1069" s="321"/>
      <c r="D1069" s="320"/>
    </row>
    <row r="1070" spans="2:4" x14ac:dyDescent="0.2">
      <c r="B1070" s="321"/>
      <c r="D1070" s="320"/>
    </row>
    <row r="1071" spans="2:4" x14ac:dyDescent="0.2">
      <c r="B1071" s="321"/>
      <c r="D1071" s="320"/>
    </row>
    <row r="1072" spans="2:4" x14ac:dyDescent="0.2">
      <c r="B1072" s="321"/>
      <c r="D1072" s="320"/>
    </row>
    <row r="1073" spans="2:4" x14ac:dyDescent="0.2">
      <c r="B1073" s="321"/>
      <c r="D1073" s="320"/>
    </row>
    <row r="1074" spans="2:4" x14ac:dyDescent="0.2">
      <c r="B1074" s="321"/>
      <c r="D1074" s="320"/>
    </row>
    <row r="1075" spans="2:4" x14ac:dyDescent="0.2">
      <c r="B1075" s="321"/>
      <c r="D1075" s="320"/>
    </row>
    <row r="1076" spans="2:4" x14ac:dyDescent="0.2">
      <c r="B1076" s="321"/>
      <c r="D1076" s="320"/>
    </row>
    <row r="1077" spans="2:4" x14ac:dyDescent="0.2">
      <c r="B1077" s="321"/>
      <c r="D1077" s="320"/>
    </row>
    <row r="1078" spans="2:4" x14ac:dyDescent="0.2">
      <c r="B1078" s="321"/>
      <c r="D1078" s="320"/>
    </row>
    <row r="1079" spans="2:4" x14ac:dyDescent="0.2">
      <c r="B1079" s="321"/>
      <c r="D1079" s="320"/>
    </row>
    <row r="1080" spans="2:4" x14ac:dyDescent="0.2">
      <c r="B1080" s="321"/>
      <c r="D1080" s="320"/>
    </row>
    <row r="1081" spans="2:4" x14ac:dyDescent="0.2">
      <c r="B1081" s="321"/>
      <c r="D1081" s="320"/>
    </row>
    <row r="1082" spans="2:4" x14ac:dyDescent="0.2">
      <c r="B1082" s="321"/>
      <c r="D1082" s="320"/>
    </row>
    <row r="1083" spans="2:4" x14ac:dyDescent="0.2">
      <c r="B1083" s="321"/>
      <c r="D1083" s="320"/>
    </row>
    <row r="1084" spans="2:4" x14ac:dyDescent="0.2">
      <c r="B1084" s="321"/>
      <c r="D1084" s="320"/>
    </row>
    <row r="1085" spans="2:4" x14ac:dyDescent="0.2">
      <c r="B1085" s="321"/>
      <c r="D1085" s="320"/>
    </row>
    <row r="1086" spans="2:4" x14ac:dyDescent="0.2">
      <c r="B1086" s="321"/>
      <c r="D1086" s="320"/>
    </row>
    <row r="1087" spans="2:4" x14ac:dyDescent="0.2">
      <c r="B1087" s="321"/>
      <c r="D1087" s="320"/>
    </row>
    <row r="1088" spans="2:4" x14ac:dyDescent="0.2">
      <c r="B1088" s="321"/>
      <c r="D1088" s="320"/>
    </row>
    <row r="1089" spans="2:4" x14ac:dyDescent="0.2">
      <c r="B1089" s="321"/>
      <c r="D1089" s="320"/>
    </row>
    <row r="1090" spans="2:4" x14ac:dyDescent="0.2">
      <c r="B1090" s="321"/>
      <c r="D1090" s="320"/>
    </row>
    <row r="1091" spans="2:4" x14ac:dyDescent="0.2">
      <c r="B1091" s="321"/>
      <c r="D1091" s="320"/>
    </row>
    <row r="1092" spans="2:4" x14ac:dyDescent="0.2">
      <c r="B1092" s="321"/>
      <c r="D1092" s="320"/>
    </row>
    <row r="1093" spans="2:4" x14ac:dyDescent="0.2">
      <c r="B1093" s="321"/>
      <c r="D1093" s="320"/>
    </row>
    <row r="1094" spans="2:4" x14ac:dyDescent="0.2">
      <c r="B1094" s="321"/>
      <c r="D1094" s="320"/>
    </row>
    <row r="1095" spans="2:4" x14ac:dyDescent="0.2">
      <c r="B1095" s="321"/>
      <c r="D1095" s="320"/>
    </row>
    <row r="1096" spans="2:4" x14ac:dyDescent="0.2">
      <c r="B1096" s="321"/>
      <c r="D1096" s="320"/>
    </row>
    <row r="1097" spans="2:4" x14ac:dyDescent="0.2">
      <c r="B1097" s="321"/>
      <c r="D1097" s="320"/>
    </row>
    <row r="1098" spans="2:4" x14ac:dyDescent="0.2">
      <c r="B1098" s="321"/>
      <c r="D1098" s="320"/>
    </row>
    <row r="1099" spans="2:4" x14ac:dyDescent="0.2">
      <c r="B1099" s="321"/>
      <c r="D1099" s="320"/>
    </row>
    <row r="1100" spans="2:4" x14ac:dyDescent="0.2">
      <c r="B1100" s="321"/>
      <c r="D1100" s="320"/>
    </row>
    <row r="1101" spans="2:4" x14ac:dyDescent="0.2">
      <c r="B1101" s="321"/>
      <c r="D1101" s="320"/>
    </row>
    <row r="1102" spans="2:4" x14ac:dyDescent="0.2">
      <c r="B1102" s="321"/>
      <c r="D1102" s="320"/>
    </row>
    <row r="1103" spans="2:4" x14ac:dyDescent="0.2">
      <c r="B1103" s="321"/>
      <c r="D1103" s="320"/>
    </row>
    <row r="1104" spans="2:4" x14ac:dyDescent="0.2">
      <c r="B1104" s="321"/>
      <c r="D1104" s="320"/>
    </row>
    <row r="1105" spans="2:4" x14ac:dyDescent="0.2">
      <c r="B1105" s="321"/>
      <c r="D1105" s="320"/>
    </row>
    <row r="1106" spans="2:4" x14ac:dyDescent="0.2">
      <c r="B1106" s="321"/>
      <c r="D1106" s="320"/>
    </row>
    <row r="1107" spans="2:4" x14ac:dyDescent="0.2">
      <c r="B1107" s="321"/>
      <c r="D1107" s="320"/>
    </row>
    <row r="1108" spans="2:4" x14ac:dyDescent="0.2">
      <c r="B1108" s="321"/>
      <c r="D1108" s="320"/>
    </row>
    <row r="1109" spans="2:4" x14ac:dyDescent="0.2">
      <c r="B1109" s="321"/>
      <c r="D1109" s="320"/>
    </row>
    <row r="1110" spans="2:4" x14ac:dyDescent="0.2">
      <c r="B1110" s="321"/>
      <c r="D1110" s="320"/>
    </row>
    <row r="1111" spans="2:4" x14ac:dyDescent="0.2">
      <c r="B1111" s="321"/>
      <c r="D1111" s="320"/>
    </row>
    <row r="1112" spans="2:4" x14ac:dyDescent="0.2">
      <c r="B1112" s="321"/>
      <c r="D1112" s="320"/>
    </row>
    <row r="1113" spans="2:4" x14ac:dyDescent="0.2">
      <c r="B1113" s="321"/>
      <c r="D1113" s="320"/>
    </row>
    <row r="1114" spans="2:4" x14ac:dyDescent="0.2">
      <c r="B1114" s="321"/>
      <c r="D1114" s="320"/>
    </row>
    <row r="1115" spans="2:4" x14ac:dyDescent="0.2">
      <c r="B1115" s="321"/>
      <c r="D1115" s="320"/>
    </row>
    <row r="1116" spans="2:4" x14ac:dyDescent="0.2">
      <c r="B1116" s="321"/>
      <c r="D1116" s="320"/>
    </row>
    <row r="1117" spans="2:4" x14ac:dyDescent="0.2">
      <c r="B1117" s="321"/>
      <c r="D1117" s="320"/>
    </row>
    <row r="1118" spans="2:4" x14ac:dyDescent="0.2">
      <c r="B1118" s="321"/>
      <c r="D1118" s="320"/>
    </row>
    <row r="1119" spans="2:4" x14ac:dyDescent="0.2">
      <c r="B1119" s="321"/>
      <c r="D1119" s="320"/>
    </row>
    <row r="1120" spans="2:4" x14ac:dyDescent="0.2">
      <c r="B1120" s="321"/>
      <c r="D1120" s="320"/>
    </row>
    <row r="1121" spans="2:4" x14ac:dyDescent="0.2">
      <c r="B1121" s="321"/>
      <c r="D1121" s="320"/>
    </row>
    <row r="1122" spans="2:4" x14ac:dyDescent="0.2">
      <c r="B1122" s="321"/>
      <c r="D1122" s="320"/>
    </row>
    <row r="1123" spans="2:4" x14ac:dyDescent="0.2">
      <c r="B1123" s="321"/>
      <c r="D1123" s="320"/>
    </row>
    <row r="1124" spans="2:4" x14ac:dyDescent="0.2">
      <c r="B1124" s="321"/>
      <c r="D1124" s="320"/>
    </row>
    <row r="1125" spans="2:4" x14ac:dyDescent="0.2">
      <c r="B1125" s="321"/>
      <c r="D1125" s="320"/>
    </row>
    <row r="1126" spans="2:4" x14ac:dyDescent="0.2">
      <c r="B1126" s="321"/>
      <c r="D1126" s="320"/>
    </row>
    <row r="1127" spans="2:4" x14ac:dyDescent="0.2">
      <c r="B1127" s="321"/>
      <c r="D1127" s="320"/>
    </row>
    <row r="1128" spans="2:4" x14ac:dyDescent="0.2">
      <c r="B1128" s="321"/>
      <c r="D1128" s="320"/>
    </row>
    <row r="1129" spans="2:4" x14ac:dyDescent="0.2">
      <c r="B1129" s="321"/>
      <c r="D1129" s="320"/>
    </row>
    <row r="1130" spans="2:4" x14ac:dyDescent="0.2">
      <c r="B1130" s="321"/>
      <c r="D1130" s="320"/>
    </row>
    <row r="1131" spans="2:4" x14ac:dyDescent="0.2">
      <c r="B1131" s="321"/>
      <c r="D1131" s="320"/>
    </row>
    <row r="1132" spans="2:4" x14ac:dyDescent="0.2">
      <c r="B1132" s="321"/>
      <c r="D1132" s="320"/>
    </row>
    <row r="1133" spans="2:4" x14ac:dyDescent="0.2">
      <c r="B1133" s="321"/>
      <c r="D1133" s="320"/>
    </row>
    <row r="1134" spans="2:4" x14ac:dyDescent="0.2">
      <c r="B1134" s="321"/>
      <c r="D1134" s="320"/>
    </row>
    <row r="1135" spans="2:4" x14ac:dyDescent="0.2">
      <c r="B1135" s="321"/>
      <c r="D1135" s="320"/>
    </row>
    <row r="1136" spans="2:4" x14ac:dyDescent="0.2">
      <c r="B1136" s="321"/>
      <c r="D1136" s="320"/>
    </row>
    <row r="1137" spans="2:4" x14ac:dyDescent="0.2">
      <c r="B1137" s="321"/>
      <c r="D1137" s="320"/>
    </row>
    <row r="1138" spans="2:4" x14ac:dyDescent="0.2">
      <c r="B1138" s="321"/>
      <c r="D1138" s="320"/>
    </row>
    <row r="1139" spans="2:4" x14ac:dyDescent="0.2">
      <c r="B1139" s="321"/>
      <c r="D1139" s="320"/>
    </row>
    <row r="1140" spans="2:4" x14ac:dyDescent="0.2">
      <c r="B1140" s="321"/>
      <c r="D1140" s="320"/>
    </row>
    <row r="1141" spans="2:4" x14ac:dyDescent="0.2">
      <c r="B1141" s="321"/>
      <c r="D1141" s="320"/>
    </row>
    <row r="1142" spans="2:4" x14ac:dyDescent="0.2">
      <c r="B1142" s="321"/>
      <c r="D1142" s="320"/>
    </row>
    <row r="1143" spans="2:4" x14ac:dyDescent="0.2">
      <c r="B1143" s="321"/>
      <c r="D1143" s="320"/>
    </row>
    <row r="1144" spans="2:4" x14ac:dyDescent="0.2">
      <c r="B1144" s="321"/>
      <c r="D1144" s="320"/>
    </row>
    <row r="1145" spans="2:4" x14ac:dyDescent="0.2">
      <c r="B1145" s="321"/>
      <c r="D1145" s="320"/>
    </row>
    <row r="1146" spans="2:4" x14ac:dyDescent="0.2">
      <c r="B1146" s="321"/>
      <c r="D1146" s="320"/>
    </row>
    <row r="1147" spans="2:4" x14ac:dyDescent="0.2">
      <c r="B1147" s="321"/>
      <c r="D1147" s="320"/>
    </row>
    <row r="1148" spans="2:4" x14ac:dyDescent="0.2">
      <c r="B1148" s="321"/>
      <c r="D1148" s="320"/>
    </row>
    <row r="1149" spans="2:4" x14ac:dyDescent="0.2">
      <c r="B1149" s="321"/>
      <c r="D1149" s="320"/>
    </row>
    <row r="1150" spans="2:4" x14ac:dyDescent="0.2">
      <c r="B1150" s="321"/>
      <c r="D1150" s="320"/>
    </row>
    <row r="1151" spans="2:4" x14ac:dyDescent="0.2">
      <c r="B1151" s="321"/>
      <c r="D1151" s="320"/>
    </row>
    <row r="1152" spans="2:4" x14ac:dyDescent="0.2">
      <c r="B1152" s="321"/>
      <c r="D1152" s="320"/>
    </row>
    <row r="1153" spans="2:4" x14ac:dyDescent="0.2">
      <c r="B1153" s="321"/>
      <c r="D1153" s="320"/>
    </row>
    <row r="1154" spans="2:4" x14ac:dyDescent="0.2">
      <c r="B1154" s="321"/>
      <c r="D1154" s="320"/>
    </row>
    <row r="1155" spans="2:4" x14ac:dyDescent="0.2">
      <c r="B1155" s="321"/>
      <c r="D1155" s="320"/>
    </row>
    <row r="1156" spans="2:4" x14ac:dyDescent="0.2">
      <c r="B1156" s="321"/>
      <c r="D1156" s="320"/>
    </row>
    <row r="1157" spans="2:4" x14ac:dyDescent="0.2">
      <c r="B1157" s="321"/>
      <c r="D1157" s="320"/>
    </row>
    <row r="1158" spans="2:4" x14ac:dyDescent="0.2">
      <c r="B1158" s="321"/>
      <c r="D1158" s="320"/>
    </row>
    <row r="1159" spans="2:4" x14ac:dyDescent="0.2">
      <c r="B1159" s="321"/>
      <c r="D1159" s="320"/>
    </row>
    <row r="1160" spans="2:4" x14ac:dyDescent="0.2">
      <c r="B1160" s="321"/>
      <c r="D1160" s="320"/>
    </row>
    <row r="1161" spans="2:4" x14ac:dyDescent="0.2">
      <c r="B1161" s="321"/>
      <c r="D1161" s="320"/>
    </row>
    <row r="1162" spans="2:4" x14ac:dyDescent="0.2">
      <c r="B1162" s="321"/>
      <c r="D1162" s="320"/>
    </row>
    <row r="1163" spans="2:4" x14ac:dyDescent="0.2">
      <c r="B1163" s="321"/>
      <c r="D1163" s="320"/>
    </row>
    <row r="1164" spans="2:4" x14ac:dyDescent="0.2">
      <c r="B1164" s="321"/>
      <c r="D1164" s="320"/>
    </row>
    <row r="1165" spans="2:4" x14ac:dyDescent="0.2">
      <c r="B1165" s="321"/>
      <c r="D1165" s="320"/>
    </row>
    <row r="1166" spans="2:4" x14ac:dyDescent="0.2">
      <c r="B1166" s="321"/>
      <c r="D1166" s="320"/>
    </row>
    <row r="1167" spans="2:4" x14ac:dyDescent="0.2">
      <c r="B1167" s="321"/>
      <c r="D1167" s="320"/>
    </row>
    <row r="1168" spans="2:4" x14ac:dyDescent="0.2">
      <c r="B1168" s="321"/>
      <c r="D1168" s="320"/>
    </row>
    <row r="1169" spans="2:4" x14ac:dyDescent="0.2">
      <c r="B1169" s="321"/>
      <c r="D1169" s="320"/>
    </row>
    <row r="1170" spans="2:4" x14ac:dyDescent="0.2">
      <c r="B1170" s="321"/>
      <c r="D1170" s="320"/>
    </row>
    <row r="1171" spans="2:4" x14ac:dyDescent="0.2">
      <c r="B1171" s="321"/>
      <c r="D1171" s="320"/>
    </row>
    <row r="1172" spans="2:4" x14ac:dyDescent="0.2">
      <c r="B1172" s="321"/>
      <c r="D1172" s="320"/>
    </row>
    <row r="1173" spans="2:4" x14ac:dyDescent="0.2">
      <c r="B1173" s="321"/>
      <c r="D1173" s="320"/>
    </row>
    <row r="1174" spans="2:4" x14ac:dyDescent="0.2">
      <c r="B1174" s="321"/>
      <c r="D1174" s="320"/>
    </row>
    <row r="1175" spans="2:4" x14ac:dyDescent="0.2">
      <c r="B1175" s="321"/>
      <c r="D1175" s="320"/>
    </row>
    <row r="1176" spans="2:4" x14ac:dyDescent="0.2">
      <c r="B1176" s="321"/>
      <c r="D1176" s="320"/>
    </row>
    <row r="1177" spans="2:4" x14ac:dyDescent="0.2">
      <c r="B1177" s="321"/>
      <c r="D1177" s="320"/>
    </row>
    <row r="1178" spans="2:4" x14ac:dyDescent="0.2">
      <c r="B1178" s="321"/>
      <c r="D1178" s="320"/>
    </row>
    <row r="1179" spans="2:4" x14ac:dyDescent="0.2">
      <c r="B1179" s="321"/>
      <c r="D1179" s="320"/>
    </row>
    <row r="1180" spans="2:4" x14ac:dyDescent="0.2">
      <c r="B1180" s="321"/>
      <c r="D1180" s="320"/>
    </row>
    <row r="1181" spans="2:4" x14ac:dyDescent="0.2">
      <c r="B1181" s="321"/>
      <c r="D1181" s="320"/>
    </row>
    <row r="1182" spans="2:4" x14ac:dyDescent="0.2">
      <c r="B1182" s="321"/>
      <c r="D1182" s="320"/>
    </row>
    <row r="1183" spans="2:4" x14ac:dyDescent="0.2">
      <c r="B1183" s="321"/>
      <c r="D1183" s="320"/>
    </row>
    <row r="1184" spans="2:4" x14ac:dyDescent="0.2">
      <c r="B1184" s="321"/>
      <c r="D1184" s="320"/>
    </row>
    <row r="1185" spans="2:4" x14ac:dyDescent="0.2">
      <c r="B1185" s="321"/>
      <c r="D1185" s="320"/>
    </row>
    <row r="1186" spans="2:4" x14ac:dyDescent="0.2">
      <c r="B1186" s="321"/>
      <c r="D1186" s="320"/>
    </row>
    <row r="1187" spans="2:4" x14ac:dyDescent="0.2">
      <c r="B1187" s="321"/>
      <c r="D1187" s="320"/>
    </row>
    <row r="1188" spans="2:4" x14ac:dyDescent="0.2">
      <c r="B1188" s="321"/>
      <c r="D1188" s="320"/>
    </row>
    <row r="1189" spans="2:4" x14ac:dyDescent="0.2">
      <c r="B1189" s="321"/>
      <c r="D1189" s="320"/>
    </row>
    <row r="1190" spans="2:4" x14ac:dyDescent="0.2">
      <c r="B1190" s="321"/>
      <c r="D1190" s="320"/>
    </row>
    <row r="1191" spans="2:4" x14ac:dyDescent="0.2">
      <c r="B1191" s="321"/>
      <c r="D1191" s="320"/>
    </row>
    <row r="1192" spans="2:4" x14ac:dyDescent="0.2">
      <c r="B1192" s="321"/>
      <c r="D1192" s="320"/>
    </row>
    <row r="1193" spans="2:4" x14ac:dyDescent="0.2">
      <c r="B1193" s="321"/>
      <c r="D1193" s="320"/>
    </row>
    <row r="1194" spans="2:4" x14ac:dyDescent="0.2">
      <c r="B1194" s="321"/>
      <c r="D1194" s="320"/>
    </row>
    <row r="1195" spans="2:4" x14ac:dyDescent="0.2">
      <c r="B1195" s="321"/>
      <c r="D1195" s="320"/>
    </row>
    <row r="1196" spans="2:4" x14ac:dyDescent="0.2">
      <c r="B1196" s="321"/>
      <c r="D1196" s="320"/>
    </row>
    <row r="1197" spans="2:4" x14ac:dyDescent="0.2">
      <c r="B1197" s="321"/>
      <c r="D1197" s="320"/>
    </row>
    <row r="1198" spans="2:4" x14ac:dyDescent="0.2">
      <c r="B1198" s="321"/>
      <c r="D1198" s="320"/>
    </row>
    <row r="1199" spans="2:4" x14ac:dyDescent="0.2">
      <c r="B1199" s="321"/>
      <c r="D1199" s="320"/>
    </row>
    <row r="1200" spans="2:4" x14ac:dyDescent="0.2">
      <c r="B1200" s="321"/>
      <c r="D1200" s="320"/>
    </row>
    <row r="1201" spans="2:4" x14ac:dyDescent="0.2">
      <c r="B1201" s="321"/>
      <c r="D1201" s="320"/>
    </row>
    <row r="1202" spans="2:4" x14ac:dyDescent="0.2">
      <c r="B1202" s="321"/>
      <c r="D1202" s="320"/>
    </row>
    <row r="1203" spans="2:4" x14ac:dyDescent="0.2">
      <c r="B1203" s="321"/>
      <c r="D1203" s="320"/>
    </row>
    <row r="1204" spans="2:4" x14ac:dyDescent="0.2">
      <c r="B1204" s="321"/>
      <c r="D1204" s="320"/>
    </row>
    <row r="1205" spans="2:4" x14ac:dyDescent="0.2">
      <c r="B1205" s="321"/>
      <c r="D1205" s="320"/>
    </row>
    <row r="1206" spans="2:4" x14ac:dyDescent="0.2">
      <c r="B1206" s="321"/>
      <c r="D1206" s="320"/>
    </row>
    <row r="1207" spans="2:4" x14ac:dyDescent="0.2">
      <c r="B1207" s="321"/>
      <c r="D1207" s="320"/>
    </row>
    <row r="1208" spans="2:4" x14ac:dyDescent="0.2">
      <c r="B1208" s="321"/>
      <c r="D1208" s="320"/>
    </row>
    <row r="1209" spans="2:4" x14ac:dyDescent="0.2">
      <c r="B1209" s="321"/>
      <c r="D1209" s="320"/>
    </row>
    <row r="1210" spans="2:4" x14ac:dyDescent="0.2">
      <c r="B1210" s="321"/>
      <c r="D1210" s="320"/>
    </row>
    <row r="1211" spans="2:4" x14ac:dyDescent="0.2">
      <c r="B1211" s="321"/>
      <c r="D1211" s="320"/>
    </row>
    <row r="1212" spans="2:4" x14ac:dyDescent="0.2">
      <c r="B1212" s="321"/>
      <c r="D1212" s="320"/>
    </row>
    <row r="1213" spans="2:4" x14ac:dyDescent="0.2">
      <c r="B1213" s="321"/>
      <c r="D1213" s="320"/>
    </row>
    <row r="1214" spans="2:4" x14ac:dyDescent="0.2">
      <c r="B1214" s="321"/>
      <c r="D1214" s="320"/>
    </row>
    <row r="1215" spans="2:4" x14ac:dyDescent="0.2">
      <c r="B1215" s="321"/>
      <c r="D1215" s="320"/>
    </row>
    <row r="1216" spans="2:4" x14ac:dyDescent="0.2">
      <c r="B1216" s="321"/>
      <c r="D1216" s="320"/>
    </row>
    <row r="1217" spans="2:4" x14ac:dyDescent="0.2">
      <c r="B1217" s="321"/>
      <c r="D1217" s="320"/>
    </row>
    <row r="1218" spans="2:4" x14ac:dyDescent="0.2">
      <c r="B1218" s="321"/>
      <c r="D1218" s="320"/>
    </row>
    <row r="1219" spans="2:4" x14ac:dyDescent="0.2">
      <c r="B1219" s="321"/>
      <c r="D1219" s="320"/>
    </row>
    <row r="1220" spans="2:4" x14ac:dyDescent="0.2">
      <c r="B1220" s="321"/>
      <c r="D1220" s="320"/>
    </row>
    <row r="1221" spans="2:4" x14ac:dyDescent="0.2">
      <c r="B1221" s="321"/>
      <c r="D1221" s="320"/>
    </row>
    <row r="1222" spans="2:4" x14ac:dyDescent="0.2">
      <c r="B1222" s="321"/>
      <c r="D1222" s="320"/>
    </row>
    <row r="1223" spans="2:4" x14ac:dyDescent="0.2">
      <c r="B1223" s="321"/>
      <c r="D1223" s="320"/>
    </row>
    <row r="1224" spans="2:4" x14ac:dyDescent="0.2">
      <c r="B1224" s="321"/>
      <c r="D1224" s="320"/>
    </row>
    <row r="1225" spans="2:4" x14ac:dyDescent="0.2">
      <c r="B1225" s="321"/>
      <c r="D1225" s="320"/>
    </row>
    <row r="1226" spans="2:4" x14ac:dyDescent="0.2">
      <c r="B1226" s="321"/>
      <c r="D1226" s="320"/>
    </row>
    <row r="1227" spans="2:4" x14ac:dyDescent="0.2">
      <c r="B1227" s="321"/>
      <c r="D1227" s="320"/>
    </row>
    <row r="1228" spans="2:4" x14ac:dyDescent="0.2">
      <c r="B1228" s="321"/>
      <c r="D1228" s="320"/>
    </row>
    <row r="1229" spans="2:4" x14ac:dyDescent="0.2">
      <c r="B1229" s="321"/>
      <c r="D1229" s="320"/>
    </row>
    <row r="1230" spans="2:4" x14ac:dyDescent="0.2">
      <c r="B1230" s="321"/>
      <c r="D1230" s="320"/>
    </row>
    <row r="1231" spans="2:4" x14ac:dyDescent="0.2">
      <c r="B1231" s="321"/>
      <c r="D1231" s="320"/>
    </row>
    <row r="1232" spans="2:4" x14ac:dyDescent="0.2">
      <c r="B1232" s="321"/>
      <c r="D1232" s="320"/>
    </row>
    <row r="1233" spans="2:4" x14ac:dyDescent="0.2">
      <c r="B1233" s="321"/>
      <c r="D1233" s="320"/>
    </row>
    <row r="1234" spans="2:4" x14ac:dyDescent="0.2">
      <c r="B1234" s="321"/>
      <c r="D1234" s="320"/>
    </row>
    <row r="1235" spans="2:4" x14ac:dyDescent="0.2">
      <c r="B1235" s="321"/>
      <c r="D1235" s="320"/>
    </row>
    <row r="1236" spans="2:4" x14ac:dyDescent="0.2">
      <c r="B1236" s="321"/>
      <c r="D1236" s="320"/>
    </row>
    <row r="1237" spans="2:4" x14ac:dyDescent="0.2">
      <c r="B1237" s="321"/>
      <c r="D1237" s="320"/>
    </row>
    <row r="1238" spans="2:4" x14ac:dyDescent="0.2">
      <c r="B1238" s="321"/>
      <c r="D1238" s="320"/>
    </row>
    <row r="1239" spans="2:4" x14ac:dyDescent="0.2">
      <c r="B1239" s="321"/>
      <c r="D1239" s="320"/>
    </row>
    <row r="1240" spans="2:4" x14ac:dyDescent="0.2">
      <c r="B1240" s="321"/>
      <c r="D1240" s="320"/>
    </row>
    <row r="1241" spans="2:4" x14ac:dyDescent="0.2">
      <c r="D1241" s="320"/>
    </row>
    <row r="1242" spans="2:4" x14ac:dyDescent="0.2">
      <c r="D1242" s="320"/>
    </row>
    <row r="1243" spans="2:4" x14ac:dyDescent="0.2">
      <c r="D1243" s="320"/>
    </row>
    <row r="1244" spans="2:4" x14ac:dyDescent="0.2">
      <c r="D1244" s="320"/>
    </row>
    <row r="1245" spans="2:4" x14ac:dyDescent="0.2">
      <c r="D1245" s="320"/>
    </row>
    <row r="1246" spans="2:4" x14ac:dyDescent="0.2">
      <c r="D1246" s="320"/>
    </row>
    <row r="1247" spans="2:4" x14ac:dyDescent="0.2">
      <c r="D1247" s="320"/>
    </row>
    <row r="1248" spans="2:4" x14ac:dyDescent="0.2">
      <c r="D1248" s="320"/>
    </row>
    <row r="1249" spans="4:4" x14ac:dyDescent="0.2">
      <c r="D1249" s="320"/>
    </row>
    <row r="1250" spans="4:4" x14ac:dyDescent="0.2">
      <c r="D1250" s="320"/>
    </row>
    <row r="1251" spans="4:4" x14ac:dyDescent="0.2">
      <c r="D1251" s="320"/>
    </row>
    <row r="1252" spans="4:4" x14ac:dyDescent="0.2">
      <c r="D1252" s="320"/>
    </row>
    <row r="1253" spans="4:4" x14ac:dyDescent="0.2">
      <c r="D1253" s="320"/>
    </row>
    <row r="1254" spans="4:4" x14ac:dyDescent="0.2">
      <c r="D1254" s="320"/>
    </row>
    <row r="1255" spans="4:4" x14ac:dyDescent="0.2">
      <c r="D1255" s="320"/>
    </row>
    <row r="1256" spans="4:4" x14ac:dyDescent="0.2">
      <c r="D1256" s="320"/>
    </row>
    <row r="1257" spans="4:4" x14ac:dyDescent="0.2">
      <c r="D1257" s="320"/>
    </row>
    <row r="1258" spans="4:4" x14ac:dyDescent="0.2">
      <c r="D1258" s="320"/>
    </row>
    <row r="1259" spans="4:4" x14ac:dyDescent="0.2">
      <c r="D1259" s="320"/>
    </row>
    <row r="1260" spans="4:4" x14ac:dyDescent="0.2">
      <c r="D1260" s="320"/>
    </row>
    <row r="1261" spans="4:4" x14ac:dyDescent="0.2">
      <c r="D1261" s="320"/>
    </row>
    <row r="1262" spans="4:4" x14ac:dyDescent="0.2">
      <c r="D1262" s="320"/>
    </row>
    <row r="1263" spans="4:4" x14ac:dyDescent="0.2">
      <c r="D1263" s="320"/>
    </row>
  </sheetData>
  <mergeCells count="8">
    <mergeCell ref="T3:U3"/>
    <mergeCell ref="I22:J22"/>
    <mergeCell ref="I14:J14"/>
    <mergeCell ref="B1:D1"/>
    <mergeCell ref="F1:G1"/>
    <mergeCell ref="I3:J3"/>
    <mergeCell ref="L3:M3"/>
    <mergeCell ref="O3:R3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1B2DC0-E85E-488F-946E-B1ECB63A85C9}">
  <dimension ref="B1:N25"/>
  <sheetViews>
    <sheetView showGridLines="0" zoomScaleNormal="100" workbookViewId="0">
      <selection activeCell="I21" sqref="I21"/>
    </sheetView>
  </sheetViews>
  <sheetFormatPr defaultRowHeight="15" x14ac:dyDescent="0.25"/>
  <cols>
    <col min="2" max="2" width="14" customWidth="1"/>
    <col min="6" max="6" width="15.42578125" customWidth="1"/>
    <col min="8" max="8" width="12.7109375" customWidth="1"/>
    <col min="9" max="9" width="12" customWidth="1"/>
    <col min="11" max="11" width="13.28515625" customWidth="1"/>
    <col min="12" max="12" width="12.28515625" customWidth="1"/>
    <col min="15" max="15" width="13.5703125" customWidth="1"/>
  </cols>
  <sheetData>
    <row r="1" spans="2:14" ht="20.25" customHeight="1" thickBot="1" x14ac:dyDescent="0.3">
      <c r="B1" s="995" t="s">
        <v>888</v>
      </c>
      <c r="C1" s="996"/>
      <c r="D1" s="996"/>
    </row>
    <row r="2" spans="2:14" ht="15.75" thickBot="1" x14ac:dyDescent="0.3"/>
    <row r="3" spans="2:14" x14ac:dyDescent="0.25">
      <c r="B3" s="1041" t="s">
        <v>887</v>
      </c>
      <c r="C3" s="1042"/>
      <c r="D3" s="1043"/>
      <c r="F3" s="1035" t="s">
        <v>872</v>
      </c>
      <c r="G3" s="1036"/>
      <c r="H3" s="1036"/>
      <c r="I3" s="1037"/>
      <c r="K3" s="1028" t="s">
        <v>865</v>
      </c>
      <c r="L3" s="1029"/>
      <c r="M3" s="1029"/>
      <c r="N3" s="1030"/>
    </row>
    <row r="4" spans="2:14" x14ac:dyDescent="0.25">
      <c r="B4" s="968" t="s">
        <v>866</v>
      </c>
      <c r="C4" s="989" t="s">
        <v>867</v>
      </c>
      <c r="D4" s="990" t="s">
        <v>637</v>
      </c>
      <c r="F4" s="1000" t="s">
        <v>873</v>
      </c>
      <c r="G4" s="970" t="s">
        <v>867</v>
      </c>
      <c r="H4" s="970" t="s">
        <v>874</v>
      </c>
      <c r="I4" s="971" t="s">
        <v>403</v>
      </c>
      <c r="K4" s="1000" t="s">
        <v>866</v>
      </c>
      <c r="L4" s="970" t="s">
        <v>880</v>
      </c>
      <c r="M4" s="970" t="s">
        <v>867</v>
      </c>
      <c r="N4" s="978" t="s">
        <v>637</v>
      </c>
    </row>
    <row r="5" spans="2:14" ht="15" customHeight="1" x14ac:dyDescent="0.25">
      <c r="B5" s="969" t="s">
        <v>868</v>
      </c>
      <c r="C5" s="991">
        <v>18.75</v>
      </c>
      <c r="D5" s="992">
        <v>201.88</v>
      </c>
      <c r="F5" s="969" t="s">
        <v>875</v>
      </c>
      <c r="G5" s="972">
        <v>16.55</v>
      </c>
      <c r="H5" s="973">
        <v>0.14000000000000001</v>
      </c>
      <c r="I5" s="974">
        <v>186.28</v>
      </c>
      <c r="K5" s="1001" t="s">
        <v>881</v>
      </c>
      <c r="L5" s="979">
        <v>5.0999999999999997E-2</v>
      </c>
      <c r="M5" s="972">
        <v>16.64</v>
      </c>
      <c r="N5" s="980">
        <v>171.23</v>
      </c>
    </row>
    <row r="6" spans="2:14" x14ac:dyDescent="0.25">
      <c r="B6" s="969" t="s">
        <v>869</v>
      </c>
      <c r="C6" s="991">
        <v>16.64</v>
      </c>
      <c r="D6" s="992">
        <v>171.23</v>
      </c>
      <c r="F6" s="969" t="s">
        <v>876</v>
      </c>
      <c r="G6" s="972">
        <v>15.54</v>
      </c>
      <c r="H6" s="973">
        <v>7.0000000000000007E-2</v>
      </c>
      <c r="I6" s="974">
        <v>172.36</v>
      </c>
      <c r="K6" s="1001" t="s">
        <v>882</v>
      </c>
      <c r="L6" s="979">
        <v>4.9000000000000002E-2</v>
      </c>
      <c r="M6" s="972">
        <v>15.59</v>
      </c>
      <c r="N6" s="980">
        <v>159.1</v>
      </c>
    </row>
    <row r="7" spans="2:14" x14ac:dyDescent="0.25">
      <c r="B7" s="969" t="s">
        <v>870</v>
      </c>
      <c r="C7" s="991">
        <v>14.53</v>
      </c>
      <c r="D7" s="992">
        <v>155.91999999999999</v>
      </c>
      <c r="F7" s="969" t="s">
        <v>877</v>
      </c>
      <c r="G7" s="972">
        <v>14.53</v>
      </c>
      <c r="H7" s="973">
        <v>0</v>
      </c>
      <c r="I7" s="974">
        <v>155.91999999999999</v>
      </c>
      <c r="K7" s="1001" t="s">
        <v>870</v>
      </c>
      <c r="L7" s="979">
        <v>4.7E-2</v>
      </c>
      <c r="M7" s="972">
        <v>14.53</v>
      </c>
      <c r="N7" s="980">
        <v>155.91999999999999</v>
      </c>
    </row>
    <row r="8" spans="2:14" x14ac:dyDescent="0.25">
      <c r="B8" s="969" t="s">
        <v>871</v>
      </c>
      <c r="C8" s="991">
        <v>12.42</v>
      </c>
      <c r="D8" s="992">
        <v>118.79</v>
      </c>
      <c r="F8" s="969" t="s">
        <v>878</v>
      </c>
      <c r="G8" s="972">
        <v>13.51</v>
      </c>
      <c r="H8" s="973">
        <v>-7.0000000000000007E-2</v>
      </c>
      <c r="I8" s="974">
        <v>138.30000000000001</v>
      </c>
      <c r="K8" s="1001" t="s">
        <v>883</v>
      </c>
      <c r="L8" s="979">
        <v>4.4999999999999998E-2</v>
      </c>
      <c r="M8" s="972">
        <v>13.47</v>
      </c>
      <c r="N8" s="980">
        <v>129.97</v>
      </c>
    </row>
    <row r="9" spans="2:14" ht="15.75" thickBot="1" x14ac:dyDescent="0.3">
      <c r="B9" s="999" t="s">
        <v>871</v>
      </c>
      <c r="C9" s="993">
        <v>10.3</v>
      </c>
      <c r="D9" s="994">
        <v>90.75</v>
      </c>
      <c r="F9" s="999" t="s">
        <v>879</v>
      </c>
      <c r="G9" s="975">
        <v>12.5</v>
      </c>
      <c r="H9" s="976">
        <v>-0.14000000000000001</v>
      </c>
      <c r="I9" s="977">
        <v>123.84</v>
      </c>
      <c r="K9" s="1002" t="s">
        <v>871</v>
      </c>
      <c r="L9" s="981">
        <v>4.2999999999999997E-2</v>
      </c>
      <c r="M9" s="982">
        <v>12.42</v>
      </c>
      <c r="N9" s="983">
        <v>118.79</v>
      </c>
    </row>
    <row r="10" spans="2:14" ht="15.75" thickBot="1" x14ac:dyDescent="0.3"/>
    <row r="11" spans="2:14" x14ac:dyDescent="0.25">
      <c r="B11" s="1038" t="s">
        <v>884</v>
      </c>
      <c r="C11" s="1039"/>
      <c r="D11" s="1039"/>
      <c r="E11" s="1040"/>
      <c r="G11" s="966"/>
      <c r="H11" s="1031" t="s">
        <v>694</v>
      </c>
      <c r="I11" s="1031"/>
      <c r="J11" s="1031"/>
      <c r="K11" s="1031"/>
      <c r="L11" s="1031"/>
      <c r="M11" s="1031"/>
      <c r="N11" s="1032"/>
    </row>
    <row r="12" spans="2:14" x14ac:dyDescent="0.25">
      <c r="B12" s="1000" t="s">
        <v>866</v>
      </c>
      <c r="C12" s="970" t="s">
        <v>885</v>
      </c>
      <c r="D12" s="970" t="s">
        <v>867</v>
      </c>
      <c r="E12" s="984" t="s">
        <v>403</v>
      </c>
      <c r="G12" s="1033" t="s">
        <v>695</v>
      </c>
      <c r="H12" s="790"/>
      <c r="I12" s="791">
        <v>0.13</v>
      </c>
      <c r="J12" s="791">
        <f>I12+1%</f>
        <v>0.14000000000000001</v>
      </c>
      <c r="K12" s="791">
        <f t="shared" ref="K12" si="0">J12+1%</f>
        <v>0.15000000000000002</v>
      </c>
      <c r="L12" s="791">
        <v>0.17</v>
      </c>
      <c r="M12" s="791">
        <v>0.18</v>
      </c>
      <c r="N12" s="959">
        <v>0.19</v>
      </c>
    </row>
    <row r="13" spans="2:14" x14ac:dyDescent="0.25">
      <c r="B13" s="969" t="s">
        <v>875</v>
      </c>
      <c r="C13" s="973">
        <v>0.48</v>
      </c>
      <c r="D13" s="972">
        <v>14.78</v>
      </c>
      <c r="E13" s="985">
        <v>171.05</v>
      </c>
      <c r="G13" s="1033"/>
      <c r="H13" s="791">
        <v>0.08</v>
      </c>
      <c r="I13" s="786">
        <v>215.87</v>
      </c>
      <c r="J13" s="786">
        <v>183.87</v>
      </c>
      <c r="K13" s="786">
        <v>161.07</v>
      </c>
      <c r="L13" s="786">
        <v>130.83000000000001</v>
      </c>
      <c r="M13" s="787">
        <v>120.3</v>
      </c>
      <c r="N13" s="960">
        <v>111.73</v>
      </c>
    </row>
    <row r="14" spans="2:14" x14ac:dyDescent="0.25">
      <c r="B14" s="969" t="s">
        <v>876</v>
      </c>
      <c r="C14" s="979">
        <v>0.48</v>
      </c>
      <c r="D14" s="972">
        <v>14.65</v>
      </c>
      <c r="E14" s="985">
        <v>161.55000000000001</v>
      </c>
      <c r="G14" s="1033"/>
      <c r="H14" s="791">
        <f>H13+0.5%</f>
        <v>8.5000000000000006E-2</v>
      </c>
      <c r="I14" s="788">
        <v>229.86</v>
      </c>
      <c r="J14" s="788">
        <v>192.56</v>
      </c>
      <c r="K14" s="789">
        <v>166.8</v>
      </c>
      <c r="L14" s="788">
        <v>133.6</v>
      </c>
      <c r="M14" s="789">
        <v>122.3</v>
      </c>
      <c r="N14" s="961">
        <v>113.19</v>
      </c>
    </row>
    <row r="15" spans="2:14" x14ac:dyDescent="0.25">
      <c r="B15" s="969" t="s">
        <v>877</v>
      </c>
      <c r="C15" s="979">
        <v>0.48099999999999998</v>
      </c>
      <c r="D15" s="972">
        <v>14.53</v>
      </c>
      <c r="E15" s="985">
        <v>155.91999999999999</v>
      </c>
      <c r="G15" s="1033"/>
      <c r="H15" s="791">
        <f t="shared" ref="H15:H18" si="1">H14+0.5%</f>
        <v>9.0000000000000011E-2</v>
      </c>
      <c r="I15" s="788">
        <v>247.35</v>
      </c>
      <c r="J15" s="788">
        <v>202.98</v>
      </c>
      <c r="K15" s="788">
        <v>173.47</v>
      </c>
      <c r="L15" s="788">
        <v>136.72</v>
      </c>
      <c r="M15" s="788">
        <v>124.53</v>
      </c>
      <c r="N15" s="962">
        <v>114.8</v>
      </c>
    </row>
    <row r="16" spans="2:14" x14ac:dyDescent="0.25">
      <c r="B16" s="969" t="s">
        <v>886</v>
      </c>
      <c r="C16" s="979">
        <v>0.48199999999999998</v>
      </c>
      <c r="D16" s="972">
        <v>14.41</v>
      </c>
      <c r="E16" s="985">
        <v>146.93</v>
      </c>
      <c r="G16" s="1033"/>
      <c r="H16" s="791">
        <f t="shared" si="1"/>
        <v>9.5000000000000015E-2</v>
      </c>
      <c r="I16" s="788">
        <v>269.83999999999997</v>
      </c>
      <c r="J16" s="788">
        <v>215.73</v>
      </c>
      <c r="K16" s="788">
        <v>181.36</v>
      </c>
      <c r="L16" s="788">
        <v>140.25</v>
      </c>
      <c r="M16" s="788">
        <v>127.01</v>
      </c>
      <c r="N16" s="961">
        <v>116.58</v>
      </c>
    </row>
    <row r="17" spans="2:14" ht="15.75" thickBot="1" x14ac:dyDescent="0.3">
      <c r="B17" s="999" t="s">
        <v>879</v>
      </c>
      <c r="C17" s="986">
        <v>0.48299999999999998</v>
      </c>
      <c r="D17" s="987">
        <v>14.28</v>
      </c>
      <c r="E17" s="988">
        <v>141.13</v>
      </c>
      <c r="G17" s="1033"/>
      <c r="H17" s="791">
        <f t="shared" si="1"/>
        <v>0.10000000000000002</v>
      </c>
      <c r="I17" s="788">
        <v>299.82</v>
      </c>
      <c r="J17" s="788">
        <v>231.66</v>
      </c>
      <c r="K17" s="788">
        <v>190.83</v>
      </c>
      <c r="L17" s="788">
        <v>144.29</v>
      </c>
      <c r="M17" s="789">
        <v>129.80000000000001</v>
      </c>
      <c r="N17" s="961">
        <v>118.56</v>
      </c>
    </row>
    <row r="18" spans="2:14" ht="15.75" thickBot="1" x14ac:dyDescent="0.3">
      <c r="G18" s="1034"/>
      <c r="H18" s="967">
        <f t="shared" si="1"/>
        <v>0.10500000000000002</v>
      </c>
      <c r="I18" s="963">
        <v>341.8</v>
      </c>
      <c r="J18" s="964">
        <v>252.14</v>
      </c>
      <c r="K18" s="964">
        <v>202.4</v>
      </c>
      <c r="L18" s="964">
        <v>148.94999999999999</v>
      </c>
      <c r="M18" s="964">
        <v>132.97</v>
      </c>
      <c r="N18" s="965">
        <v>120.72</v>
      </c>
    </row>
    <row r="25" spans="2:14" ht="15" customHeight="1" x14ac:dyDescent="0.25"/>
  </sheetData>
  <mergeCells count="6">
    <mergeCell ref="B11:E11"/>
    <mergeCell ref="B3:D3"/>
    <mergeCell ref="K3:N3"/>
    <mergeCell ref="H11:N11"/>
    <mergeCell ref="G12:G18"/>
    <mergeCell ref="F3:I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Dashboard</vt:lpstr>
      <vt:lpstr>Overview</vt:lpstr>
      <vt:lpstr>Industry Data</vt:lpstr>
      <vt:lpstr>Assumptions</vt:lpstr>
      <vt:lpstr>MEBL</vt:lpstr>
      <vt:lpstr>Adj from Unconsol to Consol</vt:lpstr>
      <vt:lpstr>Ratios</vt:lpstr>
      <vt:lpstr>Valuation</vt:lpstr>
      <vt:lpstr>Sensitivities</vt:lpstr>
      <vt:lpstr>Horizontal Analysis</vt:lpstr>
      <vt:lpstr>Vertical Analysis</vt:lpstr>
      <vt:lpstr>Raw Data</vt:lpstr>
      <vt:lpstr>Raw Data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2021-01-18T17:22:04Z</dcterms:modified>
</cp:coreProperties>
</file>