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8700" windowHeight="4067" tabRatio="600" firstSheet="0" activeTab="1" autoFilterDateGrouping="1"/>
  </bookViews>
  <sheets>
    <sheet name="denomination" sheetId="1" state="visible" r:id="rId1"/>
    <sheet name="11" sheetId="2" state="visible" r:id="rId2"/>
    <sheet name="10" sheetId="3" state="visible" r:id="rId3"/>
    <sheet name="9" sheetId="4" state="visible" r:id="rId4"/>
    <sheet name="8" sheetId="5" state="visible" r:id="rId5"/>
    <sheet name="7" sheetId="6" state="visible" r:id="rId6"/>
    <sheet name="6" sheetId="7" state="visible" r:id="rId7"/>
    <sheet name="5" sheetId="8" state="visible" r:id="rId8"/>
    <sheet name="4" sheetId="9" state="visible" r:id="rId9"/>
    <sheet name="3" sheetId="10" state="visible" r:id="rId10"/>
    <sheet name="2" sheetId="11" state="visible" r:id="rId11"/>
    <sheet name="1" sheetId="12" state="visible" r:id="rId12"/>
  </sheets>
  <definedNames/>
  <calcPr calcId="144525" fullCalcOnLoad="1" concurrentCalc="0"/>
</workbook>
</file>

<file path=xl/styles.xml><?xml version="1.0" encoding="utf-8"?>
<styleSheet xmlns="http://schemas.openxmlformats.org/spreadsheetml/2006/main">
  <numFmts count="7">
    <numFmt numFmtId="164" formatCode="0.00_ "/>
    <numFmt numFmtId="165" formatCode="[Green]&quot;✔&quot;;0;[Red]&quot;❌&quot;"/>
    <numFmt numFmtId="166" formatCode="[$$-4105]#,##0.00;[$$-4105]\-#,##0.00"/>
    <numFmt numFmtId="167" formatCode="_-* #,##0.00_-;\-* #,##0.00_-;_-* &quot;-&quot;??_-;_-@_-"/>
    <numFmt numFmtId="168" formatCode="_-* #,##0_-;\-* #,##0_-;_-* &quot;-&quot;_-;_-@_-"/>
    <numFmt numFmtId="169" formatCode="_-&quot;£&quot;* #,##0_-;\-&quot;£&quot;* #,##0_-;_-&quot;£&quot;* &quot;-&quot;_-;_-@_-"/>
    <numFmt numFmtId="170" formatCode="_-&quot;£&quot;* #,##0.00_-;\-&quot;£&quot;* #,##0.00_-;_-&quot;£&quot;* &quot;-&quot;??_-;_-@_-"/>
  </numFmts>
  <fonts count="31">
    <font>
      <name val="Calibri"/>
      <charset val="134"/>
      <color theme="1"/>
      <sz val="11"/>
      <scheme val="minor"/>
    </font>
    <font>
      <name val="Microsoft YaHei"/>
      <charset val="134"/>
      <color rgb="FF333333"/>
      <sz val="9"/>
    </font>
    <font>
      <name val="Calibri"/>
      <charset val="134"/>
      <sz val="11"/>
      <scheme val="minor"/>
    </font>
    <font>
      <name val="Calibri"/>
      <charset val="134"/>
      <color indexed="8"/>
      <sz val="11"/>
      <scheme val="minor"/>
    </font>
    <font>
      <name val="Calibri"/>
      <charset val="134"/>
      <color rgb="FF051D33"/>
      <sz val="10.5"/>
      <scheme val="minor"/>
    </font>
    <font>
      <name val="Microsoft Yahei"/>
      <charset val="134"/>
      <color rgb="FF1F2D3D"/>
      <sz val="10.5"/>
    </font>
    <font>
      <name val="Arial"/>
      <charset val="134"/>
      <color theme="1"/>
      <sz val="10.5"/>
    </font>
    <font>
      <name val="宋体"/>
      <charset val="134"/>
      <color theme="1"/>
      <sz val="11"/>
    </font>
    <font>
      <name val="Calibri"/>
      <charset val="134"/>
      <color rgb="FF617182"/>
      <sz val="10.5"/>
      <scheme val="minor"/>
    </font>
    <font>
      <name val="Calibri"/>
      <charset val="134"/>
      <color theme="1"/>
      <sz val="11"/>
    </font>
    <font>
      <name val="Arial"/>
      <charset val="134"/>
      <color rgb="FF617182"/>
      <sz val="10.5"/>
    </font>
    <font>
      <name val="Calibri"/>
      <charset val="134"/>
      <color indexed="8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9C65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FF00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8"/>
      <scheme val="minor"/>
    </font>
  </fonts>
  <fills count="43">
    <fill>
      <patternFill/>
    </fill>
    <fill>
      <patternFill patternType="gray125"/>
    </fill>
    <fill>
      <patternFill patternType="solid">
        <fgColor rgb="FFEEF1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FE6EC"/>
      </right>
      <top/>
      <bottom style="medium">
        <color rgb="FFDFE6EC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E6EC"/>
      </left>
      <right style="medium">
        <color rgb="FFDDE6EC"/>
      </right>
      <top style="medium">
        <color rgb="FFDDE6EC"/>
      </top>
      <bottom style="medium">
        <color rgb="FFDDE6EC"/>
      </bottom>
      <diagonal/>
    </border>
    <border>
      <left/>
      <right/>
      <top/>
      <bottom style="medium">
        <color rgb="FFDFE6E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3">
    <xf numFmtId="0" fontId="0" fillId="0" borderId="0" applyAlignment="1">
      <alignment vertical="center"/>
    </xf>
    <xf numFmtId="0" fontId="19" fillId="17" borderId="0" applyAlignment="1">
      <alignment vertical="center"/>
    </xf>
    <xf numFmtId="167" fontId="0" fillId="0" borderId="0" applyAlignment="1">
      <alignment vertical="center"/>
    </xf>
    <xf numFmtId="168" fontId="0" fillId="0" borderId="0" applyAlignment="1">
      <alignment vertical="center"/>
    </xf>
    <xf numFmtId="169" fontId="0" fillId="0" borderId="0" applyAlignment="1">
      <alignment vertical="center"/>
    </xf>
    <xf numFmtId="170" fontId="0" fillId="0" borderId="0" applyAlignment="1">
      <alignment vertical="center"/>
    </xf>
    <xf numFmtId="9" fontId="0" fillId="0" borderId="0" applyAlignment="1">
      <alignment vertical="center"/>
    </xf>
    <xf numFmtId="0" fontId="14" fillId="0" borderId="0" applyAlignment="1">
      <alignment vertical="center"/>
    </xf>
    <xf numFmtId="0" fontId="12" fillId="23" borderId="0" applyAlignment="1">
      <alignment vertical="center"/>
    </xf>
    <xf numFmtId="0" fontId="16" fillId="0" borderId="0" applyAlignment="1">
      <alignment vertical="center"/>
    </xf>
    <xf numFmtId="0" fontId="24" fillId="28" borderId="16" applyAlignment="1">
      <alignment vertical="center"/>
    </xf>
    <xf numFmtId="0" fontId="26" fillId="0" borderId="12" applyAlignment="1">
      <alignment vertical="center"/>
    </xf>
    <xf numFmtId="0" fontId="0" fillId="27" borderId="15" applyAlignment="1">
      <alignment vertical="center"/>
    </xf>
    <xf numFmtId="0" fontId="0" fillId="0" borderId="0" applyAlignment="1">
      <alignment vertical="center"/>
    </xf>
    <xf numFmtId="0" fontId="19" fillId="33" borderId="0" applyAlignment="1">
      <alignment vertical="center"/>
    </xf>
    <xf numFmtId="0" fontId="21" fillId="0" borderId="0" applyAlignment="1">
      <alignment vertical="center"/>
    </xf>
    <xf numFmtId="0" fontId="11" fillId="0" borderId="0" applyAlignment="1">
      <alignment vertical="center"/>
    </xf>
    <xf numFmtId="0" fontId="19" fillId="19" borderId="0" applyAlignment="1">
      <alignment vertical="center"/>
    </xf>
    <xf numFmtId="0" fontId="30" fillId="0" borderId="0" applyAlignment="1">
      <alignment vertical="center"/>
    </xf>
    <xf numFmtId="0" fontId="22" fillId="0" borderId="0" applyAlignment="1">
      <alignment vertical="center"/>
    </xf>
    <xf numFmtId="0" fontId="20" fillId="0" borderId="12" applyAlignment="1">
      <alignment vertical="center"/>
    </xf>
    <xf numFmtId="0" fontId="18" fillId="0" borderId="14" applyAlignment="1">
      <alignment vertical="center"/>
    </xf>
    <xf numFmtId="0" fontId="18" fillId="0" borderId="0" applyAlignment="1">
      <alignment vertical="center"/>
    </xf>
    <xf numFmtId="0" fontId="13" fillId="14" borderId="11" applyAlignment="1">
      <alignment vertical="center"/>
    </xf>
    <xf numFmtId="0" fontId="12" fillId="35" borderId="0" applyAlignment="1">
      <alignment vertical="center"/>
    </xf>
    <xf numFmtId="0" fontId="15" fillId="15" borderId="0" applyAlignment="1">
      <alignment vertical="center"/>
    </xf>
    <xf numFmtId="0" fontId="25" fillId="30" borderId="17" applyAlignment="1">
      <alignment vertical="center"/>
    </xf>
    <xf numFmtId="0" fontId="19" fillId="26" borderId="0" applyAlignment="1">
      <alignment vertical="center"/>
    </xf>
    <xf numFmtId="0" fontId="29" fillId="30" borderId="11" applyAlignment="1">
      <alignment vertical="center"/>
    </xf>
    <xf numFmtId="0" fontId="23" fillId="0" borderId="13" applyAlignment="1">
      <alignment vertical="center"/>
    </xf>
    <xf numFmtId="0" fontId="28" fillId="0" borderId="18" applyAlignment="1">
      <alignment vertical="center"/>
    </xf>
    <xf numFmtId="0" fontId="27" fillId="34" borderId="0" applyAlignment="1">
      <alignment vertical="center"/>
    </xf>
    <xf numFmtId="0" fontId="17" fillId="16" borderId="0" applyAlignment="1">
      <alignment vertical="center"/>
    </xf>
    <xf numFmtId="0" fontId="12" fillId="13" borderId="0" applyAlignment="1">
      <alignment vertical="center"/>
    </xf>
    <xf numFmtId="0" fontId="11" fillId="0" borderId="0"/>
    <xf numFmtId="0" fontId="19" fillId="39" borderId="0" applyAlignment="1">
      <alignment vertical="center"/>
    </xf>
    <xf numFmtId="0" fontId="12" fillId="25" borderId="0" applyAlignment="1">
      <alignment vertical="center"/>
    </xf>
    <xf numFmtId="0" fontId="12" fillId="32" borderId="0" applyAlignment="1">
      <alignment vertical="center"/>
    </xf>
    <xf numFmtId="0" fontId="19" fillId="18" borderId="0" applyAlignment="1">
      <alignment vertical="center"/>
    </xf>
    <xf numFmtId="0" fontId="0" fillId="0" borderId="0" applyAlignment="1">
      <alignment vertical="center"/>
    </xf>
    <xf numFmtId="0" fontId="19" fillId="38" borderId="0" applyAlignment="1">
      <alignment vertical="center"/>
    </xf>
    <xf numFmtId="0" fontId="12" fillId="24" borderId="0" applyAlignment="1">
      <alignment vertical="center"/>
    </xf>
    <xf numFmtId="0" fontId="12" fillId="29" borderId="0" applyAlignment="1">
      <alignment vertical="center"/>
    </xf>
    <xf numFmtId="0" fontId="19" fillId="40" borderId="0" applyAlignment="1">
      <alignment vertical="center"/>
    </xf>
    <xf numFmtId="0" fontId="12" fillId="20" borderId="0" applyAlignment="1">
      <alignment vertical="center"/>
    </xf>
    <xf numFmtId="0" fontId="19" fillId="22" borderId="0" applyAlignment="1">
      <alignment vertical="center"/>
    </xf>
    <xf numFmtId="0" fontId="19" fillId="41" borderId="0" applyAlignment="1">
      <alignment vertical="center"/>
    </xf>
    <xf numFmtId="0" fontId="12" fillId="37" borderId="0" applyAlignment="1">
      <alignment vertical="center"/>
    </xf>
    <xf numFmtId="0" fontId="19" fillId="36" borderId="0" applyAlignment="1">
      <alignment vertical="center"/>
    </xf>
    <xf numFmtId="0" fontId="12" fillId="42" borderId="0" applyAlignment="1">
      <alignment vertical="center"/>
    </xf>
    <xf numFmtId="0" fontId="12" fillId="9" borderId="0" applyAlignment="1">
      <alignment vertical="center"/>
    </xf>
    <xf numFmtId="0" fontId="19" fillId="21" borderId="0" applyAlignment="1">
      <alignment vertical="center"/>
    </xf>
    <xf numFmtId="0" fontId="12" fillId="31" borderId="0" applyAlignment="1">
      <alignment vertical="center"/>
    </xf>
  </cellStyleXfs>
  <cellXfs count="10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2" borderId="2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3" borderId="2" applyAlignment="1" pivotButton="0" quotePrefix="0" xfId="0">
      <alignment vertical="center"/>
    </xf>
    <xf numFmtId="0" fontId="0" fillId="4" borderId="3" applyAlignment="1" pivotButton="0" quotePrefix="0" xfId="0">
      <alignment horizontal="center"/>
    </xf>
    <xf numFmtId="0" fontId="2" fillId="0" borderId="1" applyAlignment="1" pivotButton="0" quotePrefix="0" xfId="0">
      <alignment horizontal="left" vertical="center"/>
    </xf>
    <xf numFmtId="0" fontId="2" fillId="0" borderId="4" applyAlignment="1" pivotButton="0" quotePrefix="0" xfId="0">
      <alignment horizontal="left" vertical="center"/>
    </xf>
    <xf numFmtId="0" fontId="2" fillId="0" borderId="1" pivotButton="0" quotePrefix="0" xfId="0"/>
    <xf numFmtId="0" fontId="2" fillId="0" borderId="1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64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5" fillId="0" borderId="1" applyAlignment="1" pivotButton="0" quotePrefix="0" xfId="0">
      <alignment vertical="center"/>
    </xf>
    <xf numFmtId="0" fontId="6" fillId="3" borderId="0" applyAlignment="1" pivotButton="0" quotePrefix="0" xfId="0">
      <alignment vertical="center" wrapText="1"/>
    </xf>
    <xf numFmtId="58" fontId="7" fillId="0" borderId="1" applyAlignment="1" pivotButton="0" quotePrefix="0" xfId="0">
      <alignment vertical="center"/>
    </xf>
    <xf numFmtId="0" fontId="7" fillId="0" borderId="1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2" fillId="4" borderId="1" pivotButton="0" quotePrefix="0" xfId="0"/>
    <xf numFmtId="0" fontId="2" fillId="4" borderId="1" applyAlignment="1" pivotButton="0" quotePrefix="0" xfId="0">
      <alignment horizontal="left" vertical="center"/>
    </xf>
    <xf numFmtId="0" fontId="2" fillId="5" borderId="1" pivotButton="0" quotePrefix="0" xfId="0"/>
    <xf numFmtId="0" fontId="2" fillId="0" borderId="0" pivotButton="0" quotePrefix="0" xfId="0"/>
    <xf numFmtId="0" fontId="0" fillId="0" borderId="0" pivotButton="0" quotePrefix="0" xfId="0"/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4" borderId="1" pivotButton="0" quotePrefix="0" xfId="0"/>
    <xf numFmtId="58" fontId="0" fillId="0" borderId="1" pivotButton="0" quotePrefix="0" xfId="0"/>
    <xf numFmtId="0" fontId="0" fillId="0" borderId="1" pivotButton="0" quotePrefix="0" xfId="0"/>
    <xf numFmtId="0" fontId="3" fillId="0" borderId="1" applyAlignment="1" pivotButton="0" quotePrefix="0" xfId="0">
      <alignment vertical="center"/>
    </xf>
    <xf numFmtId="0" fontId="0" fillId="4" borderId="1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0" fillId="6" borderId="8" applyAlignment="1" pivotButton="0" quotePrefix="0" xfId="0">
      <alignment horizontal="center" vertical="center"/>
    </xf>
    <xf numFmtId="0" fontId="0" fillId="7" borderId="1" applyAlignment="1" pivotButton="0" quotePrefix="0" xfId="0">
      <alignment vertical="center"/>
    </xf>
    <xf numFmtId="0" fontId="0" fillId="8" borderId="6" applyAlignment="1" pivotButton="0" quotePrefix="0" xfId="0">
      <alignment horizontal="center" vertical="center"/>
    </xf>
    <xf numFmtId="0" fontId="0" fillId="8" borderId="8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center"/>
    </xf>
    <xf numFmtId="0" fontId="0" fillId="9" borderId="8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0" fillId="9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64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39">
      <alignment vertical="center"/>
    </xf>
    <xf numFmtId="0" fontId="0" fillId="10" borderId="0" applyAlignment="1" pivotButton="0" quotePrefix="0" xfId="0">
      <alignment vertical="center"/>
    </xf>
    <xf numFmtId="164" fontId="3" fillId="0" borderId="1" applyAlignment="1" pivotButton="0" quotePrefix="0" xfId="0">
      <alignment vertical="center"/>
    </xf>
    <xf numFmtId="58" fontId="0" fillId="0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2" fillId="11" borderId="1" pivotButton="0" quotePrefix="0" xfId="0"/>
    <xf numFmtId="0" fontId="9" fillId="0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2" fillId="0" borderId="8" pivotButton="0" quotePrefix="0" xfId="0"/>
    <xf numFmtId="0" fontId="2" fillId="0" borderId="8" pivotButton="0" quotePrefix="0" xfId="0"/>
    <xf numFmtId="0" fontId="4" fillId="0" borderId="1" applyAlignment="1" pivotButton="0" quotePrefix="0" xfId="0">
      <alignment vertical="center"/>
    </xf>
    <xf numFmtId="0" fontId="1" fillId="0" borderId="0" applyAlignment="1" pivotButton="0" quotePrefix="0" xfId="0">
      <alignment vertical="center" wrapText="1"/>
    </xf>
    <xf numFmtId="0" fontId="5" fillId="3" borderId="9" applyAlignment="1" pivotButton="0" quotePrefix="0" xfId="0">
      <alignment vertical="center" wrapText="1"/>
    </xf>
    <xf numFmtId="0" fontId="10" fillId="0" borderId="0" applyAlignment="1" pivotButton="0" quotePrefix="0" xfId="0">
      <alignment vertical="center"/>
    </xf>
    <xf numFmtId="0" fontId="0" fillId="4" borderId="6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8" applyAlignment="1" pivotButton="0" quotePrefix="0" xfId="0">
      <alignment horizontal="center" vertical="center"/>
    </xf>
    <xf numFmtId="0" fontId="0" fillId="2" borderId="1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6" fillId="3" borderId="1" applyAlignment="1" pivotButton="0" quotePrefix="0" xfId="0">
      <alignment vertical="center" wrapText="1"/>
    </xf>
    <xf numFmtId="0" fontId="10" fillId="0" borderId="1" applyAlignment="1" pivotButton="0" quotePrefix="0" xfId="0">
      <alignment vertical="center"/>
    </xf>
    <xf numFmtId="165" fontId="0" fillId="8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164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0" fontId="0" fillId="12" borderId="1" applyAlignment="1" pivotButton="0" quotePrefix="0" xfId="0">
      <alignment horizontal="center" vertical="center"/>
    </xf>
    <xf numFmtId="0" fontId="2" fillId="0" borderId="1" applyAlignment="1" pivotButton="0" quotePrefix="1" xfId="0">
      <alignment horizontal="left" vertical="center"/>
    </xf>
    <xf numFmtId="0" fontId="0" fillId="0" borderId="1" applyAlignment="1" pivotButton="0" quotePrefix="1" xfId="0">
      <alignment vertical="center"/>
    </xf>
    <xf numFmtId="0" fontId="0" fillId="0" borderId="1" pivotButton="0" quotePrefix="1" xfId="0"/>
    <xf numFmtId="0" fontId="1" fillId="0" borderId="0" applyAlignment="1" pivotButton="0" quotePrefix="1" xfId="0">
      <alignment vertical="center"/>
    </xf>
    <xf numFmtId="166" fontId="0" fillId="0" borderId="0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8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165" fontId="0" fillId="8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164" fontId="3" fillId="0" borderId="1" applyAlignment="1" pivotButton="0" quotePrefix="0" xfId="0">
      <alignment vertical="center"/>
    </xf>
    <xf numFmtId="0" fontId="0" fillId="6" borderId="1" applyAlignment="1" pivotButton="0" quotePrefix="0" xfId="0">
      <alignment horizontal="center" vertical="center"/>
    </xf>
    <xf numFmtId="164" fontId="3" fillId="0" borderId="0" applyAlignment="1" pivotButton="0" quotePrefix="0" xfId="0">
      <alignment vertical="center"/>
    </xf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常规 3" xfId="13"/>
    <cellStyle name="40% - Accent3" xfId="14" builtinId="39"/>
    <cellStyle name="Warning Text" xfId="15" builtinId="11"/>
    <cellStyle name="常规 2" xfId="16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Normal 3" xfId="39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"/>
  <sheetViews>
    <sheetView zoomScale="158" zoomScaleNormal="158" workbookViewId="0">
      <selection activeCell="E10" sqref="E10"/>
    </sheetView>
  </sheetViews>
  <sheetFormatPr baseColWidth="8" defaultColWidth="9.140350877192979" defaultRowHeight="14.4"/>
  <cols>
    <col width="9.50877192982456" customWidth="1" style="28" min="1" max="1"/>
    <col width="9.140350877192979" customWidth="1" style="96" min="2" max="2"/>
    <col width="10.6842105263158" customWidth="1" style="28" min="5" max="5"/>
  </cols>
  <sheetData>
    <row r="1">
      <c r="A1" s="80" t="n">
        <v>80</v>
      </c>
      <c r="B1" s="96" t="n">
        <v>100</v>
      </c>
      <c r="C1" s="58">
        <f>A1*B1</f>
        <v/>
      </c>
      <c r="E1" s="91" t="inlineStr">
        <is>
          <t>日期</t>
        </is>
      </c>
      <c r="F1" s="91" t="inlineStr">
        <is>
          <t>小费</t>
        </is>
      </c>
    </row>
    <row r="2">
      <c r="A2" s="80" t="n">
        <v>104</v>
      </c>
      <c r="B2" s="96" t="n">
        <v>50</v>
      </c>
      <c r="C2" s="58">
        <f>A2*B2</f>
        <v/>
      </c>
      <c r="E2" s="60" t="n">
        <v>44652</v>
      </c>
      <c r="F2" s="80" t="n">
        <v>3974.77</v>
      </c>
    </row>
    <row r="3">
      <c r="A3" s="80" t="n">
        <v>201</v>
      </c>
      <c r="B3" s="96" t="n">
        <v>20</v>
      </c>
      <c r="C3" s="58">
        <f>A3*B3</f>
        <v/>
      </c>
      <c r="E3" s="60" t="n">
        <v>44653</v>
      </c>
      <c r="F3" s="80" t="n">
        <v>4490.04</v>
      </c>
    </row>
    <row r="4">
      <c r="A4" s="80" t="n">
        <v>100</v>
      </c>
      <c r="B4" s="96" t="n">
        <v>10</v>
      </c>
      <c r="C4" s="58">
        <f>A4*B4</f>
        <v/>
      </c>
      <c r="E4" s="60" t="n">
        <v>44654</v>
      </c>
      <c r="F4" s="80" t="n">
        <v>4064</v>
      </c>
    </row>
    <row r="5">
      <c r="A5" s="80" t="n">
        <v>101</v>
      </c>
      <c r="B5" s="96" t="n">
        <v>5</v>
      </c>
      <c r="C5" s="58">
        <f>A5*B5</f>
        <v/>
      </c>
      <c r="E5" s="60" t="n">
        <v>44655</v>
      </c>
      <c r="F5" s="80" t="n">
        <v>1988.57</v>
      </c>
    </row>
    <row r="6">
      <c r="A6" s="80" t="n"/>
      <c r="B6" s="96" t="n">
        <v>2</v>
      </c>
      <c r="C6" s="58">
        <f>A6*B6</f>
        <v/>
      </c>
      <c r="E6" s="60" t="n">
        <v>44656</v>
      </c>
      <c r="F6" s="80" t="n">
        <v>2334.62</v>
      </c>
    </row>
    <row r="7">
      <c r="A7" s="80" t="n">
        <v>3</v>
      </c>
      <c r="B7" s="96" t="n">
        <v>1</v>
      </c>
      <c r="C7" s="58">
        <f>A7*B7</f>
        <v/>
      </c>
      <c r="E7" s="60" t="n">
        <v>44657</v>
      </c>
      <c r="F7" s="80" t="n">
        <v>2624.53</v>
      </c>
    </row>
    <row r="8">
      <c r="B8" s="96" t="inlineStr">
        <is>
          <t>small coins</t>
        </is>
      </c>
      <c r="C8" s="86" t="n">
        <v>0.72</v>
      </c>
      <c r="E8" s="60" t="n">
        <v>44658</v>
      </c>
      <c r="F8" s="80" t="n">
        <v>2428.02</v>
      </c>
    </row>
    <row r="9">
      <c r="B9" s="96" t="inlineStr">
        <is>
          <t>total:</t>
        </is>
      </c>
      <c r="C9" s="86">
        <f>SUM(C1:C8)</f>
        <v/>
      </c>
      <c r="E9" s="60" t="n">
        <v>44659</v>
      </c>
      <c r="F9" s="80" t="n">
        <v>4114.78</v>
      </c>
    </row>
    <row r="10">
      <c r="E10" s="60" t="n">
        <v>44660</v>
      </c>
      <c r="F10" s="80" t="n">
        <v>4744.87</v>
      </c>
    </row>
    <row r="11">
      <c r="A11" s="86" t="n">
        <v>18728.72</v>
      </c>
      <c r="E11" s="60" t="n"/>
      <c r="F11" s="80" t="n"/>
    </row>
    <row r="12">
      <c r="E12" s="60" t="n"/>
      <c r="F12" s="80" t="n"/>
    </row>
    <row r="13">
      <c r="E13" s="60" t="n"/>
      <c r="F13" s="80" t="n"/>
    </row>
    <row r="14">
      <c r="E14" s="80" t="n"/>
      <c r="F14" s="80" t="n"/>
    </row>
    <row r="15">
      <c r="E15" s="80" t="inlineStr">
        <is>
          <t>total：</t>
        </is>
      </c>
      <c r="F15" s="80">
        <f>SUM(F2:F13)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67"/>
  <sheetViews>
    <sheetView zoomScale="101" zoomScaleNormal="101" workbookViewId="0">
      <selection activeCell="D22" sqref="D22"/>
    </sheetView>
  </sheetViews>
  <sheetFormatPr baseColWidth="8" defaultColWidth="9" defaultRowHeight="18.85" customHeight="1"/>
  <cols>
    <col width="14.5350877192982" customWidth="1" style="28" min="1" max="1"/>
    <col width="20.2017543859649" customWidth="1" style="28" min="2" max="2"/>
    <col width="20.2631578947368" customWidth="1" style="28" min="3" max="3"/>
    <col width="14.8771929824561" customWidth="1" style="28" min="4" max="4"/>
    <col width="14.2017543859649" customWidth="1" style="28" min="5" max="5"/>
    <col width="17.3333333333333" customWidth="1" style="28" min="6" max="6"/>
    <col width="21.7368421052632" customWidth="1" style="28" min="7" max="7"/>
    <col width="21.7982456140351" customWidth="1" style="28" min="8" max="8"/>
    <col width="17.1315789473684" customWidth="1" style="28" min="9" max="9"/>
    <col width="13.7543859649123" customWidth="1" style="28" min="10" max="10"/>
    <col width="17.640350877193" customWidth="1" style="28" min="11" max="11"/>
    <col width="11.9298245614035" customWidth="1" style="28" min="12" max="12"/>
    <col width="9.52631578947368" customWidth="1" style="28" min="14" max="14"/>
  </cols>
  <sheetData>
    <row r="1" s="28">
      <c r="A1" s="80" t="inlineStr">
        <is>
          <t>商品销售</t>
        </is>
      </c>
      <c r="B1" s="95" t="inlineStr">
        <is>
          <t>0</t>
        </is>
      </c>
      <c r="L1" s="100" t="inlineStr">
        <is>
          <t>moneris</t>
        </is>
      </c>
      <c r="M1" s="99" t="n"/>
      <c r="N1" s="101" t="inlineStr">
        <is>
          <t>payfactor</t>
        </is>
      </c>
      <c r="O1" s="99" t="n"/>
      <c r="R1" s="80" t="n">
        <v>8</v>
      </c>
      <c r="S1" s="86" t="n">
        <v>100</v>
      </c>
      <c r="T1" s="58">
        <f>R1*S1</f>
        <v/>
      </c>
    </row>
    <row r="2" s="28">
      <c r="A2" s="80" t="inlineStr">
        <is>
          <t>堂食收入</t>
        </is>
      </c>
      <c r="B2" s="3" t="n">
        <v>27474.55</v>
      </c>
      <c r="C2" s="5" t="n"/>
      <c r="H2" s="86" t="n"/>
      <c r="L2" s="45" t="inlineStr">
        <is>
          <t>菜品金额</t>
        </is>
      </c>
      <c r="M2" s="45" t="inlineStr">
        <is>
          <t>小费</t>
        </is>
      </c>
      <c r="N2" s="46" t="inlineStr">
        <is>
          <t>菜品金额</t>
        </is>
      </c>
      <c r="O2" s="46" t="inlineStr">
        <is>
          <t>小费</t>
        </is>
      </c>
      <c r="R2" s="80" t="n">
        <v>10</v>
      </c>
      <c r="S2" s="86" t="n">
        <v>50</v>
      </c>
      <c r="T2" s="58">
        <f>R2*S2</f>
        <v/>
      </c>
    </row>
    <row r="3" s="28">
      <c r="A3" s="80" t="inlineStr">
        <is>
          <t>外送收入</t>
        </is>
      </c>
      <c r="B3" s="3" t="n">
        <v>2685.25</v>
      </c>
      <c r="C3" s="7" t="n"/>
      <c r="G3" s="86" t="n"/>
      <c r="L3" s="80" t="n">
        <v>250.63</v>
      </c>
      <c r="M3" s="80" t="n">
        <v>48.73</v>
      </c>
      <c r="N3" s="80" t="n">
        <v>2980.11</v>
      </c>
      <c r="O3" s="80" t="n">
        <v>400.2</v>
      </c>
      <c r="R3" s="80" t="n">
        <v>91</v>
      </c>
      <c r="S3" s="86" t="n">
        <v>20</v>
      </c>
      <c r="T3" s="58">
        <f>R3*S3</f>
        <v/>
      </c>
    </row>
    <row r="4" s="28">
      <c r="A4" s="61" t="inlineStr">
        <is>
          <t>收入合计</t>
        </is>
      </c>
      <c r="B4" s="61">
        <f>B2+B3+B1</f>
        <v/>
      </c>
      <c r="L4" s="80" t="n">
        <v>4648.98</v>
      </c>
      <c r="M4" s="80" t="n">
        <v>589.78</v>
      </c>
      <c r="N4" s="80" t="n">
        <v>3149.1</v>
      </c>
      <c r="O4" s="80" t="n">
        <v>394.45</v>
      </c>
      <c r="R4" s="80" t="n">
        <v>6</v>
      </c>
      <c r="S4" s="86" t="n">
        <v>10</v>
      </c>
      <c r="T4" s="58">
        <f>R4*S4</f>
        <v/>
      </c>
    </row>
    <row r="5" customFormat="1" s="86">
      <c r="I5" s="86" t="n"/>
      <c r="J5" s="86" t="n"/>
      <c r="L5" s="80" t="n">
        <v>3213.48</v>
      </c>
      <c r="M5" s="80" t="n">
        <v>401.94</v>
      </c>
      <c r="N5" s="80" t="n">
        <v>1736.78</v>
      </c>
      <c r="O5" s="80" t="n">
        <v>227.88</v>
      </c>
      <c r="R5" s="80" t="n">
        <v>7</v>
      </c>
      <c r="S5" s="86" t="n">
        <v>5</v>
      </c>
      <c r="T5" s="58">
        <f>R5*S5</f>
        <v/>
      </c>
    </row>
    <row r="6" s="28">
      <c r="A6" s="8" t="inlineStr">
        <is>
          <t>客户代码</t>
        </is>
      </c>
      <c r="B6" s="8" t="inlineStr">
        <is>
          <t>客户名称</t>
        </is>
      </c>
      <c r="C6" s="8" t="inlineStr">
        <is>
          <t>营业款-小票金额</t>
        </is>
      </c>
      <c r="D6" s="8" t="inlineStr">
        <is>
          <t>小费</t>
        </is>
      </c>
      <c r="E6" s="8" t="inlineStr">
        <is>
          <t>饭团手续费</t>
        </is>
      </c>
      <c r="F6" s="8" t="inlineStr">
        <is>
          <t>点评</t>
        </is>
      </c>
      <c r="G6" s="8" t="inlineStr">
        <is>
          <t>红火台金额</t>
        </is>
      </c>
      <c r="H6" s="8" t="inlineStr">
        <is>
          <t>复核</t>
        </is>
      </c>
      <c r="I6" s="86" t="n"/>
      <c r="J6" s="86" t="n"/>
      <c r="L6" s="80" t="n"/>
      <c r="M6" s="80" t="n"/>
      <c r="N6" s="80" t="n">
        <v>4343.33</v>
      </c>
      <c r="O6" s="80" t="n">
        <v>562.99</v>
      </c>
    </row>
    <row r="7" s="28">
      <c r="A7" s="9" t="inlineStr">
        <is>
          <t>301737</t>
        </is>
      </c>
      <c r="B7" s="10" t="inlineStr">
        <is>
          <t>现金</t>
        </is>
      </c>
      <c r="C7" s="13">
        <f>982.92+938.9+542.8+677.6+192.75-480+4.1</f>
        <v/>
      </c>
      <c r="D7" s="12">
        <f>105.93+101.1+57.2+67.25+27.25-2.8</f>
        <v/>
      </c>
      <c r="E7" s="12" t="n"/>
      <c r="F7" s="12" t="n"/>
      <c r="G7" s="13" t="n">
        <v>2859.07</v>
      </c>
      <c r="H7" s="62">
        <f>C7-G7</f>
        <v/>
      </c>
      <c r="I7" s="86" t="n"/>
      <c r="J7" s="86" t="n"/>
      <c r="L7" s="80" t="n"/>
      <c r="M7" s="80" t="n"/>
      <c r="N7" s="104" t="n">
        <v>4452.36</v>
      </c>
      <c r="O7" s="80" t="n">
        <v>602.16</v>
      </c>
      <c r="S7" s="65" t="inlineStr">
        <is>
          <t>total:</t>
        </is>
      </c>
      <c r="T7" s="65">
        <f>SUM(T1:T6)</f>
        <v/>
      </c>
    </row>
    <row r="8" s="28">
      <c r="A8" s="9" t="inlineStr">
        <is>
          <t>304102</t>
        </is>
      </c>
      <c r="B8" s="9" t="inlineStr">
        <is>
          <t>刷卡</t>
        </is>
      </c>
      <c r="C8" s="12">
        <f>L11+N11-D8</f>
        <v/>
      </c>
      <c r="D8" s="12">
        <f>M11+O11+35.06</f>
        <v/>
      </c>
      <c r="E8" s="12" t="n"/>
      <c r="F8" s="12" t="n"/>
      <c r="G8" s="13" t="n">
        <v>21511.58</v>
      </c>
      <c r="H8" s="62">
        <f>C8-G8</f>
        <v/>
      </c>
      <c r="I8" s="86" t="n"/>
      <c r="J8" s="86" t="n"/>
      <c r="K8" s="86" t="n"/>
      <c r="L8" s="80" t="n"/>
      <c r="M8" s="80" t="n"/>
      <c r="N8" s="80" t="n"/>
      <c r="O8" s="80" t="n"/>
    </row>
    <row r="9" s="28">
      <c r="A9" s="9" t="inlineStr">
        <is>
          <t>304111</t>
        </is>
      </c>
      <c r="B9" s="9" t="inlineStr">
        <is>
          <t>微信支付宝</t>
        </is>
      </c>
      <c r="C9" s="86">
        <f>3344.74-D9+163.64</f>
        <v/>
      </c>
      <c r="D9" s="86">
        <f>422.64+31.34-9.1</f>
        <v/>
      </c>
      <c r="E9" s="80" t="n"/>
      <c r="F9" s="12" t="n"/>
      <c r="G9" s="13">
        <f>2383.65+679.85</f>
        <v/>
      </c>
      <c r="H9" s="62">
        <f>C9-G9</f>
        <v/>
      </c>
      <c r="I9" s="86" t="n"/>
      <c r="J9" s="86" t="n"/>
      <c r="K9" s="86" t="n"/>
      <c r="L9" s="80" t="n"/>
      <c r="M9" s="80" t="n"/>
      <c r="N9" s="80" t="n"/>
      <c r="O9" s="80" t="n"/>
    </row>
    <row r="10" s="28">
      <c r="A10" s="9" t="inlineStr">
        <is>
          <t>304240</t>
        </is>
      </c>
      <c r="B10" s="9" t="inlineStr">
        <is>
          <t>饭团</t>
        </is>
      </c>
      <c r="C10" s="86" t="n">
        <v>1667.57</v>
      </c>
      <c r="D10" s="12" t="n"/>
      <c r="E10" s="12">
        <f>43.2+452.15+8.59</f>
        <v/>
      </c>
      <c r="F10" s="12" t="n"/>
      <c r="G10" s="106" t="n">
        <v>2178.5</v>
      </c>
      <c r="H10" s="62">
        <f>C10-G10+D10+F10+E10</f>
        <v/>
      </c>
      <c r="I10" s="86" t="inlineStr">
        <is>
          <t>（尾差）</t>
        </is>
      </c>
      <c r="J10" s="86" t="n"/>
      <c r="K10" s="86" t="n"/>
      <c r="L10" s="80" t="n"/>
      <c r="M10" s="80" t="n"/>
      <c r="N10" s="80" t="n"/>
      <c r="O10" s="80" t="n"/>
    </row>
    <row r="11" s="28">
      <c r="A11" s="9" t="inlineStr">
        <is>
          <t>304432</t>
        </is>
      </c>
      <c r="B11" s="9" t="inlineStr">
        <is>
          <t>礼品卡</t>
        </is>
      </c>
      <c r="C11" s="17" t="n">
        <v>50</v>
      </c>
      <c r="D11" s="12" t="n"/>
      <c r="E11" s="12" t="n"/>
      <c r="F11" s="12" t="n"/>
      <c r="G11" s="35" t="n">
        <v>50</v>
      </c>
      <c r="H11" s="62">
        <f>C11-G11</f>
        <v/>
      </c>
      <c r="I11" s="86" t="n"/>
      <c r="J11" s="86" t="n"/>
      <c r="L11" s="53">
        <f>SUM(L1:L10)</f>
        <v/>
      </c>
      <c r="M11" s="53">
        <f>SUM(M1:M10)</f>
        <v/>
      </c>
      <c r="N11" s="64">
        <f>SUM(N1:N10)</f>
        <v/>
      </c>
      <c r="O11" s="64">
        <f>SUM(O1:O10)</f>
        <v/>
      </c>
    </row>
    <row r="12" s="28">
      <c r="A12" s="9" t="inlineStr">
        <is>
          <t>305476</t>
        </is>
      </c>
      <c r="B12" s="9" t="inlineStr">
        <is>
          <t>DoorDash</t>
        </is>
      </c>
      <c r="C12" s="12" t="n"/>
      <c r="D12" s="12" t="n"/>
      <c r="E12" s="12" t="n"/>
      <c r="F12" s="12" t="n"/>
      <c r="G12" s="19" t="n"/>
      <c r="H12" s="62">
        <f>C12-G12</f>
        <v/>
      </c>
      <c r="I12" s="86" t="n"/>
      <c r="J12" s="86" t="n"/>
    </row>
    <row r="13" s="28">
      <c r="A13" s="9" t="inlineStr">
        <is>
          <t>305477</t>
        </is>
      </c>
      <c r="B13" s="9" t="inlineStr">
        <is>
          <t>SKIP</t>
        </is>
      </c>
      <c r="C13" s="12" t="n"/>
      <c r="D13" s="12" t="n"/>
      <c r="E13" s="12" t="n"/>
      <c r="F13" s="12" t="n"/>
      <c r="G13" s="19" t="n"/>
      <c r="H13" s="62">
        <f>C13-G13</f>
        <v/>
      </c>
      <c r="I13" s="86" t="n"/>
      <c r="J13" s="86" t="n"/>
      <c r="N13" s="55" t="n"/>
    </row>
    <row r="14" s="28">
      <c r="A14" s="9" t="inlineStr">
        <is>
          <t>305478</t>
        </is>
      </c>
      <c r="B14" s="9" t="inlineStr">
        <is>
          <t>Ubereat</t>
        </is>
      </c>
      <c r="C14" s="63" t="n">
        <v>240.94</v>
      </c>
      <c r="D14" s="12" t="n"/>
      <c r="E14" s="12" t="n"/>
      <c r="F14" s="12" t="n"/>
      <c r="G14" s="35" t="n">
        <v>239.95</v>
      </c>
      <c r="H14" s="62">
        <f>C14-G14</f>
        <v/>
      </c>
      <c r="I14" s="86" t="inlineStr">
        <is>
          <t>（有个37.59的退款）</t>
        </is>
      </c>
      <c r="K14" s="86" t="n"/>
    </row>
    <row r="15" s="28">
      <c r="A15" s="9" t="inlineStr">
        <is>
          <t>305479</t>
        </is>
      </c>
      <c r="B15" s="9" t="inlineStr">
        <is>
          <t>Chowbus</t>
        </is>
      </c>
      <c r="C15" s="12" t="n"/>
      <c r="D15" s="12" t="n"/>
      <c r="E15" s="12" t="n"/>
      <c r="F15" s="12" t="n"/>
      <c r="G15" s="12" t="n"/>
      <c r="H15" s="62">
        <f>C15-G15</f>
        <v/>
      </c>
      <c r="I15" s="86" t="n"/>
      <c r="J15" s="86" t="n"/>
      <c r="K15" s="86" t="n"/>
    </row>
    <row r="16" s="28">
      <c r="A16" s="9" t="inlineStr">
        <is>
          <t>305510</t>
        </is>
      </c>
      <c r="B16" s="9" t="inlineStr">
        <is>
          <t>snappy</t>
        </is>
      </c>
      <c r="C16" s="86" t="n">
        <v>193.72</v>
      </c>
      <c r="D16" s="20" t="n"/>
      <c r="E16" s="21" t="n"/>
      <c r="F16" s="12" t="n"/>
      <c r="G16" s="106" t="n">
        <v>193.2</v>
      </c>
      <c r="H16" s="62">
        <f>C16-G16-D16</f>
        <v/>
      </c>
      <c r="I16" s="86" t="n"/>
      <c r="J16" s="86" t="n"/>
      <c r="K16" s="86" t="n"/>
    </row>
    <row r="17" s="28">
      <c r="A17" s="9" t="n"/>
      <c r="B17" s="9" t="inlineStr">
        <is>
          <t>panda</t>
        </is>
      </c>
      <c r="C17" s="80" t="n"/>
      <c r="D17" s="22" t="n"/>
      <c r="E17" s="22" t="n"/>
      <c r="F17" s="12" t="n"/>
      <c r="G17" s="35" t="n"/>
      <c r="H17" s="62">
        <f>C17-G17</f>
        <v/>
      </c>
      <c r="I17" s="57" t="n"/>
      <c r="J17" s="86" t="n"/>
      <c r="K17" s="86" t="n"/>
    </row>
    <row r="18" s="28">
      <c r="A18" s="92" t="inlineStr">
        <is>
          <t>305606</t>
        </is>
      </c>
      <c r="B18" s="9" t="inlineStr">
        <is>
          <t>tapin</t>
        </is>
      </c>
      <c r="C18" s="12" t="n">
        <v>64</v>
      </c>
      <c r="D18" s="12" t="n"/>
      <c r="E18" s="12" t="n"/>
      <c r="F18" s="12" t="n"/>
      <c r="G18" s="35" t="n">
        <v>64</v>
      </c>
      <c r="H18" s="62">
        <f>C18-G18</f>
        <v/>
      </c>
      <c r="I18" s="86" t="n"/>
      <c r="J18" s="86" t="n"/>
    </row>
    <row r="19" s="28">
      <c r="A19" s="9" t="inlineStr">
        <is>
          <t>305512</t>
        </is>
      </c>
      <c r="B19" s="9" t="inlineStr">
        <is>
          <t>VANPEOPLE</t>
        </is>
      </c>
      <c r="C19" s="23" t="n"/>
      <c r="D19" s="12" t="n"/>
      <c r="E19" s="12" t="n"/>
      <c r="F19" s="12" t="n"/>
      <c r="G19" s="35" t="n"/>
      <c r="H19" s="62">
        <f>C19-G19</f>
        <v/>
      </c>
      <c r="I19" s="86" t="n"/>
      <c r="J19" s="86" t="n"/>
    </row>
    <row r="20" s="28">
      <c r="A20" s="9" t="inlineStr">
        <is>
          <t>305830</t>
        </is>
      </c>
      <c r="B20" s="9" t="inlineStr">
        <is>
          <t>Easi</t>
        </is>
      </c>
      <c r="C20" s="12" t="n"/>
      <c r="D20" s="12" t="n"/>
      <c r="E20" s="12" t="n"/>
      <c r="F20" s="12" t="n"/>
      <c r="G20" s="12" t="n"/>
      <c r="H20" s="62">
        <f>C20-G20</f>
        <v/>
      </c>
      <c r="I20" s="86" t="n"/>
      <c r="J20" s="86" t="n"/>
    </row>
    <row r="21" s="28">
      <c r="A21" s="92" t="inlineStr">
        <is>
          <t>305606</t>
        </is>
      </c>
      <c r="B21" s="9" t="inlineStr">
        <is>
          <t>VANPEOPLE</t>
        </is>
      </c>
      <c r="C21" s="12" t="n"/>
      <c r="D21" s="12" t="n"/>
      <c r="E21" s="12" t="n"/>
      <c r="F21" s="12" t="n"/>
      <c r="G21" s="12" t="n"/>
      <c r="H21" s="62">
        <f>C21-G21</f>
        <v/>
      </c>
      <c r="I21" s="86" t="n"/>
      <c r="J21" s="86" t="n"/>
    </row>
    <row r="22" s="28">
      <c r="A22" s="24" t="n"/>
      <c r="B22" s="25" t="inlineStr">
        <is>
          <t>入账金额合计</t>
        </is>
      </c>
      <c r="C22" s="24">
        <f>SUM(C7:C21)</f>
        <v/>
      </c>
      <c r="D22" s="24">
        <f>SUM(D7:D21)</f>
        <v/>
      </c>
      <c r="E22" s="24">
        <f>SUM(E7:E21)</f>
        <v/>
      </c>
      <c r="F22" s="24">
        <f>SUM(F7:F21)</f>
        <v/>
      </c>
      <c r="G22" s="26">
        <f>SUM(G7:G21)</f>
        <v/>
      </c>
      <c r="H22" s="26">
        <f>C22-G22+F22</f>
        <v/>
      </c>
      <c r="I22" s="86" t="n"/>
      <c r="J22" s="86" t="n"/>
    </row>
    <row r="23" s="28">
      <c r="A23" s="27" t="n"/>
      <c r="B23" s="27" t="n"/>
      <c r="C23" s="27" t="n"/>
      <c r="D23" s="86" t="n"/>
      <c r="F23" s="27" t="n"/>
      <c r="G23" s="27" t="n"/>
      <c r="H23" s="27" t="n"/>
    </row>
    <row r="24" s="28">
      <c r="E24" s="86" t="n"/>
    </row>
    <row r="25" s="28">
      <c r="A25" s="29" t="inlineStr">
        <is>
          <t>Gift Card 充值明细</t>
        </is>
      </c>
      <c r="E25" s="27" t="n"/>
    </row>
    <row r="26" s="28">
      <c r="A26" s="8" t="inlineStr">
        <is>
          <t>日期</t>
        </is>
      </c>
      <c r="B26" s="8" t="inlineStr">
        <is>
          <t>卡號</t>
        </is>
      </c>
      <c r="C26" s="8" t="inlineStr">
        <is>
          <t>充值方式</t>
        </is>
      </c>
      <c r="D26" s="31" t="inlineStr">
        <is>
          <t>充值金額</t>
        </is>
      </c>
      <c r="F26" s="31" t="inlineStr">
        <is>
          <t>每日应存现金</t>
        </is>
      </c>
      <c r="G26" s="32">
        <f>C7+D7+C44</f>
        <v/>
      </c>
      <c r="H26" s="61" t="n"/>
    </row>
    <row r="27" s="28">
      <c r="A27" s="33" t="n"/>
      <c r="B27" s="34" t="n"/>
      <c r="C27" s="34" t="n"/>
      <c r="D27" s="34" t="n"/>
      <c r="F27" s="32" t="inlineStr">
        <is>
          <t>&gt;0, 应存；&lt;0, 累计&gt;0时存入银行</t>
        </is>
      </c>
      <c r="G27" s="32" t="n"/>
      <c r="H27" s="31" t="n"/>
    </row>
    <row r="28" s="28">
      <c r="A28" s="33" t="n"/>
      <c r="B28" s="34" t="n"/>
      <c r="C28" s="34" t="n"/>
      <c r="D28" s="34" t="n"/>
    </row>
    <row r="29" s="28">
      <c r="A29" s="33" t="n"/>
      <c r="B29" s="34" t="n"/>
      <c r="C29" s="34" t="n"/>
      <c r="D29" s="34" t="n"/>
    </row>
    <row r="30" s="28">
      <c r="A30" s="33" t="n"/>
      <c r="B30" s="34" t="n"/>
      <c r="C30" s="34" t="n"/>
      <c r="D30" s="34" t="n"/>
    </row>
    <row r="31" s="28">
      <c r="A31" s="33" t="n"/>
      <c r="B31" s="34" t="n"/>
      <c r="C31" s="34" t="n"/>
      <c r="D31" s="34" t="n"/>
    </row>
    <row r="32" s="28">
      <c r="A32" s="33" t="n"/>
      <c r="B32" s="34" t="n"/>
      <c r="C32" s="34" t="n"/>
      <c r="D32" s="34" t="n"/>
    </row>
    <row r="33" s="28">
      <c r="A33" s="33" t="n"/>
      <c r="B33" s="17" t="n"/>
      <c r="C33" s="34" t="n"/>
      <c r="D33" s="34" t="n"/>
    </row>
    <row r="34" s="28">
      <c r="A34" s="33" t="n"/>
      <c r="B34" s="34" t="n"/>
      <c r="C34" s="34" t="n"/>
      <c r="D34" s="34" t="n"/>
      <c r="F34" s="13" t="n"/>
      <c r="G34" s="13" t="n"/>
      <c r="H34" s="13" t="n"/>
    </row>
    <row r="35" s="28">
      <c r="A35" s="33" t="n"/>
      <c r="B35" s="34" t="n"/>
      <c r="C35" s="34" t="n"/>
      <c r="D35" s="35" t="n"/>
      <c r="E35" s="13" t="n"/>
      <c r="F35" s="13" t="n"/>
      <c r="G35" s="13" t="n"/>
      <c r="H35" s="13" t="n"/>
    </row>
    <row r="36" s="28">
      <c r="A36" s="33" t="n"/>
      <c r="B36" s="34" t="n"/>
      <c r="C36" s="34" t="n"/>
      <c r="D36" s="35" t="n"/>
      <c r="E36" s="13" t="n"/>
      <c r="F36" s="13" t="n"/>
      <c r="G36" s="13" t="n"/>
      <c r="H36" s="13" t="n"/>
    </row>
    <row r="37" s="28">
      <c r="A37" s="33" t="n"/>
      <c r="B37" s="34" t="n"/>
      <c r="C37" s="34" t="n"/>
      <c r="D37" s="35" t="n"/>
      <c r="E37" s="13" t="n"/>
      <c r="F37" s="13" t="n"/>
      <c r="G37" s="13" t="n"/>
      <c r="H37" s="13" t="n"/>
    </row>
    <row r="38" s="28">
      <c r="A38" s="33" t="n"/>
      <c r="B38" s="34" t="n"/>
      <c r="C38" s="34" t="n"/>
      <c r="D38" s="35" t="n"/>
      <c r="E38" s="13" t="n"/>
      <c r="F38" s="13" t="n"/>
      <c r="G38" s="13" t="n"/>
      <c r="H38" s="13" t="n"/>
    </row>
    <row r="39" s="28">
      <c r="A39" s="33" t="n"/>
      <c r="B39" s="34" t="n"/>
      <c r="C39" s="34" t="n"/>
      <c r="D39" s="35" t="n"/>
      <c r="E39" s="13" t="n"/>
      <c r="F39" s="13" t="n"/>
      <c r="G39" s="13" t="n"/>
      <c r="H39" s="13" t="n"/>
    </row>
    <row r="40" s="28">
      <c r="A40" s="33" t="n"/>
      <c r="B40" s="34" t="n"/>
      <c r="C40" s="34" t="n"/>
      <c r="D40" s="35" t="n"/>
      <c r="E40" s="13" t="n"/>
      <c r="F40" s="13" t="n"/>
      <c r="G40" s="13" t="n"/>
      <c r="H40" s="13" t="n"/>
    </row>
    <row r="41" s="28">
      <c r="A41" s="33" t="n"/>
      <c r="B41" s="34" t="n"/>
      <c r="C41" s="34" t="n"/>
      <c r="D41" s="35" t="n"/>
      <c r="E41" s="13" t="n"/>
      <c r="F41" s="13" t="n"/>
      <c r="G41" s="13" t="n"/>
      <c r="H41" s="13" t="n"/>
    </row>
    <row r="42" s="28">
      <c r="A42" s="33" t="n"/>
      <c r="B42" s="34" t="n"/>
      <c r="C42" s="34" t="n"/>
      <c r="D42" s="35" t="n"/>
      <c r="E42" s="13" t="n"/>
      <c r="F42" s="13" t="n"/>
      <c r="G42" s="13" t="n"/>
      <c r="H42" s="13" t="n"/>
    </row>
    <row r="43" s="28">
      <c r="A43" s="33" t="n"/>
      <c r="B43" s="34" t="n"/>
      <c r="C43" s="34" t="n"/>
      <c r="D43" s="35" t="n"/>
      <c r="E43" s="13" t="n"/>
      <c r="F43" s="13" t="n"/>
      <c r="G43" s="13" t="n"/>
      <c r="H43" s="13" t="n"/>
    </row>
    <row r="44" s="28">
      <c r="A44" s="36" t="inlineStr">
        <is>
          <t>合计</t>
        </is>
      </c>
      <c r="B44" s="32">
        <f>SUM(B27:B43)</f>
        <v/>
      </c>
      <c r="C44" s="32">
        <f>SUM(C27:C43)</f>
        <v/>
      </c>
      <c r="D44" s="35" t="n"/>
      <c r="E44" s="13" t="n"/>
      <c r="F44" s="13" t="n"/>
      <c r="G44" s="13" t="n"/>
      <c r="H44" s="13" t="n"/>
    </row>
    <row r="45" s="28">
      <c r="D45" s="86" t="n"/>
      <c r="E45" s="86" t="n"/>
      <c r="F45" s="86" t="n"/>
      <c r="G45" s="86" t="n"/>
    </row>
    <row r="46" s="28">
      <c r="A46" s="107" t="inlineStr">
        <is>
          <t>禮品卡消費</t>
        </is>
      </c>
      <c r="B46" s="98" t="n"/>
      <c r="C46" s="98" t="n"/>
      <c r="D46" s="99" t="n"/>
    </row>
    <row r="47" s="28">
      <c r="A47" s="40" t="inlineStr">
        <is>
          <t>日期</t>
        </is>
      </c>
      <c r="B47" s="40" t="inlineStr">
        <is>
          <t>卡號</t>
        </is>
      </c>
      <c r="C47" s="40" t="inlineStr">
        <is>
          <t>消費金額</t>
        </is>
      </c>
      <c r="D47" s="40" t="inlineStr">
        <is>
          <t>小费</t>
        </is>
      </c>
    </row>
    <row r="48" s="28">
      <c r="A48" s="60" t="n">
        <v>44653</v>
      </c>
      <c r="B48" s="93" t="inlineStr">
        <is>
          <t>6038360183440034579</t>
        </is>
      </c>
      <c r="C48" s="80" t="n">
        <v>100</v>
      </c>
      <c r="D48" s="80" t="n">
        <v>46.28</v>
      </c>
    </row>
    <row r="49" s="28">
      <c r="A49" s="60" t="n">
        <v>44654</v>
      </c>
      <c r="B49" s="94" t="inlineStr">
        <is>
          <t>6038360183440025924</t>
        </is>
      </c>
      <c r="C49" s="80" t="n">
        <v>50</v>
      </c>
      <c r="D49" s="80" t="n">
        <v>0</v>
      </c>
    </row>
    <row r="50" s="28">
      <c r="A50" s="60" t="n"/>
      <c r="B50" s="80" t="n"/>
      <c r="C50" s="80" t="n"/>
      <c r="D50" s="80" t="n"/>
    </row>
    <row r="51" s="28">
      <c r="A51" s="80" t="n"/>
      <c r="B51" s="80" t="n"/>
      <c r="C51" s="80" t="n"/>
      <c r="D51" s="80" t="n"/>
    </row>
    <row r="52" s="28">
      <c r="A52" s="80" t="n"/>
      <c r="B52" s="80" t="n"/>
      <c r="C52" s="80" t="n"/>
      <c r="D52" s="80" t="n"/>
    </row>
    <row r="53" s="28">
      <c r="A53" s="80" t="n"/>
      <c r="B53" s="80" t="n"/>
      <c r="C53" s="80" t="n"/>
      <c r="D53" s="80" t="n"/>
    </row>
    <row r="54" s="28">
      <c r="A54" s="80" t="n"/>
      <c r="B54" s="80" t="n"/>
      <c r="C54" s="80" t="n"/>
      <c r="D54" s="80" t="n"/>
    </row>
    <row r="55" s="28">
      <c r="A55" s="80" t="n"/>
      <c r="B55" s="80" t="n"/>
      <c r="C55" s="80" t="n"/>
      <c r="D55" s="80" t="n"/>
    </row>
    <row r="56" s="28">
      <c r="A56" s="80" t="n"/>
      <c r="B56" s="80" t="n"/>
      <c r="C56" s="80" t="n"/>
      <c r="D56" s="80" t="n"/>
    </row>
    <row r="57" s="28">
      <c r="A57" s="80" t="n"/>
      <c r="B57" s="80" t="n"/>
      <c r="C57" s="80" t="n"/>
      <c r="D57" s="80" t="n"/>
    </row>
    <row r="58" s="28">
      <c r="A58" s="80" t="n"/>
      <c r="B58" s="80" t="n"/>
      <c r="C58" s="80" t="n"/>
      <c r="D58" s="80" t="n"/>
    </row>
    <row r="59" s="28">
      <c r="A59" s="80" t="n"/>
      <c r="B59" s="80" t="n"/>
      <c r="C59" s="80" t="n"/>
      <c r="D59" s="80" t="n"/>
    </row>
    <row r="60" s="28">
      <c r="A60" s="80" t="n"/>
      <c r="B60" s="80" t="n"/>
      <c r="C60" s="80" t="n"/>
      <c r="D60" s="80" t="n"/>
    </row>
    <row r="61" s="28">
      <c r="A61" s="80" t="n"/>
      <c r="B61" s="80" t="n"/>
      <c r="C61" s="80" t="n"/>
      <c r="D61" s="80" t="n"/>
    </row>
    <row r="62" s="28">
      <c r="A62" s="80" t="n"/>
      <c r="B62" s="80" t="n"/>
      <c r="C62" s="80" t="n"/>
      <c r="D62" s="80" t="n"/>
    </row>
    <row r="63" s="28">
      <c r="A63" s="80" t="n"/>
      <c r="B63" s="80" t="n"/>
      <c r="C63" s="80" t="n"/>
      <c r="D63" s="80" t="n"/>
    </row>
    <row r="64" s="28">
      <c r="A64" s="80" t="n"/>
      <c r="B64" s="80" t="n"/>
      <c r="C64" s="80" t="n"/>
      <c r="D64" s="80" t="n"/>
    </row>
    <row r="65" s="28">
      <c r="A65" s="80" t="n"/>
      <c r="B65" s="80" t="n"/>
      <c r="C65" s="80" t="n"/>
      <c r="D65" s="80" t="n"/>
    </row>
    <row r="66" s="28">
      <c r="A66" s="80" t="n"/>
      <c r="B66" s="80" t="n"/>
      <c r="C66" s="80" t="n"/>
      <c r="D66" s="80" t="n"/>
    </row>
    <row r="67" s="28">
      <c r="A67" s="80" t="n"/>
      <c r="B67" s="80" t="n"/>
      <c r="C67" s="80" t="n"/>
      <c r="D67" s="80" t="n"/>
    </row>
  </sheetData>
  <mergeCells count="4">
    <mergeCell ref="L1:M1"/>
    <mergeCell ref="N1:O1"/>
    <mergeCell ref="A25:D25"/>
    <mergeCell ref="A46:D46"/>
  </mergeCells>
  <pageMargins left="0.699305555555556" right="0.699305555555556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67"/>
  <sheetViews>
    <sheetView topLeftCell="A3" zoomScale="101" zoomScaleNormal="101" workbookViewId="0">
      <selection activeCell="D22" sqref="D22"/>
    </sheetView>
  </sheetViews>
  <sheetFormatPr baseColWidth="8" defaultColWidth="9" defaultRowHeight="18.85" customHeight="1"/>
  <cols>
    <col width="14.5350877192982" customWidth="1" style="28" min="1" max="1"/>
    <col width="20.2017543859649" customWidth="1" style="28" min="2" max="2"/>
    <col width="20.2631578947368" customWidth="1" style="28" min="3" max="3"/>
    <col width="14.8771929824561" customWidth="1" style="28" min="4" max="4"/>
    <col width="14.2017543859649" customWidth="1" style="28" min="5" max="5"/>
    <col width="17.3333333333333" customWidth="1" style="28" min="6" max="6"/>
    <col width="21.7368421052632" customWidth="1" style="28" min="7" max="7"/>
    <col width="21.7982456140351" customWidth="1" style="28" min="8" max="8"/>
    <col width="17.1315789473684" customWidth="1" style="28" min="9" max="9"/>
    <col width="13.7543859649123" customWidth="1" style="28" min="10" max="10"/>
    <col width="17.640350877193" customWidth="1" style="28" min="11" max="11"/>
    <col width="11.9298245614035" customWidth="1" style="28" min="12" max="12"/>
    <col width="9.50877192982456" customWidth="1" style="28" min="14" max="14"/>
  </cols>
  <sheetData>
    <row r="1" s="28">
      <c r="A1" s="80" t="inlineStr">
        <is>
          <t>商品销售</t>
        </is>
      </c>
      <c r="B1" s="3" t="n"/>
      <c r="L1" s="100" t="inlineStr">
        <is>
          <t>moneris</t>
        </is>
      </c>
      <c r="M1" s="99" t="n"/>
      <c r="N1" s="101" t="inlineStr">
        <is>
          <t>payfactor</t>
        </is>
      </c>
      <c r="O1" s="99" t="n"/>
      <c r="R1" s="80" t="n">
        <v>1</v>
      </c>
      <c r="S1" s="86" t="n">
        <v>100</v>
      </c>
      <c r="T1" s="58">
        <f>R1*S1</f>
        <v/>
      </c>
    </row>
    <row r="2" s="28">
      <c r="A2" s="80" t="inlineStr">
        <is>
          <t>堂食收入</t>
        </is>
      </c>
      <c r="B2" s="3" t="n">
        <v>30202.85</v>
      </c>
      <c r="C2" s="5" t="n"/>
      <c r="H2" s="86" t="n"/>
      <c r="L2" s="45" t="inlineStr">
        <is>
          <t>菜品金额</t>
        </is>
      </c>
      <c r="M2" s="45" t="inlineStr">
        <is>
          <t>小费</t>
        </is>
      </c>
      <c r="N2" s="46" t="inlineStr">
        <is>
          <t>菜品金额</t>
        </is>
      </c>
      <c r="O2" s="46" t="inlineStr">
        <is>
          <t>小费</t>
        </is>
      </c>
      <c r="R2" s="80" t="n">
        <v>6</v>
      </c>
      <c r="S2" s="86" t="n">
        <v>50</v>
      </c>
      <c r="T2" s="58">
        <f>R2*S2</f>
        <v/>
      </c>
    </row>
    <row r="3" s="28">
      <c r="A3" s="80" t="inlineStr">
        <is>
          <t>外送收入</t>
        </is>
      </c>
      <c r="B3" s="3" t="n">
        <v>2671.6</v>
      </c>
      <c r="C3" s="7" t="n"/>
      <c r="D3" s="86">
        <f>878.62+126.36+1021.39+803.35+83.22+772.17</f>
        <v/>
      </c>
      <c r="G3" s="86" t="n"/>
      <c r="L3" s="80" t="n">
        <v>3640.81</v>
      </c>
      <c r="M3" s="80" t="n">
        <v>497.03</v>
      </c>
      <c r="N3" s="80" t="n">
        <v>2247.05</v>
      </c>
      <c r="O3" s="80" t="n">
        <v>255.55</v>
      </c>
      <c r="R3" s="80" t="n">
        <v>52</v>
      </c>
      <c r="S3" s="86" t="n">
        <v>20</v>
      </c>
      <c r="T3" s="58">
        <f>R3*S3</f>
        <v/>
      </c>
    </row>
    <row r="4" s="28">
      <c r="A4" s="80" t="inlineStr">
        <is>
          <t>收入合计</t>
        </is>
      </c>
      <c r="B4" s="80">
        <f>B2+B3+B1</f>
        <v/>
      </c>
      <c r="D4" s="86">
        <f>33.65+38.13+35.79+79.78+33.31+175.01+60.43+170.44</f>
        <v/>
      </c>
      <c r="L4" s="80" t="n">
        <v>3202.36</v>
      </c>
      <c r="M4" s="80" t="n">
        <v>405.09</v>
      </c>
      <c r="N4" s="80" t="n">
        <v>3706.22</v>
      </c>
      <c r="O4" s="80" t="n">
        <v>479.06</v>
      </c>
      <c r="R4" s="80" t="n">
        <v>5</v>
      </c>
      <c r="S4" s="86" t="n">
        <v>10</v>
      </c>
      <c r="T4" s="58">
        <f>R4*S4</f>
        <v/>
      </c>
    </row>
    <row r="5" customFormat="1" s="86">
      <c r="I5" s="86" t="n"/>
      <c r="J5" s="86" t="n"/>
      <c r="L5" s="80" t="n">
        <v>199.13</v>
      </c>
      <c r="M5" s="80" t="n">
        <v>18.4</v>
      </c>
      <c r="N5" s="80" t="n">
        <v>2410.85</v>
      </c>
      <c r="O5" s="80" t="n">
        <v>290.98</v>
      </c>
      <c r="R5" s="80" t="n">
        <v>7</v>
      </c>
      <c r="S5" s="86" t="n">
        <v>5</v>
      </c>
      <c r="T5" s="58">
        <f>R5*S5</f>
        <v/>
      </c>
    </row>
    <row r="6" s="28">
      <c r="A6" s="8" t="inlineStr">
        <is>
          <t>客户代码</t>
        </is>
      </c>
      <c r="B6" s="8" t="inlineStr">
        <is>
          <t>客户名称</t>
        </is>
      </c>
      <c r="C6" s="8" t="inlineStr">
        <is>
          <t>营业款-小票金额</t>
        </is>
      </c>
      <c r="D6" s="8" t="inlineStr">
        <is>
          <t>小费</t>
        </is>
      </c>
      <c r="E6" s="8" t="inlineStr">
        <is>
          <t>饭团手续费</t>
        </is>
      </c>
      <c r="F6" s="8" t="inlineStr">
        <is>
          <t>点评</t>
        </is>
      </c>
      <c r="G6" s="8" t="inlineStr">
        <is>
          <t>红火台金额</t>
        </is>
      </c>
      <c r="H6" s="8" t="inlineStr">
        <is>
          <t>复核</t>
        </is>
      </c>
      <c r="I6" s="86" t="n"/>
      <c r="J6" s="86" t="n"/>
      <c r="L6" s="80" t="n"/>
      <c r="M6" s="80" t="n"/>
      <c r="N6" s="80" t="n">
        <v>6976.66</v>
      </c>
      <c r="O6" s="80" t="n">
        <v>882.85</v>
      </c>
    </row>
    <row r="7" s="28">
      <c r="A7" s="9" t="inlineStr">
        <is>
          <t>301737</t>
        </is>
      </c>
      <c r="B7" s="10" t="inlineStr">
        <is>
          <t>现金</t>
        </is>
      </c>
      <c r="C7" s="12">
        <f>-480+226+274.03+632.81+324.7+279.75+95.05</f>
        <v/>
      </c>
      <c r="D7" s="12">
        <f>9+35.97+82.19+25.3+20.25-0.05</f>
        <v/>
      </c>
      <c r="E7" s="12" t="n"/>
      <c r="F7" s="12" t="n"/>
      <c r="G7" s="35" t="n">
        <v>1352.34</v>
      </c>
      <c r="H7" s="12">
        <f>C7-G7</f>
        <v/>
      </c>
      <c r="I7" s="86" t="n"/>
      <c r="J7" s="86" t="n"/>
      <c r="L7" s="80" t="n"/>
      <c r="M7" s="80" t="n"/>
      <c r="N7" s="104" t="n">
        <v>2967.42</v>
      </c>
      <c r="O7" s="80" t="n">
        <v>387.58</v>
      </c>
      <c r="S7" s="86" t="inlineStr">
        <is>
          <t>total:</t>
        </is>
      </c>
      <c r="T7" s="86">
        <f>SUM(T1:T6)</f>
        <v/>
      </c>
    </row>
    <row r="8" s="28">
      <c r="A8" s="9" t="inlineStr">
        <is>
          <t>304102</t>
        </is>
      </c>
      <c r="B8" s="9" t="inlineStr">
        <is>
          <t>刷卡</t>
        </is>
      </c>
      <c r="C8" s="12">
        <f>L11+N11-D8</f>
        <v/>
      </c>
      <c r="D8" s="12">
        <f>M11+O11+0.89</f>
        <v/>
      </c>
      <c r="E8" s="12" t="n"/>
      <c r="F8" s="12" t="n"/>
      <c r="G8" s="35" t="n">
        <v>25072.61</v>
      </c>
      <c r="H8" s="12">
        <f>C8-G8</f>
        <v/>
      </c>
      <c r="I8" s="86" t="n"/>
      <c r="J8" s="86" t="n"/>
      <c r="K8" s="86" t="n"/>
      <c r="L8" s="80" t="n"/>
      <c r="M8" s="80" t="n"/>
      <c r="N8" s="80" t="n">
        <v>3367.26</v>
      </c>
      <c r="O8" s="80" t="n">
        <v>427.72</v>
      </c>
    </row>
    <row r="9" s="28">
      <c r="A9" s="9" t="inlineStr">
        <is>
          <t>304111</t>
        </is>
      </c>
      <c r="B9" s="9" t="inlineStr">
        <is>
          <t>微信支付宝</t>
        </is>
      </c>
      <c r="C9" s="86">
        <f>4990.09-D9-575.81</f>
        <v/>
      </c>
      <c r="D9" s="86">
        <f>700.25-74.31+0.01</f>
        <v/>
      </c>
      <c r="E9" s="80" t="n"/>
      <c r="F9" s="12" t="n"/>
      <c r="G9" s="106">
        <f>714.95+3073.38</f>
        <v/>
      </c>
      <c r="H9" s="12">
        <f>C9-G9</f>
        <v/>
      </c>
      <c r="I9" s="86" t="n"/>
      <c r="J9" s="86" t="n"/>
      <c r="K9" s="86" t="n"/>
      <c r="L9" s="80" t="n"/>
      <c r="M9" s="80" t="n"/>
      <c r="N9" s="80" t="n"/>
      <c r="O9" s="80" t="n"/>
    </row>
    <row r="10" s="28">
      <c r="A10" s="9" t="inlineStr">
        <is>
          <t>304240</t>
        </is>
      </c>
      <c r="B10" s="9" t="inlineStr">
        <is>
          <t>饭团</t>
        </is>
      </c>
      <c r="C10" s="86">
        <f>1836.98+28.26</f>
        <v/>
      </c>
      <c r="D10" s="12" t="n"/>
      <c r="E10" s="12">
        <f>514.4+8.66</f>
        <v/>
      </c>
      <c r="F10" s="12" t="n"/>
      <c r="G10" s="35" t="n">
        <v>2385.55</v>
      </c>
      <c r="H10" s="12">
        <f>C10-G10+D10+F10+E10</f>
        <v/>
      </c>
      <c r="I10" s="86" t="inlineStr">
        <is>
          <t>尾差</t>
        </is>
      </c>
      <c r="J10" s="86" t="n"/>
      <c r="K10" s="86" t="n"/>
      <c r="L10" s="80" t="n"/>
      <c r="M10" s="80" t="n"/>
      <c r="N10" s="80" t="n"/>
      <c r="O10" s="80" t="n"/>
    </row>
    <row r="11" s="28">
      <c r="A11" s="9" t="inlineStr">
        <is>
          <t>304432</t>
        </is>
      </c>
      <c r="B11" s="9" t="inlineStr">
        <is>
          <t>礼品卡</t>
        </is>
      </c>
      <c r="C11" s="17">
        <f>100-D11</f>
        <v/>
      </c>
      <c r="D11" s="12" t="n">
        <v>46.28</v>
      </c>
      <c r="E11" s="12" t="n"/>
      <c r="F11" s="12" t="n"/>
      <c r="G11" s="35" t="n">
        <v>53.72</v>
      </c>
      <c r="H11" s="12">
        <f>C11-G11</f>
        <v/>
      </c>
      <c r="I11" s="86" t="n"/>
      <c r="J11" s="86" t="n"/>
      <c r="L11" s="53">
        <f>SUM(L1:L10)</f>
        <v/>
      </c>
      <c r="M11" s="53">
        <f>SUM(M1:M10)</f>
        <v/>
      </c>
      <c r="N11" s="64">
        <f>SUM(N1:N10)</f>
        <v/>
      </c>
      <c r="O11" s="64">
        <f>SUM(O1:O10)</f>
        <v/>
      </c>
    </row>
    <row r="12" s="28">
      <c r="A12" s="9" t="inlineStr">
        <is>
          <t>305476</t>
        </is>
      </c>
      <c r="B12" s="9" t="inlineStr">
        <is>
          <t>DoorDash</t>
        </is>
      </c>
      <c r="C12" s="12" t="n"/>
      <c r="D12" s="12" t="n"/>
      <c r="E12" s="12" t="n"/>
      <c r="F12" s="12" t="n"/>
      <c r="G12" s="19" t="n"/>
      <c r="H12" s="12">
        <f>C12-G12</f>
        <v/>
      </c>
      <c r="I12" s="86" t="n"/>
      <c r="J12" s="86" t="n"/>
    </row>
    <row r="13" s="28">
      <c r="A13" s="9" t="inlineStr">
        <is>
          <t>305477</t>
        </is>
      </c>
      <c r="B13" s="9" t="inlineStr">
        <is>
          <t>SKIP</t>
        </is>
      </c>
      <c r="C13" s="12" t="n"/>
      <c r="D13" s="12" t="n"/>
      <c r="E13" s="12" t="n"/>
      <c r="F13" s="12" t="n"/>
      <c r="G13" s="19" t="n"/>
      <c r="H13" s="12">
        <f>C13-G13</f>
        <v/>
      </c>
      <c r="I13" s="86" t="n"/>
      <c r="J13" s="86" t="n"/>
      <c r="N13" s="55" t="n"/>
    </row>
    <row r="14" s="28">
      <c r="A14" s="9" t="inlineStr">
        <is>
          <t>305478</t>
        </is>
      </c>
      <c r="B14" s="9" t="inlineStr">
        <is>
          <t>Ubereat</t>
        </is>
      </c>
      <c r="C14" s="19" t="n">
        <v>45.86</v>
      </c>
      <c r="D14" s="12" t="n"/>
      <c r="E14" s="12" t="n"/>
      <c r="F14" s="12" t="n"/>
      <c r="G14" s="35" t="n">
        <v>45.85</v>
      </c>
      <c r="H14" s="12">
        <f>C14-G14</f>
        <v/>
      </c>
      <c r="I14" s="86" t="inlineStr">
        <is>
          <t>尾差</t>
        </is>
      </c>
      <c r="K14" s="86" t="n"/>
    </row>
    <row r="15" s="28">
      <c r="A15" s="9" t="inlineStr">
        <is>
          <t>305479</t>
        </is>
      </c>
      <c r="B15" s="9" t="inlineStr">
        <is>
          <t>Chowbus</t>
        </is>
      </c>
      <c r="C15" s="12" t="n"/>
      <c r="D15" s="12" t="n"/>
      <c r="E15" s="12" t="n"/>
      <c r="F15" s="12" t="n"/>
      <c r="G15" s="12" t="n"/>
      <c r="H15" s="12">
        <f>C15-G15</f>
        <v/>
      </c>
      <c r="I15" s="86" t="n"/>
      <c r="J15" s="86" t="n"/>
      <c r="K15" s="86" t="n"/>
    </row>
    <row r="16" s="28">
      <c r="A16" s="9" t="inlineStr">
        <is>
          <t>305510</t>
        </is>
      </c>
      <c r="B16" s="9" t="inlineStr">
        <is>
          <t>snappy</t>
        </is>
      </c>
      <c r="C16" s="20" t="n">
        <v>176.04</v>
      </c>
      <c r="D16" s="20" t="n"/>
      <c r="E16" s="21" t="n"/>
      <c r="F16" s="12" t="n"/>
      <c r="G16" s="35" t="n">
        <v>176.05</v>
      </c>
      <c r="H16" s="12">
        <f>C16-G16-D16</f>
        <v/>
      </c>
      <c r="I16" s="86" t="inlineStr">
        <is>
          <t>尾差</t>
        </is>
      </c>
      <c r="J16" s="86" t="n"/>
      <c r="K16" s="86" t="n"/>
    </row>
    <row r="17" s="28">
      <c r="A17" s="9" t="n"/>
      <c r="B17" s="9" t="inlineStr">
        <is>
          <t>panda</t>
        </is>
      </c>
      <c r="C17" s="80" t="n"/>
      <c r="D17" s="22" t="n"/>
      <c r="E17" s="22" t="n"/>
      <c r="F17" s="12" t="n"/>
      <c r="G17" s="35" t="n"/>
      <c r="H17" s="12">
        <f>C17-G17</f>
        <v/>
      </c>
      <c r="I17" s="57" t="n"/>
      <c r="J17" s="86" t="n"/>
      <c r="K17" s="86" t="n"/>
    </row>
    <row r="18" s="28">
      <c r="A18" s="92" t="inlineStr">
        <is>
          <t>305606</t>
        </is>
      </c>
      <c r="B18" s="9" t="inlineStr">
        <is>
          <t>tapin</t>
        </is>
      </c>
      <c r="C18" s="12" t="n"/>
      <c r="D18" s="12" t="n"/>
      <c r="E18" s="12" t="n"/>
      <c r="F18" s="12" t="n"/>
      <c r="G18" s="35" t="n"/>
      <c r="H18" s="12">
        <f>C18-G18</f>
        <v/>
      </c>
      <c r="I18" s="86" t="n"/>
      <c r="J18" s="86" t="n"/>
    </row>
    <row r="19" s="28">
      <c r="A19" s="9" t="inlineStr">
        <is>
          <t>305512</t>
        </is>
      </c>
      <c r="B19" s="9" t="inlineStr">
        <is>
          <t>VANPEOPLE</t>
        </is>
      </c>
      <c r="C19" s="23" t="n"/>
      <c r="D19" s="12" t="n"/>
      <c r="E19" s="12" t="n"/>
      <c r="F19" s="12" t="n"/>
      <c r="G19" s="35" t="n"/>
      <c r="H19" s="12">
        <f>C19-G19</f>
        <v/>
      </c>
      <c r="I19" s="86" t="n"/>
      <c r="J19" s="86" t="n"/>
    </row>
    <row r="20" s="28">
      <c r="A20" s="9" t="inlineStr">
        <is>
          <t>305830</t>
        </is>
      </c>
      <c r="B20" s="9" t="inlineStr">
        <is>
          <t>Easi</t>
        </is>
      </c>
      <c r="C20" s="12" t="n"/>
      <c r="D20" s="12" t="n"/>
      <c r="E20" s="12" t="n"/>
      <c r="F20" s="12" t="n"/>
      <c r="G20" s="12" t="n"/>
      <c r="H20" s="12">
        <f>C20-G20</f>
        <v/>
      </c>
      <c r="I20" s="86" t="n"/>
      <c r="J20" s="86" t="n"/>
    </row>
    <row r="21" s="28">
      <c r="A21" s="92" t="inlineStr">
        <is>
          <t>305606</t>
        </is>
      </c>
      <c r="B21" s="9" t="inlineStr">
        <is>
          <t>VANPEOPLE</t>
        </is>
      </c>
      <c r="C21" s="12" t="n"/>
      <c r="D21" s="12" t="n"/>
      <c r="E21" s="12" t="n"/>
      <c r="F21" s="12" t="n"/>
      <c r="G21" s="12" t="n"/>
      <c r="H21" s="12">
        <f>C21-G21</f>
        <v/>
      </c>
      <c r="I21" s="86" t="n"/>
      <c r="J21" s="86" t="n"/>
    </row>
    <row r="22" s="28">
      <c r="A22" s="24" t="n"/>
      <c r="B22" s="25" t="inlineStr">
        <is>
          <t>入账金额合计</t>
        </is>
      </c>
      <c r="C22" s="24">
        <f>SUM(C7:C21)</f>
        <v/>
      </c>
      <c r="D22" s="24">
        <f>SUM(D7:D21)</f>
        <v/>
      </c>
      <c r="E22" s="24">
        <f>SUM(E7:E21)</f>
        <v/>
      </c>
      <c r="F22" s="24">
        <f>SUM(F7:F21)</f>
        <v/>
      </c>
      <c r="G22" s="26">
        <f>SUM(G7:G21)</f>
        <v/>
      </c>
      <c r="H22" s="26">
        <f>C22-G22+F22</f>
        <v/>
      </c>
      <c r="I22" s="86" t="n"/>
      <c r="J22" s="86" t="n"/>
    </row>
    <row r="23" s="28">
      <c r="A23" s="27" t="n"/>
      <c r="B23" s="27" t="n"/>
      <c r="C23" s="27" t="n"/>
      <c r="D23" s="86" t="n"/>
      <c r="F23" s="27" t="n"/>
      <c r="G23" s="27" t="n"/>
      <c r="H23" s="27" t="n"/>
    </row>
    <row r="24" s="28">
      <c r="E24" s="86" t="n"/>
    </row>
    <row r="25" s="28">
      <c r="A25" s="29" t="inlineStr">
        <is>
          <t>Gift Card 充值明细</t>
        </is>
      </c>
      <c r="E25" s="27" t="n"/>
    </row>
    <row r="26" s="28">
      <c r="A26" s="8" t="inlineStr">
        <is>
          <t>日期</t>
        </is>
      </c>
      <c r="B26" s="8" t="inlineStr">
        <is>
          <t>卡號</t>
        </is>
      </c>
      <c r="C26" s="8" t="inlineStr">
        <is>
          <t>充值方式</t>
        </is>
      </c>
      <c r="D26" s="31" t="inlineStr">
        <is>
          <t>充值金額</t>
        </is>
      </c>
      <c r="F26" s="31" t="inlineStr">
        <is>
          <t>每日应存现金</t>
        </is>
      </c>
      <c r="G26" s="32">
        <f>C7+D7+C44</f>
        <v/>
      </c>
      <c r="H26" s="80" t="n"/>
    </row>
    <row r="27" s="28">
      <c r="A27" s="33" t="n"/>
      <c r="B27" s="34" t="n"/>
      <c r="C27" s="34" t="n"/>
      <c r="D27" s="34" t="n"/>
      <c r="F27" s="34" t="inlineStr">
        <is>
          <t>&gt;0, 应存；&lt;0, 累计&gt;0时存入银行</t>
        </is>
      </c>
      <c r="G27" s="34" t="n"/>
      <c r="H27" s="31" t="n"/>
    </row>
    <row r="28" s="28">
      <c r="A28" s="33" t="n"/>
      <c r="B28" s="34" t="n"/>
      <c r="C28" s="34" t="n"/>
      <c r="D28" s="34" t="n"/>
    </row>
    <row r="29" s="28">
      <c r="A29" s="33" t="n"/>
      <c r="B29" s="34" t="n"/>
      <c r="C29" s="34" t="n"/>
      <c r="D29" s="34" t="n"/>
    </row>
    <row r="30" s="28">
      <c r="A30" s="33" t="n"/>
      <c r="B30" s="34" t="n"/>
      <c r="C30" s="34" t="n"/>
      <c r="D30" s="34" t="n"/>
    </row>
    <row r="31" s="28">
      <c r="A31" s="33" t="n"/>
      <c r="B31" s="34" t="n"/>
      <c r="C31" s="34" t="n"/>
      <c r="D31" s="34" t="n"/>
    </row>
    <row r="32" s="28">
      <c r="A32" s="33" t="n"/>
      <c r="B32" s="34" t="n"/>
      <c r="C32" s="34" t="n"/>
      <c r="D32" s="34" t="n"/>
    </row>
    <row r="33" s="28">
      <c r="A33" s="33" t="n"/>
      <c r="B33" s="17" t="n"/>
      <c r="C33" s="34" t="n"/>
      <c r="D33" s="34" t="n"/>
    </row>
    <row r="34" s="28">
      <c r="A34" s="33" t="n"/>
      <c r="B34" s="34" t="n"/>
      <c r="C34" s="34" t="n"/>
      <c r="D34" s="34" t="n"/>
      <c r="F34" s="13" t="n"/>
      <c r="G34" s="13" t="n"/>
      <c r="H34" s="13" t="n"/>
    </row>
    <row r="35" s="28">
      <c r="A35" s="33" t="n"/>
      <c r="B35" s="34" t="n"/>
      <c r="C35" s="34" t="n"/>
      <c r="D35" s="35" t="n"/>
      <c r="E35" s="13" t="n"/>
      <c r="F35" s="13" t="n"/>
      <c r="G35" s="13" t="n"/>
      <c r="H35" s="13" t="n"/>
    </row>
    <row r="36" s="28">
      <c r="A36" s="33" t="n"/>
      <c r="B36" s="34" t="n"/>
      <c r="C36" s="34" t="n"/>
      <c r="D36" s="35" t="n"/>
      <c r="E36" s="13" t="n"/>
      <c r="F36" s="13" t="n"/>
      <c r="G36" s="13" t="n"/>
      <c r="H36" s="13" t="n"/>
    </row>
    <row r="37" s="28">
      <c r="A37" s="33" t="n"/>
      <c r="B37" s="34" t="n"/>
      <c r="C37" s="34" t="n"/>
      <c r="D37" s="35" t="n"/>
      <c r="E37" s="13" t="n"/>
      <c r="F37" s="13" t="n"/>
      <c r="G37" s="13" t="n"/>
      <c r="H37" s="13" t="n"/>
    </row>
    <row r="38" s="28">
      <c r="A38" s="33" t="n"/>
      <c r="B38" s="34" t="n"/>
      <c r="C38" s="34" t="n"/>
      <c r="D38" s="35" t="n"/>
      <c r="E38" s="13" t="n"/>
      <c r="F38" s="13" t="n"/>
      <c r="G38" s="13" t="n"/>
      <c r="H38" s="13" t="n"/>
    </row>
    <row r="39" s="28">
      <c r="A39" s="33" t="n"/>
      <c r="B39" s="34" t="n"/>
      <c r="C39" s="34" t="n"/>
      <c r="D39" s="35" t="n"/>
      <c r="E39" s="13" t="n"/>
      <c r="F39" s="13" t="n"/>
      <c r="G39" s="13" t="n"/>
      <c r="H39" s="13" t="n"/>
    </row>
    <row r="40" s="28">
      <c r="A40" s="33" t="n"/>
      <c r="B40" s="34" t="n"/>
      <c r="C40" s="34" t="n"/>
      <c r="D40" s="35" t="n"/>
      <c r="E40" s="13" t="n"/>
      <c r="F40" s="13" t="n"/>
      <c r="G40" s="13" t="n"/>
      <c r="H40" s="13" t="n"/>
    </row>
    <row r="41" s="28">
      <c r="A41" s="33" t="n"/>
      <c r="B41" s="34" t="n"/>
      <c r="C41" s="34" t="n"/>
      <c r="D41" s="35" t="n"/>
      <c r="E41" s="13" t="n"/>
      <c r="F41" s="13" t="n"/>
      <c r="G41" s="13" t="n"/>
      <c r="H41" s="13" t="n"/>
    </row>
    <row r="42" s="28">
      <c r="A42" s="33" t="n"/>
      <c r="B42" s="34" t="n"/>
      <c r="C42" s="34" t="n"/>
      <c r="D42" s="35" t="n"/>
      <c r="E42" s="13" t="n"/>
      <c r="F42" s="13" t="n"/>
      <c r="G42" s="13" t="n"/>
      <c r="H42" s="13" t="n"/>
    </row>
    <row r="43" s="28">
      <c r="A43" s="33" t="n"/>
      <c r="B43" s="34" t="n"/>
      <c r="C43" s="34" t="n"/>
      <c r="D43" s="35" t="n"/>
      <c r="E43" s="13" t="n"/>
      <c r="F43" s="13" t="n"/>
      <c r="G43" s="13" t="n"/>
      <c r="H43" s="13" t="n"/>
    </row>
    <row r="44" s="28">
      <c r="A44" s="36" t="inlineStr">
        <is>
          <t>合计</t>
        </is>
      </c>
      <c r="B44" s="32">
        <f>SUM(B27:B43)</f>
        <v/>
      </c>
      <c r="C44" s="32">
        <f>SUM(C27:C43)</f>
        <v/>
      </c>
      <c r="D44" s="35" t="n"/>
      <c r="E44" s="13" t="n"/>
      <c r="F44" s="13" t="n"/>
      <c r="G44" s="13" t="n"/>
      <c r="H44" s="13" t="n"/>
    </row>
    <row r="45" s="28">
      <c r="D45" s="86" t="n"/>
      <c r="E45" s="86" t="n"/>
      <c r="F45" s="86" t="n"/>
      <c r="G45" s="86" t="n"/>
    </row>
    <row r="46" s="28">
      <c r="A46" s="107" t="inlineStr">
        <is>
          <t>禮品卡消費</t>
        </is>
      </c>
      <c r="B46" s="98" t="n"/>
      <c r="C46" s="98" t="n"/>
      <c r="D46" s="99" t="n"/>
    </row>
    <row r="47" s="28">
      <c r="A47" s="40" t="inlineStr">
        <is>
          <t>日期</t>
        </is>
      </c>
      <c r="B47" s="40" t="inlineStr">
        <is>
          <t>卡號</t>
        </is>
      </c>
      <c r="C47" s="40" t="inlineStr">
        <is>
          <t>消費金額</t>
        </is>
      </c>
      <c r="D47" s="40" t="inlineStr">
        <is>
          <t>小费</t>
        </is>
      </c>
    </row>
    <row r="48" s="28">
      <c r="A48" s="60" t="n">
        <v>44653</v>
      </c>
      <c r="B48" s="93" t="inlineStr">
        <is>
          <t>6038360183440034579</t>
        </is>
      </c>
      <c r="C48" s="80" t="n">
        <v>100</v>
      </c>
      <c r="D48" s="80" t="n">
        <v>46.28</v>
      </c>
    </row>
    <row r="49" s="28">
      <c r="A49" s="80" t="n"/>
      <c r="B49" s="34" t="n"/>
      <c r="C49" s="80" t="n"/>
      <c r="D49" s="80" t="n"/>
    </row>
    <row r="50" s="28">
      <c r="A50" s="80" t="n"/>
      <c r="B50" s="80" t="n"/>
      <c r="C50" s="80" t="n"/>
      <c r="D50" s="80" t="n"/>
    </row>
    <row r="51" s="28">
      <c r="A51" s="80" t="n"/>
      <c r="B51" s="80" t="n"/>
      <c r="C51" s="80" t="n"/>
      <c r="D51" s="80" t="n"/>
    </row>
    <row r="52" s="28">
      <c r="A52" s="80" t="n"/>
      <c r="B52" s="80" t="n"/>
      <c r="C52" s="80" t="n"/>
      <c r="D52" s="80" t="n"/>
    </row>
    <row r="53" s="28">
      <c r="A53" s="80" t="n"/>
      <c r="B53" s="80" t="n"/>
      <c r="C53" s="80" t="n"/>
      <c r="D53" s="80" t="n"/>
    </row>
    <row r="54" s="28">
      <c r="A54" s="80" t="n"/>
      <c r="B54" s="80" t="n"/>
      <c r="C54" s="80" t="n"/>
      <c r="D54" s="80" t="n"/>
    </row>
    <row r="55" s="28">
      <c r="A55" s="80" t="n"/>
      <c r="B55" s="80" t="n"/>
      <c r="C55" s="80" t="n"/>
      <c r="D55" s="80" t="n"/>
    </row>
    <row r="56" s="28">
      <c r="A56" s="80" t="n"/>
      <c r="B56" s="80" t="n"/>
      <c r="C56" s="80" t="n"/>
      <c r="D56" s="80" t="n"/>
    </row>
    <row r="57" s="28">
      <c r="A57" s="80" t="n"/>
      <c r="B57" s="80" t="n"/>
      <c r="C57" s="80" t="n"/>
      <c r="D57" s="80" t="n"/>
    </row>
    <row r="58" s="28">
      <c r="A58" s="80" t="n"/>
      <c r="B58" s="80" t="n"/>
      <c r="C58" s="80" t="n"/>
      <c r="D58" s="80" t="n"/>
    </row>
    <row r="59" s="28">
      <c r="A59" s="80" t="n"/>
      <c r="B59" s="80" t="n"/>
      <c r="C59" s="80" t="n"/>
      <c r="D59" s="80" t="n"/>
    </row>
    <row r="60" s="28">
      <c r="A60" s="80" t="n"/>
      <c r="B60" s="80" t="n"/>
      <c r="C60" s="80" t="n"/>
      <c r="D60" s="80" t="n"/>
    </row>
    <row r="61" s="28">
      <c r="A61" s="80" t="n"/>
      <c r="B61" s="80" t="n"/>
      <c r="C61" s="80" t="n"/>
      <c r="D61" s="80" t="n"/>
    </row>
    <row r="62" s="28">
      <c r="A62" s="80" t="n"/>
      <c r="B62" s="80" t="n"/>
      <c r="C62" s="80" t="n"/>
      <c r="D62" s="80" t="n"/>
    </row>
    <row r="63" s="28">
      <c r="A63" s="80" t="n"/>
      <c r="B63" s="80" t="n"/>
      <c r="C63" s="80" t="n"/>
      <c r="D63" s="80" t="n"/>
    </row>
    <row r="64" s="28">
      <c r="A64" s="80" t="n"/>
      <c r="B64" s="80" t="n"/>
      <c r="C64" s="80" t="n"/>
      <c r="D64" s="80" t="n"/>
    </row>
    <row r="65" s="28">
      <c r="A65" s="80" t="n"/>
      <c r="B65" s="80" t="n"/>
      <c r="C65" s="80" t="n"/>
      <c r="D65" s="80" t="n"/>
    </row>
    <row r="66" s="28">
      <c r="A66" s="80" t="n"/>
      <c r="B66" s="80" t="n"/>
      <c r="C66" s="80" t="n"/>
      <c r="D66" s="80" t="n"/>
    </row>
    <row r="67" s="28">
      <c r="A67" s="80" t="n"/>
      <c r="B67" s="80" t="n"/>
      <c r="C67" s="80" t="n"/>
      <c r="D67" s="80" t="n"/>
    </row>
  </sheetData>
  <mergeCells count="4">
    <mergeCell ref="L1:M1"/>
    <mergeCell ref="N1:O1"/>
    <mergeCell ref="A25:D25"/>
    <mergeCell ref="A46:D46"/>
  </mergeCells>
  <pageMargins left="0.699305555555556" right="0.699305555555556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67"/>
  <sheetViews>
    <sheetView zoomScale="90" zoomScaleNormal="90" workbookViewId="0">
      <selection activeCell="D22" sqref="D22"/>
    </sheetView>
  </sheetViews>
  <sheetFormatPr baseColWidth="8" defaultColWidth="9" defaultRowHeight="18.85" customHeight="1"/>
  <cols>
    <col width="14.5350877192982" customWidth="1" style="28" min="1" max="1"/>
    <col width="20.2017543859649" customWidth="1" style="28" min="2" max="2"/>
    <col width="20.2631578947368" customWidth="1" style="28" min="3" max="3"/>
    <col width="14.8771929824561" customWidth="1" style="28" min="4" max="4"/>
    <col width="14.2017543859649" customWidth="1" style="28" min="5" max="5"/>
    <col width="17.3333333333333" customWidth="1" style="28" min="6" max="6"/>
    <col width="21.7368421052632" customWidth="1" style="28" min="7" max="7"/>
    <col width="21.7982456140351" customWidth="1" style="28" min="8" max="8"/>
    <col width="17.1315789473684" customWidth="1" style="28" min="9" max="9"/>
    <col width="13.7543859649123" customWidth="1" style="28" min="10" max="10"/>
    <col width="17.640350877193" customWidth="1" style="28" min="11" max="11"/>
    <col width="11.9298245614035" customWidth="1" style="28" min="12" max="12"/>
    <col width="9.50877192982456" customWidth="1" style="28" min="14" max="14"/>
  </cols>
  <sheetData>
    <row r="1" s="28">
      <c r="A1" s="80" t="inlineStr">
        <is>
          <t>商品销售</t>
        </is>
      </c>
      <c r="B1" s="3" t="n"/>
      <c r="L1" s="100" t="inlineStr">
        <is>
          <t>moneris</t>
        </is>
      </c>
      <c r="M1" s="99" t="n"/>
      <c r="N1" s="101" t="inlineStr">
        <is>
          <t>payfactor</t>
        </is>
      </c>
      <c r="O1" s="99" t="n"/>
      <c r="R1" s="80" t="n">
        <v>16</v>
      </c>
      <c r="S1" s="86" t="n">
        <v>100</v>
      </c>
      <c r="T1" s="58">
        <f>R1*S1</f>
        <v/>
      </c>
    </row>
    <row r="2" s="28">
      <c r="A2" s="80" t="inlineStr">
        <is>
          <t>堂食收入</t>
        </is>
      </c>
      <c r="B2" s="3" t="n">
        <v>26277.8</v>
      </c>
      <c r="C2" s="5" t="n"/>
      <c r="H2" s="86" t="n"/>
      <c r="L2" s="45" t="inlineStr">
        <is>
          <t>菜品金额</t>
        </is>
      </c>
      <c r="M2" s="45" t="inlineStr">
        <is>
          <t>小费</t>
        </is>
      </c>
      <c r="N2" s="46" t="inlineStr">
        <is>
          <t>菜品金额</t>
        </is>
      </c>
      <c r="O2" s="46" t="inlineStr">
        <is>
          <t>小费</t>
        </is>
      </c>
      <c r="R2" s="80" t="n">
        <v>4</v>
      </c>
      <c r="S2" s="86" t="n">
        <v>50</v>
      </c>
      <c r="T2" s="58">
        <f>R2*S2</f>
        <v/>
      </c>
    </row>
    <row r="3" s="28">
      <c r="A3" s="80" t="inlineStr">
        <is>
          <t>外送收入</t>
        </is>
      </c>
      <c r="B3" s="3" t="n">
        <v>1823.15</v>
      </c>
      <c r="C3" s="7" t="n"/>
      <c r="D3" s="86">
        <f>367.9+99.16+831.12+13.95+1003.18+722.08</f>
        <v/>
      </c>
      <c r="G3" s="86" t="n"/>
      <c r="L3" s="80" t="n">
        <v>3965.25</v>
      </c>
      <c r="M3" s="80" t="n">
        <v>465.8</v>
      </c>
      <c r="N3" s="80" t="n">
        <v>1371.78</v>
      </c>
      <c r="O3" s="80" t="n">
        <v>162.46</v>
      </c>
      <c r="R3" s="80" t="n">
        <v>57</v>
      </c>
      <c r="S3" s="86" t="n">
        <v>20</v>
      </c>
      <c r="T3" s="58">
        <f>R3*S3</f>
        <v/>
      </c>
    </row>
    <row r="4" s="28">
      <c r="A4" s="80" t="inlineStr">
        <is>
          <t>收入合计</t>
        </is>
      </c>
      <c r="B4" s="80">
        <f>B2+B3+B1</f>
        <v/>
      </c>
      <c r="D4" s="86">
        <f>22+25+80+74+68+113+107+78</f>
        <v/>
      </c>
      <c r="L4" s="80" t="n">
        <v>785.0700000000001</v>
      </c>
      <c r="M4" s="80" t="n">
        <v>107.57</v>
      </c>
      <c r="N4" s="80" t="n">
        <v>3469.22</v>
      </c>
      <c r="O4" s="80" t="n">
        <v>471.95</v>
      </c>
      <c r="R4" s="80" t="n">
        <v>8</v>
      </c>
      <c r="S4" s="86" t="n">
        <v>10</v>
      </c>
      <c r="T4" s="58">
        <f>R4*S4</f>
        <v/>
      </c>
    </row>
    <row r="5" customFormat="1" s="86">
      <c r="I5" s="86" t="n"/>
      <c r="J5" s="86" t="n"/>
      <c r="L5" s="80" t="n"/>
      <c r="M5" s="80" t="n"/>
      <c r="N5" s="80" t="n">
        <v>3896.6</v>
      </c>
      <c r="O5" s="80" t="n">
        <v>525.35</v>
      </c>
      <c r="R5" s="80" t="n"/>
      <c r="S5" s="86" t="n">
        <v>5</v>
      </c>
      <c r="T5" s="58">
        <f>R5*S5</f>
        <v/>
      </c>
    </row>
    <row r="6" s="28">
      <c r="A6" s="8" t="inlineStr">
        <is>
          <t>客户代码</t>
        </is>
      </c>
      <c r="B6" s="8" t="inlineStr">
        <is>
          <t>客户名称</t>
        </is>
      </c>
      <c r="C6" s="8" t="inlineStr">
        <is>
          <t>营业款-小票金额</t>
        </is>
      </c>
      <c r="D6" s="8" t="inlineStr">
        <is>
          <t>小费</t>
        </is>
      </c>
      <c r="E6" s="8" t="inlineStr">
        <is>
          <t>饭团手续费</t>
        </is>
      </c>
      <c r="F6" s="8" t="inlineStr">
        <is>
          <t>点评</t>
        </is>
      </c>
      <c r="G6" s="8" t="inlineStr">
        <is>
          <t>红火台金额</t>
        </is>
      </c>
      <c r="H6" s="8" t="inlineStr">
        <is>
          <t>复核</t>
        </is>
      </c>
      <c r="I6" s="86" t="n"/>
      <c r="J6" s="86" t="n"/>
      <c r="L6" s="80" t="n"/>
      <c r="M6" s="80" t="n"/>
      <c r="N6" s="80" t="n">
        <v>2819.13</v>
      </c>
      <c r="O6" s="80" t="n">
        <v>372.53</v>
      </c>
    </row>
    <row r="7" s="28">
      <c r="A7" s="9" t="inlineStr">
        <is>
          <t>301737</t>
        </is>
      </c>
      <c r="B7" s="10" t="inlineStr">
        <is>
          <t>现金</t>
        </is>
      </c>
      <c r="C7" s="12">
        <f>-480+342.35+389.5+282.6+1198.34+708.7+207.3</f>
        <v/>
      </c>
      <c r="D7" s="12">
        <f>30.9+40.5+43.55+187.66+73.35-4.75</f>
        <v/>
      </c>
      <c r="E7" s="12" t="n"/>
      <c r="F7" s="12" t="n"/>
      <c r="G7" s="13" t="n">
        <v>2648.79</v>
      </c>
      <c r="H7" s="12">
        <f>C7-G7</f>
        <v/>
      </c>
      <c r="I7" s="86" t="n"/>
      <c r="J7" s="86" t="n"/>
      <c r="L7" s="80" t="n"/>
      <c r="M7" s="80" t="n"/>
      <c r="N7" s="104" t="n">
        <v>1823.86</v>
      </c>
      <c r="O7" s="80" t="n">
        <v>247.71</v>
      </c>
      <c r="S7" s="86" t="inlineStr">
        <is>
          <t>total:</t>
        </is>
      </c>
      <c r="T7" s="86">
        <f>SUM(T1:T6)</f>
        <v/>
      </c>
    </row>
    <row r="8" s="28">
      <c r="A8" s="9" t="inlineStr">
        <is>
          <t>304102</t>
        </is>
      </c>
      <c r="B8" s="9" t="inlineStr">
        <is>
          <t>刷卡</t>
        </is>
      </c>
      <c r="C8" s="12">
        <f>L11+N11-D8</f>
        <v/>
      </c>
      <c r="D8" s="12">
        <f>M11+O11+0.2</f>
        <v/>
      </c>
      <c r="E8" s="12" t="n"/>
      <c r="F8" s="12" t="n"/>
      <c r="G8" s="13" t="n">
        <v>20424.09</v>
      </c>
      <c r="H8" s="12">
        <f>C8-G8</f>
        <v/>
      </c>
      <c r="I8" s="86" t="n"/>
      <c r="J8" s="86" t="n"/>
      <c r="K8" s="86" t="n"/>
      <c r="L8" s="80" t="n"/>
      <c r="M8" s="80" t="n"/>
      <c r="N8" s="80" t="n">
        <v>5330.57</v>
      </c>
      <c r="O8" s="80" t="n">
        <v>683.8200000000001</v>
      </c>
    </row>
    <row r="9" s="28">
      <c r="A9" s="9" t="inlineStr">
        <is>
          <t>304111</t>
        </is>
      </c>
      <c r="B9" s="9" t="inlineStr">
        <is>
          <t>微信支付宝</t>
        </is>
      </c>
      <c r="C9" s="86">
        <f>4192.54-D9</f>
        <v/>
      </c>
      <c r="D9" s="86" t="n">
        <v>566.17</v>
      </c>
      <c r="E9" s="80" t="n"/>
      <c r="F9" s="12" t="n"/>
      <c r="G9" s="108">
        <f>1284.8+2341.57</f>
        <v/>
      </c>
      <c r="H9" s="12">
        <f>C9-G9</f>
        <v/>
      </c>
      <c r="I9" s="86" t="n"/>
      <c r="J9" s="86" t="n"/>
      <c r="K9" s="86" t="n"/>
      <c r="L9" s="80" t="n"/>
      <c r="M9" s="80" t="n"/>
      <c r="N9" s="80" t="n"/>
      <c r="O9" s="80" t="n"/>
    </row>
    <row r="10" s="28">
      <c r="A10" s="9" t="inlineStr">
        <is>
          <t>304240</t>
        </is>
      </c>
      <c r="B10" s="9" t="inlineStr">
        <is>
          <t>饭团</t>
        </is>
      </c>
      <c r="C10" s="86">
        <f>851.47</f>
        <v/>
      </c>
      <c r="D10" s="12" t="n"/>
      <c r="E10" s="12">
        <f>105.74+145.75+12.22</f>
        <v/>
      </c>
      <c r="F10" s="12" t="n">
        <v>69.81</v>
      </c>
      <c r="G10" s="13" t="n">
        <v>1188.1</v>
      </c>
      <c r="H10" s="12">
        <f>C10-G10+D10+F10+E10</f>
        <v/>
      </c>
      <c r="I10" s="86" t="inlineStr">
        <is>
          <t>尾差</t>
        </is>
      </c>
      <c r="J10" s="86" t="n"/>
      <c r="K10" s="86" t="n"/>
      <c r="L10" s="80" t="n"/>
      <c r="M10" s="80" t="n"/>
      <c r="N10" s="80" t="n"/>
      <c r="O10" s="80" t="n"/>
    </row>
    <row r="11" s="28">
      <c r="A11" s="9" t="inlineStr">
        <is>
          <t>304432</t>
        </is>
      </c>
      <c r="B11" s="9" t="inlineStr">
        <is>
          <t>礼品卡</t>
        </is>
      </c>
      <c r="C11" s="17" t="n"/>
      <c r="D11" s="12" t="n"/>
      <c r="E11" s="12" t="n"/>
      <c r="F11" s="12" t="n"/>
      <c r="G11" s="13" t="n"/>
      <c r="H11" s="12">
        <f>C11-G11</f>
        <v/>
      </c>
      <c r="I11" s="86" t="n"/>
      <c r="J11" s="86" t="n"/>
      <c r="L11" s="53">
        <f>SUM(L1:L10)</f>
        <v/>
      </c>
      <c r="M11" s="53">
        <f>SUM(M1:M10)</f>
        <v/>
      </c>
      <c r="N11" s="64">
        <f>SUM(N1:N10)</f>
        <v/>
      </c>
      <c r="O11" s="64">
        <f>SUM(O1:O10)</f>
        <v/>
      </c>
    </row>
    <row r="12" s="28">
      <c r="A12" s="9" t="inlineStr">
        <is>
          <t>305476</t>
        </is>
      </c>
      <c r="B12" s="9" t="inlineStr">
        <is>
          <t>DoorDash</t>
        </is>
      </c>
      <c r="C12" s="12" t="n"/>
      <c r="D12" s="12" t="n"/>
      <c r="E12" s="12" t="n"/>
      <c r="F12" s="12" t="n"/>
      <c r="G12" s="18" t="n"/>
      <c r="H12" s="12">
        <f>C12-G12</f>
        <v/>
      </c>
      <c r="I12" s="86" t="n"/>
      <c r="J12" s="86" t="n"/>
    </row>
    <row r="13" s="28">
      <c r="A13" s="9" t="inlineStr">
        <is>
          <t>305477</t>
        </is>
      </c>
      <c r="B13" s="9" t="inlineStr">
        <is>
          <t>SKIP</t>
        </is>
      </c>
      <c r="C13" s="12" t="n"/>
      <c r="D13" s="12" t="n"/>
      <c r="E13" s="12" t="n"/>
      <c r="F13" s="12" t="n"/>
      <c r="G13" s="18" t="n"/>
      <c r="H13" s="12">
        <f>C13-G13</f>
        <v/>
      </c>
      <c r="I13" s="86" t="n"/>
      <c r="J13" s="86" t="n"/>
      <c r="N13" s="55" t="n"/>
    </row>
    <row r="14" s="28">
      <c r="A14" s="9" t="inlineStr">
        <is>
          <t>305478</t>
        </is>
      </c>
      <c r="B14" s="9" t="inlineStr">
        <is>
          <t>Ubereat</t>
        </is>
      </c>
      <c r="C14" s="19" t="n">
        <v>196.13</v>
      </c>
      <c r="D14" s="12" t="n"/>
      <c r="E14" s="12" t="n"/>
      <c r="F14" s="12" t="n"/>
      <c r="G14" s="13" t="n">
        <v>196.15</v>
      </c>
      <c r="H14" s="12">
        <f>C14-G14</f>
        <v/>
      </c>
      <c r="I14" s="86" t="inlineStr">
        <is>
          <t>尾差</t>
        </is>
      </c>
      <c r="K14" s="86" t="n"/>
    </row>
    <row r="15" s="28">
      <c r="A15" s="9" t="inlineStr">
        <is>
          <t>305479</t>
        </is>
      </c>
      <c r="B15" s="9" t="inlineStr">
        <is>
          <t>Chowbus</t>
        </is>
      </c>
      <c r="C15" s="12" t="n"/>
      <c r="D15" s="12" t="n"/>
      <c r="E15" s="12" t="n"/>
      <c r="F15" s="12" t="n"/>
      <c r="G15" s="12" t="n"/>
      <c r="H15" s="12">
        <f>C15-G15</f>
        <v/>
      </c>
      <c r="I15" s="86" t="n"/>
      <c r="J15" s="86" t="n"/>
      <c r="K15" s="86" t="n"/>
    </row>
    <row r="16" s="28">
      <c r="A16" s="9" t="inlineStr">
        <is>
          <t>305510</t>
        </is>
      </c>
      <c r="B16" s="9" t="inlineStr">
        <is>
          <t>snappy</t>
        </is>
      </c>
      <c r="C16" s="20" t="n">
        <v>17.44</v>
      </c>
      <c r="D16" s="20" t="n"/>
      <c r="E16" s="21" t="n"/>
      <c r="F16" s="12" t="n"/>
      <c r="G16" s="13" t="n">
        <v>17.45</v>
      </c>
      <c r="H16" s="12">
        <f>C16-G16-D16</f>
        <v/>
      </c>
      <c r="I16" s="86" t="inlineStr">
        <is>
          <t>尾差</t>
        </is>
      </c>
      <c r="J16" s="86" t="n"/>
      <c r="K16" s="86" t="n"/>
    </row>
    <row r="17" s="28">
      <c r="A17" s="9" t="n"/>
      <c r="B17" s="9" t="inlineStr">
        <is>
          <t>panda</t>
        </is>
      </c>
      <c r="C17" s="80" t="n"/>
      <c r="D17" s="22" t="n"/>
      <c r="E17" s="22" t="n"/>
      <c r="F17" s="12" t="n"/>
      <c r="G17" s="13" t="n"/>
      <c r="H17" s="12">
        <f>C17-G17</f>
        <v/>
      </c>
      <c r="I17" s="57" t="n"/>
      <c r="J17" s="86" t="n"/>
      <c r="K17" s="86" t="n"/>
    </row>
    <row r="18" s="28">
      <c r="A18" s="92" t="inlineStr">
        <is>
          <t>305606</t>
        </is>
      </c>
      <c r="B18" s="9" t="inlineStr">
        <is>
          <t>tapin</t>
        </is>
      </c>
      <c r="C18" s="12" t="n"/>
      <c r="D18" s="12" t="n"/>
      <c r="E18" s="12" t="n"/>
      <c r="F18" s="12" t="n"/>
      <c r="G18" s="13" t="n"/>
      <c r="H18" s="12">
        <f>C18-G18</f>
        <v/>
      </c>
      <c r="I18" s="86" t="n"/>
      <c r="J18" s="86" t="n"/>
    </row>
    <row r="19" s="28">
      <c r="A19" s="9" t="inlineStr">
        <is>
          <t>305512</t>
        </is>
      </c>
      <c r="B19" s="9" t="inlineStr">
        <is>
          <t>VANPEOPLE</t>
        </is>
      </c>
      <c r="C19" s="23" t="n"/>
      <c r="D19" s="12" t="n"/>
      <c r="E19" s="12" t="n"/>
      <c r="F19" s="12" t="n"/>
      <c r="G19" s="13" t="n"/>
      <c r="H19" s="12">
        <f>C19-G19</f>
        <v/>
      </c>
      <c r="I19" s="86" t="n"/>
      <c r="J19" s="86" t="n"/>
    </row>
    <row r="20" s="28">
      <c r="A20" s="9" t="inlineStr">
        <is>
          <t>305830</t>
        </is>
      </c>
      <c r="B20" s="9" t="inlineStr">
        <is>
          <t>Easi</t>
        </is>
      </c>
      <c r="C20" s="12" t="n"/>
      <c r="D20" s="12" t="n"/>
      <c r="E20" s="12" t="n"/>
      <c r="F20" s="12" t="n"/>
      <c r="G20" s="12" t="n"/>
      <c r="H20" s="12">
        <f>C20-G20</f>
        <v/>
      </c>
      <c r="I20" s="86" t="n"/>
      <c r="J20" s="86" t="n"/>
    </row>
    <row r="21" s="28">
      <c r="A21" s="92" t="inlineStr">
        <is>
          <t>305606</t>
        </is>
      </c>
      <c r="B21" s="9" t="inlineStr">
        <is>
          <t>VANPEOPLE</t>
        </is>
      </c>
      <c r="C21" s="12" t="n"/>
      <c r="D21" s="12" t="n"/>
      <c r="E21" s="12" t="n"/>
      <c r="F21" s="12" t="n"/>
      <c r="G21" s="12" t="n"/>
      <c r="H21" s="12">
        <f>C21-G21</f>
        <v/>
      </c>
      <c r="I21" s="86" t="n"/>
      <c r="J21" s="86" t="n"/>
    </row>
    <row r="22" s="28">
      <c r="A22" s="24" t="n"/>
      <c r="B22" s="25" t="inlineStr">
        <is>
          <t>入账金额合计</t>
        </is>
      </c>
      <c r="C22" s="24">
        <f>SUM(C7:C21)</f>
        <v/>
      </c>
      <c r="D22" s="24">
        <f>SUM(D7:D21)</f>
        <v/>
      </c>
      <c r="E22" s="24">
        <f>SUM(E7:E21)</f>
        <v/>
      </c>
      <c r="F22" s="24">
        <f>SUM(F7:F21)</f>
        <v/>
      </c>
      <c r="G22" s="26">
        <f>SUM(G7:G21)</f>
        <v/>
      </c>
      <c r="H22" s="26">
        <f>C22-G22+F22</f>
        <v/>
      </c>
      <c r="I22" s="86" t="n"/>
      <c r="J22" s="86" t="n"/>
    </row>
    <row r="23" s="28">
      <c r="A23" s="27" t="n"/>
      <c r="B23" s="27" t="n"/>
      <c r="C23" s="27" t="n"/>
      <c r="D23" s="86" t="n"/>
      <c r="F23" s="27" t="n"/>
      <c r="G23" s="27" t="n"/>
      <c r="H23" s="27" t="n"/>
    </row>
    <row r="24" s="28">
      <c r="E24" s="86" t="n"/>
    </row>
    <row r="25" s="28">
      <c r="A25" s="29" t="inlineStr">
        <is>
          <t>Gift Card 充值明细</t>
        </is>
      </c>
      <c r="E25" s="27" t="n"/>
    </row>
    <row r="26" s="28">
      <c r="A26" s="8" t="inlineStr">
        <is>
          <t>日期</t>
        </is>
      </c>
      <c r="B26" s="8" t="inlineStr">
        <is>
          <t>卡號</t>
        </is>
      </c>
      <c r="C26" s="8" t="inlineStr">
        <is>
          <t>充值方式</t>
        </is>
      </c>
      <c r="D26" s="31" t="inlineStr">
        <is>
          <t>充值金額</t>
        </is>
      </c>
      <c r="F26" s="31" t="inlineStr">
        <is>
          <t>每日应存现金</t>
        </is>
      </c>
      <c r="G26" s="32">
        <f>C7+D7+C44</f>
        <v/>
      </c>
      <c r="H26" s="80" t="n"/>
    </row>
    <row r="27" s="28">
      <c r="A27" s="33" t="n"/>
      <c r="B27" s="34" t="n"/>
      <c r="C27" s="34" t="n"/>
      <c r="D27" s="34" t="n"/>
      <c r="F27" s="34" t="inlineStr">
        <is>
          <t>&gt;0, 应存；&lt;0, 累计&gt;0时存入银行</t>
        </is>
      </c>
      <c r="G27" s="34" t="n"/>
      <c r="H27" s="31" t="n"/>
    </row>
    <row r="28" s="28">
      <c r="A28" s="33" t="n"/>
      <c r="B28" s="34" t="n"/>
      <c r="C28" s="34" t="n"/>
      <c r="D28" s="34" t="n"/>
    </row>
    <row r="29" s="28">
      <c r="A29" s="33" t="n"/>
      <c r="B29" s="34" t="n"/>
      <c r="C29" s="34" t="n"/>
      <c r="D29" s="34" t="n"/>
    </row>
    <row r="30" s="28">
      <c r="A30" s="33" t="n"/>
      <c r="B30" s="34" t="n"/>
      <c r="C30" s="34" t="n"/>
      <c r="D30" s="34" t="n"/>
    </row>
    <row r="31" s="28">
      <c r="A31" s="33" t="n"/>
      <c r="B31" s="34" t="n"/>
      <c r="C31" s="34" t="n"/>
      <c r="D31" s="34" t="n"/>
    </row>
    <row r="32" s="28">
      <c r="A32" s="33" t="n"/>
      <c r="B32" s="34" t="n"/>
      <c r="C32" s="34" t="n"/>
      <c r="D32" s="34" t="n"/>
    </row>
    <row r="33" s="28">
      <c r="A33" s="33" t="n"/>
      <c r="B33" s="17" t="n"/>
      <c r="C33" s="34" t="n"/>
      <c r="D33" s="34" t="n"/>
    </row>
    <row r="34" s="28">
      <c r="A34" s="33" t="n"/>
      <c r="B34" s="34" t="n"/>
      <c r="C34" s="34" t="n"/>
      <c r="D34" s="34" t="n"/>
      <c r="F34" s="13" t="n"/>
      <c r="G34" s="13" t="n"/>
      <c r="H34" s="13" t="n"/>
    </row>
    <row r="35" s="28">
      <c r="A35" s="33" t="n"/>
      <c r="B35" s="34" t="n"/>
      <c r="C35" s="34" t="n"/>
      <c r="D35" s="35" t="n"/>
      <c r="E35" s="13" t="n"/>
      <c r="F35" s="13" t="n"/>
      <c r="G35" s="13" t="n"/>
      <c r="H35" s="13" t="n"/>
    </row>
    <row r="36" s="28">
      <c r="A36" s="33" t="n"/>
      <c r="B36" s="34" t="n"/>
      <c r="C36" s="34" t="n"/>
      <c r="D36" s="35" t="n"/>
      <c r="E36" s="13" t="n"/>
      <c r="F36" s="13" t="n"/>
      <c r="G36" s="13" t="n"/>
      <c r="H36" s="13" t="n"/>
    </row>
    <row r="37" s="28">
      <c r="A37" s="33" t="n"/>
      <c r="B37" s="34" t="n"/>
      <c r="C37" s="34" t="n"/>
      <c r="D37" s="35" t="n"/>
      <c r="E37" s="13" t="n"/>
      <c r="F37" s="13" t="n"/>
      <c r="G37" s="13" t="n"/>
      <c r="H37" s="13" t="n"/>
    </row>
    <row r="38" s="28">
      <c r="A38" s="33" t="n"/>
      <c r="B38" s="34" t="n"/>
      <c r="C38" s="34" t="n"/>
      <c r="D38" s="35" t="n"/>
      <c r="E38" s="13" t="n"/>
      <c r="F38" s="13" t="n"/>
      <c r="G38" s="13" t="n"/>
      <c r="H38" s="13" t="n"/>
    </row>
    <row r="39" s="28">
      <c r="A39" s="33" t="n"/>
      <c r="B39" s="34" t="n"/>
      <c r="C39" s="34" t="n"/>
      <c r="D39" s="35" t="n"/>
      <c r="E39" s="13" t="n"/>
      <c r="F39" s="13" t="n"/>
      <c r="G39" s="13" t="n"/>
      <c r="H39" s="13" t="n"/>
    </row>
    <row r="40" s="28">
      <c r="A40" s="33" t="n"/>
      <c r="B40" s="34" t="n"/>
      <c r="C40" s="34" t="n"/>
      <c r="D40" s="35" t="n"/>
      <c r="E40" s="13" t="n"/>
      <c r="F40" s="13" t="n"/>
      <c r="G40" s="13" t="n"/>
      <c r="H40" s="13" t="n"/>
    </row>
    <row r="41" s="28">
      <c r="A41" s="33" t="n"/>
      <c r="B41" s="34" t="n"/>
      <c r="C41" s="34" t="n"/>
      <c r="D41" s="35" t="n"/>
      <c r="E41" s="13" t="n"/>
      <c r="F41" s="13" t="n"/>
      <c r="G41" s="13" t="n"/>
      <c r="H41" s="13" t="n"/>
    </row>
    <row r="42" s="28">
      <c r="A42" s="33" t="n"/>
      <c r="B42" s="34" t="n"/>
      <c r="C42" s="34" t="n"/>
      <c r="D42" s="35" t="n"/>
      <c r="E42" s="13" t="n"/>
      <c r="F42" s="13" t="n"/>
      <c r="G42" s="13" t="n"/>
      <c r="H42" s="13" t="n"/>
    </row>
    <row r="43" s="28">
      <c r="A43" s="33" t="n"/>
      <c r="B43" s="34" t="n"/>
      <c r="C43" s="34" t="n"/>
      <c r="D43" s="35" t="n"/>
      <c r="E43" s="13" t="n"/>
      <c r="F43" s="13" t="n"/>
      <c r="G43" s="13" t="n"/>
      <c r="H43" s="13" t="n"/>
    </row>
    <row r="44" s="28">
      <c r="A44" s="36" t="inlineStr">
        <is>
          <t>合计</t>
        </is>
      </c>
      <c r="B44" s="32">
        <f>SUM(B27:B43)</f>
        <v/>
      </c>
      <c r="C44" s="32">
        <f>SUM(C27:C43)</f>
        <v/>
      </c>
      <c r="D44" s="35" t="n"/>
      <c r="E44" s="13" t="n"/>
      <c r="F44" s="13" t="n"/>
      <c r="G44" s="13" t="n"/>
      <c r="H44" s="13" t="n"/>
    </row>
    <row r="45" s="28">
      <c r="D45" s="86" t="n"/>
      <c r="E45" s="86" t="n"/>
      <c r="F45" s="86" t="n"/>
      <c r="G45" s="86" t="n"/>
    </row>
    <row r="46" s="28">
      <c r="A46" s="107" t="inlineStr">
        <is>
          <t>禮品卡消費</t>
        </is>
      </c>
      <c r="B46" s="98" t="n"/>
      <c r="C46" s="98" t="n"/>
      <c r="D46" s="99" t="n"/>
    </row>
    <row r="47" s="28">
      <c r="A47" s="40" t="inlineStr">
        <is>
          <t>日期</t>
        </is>
      </c>
      <c r="B47" s="40" t="inlineStr">
        <is>
          <t>卡號</t>
        </is>
      </c>
      <c r="C47" s="40" t="inlineStr">
        <is>
          <t>消費金額</t>
        </is>
      </c>
      <c r="D47" s="80" t="n"/>
    </row>
    <row r="48" s="28">
      <c r="A48" s="80" t="n"/>
      <c r="B48" s="80" t="n"/>
      <c r="C48" s="80" t="n"/>
      <c r="D48" s="80" t="n"/>
    </row>
    <row r="49" s="28">
      <c r="A49" s="80" t="n"/>
      <c r="B49" s="34" t="n"/>
      <c r="C49" s="80" t="n"/>
      <c r="D49" s="80" t="n"/>
    </row>
    <row r="50" s="28">
      <c r="A50" s="80" t="n"/>
      <c r="B50" s="80" t="n"/>
      <c r="C50" s="80" t="n"/>
      <c r="D50" s="80" t="n"/>
    </row>
    <row r="51" s="28">
      <c r="A51" s="80" t="n"/>
      <c r="B51" s="80" t="n"/>
      <c r="C51" s="80" t="n"/>
      <c r="D51" s="80" t="n"/>
    </row>
    <row r="52" s="28">
      <c r="A52" s="80" t="n"/>
      <c r="B52" s="80" t="n"/>
      <c r="C52" s="80" t="n"/>
      <c r="D52" s="80" t="n"/>
    </row>
    <row r="53" s="28">
      <c r="A53" s="80" t="n"/>
      <c r="B53" s="80" t="n"/>
      <c r="C53" s="80" t="n"/>
      <c r="D53" s="80" t="n"/>
    </row>
    <row r="54" s="28">
      <c r="A54" s="80" t="n"/>
      <c r="B54" s="80" t="n"/>
      <c r="C54" s="80" t="n"/>
      <c r="D54" s="80" t="n"/>
    </row>
    <row r="55" s="28">
      <c r="A55" s="80" t="n"/>
      <c r="B55" s="80" t="n"/>
      <c r="C55" s="80" t="n"/>
      <c r="D55" s="80" t="n"/>
    </row>
    <row r="56" s="28">
      <c r="A56" s="80" t="n"/>
      <c r="B56" s="80" t="n"/>
      <c r="C56" s="80" t="n"/>
      <c r="D56" s="80" t="n"/>
    </row>
    <row r="57" s="28">
      <c r="A57" s="80" t="n"/>
      <c r="B57" s="80" t="n"/>
      <c r="C57" s="80" t="n"/>
      <c r="D57" s="80" t="n"/>
    </row>
    <row r="58" s="28">
      <c r="A58" s="80" t="n"/>
      <c r="B58" s="80" t="n"/>
      <c r="C58" s="80" t="n"/>
      <c r="D58" s="80" t="n"/>
    </row>
    <row r="59" s="28">
      <c r="A59" s="80" t="n"/>
      <c r="B59" s="80" t="n"/>
      <c r="C59" s="80" t="n"/>
      <c r="D59" s="80" t="n"/>
    </row>
    <row r="60" s="28">
      <c r="A60" s="80" t="n"/>
      <c r="B60" s="80" t="n"/>
      <c r="C60" s="80" t="n"/>
      <c r="D60" s="80" t="n"/>
    </row>
    <row r="61" s="28">
      <c r="A61" s="80" t="n"/>
      <c r="B61" s="80" t="n"/>
      <c r="C61" s="80" t="n"/>
      <c r="D61" s="80" t="n"/>
    </row>
    <row r="62" s="28">
      <c r="A62" s="80" t="n"/>
      <c r="B62" s="80" t="n"/>
      <c r="C62" s="80" t="n"/>
      <c r="D62" s="80" t="n"/>
    </row>
    <row r="63" s="28">
      <c r="A63" s="80" t="n"/>
      <c r="B63" s="80" t="n"/>
      <c r="C63" s="80" t="n"/>
      <c r="D63" s="80" t="n"/>
    </row>
    <row r="64" s="28">
      <c r="A64" s="80" t="n"/>
      <c r="B64" s="80" t="n"/>
      <c r="C64" s="80" t="n"/>
      <c r="D64" s="80" t="n"/>
    </row>
    <row r="65" s="28">
      <c r="A65" s="80" t="n"/>
      <c r="B65" s="80" t="n"/>
      <c r="C65" s="80" t="n"/>
      <c r="D65" s="80" t="n"/>
    </row>
    <row r="66" s="28">
      <c r="A66" s="80" t="n"/>
      <c r="B66" s="80" t="n"/>
      <c r="C66" s="80" t="n"/>
      <c r="D66" s="80" t="n"/>
    </row>
    <row r="67" s="28">
      <c r="A67" s="80" t="n"/>
      <c r="B67" s="80" t="n"/>
      <c r="C67" s="80" t="n"/>
      <c r="D67" s="80" t="n"/>
    </row>
  </sheetData>
  <mergeCells count="4">
    <mergeCell ref="L1:M1"/>
    <mergeCell ref="N1:O1"/>
    <mergeCell ref="A25:D25"/>
    <mergeCell ref="A46:D46"/>
  </mergeCells>
  <pageMargins left="0.699305555555556" right="0.699305555555556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67"/>
  <sheetViews>
    <sheetView tabSelected="1" zoomScale="88" zoomScaleNormal="88" workbookViewId="0">
      <selection activeCell="B9" sqref="B9"/>
    </sheetView>
  </sheetViews>
  <sheetFormatPr baseColWidth="8" defaultColWidth="9" defaultRowHeight="18.85" customHeight="1"/>
  <cols>
    <col width="14.5350877192982" customWidth="1" style="28" min="1" max="1"/>
    <col width="20.2017543859649" customWidth="1" style="28" min="2" max="2"/>
    <col width="20.2631578947368" customWidth="1" style="28" min="3" max="3"/>
    <col width="14.8771929824561" customWidth="1" style="28" min="4" max="4"/>
    <col width="14.2017543859649" customWidth="1" style="28" min="5" max="5"/>
    <col width="17.3333333333333" customWidth="1" style="28" min="6" max="6"/>
    <col width="21.7368421052632" customWidth="1" style="28" min="7" max="7"/>
    <col width="21.7982456140351" customWidth="1" style="28" min="8" max="8"/>
    <col width="17.1315789473684" customWidth="1" style="28" min="9" max="9"/>
    <col width="13.7543859649123" customWidth="1" style="28" min="10" max="10"/>
    <col width="17.640350877193" customWidth="1" style="28" min="11" max="11"/>
    <col width="11.9298245614035" customWidth="1" style="28" min="12" max="12"/>
    <col width="9.52631578947368" customWidth="1" style="28" min="14" max="14"/>
    <col width="9.5" customWidth="1" style="28" min="20" max="20"/>
  </cols>
  <sheetData>
    <row r="1" s="28">
      <c r="A1" s="80" t="inlineStr">
        <is>
          <t>商品销售</t>
        </is>
      </c>
      <c r="B1" s="66" t="n"/>
      <c r="E1" s="97" t="inlineStr">
        <is>
          <t>核对小费</t>
        </is>
      </c>
      <c r="F1" s="98" t="n"/>
      <c r="G1" s="98" t="n"/>
      <c r="H1" s="99" t="n"/>
      <c r="L1" s="100" t="inlineStr">
        <is>
          <t>moneris</t>
        </is>
      </c>
      <c r="M1" s="99" t="n"/>
      <c r="N1" s="101" t="inlineStr">
        <is>
          <t>payfactor</t>
        </is>
      </c>
      <c r="O1" s="99" t="n"/>
      <c r="R1" s="80" t="n"/>
      <c r="S1" s="86" t="n">
        <v>100</v>
      </c>
      <c r="T1" s="58">
        <f>R1*S1</f>
        <v/>
      </c>
    </row>
    <row r="2" s="28">
      <c r="A2" s="80" t="inlineStr">
        <is>
          <t>堂食收入</t>
        </is>
      </c>
      <c r="B2" s="84" t="n"/>
      <c r="C2" s="76" t="n"/>
      <c r="E2" s="61" t="n"/>
      <c r="F2" s="61" t="inlineStr">
        <is>
          <t>核对金额</t>
        </is>
      </c>
      <c r="G2" s="61" t="inlineStr">
        <is>
          <t>金额是否对得上</t>
        </is>
      </c>
      <c r="H2" s="61" t="inlineStr">
        <is>
          <t>备注</t>
        </is>
      </c>
      <c r="L2" s="45" t="inlineStr">
        <is>
          <t>菜品金额</t>
        </is>
      </c>
      <c r="M2" s="45" t="inlineStr">
        <is>
          <t>小费</t>
        </is>
      </c>
      <c r="N2" s="46" t="inlineStr">
        <is>
          <t>菜品金额</t>
        </is>
      </c>
      <c r="O2" s="46" t="inlineStr">
        <is>
          <t>小费</t>
        </is>
      </c>
      <c r="R2" s="80" t="n"/>
      <c r="S2" s="86" t="n">
        <v>50</v>
      </c>
      <c r="T2" s="58">
        <f>R2*S2</f>
        <v/>
      </c>
    </row>
    <row r="3" s="28">
      <c r="A3" s="80" t="inlineStr">
        <is>
          <t>外送收入</t>
        </is>
      </c>
      <c r="B3" s="84" t="n"/>
      <c r="C3" s="78" t="n"/>
      <c r="E3" s="61" t="inlineStr">
        <is>
          <t>刷卡</t>
        </is>
      </c>
      <c r="F3" s="12" t="n"/>
      <c r="G3" s="102">
        <f>IF(OR($F$3-($D$8+$D$10)&gt;10,$F$3-($D$8+$D$10)&lt;-10),0,1)</f>
        <v/>
      </c>
      <c r="H3" s="45" t="inlineStr">
        <is>
          <t>差额10以内为尾差</t>
        </is>
      </c>
      <c r="L3" s="80" t="n"/>
      <c r="M3" s="80" t="n"/>
      <c r="N3" s="80" t="n"/>
      <c r="O3" s="80" t="n"/>
      <c r="R3" s="80" t="n"/>
      <c r="S3" s="86" t="n">
        <v>20</v>
      </c>
      <c r="T3" s="58">
        <f>R3*S3</f>
        <v/>
      </c>
    </row>
    <row r="4" s="28">
      <c r="A4" s="61" t="inlineStr">
        <is>
          <t>收入合计</t>
        </is>
      </c>
      <c r="B4" s="61">
        <f>B2+B3+B1</f>
        <v/>
      </c>
      <c r="C4" s="103">
        <f>IF(B4=G22,1,0)</f>
        <v/>
      </c>
      <c r="E4" s="61" t="inlineStr">
        <is>
          <t>微信支付宝</t>
        </is>
      </c>
      <c r="F4" s="80" t="n"/>
      <c r="G4" s="102">
        <f>IF(OR($F$4-($D$9)&gt;10,$F$4-($D$9)&lt;-10),0,1)</f>
        <v/>
      </c>
      <c r="H4" s="45" t="inlineStr">
        <is>
          <t>差额10以内为尾差</t>
        </is>
      </c>
      <c r="L4" s="80" t="n"/>
      <c r="M4" s="80" t="n"/>
      <c r="N4" s="80" t="n"/>
      <c r="O4" s="80" t="n"/>
      <c r="R4" s="80" t="n"/>
      <c r="S4" s="86" t="n">
        <v>10</v>
      </c>
      <c r="T4" s="58">
        <f>R4*S4</f>
        <v/>
      </c>
    </row>
    <row r="5" customFormat="1" s="86">
      <c r="I5" s="86" t="n"/>
      <c r="J5" s="86" t="n"/>
      <c r="L5" s="80" t="n"/>
      <c r="M5" s="80" t="n"/>
      <c r="N5" s="80" t="n"/>
      <c r="O5" s="80" t="n"/>
      <c r="R5" s="80" t="n"/>
      <c r="S5" s="86" t="n">
        <v>5</v>
      </c>
      <c r="T5" s="58">
        <f>R5*S5</f>
        <v/>
      </c>
    </row>
    <row r="6" s="28">
      <c r="A6" s="31" t="inlineStr">
        <is>
          <t>客户代码</t>
        </is>
      </c>
      <c r="B6" s="31" t="inlineStr">
        <is>
          <t>客户名称</t>
        </is>
      </c>
      <c r="C6" s="31" t="inlineStr">
        <is>
          <t>营业款-小票金额</t>
        </is>
      </c>
      <c r="D6" s="31" t="inlineStr">
        <is>
          <t>小费</t>
        </is>
      </c>
      <c r="E6" s="31" t="inlineStr">
        <is>
          <t>饭团手续费</t>
        </is>
      </c>
      <c r="F6" s="31" t="inlineStr">
        <is>
          <t>点评</t>
        </is>
      </c>
      <c r="G6" s="31" t="inlineStr">
        <is>
          <t>红火台金额</t>
        </is>
      </c>
      <c r="H6" s="31" t="inlineStr">
        <is>
          <t>复核</t>
        </is>
      </c>
      <c r="I6" s="86" t="n"/>
      <c r="J6" s="86" t="n"/>
      <c r="L6" s="80" t="n"/>
      <c r="M6" s="80" t="n"/>
      <c r="N6" s="80" t="n"/>
      <c r="O6" s="80" t="n"/>
    </row>
    <row r="7" s="28">
      <c r="A7" s="9" t="inlineStr">
        <is>
          <t>301737</t>
        </is>
      </c>
      <c r="B7" s="9" t="inlineStr">
        <is>
          <t>现金</t>
        </is>
      </c>
      <c r="C7" s="35" t="n"/>
      <c r="D7" s="12" t="n"/>
      <c r="E7" s="12" t="n"/>
      <c r="F7" s="12" t="n"/>
      <c r="G7" s="35" t="n"/>
      <c r="H7" s="62">
        <f>C7-G7</f>
        <v/>
      </c>
      <c r="I7" s="86" t="n"/>
      <c r="J7" s="86" t="n"/>
      <c r="L7" s="80" t="n"/>
      <c r="M7" s="80" t="n"/>
      <c r="N7" s="104" t="n"/>
      <c r="O7" s="80" t="n"/>
      <c r="S7" s="65" t="inlineStr">
        <is>
          <t>total:</t>
        </is>
      </c>
      <c r="T7" s="65">
        <f>SUM(T1:T6)</f>
        <v/>
      </c>
    </row>
    <row r="8" s="28">
      <c r="A8" s="9" t="inlineStr">
        <is>
          <t>304102</t>
        </is>
      </c>
      <c r="B8" s="9" t="inlineStr">
        <is>
          <t>刷卡</t>
        </is>
      </c>
      <c r="C8" s="12" t="n"/>
      <c r="D8" s="12" t="n"/>
      <c r="E8" s="12" t="n"/>
      <c r="F8" s="12" t="n"/>
      <c r="G8" s="85" t="n"/>
      <c r="H8" s="62">
        <f>C8-G8</f>
        <v/>
      </c>
      <c r="I8" s="86" t="n"/>
      <c r="J8" s="86" t="n"/>
      <c r="K8" s="86" t="n"/>
      <c r="L8" s="80" t="n"/>
      <c r="M8" s="80" t="n"/>
      <c r="N8" s="104" t="n"/>
      <c r="O8" s="80" t="n"/>
    </row>
    <row r="9" s="28">
      <c r="A9" s="9" t="inlineStr">
        <is>
          <t>304111</t>
        </is>
      </c>
      <c r="B9" s="9" t="inlineStr">
        <is>
          <t>微信支付宝</t>
        </is>
      </c>
      <c r="C9" s="86" t="n"/>
      <c r="D9" s="80" t="n"/>
      <c r="E9" s="80" t="n"/>
      <c r="F9" s="12" t="n"/>
      <c r="G9" s="80" t="n"/>
      <c r="H9" s="62">
        <f>C9-G9</f>
        <v/>
      </c>
      <c r="I9" s="86" t="n"/>
      <c r="J9" s="86" t="n"/>
      <c r="K9" s="86" t="n"/>
      <c r="L9" s="80" t="n"/>
      <c r="M9" s="80" t="n"/>
      <c r="N9" s="80" t="n"/>
      <c r="O9" s="80" t="n"/>
    </row>
    <row r="10" s="28">
      <c r="A10" s="9" t="inlineStr">
        <is>
          <t>304240</t>
        </is>
      </c>
      <c r="B10" s="9" t="inlineStr">
        <is>
          <t>饭团</t>
        </is>
      </c>
      <c r="C10" s="80" t="n"/>
      <c r="D10" s="12" t="n"/>
      <c r="E10" s="12" t="n"/>
      <c r="F10" s="12" t="n"/>
      <c r="G10" s="105" t="n"/>
      <c r="H10" s="62">
        <f>C10-G10+D10+F10+E10</f>
        <v/>
      </c>
      <c r="I10" s="86" t="n"/>
      <c r="J10" s="86" t="n"/>
      <c r="K10" s="86" t="n"/>
      <c r="L10" s="80" t="n"/>
      <c r="M10" s="80" t="n"/>
      <c r="N10" s="80" t="n"/>
      <c r="O10" s="80" t="n"/>
    </row>
    <row r="11" s="28">
      <c r="A11" s="9" t="inlineStr">
        <is>
          <t>304432</t>
        </is>
      </c>
      <c r="B11" s="9" t="inlineStr">
        <is>
          <t>礼品卡</t>
        </is>
      </c>
      <c r="C11" s="69" t="n"/>
      <c r="D11" s="12" t="n"/>
      <c r="E11" s="12" t="n"/>
      <c r="F11" s="12" t="n"/>
      <c r="G11" s="35" t="n"/>
      <c r="H11" s="62">
        <f>C11-G11</f>
        <v/>
      </c>
      <c r="I11" s="86" t="n"/>
      <c r="J11" s="86" t="n"/>
      <c r="L11" s="53">
        <f>SUM(L1:L10)</f>
        <v/>
      </c>
      <c r="M11" s="53">
        <f>SUM(M1:M10)</f>
        <v/>
      </c>
      <c r="N11" s="64">
        <f>SUM(N1:N10)</f>
        <v/>
      </c>
      <c r="O11" s="64">
        <f>SUM(O1:O10)</f>
        <v/>
      </c>
    </row>
    <row r="12" s="28">
      <c r="A12" s="9" t="inlineStr">
        <is>
          <t>305476</t>
        </is>
      </c>
      <c r="B12" s="9" t="inlineStr">
        <is>
          <t>DoorDash</t>
        </is>
      </c>
      <c r="C12" s="12" t="n"/>
      <c r="D12" s="12" t="n"/>
      <c r="E12" s="12" t="n"/>
      <c r="F12" s="12" t="n"/>
      <c r="G12" s="19" t="n"/>
      <c r="H12" s="62">
        <f>C12-G12</f>
        <v/>
      </c>
      <c r="I12" s="86" t="n"/>
      <c r="J12" s="86" t="n"/>
    </row>
    <row r="13" s="28">
      <c r="A13" s="9" t="inlineStr">
        <is>
          <t>305477</t>
        </is>
      </c>
      <c r="B13" s="9" t="inlineStr">
        <is>
          <t>SKIP</t>
        </is>
      </c>
      <c r="C13" s="12" t="n"/>
      <c r="D13" s="12" t="n"/>
      <c r="E13" s="12" t="n"/>
      <c r="F13" s="12" t="n"/>
      <c r="G13" s="19" t="n"/>
      <c r="H13" s="62">
        <f>C13-G13</f>
        <v/>
      </c>
      <c r="I13" s="86" t="n"/>
      <c r="J13" s="86" t="n"/>
      <c r="N13" s="55" t="n"/>
    </row>
    <row r="14" s="28">
      <c r="A14" s="9" t="inlineStr">
        <is>
          <t>305478</t>
        </is>
      </c>
      <c r="B14" s="9" t="inlineStr">
        <is>
          <t>Ubereat</t>
        </is>
      </c>
      <c r="C14" s="80" t="n"/>
      <c r="D14" s="12" t="n"/>
      <c r="E14" s="12" t="n"/>
      <c r="F14" s="12" t="n"/>
      <c r="G14" s="85" t="n"/>
      <c r="H14" s="62">
        <f>C14-G14</f>
        <v/>
      </c>
      <c r="I14" s="86" t="n"/>
      <c r="K14" s="86" t="n"/>
    </row>
    <row r="15" s="28">
      <c r="A15" s="9" t="inlineStr">
        <is>
          <t>305479</t>
        </is>
      </c>
      <c r="B15" s="9" t="inlineStr">
        <is>
          <t>Chowbus</t>
        </is>
      </c>
      <c r="C15" s="12" t="n"/>
      <c r="D15" s="12" t="n"/>
      <c r="E15" s="12" t="n"/>
      <c r="F15" s="12" t="n"/>
      <c r="G15" s="12" t="n"/>
      <c r="H15" s="62">
        <f>C15-G15</f>
        <v/>
      </c>
      <c r="I15" s="86" t="n"/>
      <c r="J15" s="86" t="n"/>
      <c r="K15" s="86" t="n"/>
    </row>
    <row r="16" s="28">
      <c r="A16" s="9" t="inlineStr">
        <is>
          <t>305510</t>
        </is>
      </c>
      <c r="B16" s="9" t="inlineStr">
        <is>
          <t>snappy</t>
        </is>
      </c>
      <c r="C16" s="80" t="n"/>
      <c r="D16" s="81" t="n"/>
      <c r="E16" s="21" t="n"/>
      <c r="F16" s="12" t="n"/>
      <c r="G16" s="80" t="n"/>
      <c r="H16" s="62">
        <f>C16-G16-D16</f>
        <v/>
      </c>
      <c r="I16" s="86" t="n"/>
      <c r="J16" s="86" t="n"/>
      <c r="K16" s="86" t="n"/>
    </row>
    <row r="17" s="28">
      <c r="A17" s="9" t="n"/>
      <c r="B17" s="9" t="inlineStr">
        <is>
          <t>panda</t>
        </is>
      </c>
      <c r="C17" s="80" t="n"/>
      <c r="D17" s="22" t="n"/>
      <c r="E17" s="22" t="n"/>
      <c r="F17" s="12" t="n"/>
      <c r="G17" s="35" t="n"/>
      <c r="H17" s="62">
        <f>C17-G17</f>
        <v/>
      </c>
      <c r="I17" s="57" t="n"/>
      <c r="J17" s="86" t="n"/>
      <c r="K17" s="86" t="n"/>
    </row>
    <row r="18" s="28">
      <c r="A18" s="92" t="inlineStr">
        <is>
          <t>305606</t>
        </is>
      </c>
      <c r="B18" s="9" t="inlineStr">
        <is>
          <t>tapin</t>
        </is>
      </c>
      <c r="C18" s="12" t="n"/>
      <c r="D18" s="12" t="n"/>
      <c r="E18" s="12" t="n"/>
      <c r="F18" s="12" t="n"/>
      <c r="G18" s="35" t="n"/>
      <c r="H18" s="62">
        <f>C18-G18</f>
        <v/>
      </c>
      <c r="I18" s="86" t="n"/>
      <c r="J18" s="86" t="n"/>
    </row>
    <row r="19" s="28">
      <c r="A19" s="9" t="inlineStr">
        <is>
          <t>305512</t>
        </is>
      </c>
      <c r="B19" s="9" t="inlineStr">
        <is>
          <t>VANPEOPLE</t>
        </is>
      </c>
      <c r="C19" s="82" t="n"/>
      <c r="D19" s="12" t="n"/>
      <c r="E19" s="12" t="n"/>
      <c r="F19" s="12" t="n"/>
      <c r="G19" s="106" t="n"/>
      <c r="H19" s="62">
        <f>C19-G19</f>
        <v/>
      </c>
      <c r="I19" s="86" t="n"/>
      <c r="J19" s="86" t="n"/>
    </row>
    <row r="20" s="28">
      <c r="A20" s="9" t="inlineStr">
        <is>
          <t>305830</t>
        </is>
      </c>
      <c r="B20" s="9" t="inlineStr">
        <is>
          <t>Easi</t>
        </is>
      </c>
      <c r="C20" s="12" t="n"/>
      <c r="D20" s="12" t="n"/>
      <c r="E20" s="12" t="n"/>
      <c r="F20" s="12" t="n"/>
      <c r="G20" s="12" t="n"/>
      <c r="H20" s="62">
        <f>C20-G20</f>
        <v/>
      </c>
      <c r="I20" s="86" t="n"/>
      <c r="J20" s="86" t="n"/>
    </row>
    <row r="21" s="28">
      <c r="A21" s="92" t="inlineStr">
        <is>
          <t>305606</t>
        </is>
      </c>
      <c r="B21" s="9" t="inlineStr">
        <is>
          <t>VANPEOPLE</t>
        </is>
      </c>
      <c r="C21" s="12" t="n"/>
      <c r="D21" s="12" t="n"/>
      <c r="E21" s="12" t="n"/>
      <c r="F21" s="12" t="n"/>
      <c r="G21" s="12" t="n"/>
      <c r="H21" s="62">
        <f>C21-G21</f>
        <v/>
      </c>
      <c r="I21" s="86" t="n"/>
      <c r="J21" s="86" t="n"/>
    </row>
    <row r="22" s="28">
      <c r="A22" s="24" t="n"/>
      <c r="B22" s="25" t="inlineStr">
        <is>
          <t>入账金额合计</t>
        </is>
      </c>
      <c r="C22" s="24">
        <f>SUM(C7:C21)</f>
        <v/>
      </c>
      <c r="D22" s="24">
        <f>SUM(D7:D21)</f>
        <v/>
      </c>
      <c r="E22" s="24">
        <f>SUM(E7:E21)</f>
        <v/>
      </c>
      <c r="F22" s="24">
        <f>SUM(F7:F21)</f>
        <v/>
      </c>
      <c r="G22" s="26">
        <f>SUM(G7:G21)</f>
        <v/>
      </c>
      <c r="H22" s="26">
        <f>C22-G22+F22+E22</f>
        <v/>
      </c>
      <c r="I22" s="86" t="n"/>
      <c r="J22" s="86" t="n"/>
    </row>
    <row r="23" s="28">
      <c r="A23" s="27" t="n"/>
      <c r="B23" s="27" t="n"/>
      <c r="C23" s="27" t="n"/>
      <c r="D23" s="86" t="n"/>
      <c r="F23" s="27" t="n"/>
      <c r="G23" s="27" t="n"/>
      <c r="H23" s="27" t="n"/>
    </row>
    <row r="24" s="28">
      <c r="E24" s="86" t="n"/>
    </row>
    <row r="25" s="28">
      <c r="A25" s="31" t="inlineStr">
        <is>
          <t>Gift Card 充值明细</t>
        </is>
      </c>
      <c r="B25" s="98" t="n"/>
      <c r="C25" s="98" t="n"/>
      <c r="D25" s="99" t="n"/>
      <c r="E25" s="27" t="n"/>
    </row>
    <row r="26" s="28">
      <c r="A26" s="31" t="inlineStr">
        <is>
          <t>日期</t>
        </is>
      </c>
      <c r="B26" s="31" t="inlineStr">
        <is>
          <t>卡號</t>
        </is>
      </c>
      <c r="C26" s="31" t="inlineStr">
        <is>
          <t>充值方式</t>
        </is>
      </c>
      <c r="D26" s="31" t="inlineStr">
        <is>
          <t>充值金額</t>
        </is>
      </c>
      <c r="F26" s="31" t="inlineStr">
        <is>
          <t>每日应存现金</t>
        </is>
      </c>
      <c r="G26" s="32">
        <f>C7+D7+C44</f>
        <v/>
      </c>
      <c r="H26" s="103">
        <f>IF(T7=G26,1,0)</f>
        <v/>
      </c>
    </row>
    <row r="27" s="28">
      <c r="A27" s="33" t="n"/>
      <c r="B27" s="34" t="n"/>
      <c r="C27" s="34" t="n"/>
      <c r="D27" s="34" t="n"/>
      <c r="F27" s="32" t="inlineStr">
        <is>
          <t>&gt;0, 应存；&lt;0, 累计&gt;0时存入银行</t>
        </is>
      </c>
      <c r="G27" s="32" t="n"/>
      <c r="H27" s="31" t="n"/>
    </row>
    <row r="28" s="28">
      <c r="A28" s="33" t="n"/>
      <c r="B28" s="34" t="n"/>
      <c r="C28" s="34" t="n"/>
      <c r="D28" s="34" t="n"/>
    </row>
    <row r="29" s="28">
      <c r="A29" s="33" t="n"/>
      <c r="B29" s="34" t="n"/>
      <c r="C29" s="34" t="n"/>
      <c r="D29" s="34" t="n"/>
    </row>
    <row r="30" s="28">
      <c r="A30" s="33" t="n"/>
      <c r="B30" s="34" t="n"/>
      <c r="C30" s="34" t="n"/>
      <c r="D30" s="34" t="n"/>
    </row>
    <row r="31" s="28">
      <c r="A31" s="33" t="n"/>
      <c r="B31" s="34" t="n"/>
      <c r="C31" s="34" t="n"/>
      <c r="D31" s="34" t="n"/>
    </row>
    <row r="32" s="28">
      <c r="A32" s="33" t="n"/>
      <c r="B32" s="34" t="n"/>
      <c r="C32" s="34" t="n"/>
      <c r="D32" s="34" t="n"/>
    </row>
    <row r="33" s="28">
      <c r="A33" s="33" t="n"/>
      <c r="B33" s="17" t="n"/>
      <c r="C33" s="34" t="n"/>
      <c r="D33" s="34" t="n"/>
    </row>
    <row r="34" s="28">
      <c r="A34" s="33" t="n"/>
      <c r="B34" s="34" t="n"/>
      <c r="C34" s="34" t="n"/>
      <c r="D34" s="34" t="n"/>
      <c r="F34" s="13" t="n"/>
      <c r="G34" s="13" t="n"/>
      <c r="H34" s="13" t="n"/>
    </row>
    <row r="35" s="28">
      <c r="A35" s="33" t="n"/>
      <c r="B35" s="34" t="n"/>
      <c r="C35" s="34" t="n"/>
      <c r="D35" s="35" t="n"/>
      <c r="E35" s="13" t="n"/>
      <c r="F35" s="13" t="n"/>
      <c r="G35" s="13" t="n"/>
      <c r="H35" s="13" t="n"/>
    </row>
    <row r="36" s="28">
      <c r="A36" s="33" t="n"/>
      <c r="B36" s="34" t="n"/>
      <c r="C36" s="34" t="n"/>
      <c r="D36" s="35" t="n"/>
      <c r="E36" s="13" t="n"/>
      <c r="F36" s="13" t="n"/>
      <c r="G36" s="13" t="n"/>
      <c r="H36" s="13" t="n"/>
    </row>
    <row r="37" s="28">
      <c r="A37" s="33" t="n"/>
      <c r="B37" s="34" t="n"/>
      <c r="C37" s="34" t="n"/>
      <c r="D37" s="35" t="n"/>
      <c r="E37" s="13" t="n"/>
      <c r="F37" s="13" t="n"/>
      <c r="G37" s="13" t="n"/>
      <c r="H37" s="13" t="n"/>
    </row>
    <row r="38" s="28">
      <c r="A38" s="33" t="n"/>
      <c r="B38" s="34" t="n"/>
      <c r="C38" s="34" t="n"/>
      <c r="D38" s="35" t="n"/>
      <c r="E38" s="13" t="n"/>
      <c r="F38" s="13" t="n"/>
      <c r="G38" s="13" t="n"/>
      <c r="H38" s="13" t="n"/>
    </row>
    <row r="39" s="28">
      <c r="A39" s="33" t="n"/>
      <c r="B39" s="34" t="n"/>
      <c r="C39" s="34" t="n"/>
      <c r="D39" s="35" t="n"/>
      <c r="E39" s="13" t="n"/>
      <c r="F39" s="13" t="n"/>
      <c r="G39" s="13" t="n"/>
      <c r="H39" s="13" t="n"/>
    </row>
    <row r="40" s="28">
      <c r="A40" s="33" t="n"/>
      <c r="B40" s="34" t="n"/>
      <c r="C40" s="34" t="n"/>
      <c r="D40" s="35" t="n"/>
      <c r="E40" s="13" t="n"/>
      <c r="F40" s="13" t="n"/>
      <c r="G40" s="13" t="n"/>
      <c r="H40" s="13" t="n"/>
    </row>
    <row r="41" s="28">
      <c r="A41" s="33" t="n"/>
      <c r="B41" s="34" t="n"/>
      <c r="C41" s="34" t="n"/>
      <c r="D41" s="35" t="n"/>
      <c r="E41" s="13" t="n"/>
      <c r="F41" s="13" t="n"/>
      <c r="G41" s="13" t="n"/>
      <c r="H41" s="13" t="n"/>
    </row>
    <row r="42" s="28">
      <c r="A42" s="33" t="n"/>
      <c r="B42" s="34" t="n"/>
      <c r="C42" s="34" t="n"/>
      <c r="D42" s="35" t="n"/>
      <c r="E42" s="13" t="n"/>
      <c r="F42" s="13" t="n"/>
      <c r="G42" s="13" t="n"/>
      <c r="H42" s="13" t="n"/>
    </row>
    <row r="43" s="28">
      <c r="A43" s="33" t="n"/>
      <c r="B43" s="34" t="n"/>
      <c r="C43" s="34" t="n"/>
      <c r="D43" s="35" t="n"/>
      <c r="E43" s="13" t="n"/>
      <c r="F43" s="13" t="n"/>
      <c r="G43" s="13" t="n"/>
      <c r="H43" s="13" t="n"/>
    </row>
    <row r="44" s="28">
      <c r="A44" s="36" t="inlineStr">
        <is>
          <t>合计</t>
        </is>
      </c>
      <c r="B44" s="32">
        <f>SUM(B27:B43)</f>
        <v/>
      </c>
      <c r="C44" s="32">
        <f>SUM(C27:C43)</f>
        <v/>
      </c>
      <c r="D44" s="35" t="n"/>
      <c r="E44" s="13" t="n"/>
      <c r="F44" s="13" t="n"/>
      <c r="G44" s="13" t="n"/>
      <c r="H44" s="13" t="n"/>
    </row>
    <row r="45" s="28">
      <c r="D45" s="86" t="n"/>
      <c r="E45" s="86" t="n"/>
      <c r="F45" s="86" t="n"/>
      <c r="G45" s="86" t="n"/>
    </row>
    <row r="46" s="28">
      <c r="A46" s="107" t="inlineStr">
        <is>
          <t>禮品卡消費</t>
        </is>
      </c>
      <c r="B46" s="98" t="n"/>
      <c r="C46" s="98" t="n"/>
      <c r="D46" s="99" t="n"/>
    </row>
    <row r="47" s="28">
      <c r="A47" s="40" t="inlineStr">
        <is>
          <t>日期</t>
        </is>
      </c>
      <c r="B47" s="40" t="inlineStr">
        <is>
          <t>卡號</t>
        </is>
      </c>
      <c r="C47" s="40" t="inlineStr">
        <is>
          <t>消費金額</t>
        </is>
      </c>
      <c r="D47" s="40" t="inlineStr">
        <is>
          <t>小费</t>
        </is>
      </c>
    </row>
    <row r="48" s="28">
      <c r="A48" s="60" t="n">
        <v>44653</v>
      </c>
      <c r="B48" s="93" t="inlineStr">
        <is>
          <t>6038360183440034579</t>
        </is>
      </c>
      <c r="C48" s="80" t="n">
        <v>100</v>
      </c>
      <c r="D48" s="80" t="n">
        <v>46.28</v>
      </c>
    </row>
    <row r="49" s="28">
      <c r="A49" s="60" t="n">
        <v>44654</v>
      </c>
      <c r="B49" s="94" t="inlineStr">
        <is>
          <t>6038360183440025924</t>
        </is>
      </c>
      <c r="C49" s="80" t="n">
        <v>50</v>
      </c>
      <c r="D49" s="80" t="n">
        <v>0</v>
      </c>
    </row>
    <row r="50" s="28">
      <c r="A50" s="60" t="n">
        <v>44655</v>
      </c>
      <c r="B50" s="93" t="inlineStr">
        <is>
          <t>6038360183440018085</t>
        </is>
      </c>
      <c r="C50" s="80" t="n">
        <v>100</v>
      </c>
      <c r="D50" s="80" t="n">
        <v>16.28</v>
      </c>
    </row>
    <row r="51" s="28">
      <c r="A51" s="80" t="n"/>
      <c r="B51" s="80" t="n"/>
      <c r="C51" s="80" t="n"/>
      <c r="D51" s="80" t="n"/>
    </row>
    <row r="52" s="28">
      <c r="A52" s="80" t="n"/>
      <c r="B52" s="80" t="n"/>
      <c r="C52" s="80" t="n"/>
      <c r="D52" s="80" t="n"/>
    </row>
    <row r="53" s="28">
      <c r="A53" s="80" t="n"/>
      <c r="B53" s="80" t="n"/>
      <c r="C53" s="80" t="n"/>
      <c r="D53" s="80" t="n"/>
    </row>
    <row r="54" s="28">
      <c r="A54" s="80" t="n"/>
      <c r="B54" s="80" t="n"/>
      <c r="C54" s="80" t="n"/>
      <c r="D54" s="80" t="n"/>
    </row>
    <row r="55" s="28">
      <c r="A55" s="80" t="n"/>
      <c r="B55" s="80" t="n"/>
      <c r="C55" s="80" t="n"/>
      <c r="D55" s="80" t="n"/>
    </row>
    <row r="56" s="28">
      <c r="A56" s="80" t="n"/>
      <c r="B56" s="80" t="n"/>
      <c r="C56" s="80" t="n"/>
      <c r="D56" s="80" t="n"/>
    </row>
    <row r="57" s="28">
      <c r="A57" s="80" t="n"/>
      <c r="B57" s="80" t="n"/>
      <c r="C57" s="80" t="n"/>
      <c r="D57" s="80" t="n"/>
    </row>
    <row r="58" s="28">
      <c r="A58" s="80" t="n"/>
      <c r="B58" s="80" t="n"/>
      <c r="C58" s="80" t="n"/>
      <c r="D58" s="80" t="n"/>
    </row>
    <row r="59" s="28">
      <c r="A59" s="80" t="n"/>
      <c r="B59" s="80" t="n"/>
      <c r="C59" s="80" t="n"/>
      <c r="D59" s="80" t="n"/>
    </row>
    <row r="60" s="28">
      <c r="A60" s="80" t="n"/>
      <c r="B60" s="80" t="n"/>
      <c r="C60" s="80" t="n"/>
      <c r="D60" s="80" t="n"/>
    </row>
    <row r="61" s="28">
      <c r="A61" s="80" t="n"/>
      <c r="B61" s="80" t="n"/>
      <c r="C61" s="80" t="n"/>
      <c r="D61" s="80" t="n"/>
    </row>
    <row r="62" s="28">
      <c r="A62" s="80" t="n"/>
      <c r="B62" s="80" t="n"/>
      <c r="C62" s="80" t="n"/>
      <c r="D62" s="80" t="n"/>
    </row>
    <row r="63" s="28">
      <c r="A63" s="80" t="n"/>
      <c r="B63" s="80" t="n"/>
      <c r="C63" s="80" t="n"/>
      <c r="D63" s="80" t="n"/>
    </row>
    <row r="64" s="28">
      <c r="A64" s="80" t="n"/>
      <c r="B64" s="80" t="n"/>
      <c r="C64" s="80" t="n"/>
      <c r="D64" s="80" t="n"/>
    </row>
    <row r="65" s="28">
      <c r="A65" s="80" t="n"/>
      <c r="B65" s="80" t="n"/>
      <c r="C65" s="80" t="n"/>
      <c r="D65" s="80" t="n"/>
    </row>
    <row r="66" s="28">
      <c r="A66" s="80" t="n"/>
      <c r="B66" s="80" t="n"/>
      <c r="C66" s="80" t="n"/>
      <c r="D66" s="80" t="n"/>
    </row>
    <row r="67" s="28">
      <c r="A67" s="80" t="n"/>
      <c r="B67" s="80" t="n"/>
      <c r="C67" s="80" t="n"/>
      <c r="D67" s="80" t="n"/>
    </row>
  </sheetData>
  <mergeCells count="5">
    <mergeCell ref="E1:H1"/>
    <mergeCell ref="L1:M1"/>
    <mergeCell ref="N1:O1"/>
    <mergeCell ref="A25:D25"/>
    <mergeCell ref="A46:D46"/>
  </mergeCells>
  <pageMargins left="0.699305555555556" right="0.699305555555556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67"/>
  <sheetViews>
    <sheetView zoomScale="88" zoomScaleNormal="88" workbookViewId="0">
      <selection activeCell="D7" sqref="D7"/>
    </sheetView>
  </sheetViews>
  <sheetFormatPr baseColWidth="8" defaultColWidth="9" defaultRowHeight="18.85" customHeight="1"/>
  <cols>
    <col width="14.5350877192982" customWidth="1" style="28" min="1" max="1"/>
    <col width="20.2017543859649" customWidth="1" style="28" min="2" max="2"/>
    <col width="20.2631578947368" customWidth="1" style="28" min="3" max="3"/>
    <col width="14.8771929824561" customWidth="1" style="28" min="4" max="4"/>
    <col width="14.2017543859649" customWidth="1" style="28" min="5" max="5"/>
    <col width="17.3333333333333" customWidth="1" style="28" min="6" max="6"/>
    <col width="21.7368421052632" customWidth="1" style="28" min="7" max="7"/>
    <col width="21.7982456140351" customWidth="1" style="28" min="8" max="8"/>
    <col width="17.1315789473684" customWidth="1" style="28" min="9" max="9"/>
    <col width="13.7543859649123" customWidth="1" style="28" min="10" max="10"/>
    <col width="17.640350877193" customWidth="1" style="28" min="11" max="11"/>
    <col width="11.9298245614035" customWidth="1" style="28" min="12" max="12"/>
    <col width="9.52631578947368" customWidth="1" style="28" min="14" max="14"/>
    <col width="9.5" customWidth="1" style="28" min="20" max="20"/>
  </cols>
  <sheetData>
    <row r="1" s="28">
      <c r="A1" s="80" t="inlineStr">
        <is>
          <t>商品销售</t>
        </is>
      </c>
      <c r="B1" s="66" t="n"/>
      <c r="E1" s="97" t="inlineStr">
        <is>
          <t>核对小费</t>
        </is>
      </c>
      <c r="F1" s="98" t="n"/>
      <c r="G1" s="98" t="n"/>
      <c r="H1" s="99" t="n"/>
      <c r="L1" s="100" t="inlineStr">
        <is>
          <t>moneris</t>
        </is>
      </c>
      <c r="M1" s="99" t="n"/>
      <c r="N1" s="101" t="inlineStr">
        <is>
          <t>payfactor</t>
        </is>
      </c>
      <c r="O1" s="99" t="n"/>
      <c r="R1" s="80" t="n">
        <v>7</v>
      </c>
      <c r="S1" s="86" t="n">
        <v>100</v>
      </c>
      <c r="T1" s="58">
        <f>R1*S1</f>
        <v/>
      </c>
    </row>
    <row r="2" s="28">
      <c r="A2" s="80" t="inlineStr">
        <is>
          <t>堂食收入</t>
        </is>
      </c>
      <c r="B2" s="66" t="n">
        <v>29858.1</v>
      </c>
      <c r="C2" s="76" t="n"/>
      <c r="E2" s="61" t="n"/>
      <c r="F2" s="61" t="inlineStr">
        <is>
          <t>核对金额</t>
        </is>
      </c>
      <c r="G2" s="61" t="inlineStr">
        <is>
          <t>金额是否对得上</t>
        </is>
      </c>
      <c r="H2" s="61" t="inlineStr">
        <is>
          <t>备注</t>
        </is>
      </c>
      <c r="L2" s="45" t="inlineStr">
        <is>
          <t>菜品金额</t>
        </is>
      </c>
      <c r="M2" s="45" t="inlineStr">
        <is>
          <t>小费</t>
        </is>
      </c>
      <c r="N2" s="46" t="inlineStr">
        <is>
          <t>菜品金额</t>
        </is>
      </c>
      <c r="O2" s="46" t="inlineStr">
        <is>
          <t>小费</t>
        </is>
      </c>
      <c r="R2" s="80" t="n">
        <v>25</v>
      </c>
      <c r="S2" s="86" t="n">
        <v>50</v>
      </c>
      <c r="T2" s="58">
        <f>R2*S2</f>
        <v/>
      </c>
    </row>
    <row r="3" s="28">
      <c r="A3" s="80" t="inlineStr">
        <is>
          <t>外送收入</t>
        </is>
      </c>
      <c r="B3" s="84" t="n">
        <v>2072.25</v>
      </c>
      <c r="C3" s="78" t="n"/>
      <c r="E3" s="61" t="inlineStr">
        <is>
          <t>刷卡</t>
        </is>
      </c>
      <c r="F3" s="80">
        <f>882.56+677+846.94+67.24+57.15+1076.17</f>
        <v/>
      </c>
      <c r="G3" s="102">
        <f>IF(OR($F$3-($D$8+$D$10)&gt;10,$F$3-($D$8+$D$10)&lt;-10),0,1)</f>
        <v/>
      </c>
      <c r="H3" s="45" t="inlineStr">
        <is>
          <t>有小组丢单</t>
        </is>
      </c>
      <c r="L3" s="80" t="n">
        <v>5029.66</v>
      </c>
      <c r="M3" s="80" t="n">
        <v>643.42</v>
      </c>
      <c r="N3" s="80" t="n">
        <v>664.25</v>
      </c>
      <c r="O3" s="80" t="n">
        <v>75.5</v>
      </c>
      <c r="R3" s="80" t="n">
        <v>61</v>
      </c>
      <c r="S3" s="86" t="n">
        <v>20</v>
      </c>
      <c r="T3" s="58">
        <f>R3*S3</f>
        <v/>
      </c>
    </row>
    <row r="4" s="28">
      <c r="A4" s="61" t="inlineStr">
        <is>
          <t>收入合计</t>
        </is>
      </c>
      <c r="B4" s="61">
        <f>B2+B3+B1</f>
        <v/>
      </c>
      <c r="C4" s="103">
        <f>IF(B4=G22,1,0)</f>
        <v/>
      </c>
      <c r="E4" s="61" t="inlineStr">
        <is>
          <t>微信支付宝</t>
        </is>
      </c>
      <c r="F4" s="80">
        <f>30.24+39.09+106.3+6.92+85.94+109.78</f>
        <v/>
      </c>
      <c r="G4" s="102">
        <f>IF(OR($F$4-($D$9)&gt;10,$F$4-($D$9)&lt;-10),0,1)</f>
        <v/>
      </c>
      <c r="H4" s="45" t="inlineStr">
        <is>
          <t>差额10以内为尾差</t>
        </is>
      </c>
      <c r="L4" s="80" t="n">
        <v>607.9400000000001</v>
      </c>
      <c r="M4" s="80" t="n">
        <v>65.98</v>
      </c>
      <c r="N4" s="80" t="n">
        <v>4969.23</v>
      </c>
      <c r="O4" s="80" t="n">
        <v>630.4299999999999</v>
      </c>
      <c r="R4" s="80" t="n">
        <v>6</v>
      </c>
      <c r="S4" s="86" t="n">
        <v>10</v>
      </c>
      <c r="T4" s="58">
        <f>R4*S4</f>
        <v/>
      </c>
    </row>
    <row r="5" customFormat="1" s="86">
      <c r="E5" s="86" t="inlineStr">
        <is>
          <t>现金小费核算多出200暂存于保险箱</t>
        </is>
      </c>
      <c r="I5" s="86" t="n"/>
      <c r="J5" s="86" t="n"/>
      <c r="L5" s="80" t="n">
        <v>2926.3</v>
      </c>
      <c r="M5" s="80" t="n">
        <v>370.72</v>
      </c>
      <c r="N5" s="80" t="n">
        <v>4051.75</v>
      </c>
      <c r="O5" s="80" t="n">
        <v>514.42</v>
      </c>
      <c r="R5" s="80" t="n">
        <v>10</v>
      </c>
      <c r="S5" s="86" t="n">
        <v>5</v>
      </c>
      <c r="T5" s="58">
        <f>R5*S5</f>
        <v/>
      </c>
    </row>
    <row r="6" s="28">
      <c r="A6" s="31" t="inlineStr">
        <is>
          <t>客户代码</t>
        </is>
      </c>
      <c r="B6" s="31" t="inlineStr">
        <is>
          <t>客户名称</t>
        </is>
      </c>
      <c r="C6" s="31" t="inlineStr">
        <is>
          <t>营业款-小票金额</t>
        </is>
      </c>
      <c r="D6" s="31" t="inlineStr">
        <is>
          <t>小费</t>
        </is>
      </c>
      <c r="E6" s="31" t="inlineStr">
        <is>
          <t>饭团手续费</t>
        </is>
      </c>
      <c r="F6" s="31" t="inlineStr">
        <is>
          <t>点评</t>
        </is>
      </c>
      <c r="G6" s="31" t="inlineStr">
        <is>
          <t>红火台金额</t>
        </is>
      </c>
      <c r="H6" s="31" t="inlineStr">
        <is>
          <t>复核</t>
        </is>
      </c>
      <c r="I6" s="86" t="n"/>
      <c r="J6" s="86" t="n"/>
      <c r="L6" s="80" t="n"/>
      <c r="M6" s="80" t="n"/>
      <c r="N6" s="80" t="n">
        <v>1364.46</v>
      </c>
      <c r="O6" s="80" t="n">
        <v>188.36</v>
      </c>
    </row>
    <row r="7" s="28">
      <c r="A7" s="9" t="inlineStr">
        <is>
          <t>301737</t>
        </is>
      </c>
      <c r="B7" s="9" t="inlineStr">
        <is>
          <t>现金</t>
        </is>
      </c>
      <c r="C7" s="35">
        <f>-480+763.9+322.15+235.2+1878.63+120.6+36.85</f>
        <v/>
      </c>
      <c r="D7" s="12">
        <f>123.1+55.9+14.8+207.77+1.1</f>
        <v/>
      </c>
      <c r="E7" s="12" t="n"/>
      <c r="F7" s="12" t="n"/>
      <c r="G7" s="35" t="n">
        <v>3036.23</v>
      </c>
      <c r="H7" s="62">
        <f>C7-G7</f>
        <v/>
      </c>
      <c r="I7" s="86" t="inlineStr">
        <is>
          <t>落错单</t>
        </is>
      </c>
      <c r="J7" s="86" t="n"/>
      <c r="L7" s="80" t="n"/>
      <c r="M7" s="80" t="n"/>
      <c r="N7" s="104" t="n">
        <v>5626.68</v>
      </c>
      <c r="O7" s="80" t="n">
        <v>747.52</v>
      </c>
      <c r="S7" s="65" t="inlineStr">
        <is>
          <t>total:</t>
        </is>
      </c>
      <c r="T7" s="65">
        <f>SUM(T1:T6)</f>
        <v/>
      </c>
    </row>
    <row r="8" s="28">
      <c r="A8" s="9" t="inlineStr">
        <is>
          <t>304102</t>
        </is>
      </c>
      <c r="B8" s="9" t="inlineStr">
        <is>
          <t>刷卡</t>
        </is>
      </c>
      <c r="C8" s="12">
        <f>L11+N11-D8</f>
        <v/>
      </c>
      <c r="D8" s="12">
        <f>M11+O11+0.86</f>
        <v/>
      </c>
      <c r="E8" s="12" t="n"/>
      <c r="F8" s="12" t="n"/>
      <c r="G8" s="18" t="n">
        <v>24300.74</v>
      </c>
      <c r="H8" s="62">
        <f>C8-G8</f>
        <v/>
      </c>
      <c r="I8" s="86" t="inlineStr">
        <is>
          <t>落错单</t>
        </is>
      </c>
      <c r="J8" s="86" t="n"/>
      <c r="K8" s="86" t="n"/>
      <c r="L8" s="80" t="n"/>
      <c r="M8" s="80" t="n"/>
      <c r="N8" s="80" t="n">
        <v>2813.72</v>
      </c>
      <c r="O8" s="80" t="n">
        <v>357.14</v>
      </c>
    </row>
    <row r="9" s="28">
      <c r="A9" s="9" t="inlineStr">
        <is>
          <t>304111</t>
        </is>
      </c>
      <c r="B9" s="9" t="inlineStr">
        <is>
          <t>微信支付宝</t>
        </is>
      </c>
      <c r="C9" s="80">
        <f>3034.1-D9</f>
        <v/>
      </c>
      <c r="D9" s="80" t="n">
        <v>378.27</v>
      </c>
      <c r="E9" s="80" t="n"/>
      <c r="F9" s="12" t="n"/>
      <c r="G9" s="80">
        <f>462.3+2193.53</f>
        <v/>
      </c>
      <c r="H9" s="62">
        <f>C9-G9</f>
        <v/>
      </c>
      <c r="I9" s="86" t="n"/>
      <c r="J9" s="86" t="n"/>
      <c r="K9" s="86" t="n"/>
      <c r="L9" s="80" t="n"/>
      <c r="M9" s="80" t="n"/>
      <c r="N9" s="80" t="n"/>
      <c r="O9" s="80" t="n"/>
    </row>
    <row r="10" s="28">
      <c r="A10" s="9" t="inlineStr">
        <is>
          <t>304240</t>
        </is>
      </c>
      <c r="B10" s="9" t="inlineStr">
        <is>
          <t>饭团</t>
        </is>
      </c>
      <c r="C10" s="80">
        <f>963.62-77.56+25.47</f>
        <v/>
      </c>
      <c r="D10" s="12" t="n"/>
      <c r="E10" s="12">
        <f>59.87+16.51+216.25</f>
        <v/>
      </c>
      <c r="F10" s="12" t="n"/>
      <c r="G10" s="80" t="n">
        <v>1203.3</v>
      </c>
      <c r="H10" s="62">
        <f>C10-G10+D10+F10+E10</f>
        <v/>
      </c>
      <c r="I10" s="86" t="inlineStr">
        <is>
          <t>尾差</t>
        </is>
      </c>
      <c r="J10" s="86" t="n"/>
      <c r="K10" s="86" t="n"/>
      <c r="L10" s="80" t="n"/>
      <c r="M10" s="80" t="n"/>
      <c r="N10" s="80" t="n"/>
      <c r="O10" s="80" t="n"/>
    </row>
    <row r="11" s="28">
      <c r="A11" s="9" t="inlineStr">
        <is>
          <t>304432</t>
        </is>
      </c>
      <c r="B11" s="9" t="inlineStr">
        <is>
          <t>礼品卡</t>
        </is>
      </c>
      <c r="C11" s="69" t="n"/>
      <c r="D11" s="12" t="n"/>
      <c r="E11" s="12" t="n"/>
      <c r="F11" s="12" t="n"/>
      <c r="G11" s="35" t="n"/>
      <c r="H11" s="62">
        <f>C11-G11</f>
        <v/>
      </c>
      <c r="I11" s="86" t="n"/>
      <c r="J11" s="86" t="n"/>
      <c r="L11" s="53">
        <f>SUM(L1:L10)</f>
        <v/>
      </c>
      <c r="M11" s="53">
        <f>SUM(M1:M10)</f>
        <v/>
      </c>
      <c r="N11" s="64">
        <f>SUM(N1:N10)</f>
        <v/>
      </c>
      <c r="O11" s="64">
        <f>SUM(O1:O10)</f>
        <v/>
      </c>
    </row>
    <row r="12" s="28">
      <c r="A12" s="9" t="inlineStr">
        <is>
          <t>305476</t>
        </is>
      </c>
      <c r="B12" s="9" t="inlineStr">
        <is>
          <t>DoorDash</t>
        </is>
      </c>
      <c r="C12" s="12" t="n"/>
      <c r="D12" s="12" t="n"/>
      <c r="E12" s="12" t="n"/>
      <c r="F12" s="12" t="n"/>
      <c r="G12" s="19" t="n"/>
      <c r="H12" s="62">
        <f>C12-G12</f>
        <v/>
      </c>
      <c r="I12" s="86" t="n"/>
      <c r="J12" s="86" t="n"/>
    </row>
    <row r="13" s="28">
      <c r="A13" s="9" t="inlineStr">
        <is>
          <t>305477</t>
        </is>
      </c>
      <c r="B13" s="9" t="inlineStr">
        <is>
          <t>SKIP</t>
        </is>
      </c>
      <c r="C13" s="12" t="n"/>
      <c r="D13" s="12" t="n"/>
      <c r="E13" s="12" t="n"/>
      <c r="F13" s="12" t="n"/>
      <c r="G13" s="19" t="n"/>
      <c r="H13" s="62">
        <f>C13-G13</f>
        <v/>
      </c>
      <c r="I13" s="86" t="n"/>
      <c r="J13" s="86" t="n"/>
      <c r="N13" s="55" t="n"/>
    </row>
    <row r="14" s="28">
      <c r="A14" s="9" t="inlineStr">
        <is>
          <t>305478</t>
        </is>
      </c>
      <c r="B14" s="9" t="inlineStr">
        <is>
          <t>Ubereat</t>
        </is>
      </c>
      <c r="C14" s="80" t="n"/>
      <c r="D14" s="12" t="n"/>
      <c r="E14" s="12" t="n"/>
      <c r="F14" s="12" t="n"/>
      <c r="G14" s="80" t="n"/>
      <c r="H14" s="62">
        <f>C14-G14</f>
        <v/>
      </c>
      <c r="I14" s="86" t="n"/>
      <c r="K14" s="86" t="n"/>
    </row>
    <row r="15" s="28">
      <c r="A15" s="9" t="inlineStr">
        <is>
          <t>305479</t>
        </is>
      </c>
      <c r="B15" s="9" t="inlineStr">
        <is>
          <t>Chowbus</t>
        </is>
      </c>
      <c r="C15" s="12" t="n"/>
      <c r="D15" s="12" t="n"/>
      <c r="E15" s="12" t="n"/>
      <c r="F15" s="12" t="n"/>
      <c r="G15" s="12" t="n"/>
      <c r="H15" s="62">
        <f>C15-G15</f>
        <v/>
      </c>
      <c r="I15" s="86" t="n"/>
      <c r="J15" s="86" t="n"/>
      <c r="K15" s="86" t="n"/>
    </row>
    <row r="16" s="28">
      <c r="A16" s="9" t="inlineStr">
        <is>
          <t>305510</t>
        </is>
      </c>
      <c r="B16" s="9" t="inlineStr">
        <is>
          <t>snappy</t>
        </is>
      </c>
      <c r="C16" s="80" t="n">
        <v>706.9299999999999</v>
      </c>
      <c r="D16" s="81" t="n"/>
      <c r="E16" s="21" t="n"/>
      <c r="F16" s="12" t="n"/>
      <c r="G16" s="80" t="n">
        <v>734.25</v>
      </c>
      <c r="H16" s="62">
        <f>C16-G16-D16</f>
        <v/>
      </c>
      <c r="I16" s="86" t="inlineStr">
        <is>
          <t>补昨日少落单</t>
        </is>
      </c>
      <c r="J16" s="86" t="inlineStr">
        <is>
          <t>尾差</t>
        </is>
      </c>
      <c r="K16" s="86" t="n"/>
    </row>
    <row r="17" s="28">
      <c r="A17" s="9" t="n"/>
      <c r="B17" s="9" t="inlineStr">
        <is>
          <t>panda</t>
        </is>
      </c>
      <c r="C17" s="80" t="n"/>
      <c r="D17" s="22" t="n"/>
      <c r="E17" s="22" t="n"/>
      <c r="F17" s="12" t="n"/>
      <c r="G17" s="35" t="n"/>
      <c r="H17" s="62">
        <f>C17-G17</f>
        <v/>
      </c>
      <c r="I17" s="57" t="n"/>
      <c r="J17" s="86" t="n"/>
      <c r="K17" s="86" t="n"/>
    </row>
    <row r="18" s="28">
      <c r="A18" s="92" t="inlineStr">
        <is>
          <t>305606</t>
        </is>
      </c>
      <c r="B18" s="9" t="inlineStr">
        <is>
          <t>tapin</t>
        </is>
      </c>
      <c r="C18" s="12" t="n"/>
      <c r="D18" s="12" t="n"/>
      <c r="E18" s="12" t="n"/>
      <c r="F18" s="12" t="n"/>
      <c r="G18" s="35" t="n"/>
      <c r="H18" s="62">
        <f>C18-G18</f>
        <v/>
      </c>
      <c r="I18" s="86" t="n"/>
      <c r="J18" s="86" t="n"/>
    </row>
    <row r="19" s="28">
      <c r="A19" s="9" t="inlineStr">
        <is>
          <t>305512</t>
        </is>
      </c>
      <c r="B19" s="9" t="inlineStr">
        <is>
          <t>VANPEOPLE</t>
        </is>
      </c>
      <c r="C19" s="82" t="n"/>
      <c r="D19" s="12" t="n"/>
      <c r="E19" s="12" t="n"/>
      <c r="F19" s="12" t="n"/>
      <c r="G19" s="106" t="n"/>
      <c r="H19" s="62">
        <f>C19-G19</f>
        <v/>
      </c>
      <c r="I19" s="86" t="n"/>
      <c r="J19" s="86" t="n"/>
    </row>
    <row r="20" s="28">
      <c r="A20" s="9" t="inlineStr">
        <is>
          <t>305830</t>
        </is>
      </c>
      <c r="B20" s="9" t="inlineStr">
        <is>
          <t>Easi</t>
        </is>
      </c>
      <c r="C20" s="12" t="n"/>
      <c r="D20" s="12" t="n"/>
      <c r="E20" s="12" t="n"/>
      <c r="F20" s="12" t="n"/>
      <c r="G20" s="12" t="n"/>
      <c r="H20" s="62">
        <f>C20-G20</f>
        <v/>
      </c>
      <c r="I20" s="86" t="n"/>
      <c r="J20" s="86" t="n"/>
    </row>
    <row r="21" s="28">
      <c r="A21" s="92" t="inlineStr">
        <is>
          <t>305606</t>
        </is>
      </c>
      <c r="B21" s="9" t="inlineStr">
        <is>
          <t>VANPEOPLE</t>
        </is>
      </c>
      <c r="C21" s="12" t="n"/>
      <c r="D21" s="12" t="n"/>
      <c r="E21" s="12" t="n"/>
      <c r="F21" s="12" t="n"/>
      <c r="G21" s="12" t="n"/>
      <c r="H21" s="62">
        <f>C21-G21</f>
        <v/>
      </c>
      <c r="I21" s="86" t="n"/>
      <c r="J21" s="86" t="n"/>
    </row>
    <row r="22" s="28">
      <c r="A22" s="24" t="n"/>
      <c r="B22" s="25" t="inlineStr">
        <is>
          <t>入账金额合计</t>
        </is>
      </c>
      <c r="C22" s="24">
        <f>SUM(C7:C21)</f>
        <v/>
      </c>
      <c r="D22" s="24">
        <f>SUM(D7:D21)</f>
        <v/>
      </c>
      <c r="E22" s="24">
        <f>SUM(E7:E21)</f>
        <v/>
      </c>
      <c r="F22" s="24">
        <f>SUM(F7:F21)</f>
        <v/>
      </c>
      <c r="G22" s="26">
        <f>SUM(G7:G21)</f>
        <v/>
      </c>
      <c r="H22" s="26">
        <f>C22-G22+F22+E22</f>
        <v/>
      </c>
      <c r="I22" s="86" t="n"/>
      <c r="J22" s="86" t="n"/>
    </row>
    <row r="23" s="28">
      <c r="A23" s="27" t="n"/>
      <c r="B23" s="27" t="n"/>
      <c r="C23" s="27" t="n"/>
      <c r="D23" s="86" t="n"/>
      <c r="F23" s="27" t="n"/>
      <c r="G23" s="27" t="n"/>
      <c r="H23" s="27" t="n"/>
    </row>
    <row r="24" s="28">
      <c r="E24" s="86" t="n"/>
    </row>
    <row r="25" s="28">
      <c r="A25" s="31" t="inlineStr">
        <is>
          <t>Gift Card 充值明细</t>
        </is>
      </c>
      <c r="B25" s="98" t="n"/>
      <c r="C25" s="98" t="n"/>
      <c r="D25" s="99" t="n"/>
      <c r="E25" s="27" t="n"/>
    </row>
    <row r="26" s="28">
      <c r="A26" s="31" t="inlineStr">
        <is>
          <t>日期</t>
        </is>
      </c>
      <c r="B26" s="31" t="inlineStr">
        <is>
          <t>卡號</t>
        </is>
      </c>
      <c r="C26" s="31" t="inlineStr">
        <is>
          <t>充值方式</t>
        </is>
      </c>
      <c r="D26" s="31" t="inlineStr">
        <is>
          <t>充值金額</t>
        </is>
      </c>
      <c r="F26" s="31" t="inlineStr">
        <is>
          <t>每日应存现金</t>
        </is>
      </c>
      <c r="G26" s="32">
        <f>C7+D7+C44</f>
        <v/>
      </c>
      <c r="H26" s="103">
        <f>IF(T7=G26,1,0)</f>
        <v/>
      </c>
    </row>
    <row r="27" s="28">
      <c r="A27" s="33" t="n"/>
      <c r="B27" s="34" t="n"/>
      <c r="C27" s="34" t="n"/>
      <c r="D27" s="34" t="n"/>
      <c r="F27" s="32" t="inlineStr">
        <is>
          <t>&gt;0, 应存；&lt;0, 累计&gt;0时存入银行</t>
        </is>
      </c>
      <c r="G27" s="32" t="n"/>
      <c r="H27" s="31" t="n"/>
    </row>
    <row r="28" s="28">
      <c r="A28" s="33" t="n"/>
      <c r="B28" s="34" t="n"/>
      <c r="C28" s="34" t="n"/>
      <c r="D28" s="34" t="n"/>
    </row>
    <row r="29" s="28">
      <c r="A29" s="33" t="n"/>
      <c r="B29" s="34" t="n"/>
      <c r="C29" s="34" t="n"/>
      <c r="D29" s="34" t="n"/>
    </row>
    <row r="30" s="28">
      <c r="A30" s="33" t="n"/>
      <c r="B30" s="34" t="n"/>
      <c r="C30" s="34" t="n"/>
      <c r="D30" s="34" t="n"/>
    </row>
    <row r="31" s="28">
      <c r="A31" s="33" t="n"/>
      <c r="B31" s="34" t="n"/>
      <c r="C31" s="34" t="n"/>
      <c r="D31" s="34" t="n"/>
    </row>
    <row r="32" s="28">
      <c r="A32" s="33" t="n"/>
      <c r="B32" s="34" t="n"/>
      <c r="C32" s="34" t="n"/>
      <c r="D32" s="34" t="n"/>
    </row>
    <row r="33" s="28">
      <c r="A33" s="33" t="n"/>
      <c r="B33" s="17" t="n"/>
      <c r="C33" s="34" t="n"/>
      <c r="D33" s="34" t="n"/>
    </row>
    <row r="34" s="28">
      <c r="A34" s="33" t="n"/>
      <c r="B34" s="34" t="n"/>
      <c r="C34" s="34" t="n"/>
      <c r="D34" s="34" t="n"/>
      <c r="F34" s="13" t="n"/>
      <c r="G34" s="13" t="n"/>
      <c r="H34" s="13" t="n"/>
    </row>
    <row r="35" s="28">
      <c r="A35" s="33" t="n"/>
      <c r="B35" s="34" t="n"/>
      <c r="C35" s="34" t="n"/>
      <c r="D35" s="35" t="n"/>
      <c r="E35" s="13" t="n"/>
      <c r="F35" s="13" t="n"/>
      <c r="G35" s="13" t="n"/>
      <c r="H35" s="13" t="n"/>
    </row>
    <row r="36" s="28">
      <c r="A36" s="33" t="n"/>
      <c r="B36" s="34" t="n"/>
      <c r="C36" s="34" t="n"/>
      <c r="D36" s="35" t="n"/>
      <c r="E36" s="13" t="n"/>
      <c r="F36" s="13" t="n"/>
      <c r="G36" s="13" t="n"/>
      <c r="H36" s="13" t="n"/>
    </row>
    <row r="37" s="28">
      <c r="A37" s="33" t="n"/>
      <c r="B37" s="34" t="n"/>
      <c r="C37" s="34" t="n"/>
      <c r="D37" s="35" t="n"/>
      <c r="E37" s="13" t="n"/>
      <c r="F37" s="13" t="n"/>
      <c r="G37" s="13" t="n"/>
      <c r="H37" s="13" t="n"/>
    </row>
    <row r="38" s="28">
      <c r="A38" s="33" t="n"/>
      <c r="B38" s="34" t="n"/>
      <c r="C38" s="34" t="n"/>
      <c r="D38" s="35" t="n"/>
      <c r="E38" s="13" t="n"/>
      <c r="F38" s="13" t="n"/>
      <c r="G38" s="13" t="n"/>
      <c r="H38" s="13" t="n"/>
    </row>
    <row r="39" s="28">
      <c r="A39" s="33" t="n"/>
      <c r="B39" s="34" t="n"/>
      <c r="C39" s="34" t="n"/>
      <c r="D39" s="35" t="n"/>
      <c r="E39" s="13" t="n"/>
      <c r="F39" s="13" t="n"/>
      <c r="G39" s="13" t="n"/>
      <c r="H39" s="13" t="n"/>
    </row>
    <row r="40" s="28">
      <c r="A40" s="33" t="n"/>
      <c r="B40" s="34" t="n"/>
      <c r="C40" s="34" t="n"/>
      <c r="D40" s="35" t="n"/>
      <c r="E40" s="13" t="n"/>
      <c r="F40" s="13" t="n"/>
      <c r="G40" s="13" t="n"/>
      <c r="H40" s="13" t="n"/>
    </row>
    <row r="41" s="28">
      <c r="A41" s="33" t="n"/>
      <c r="B41" s="34" t="n"/>
      <c r="C41" s="34" t="n"/>
      <c r="D41" s="35" t="n"/>
      <c r="E41" s="13" t="n"/>
      <c r="F41" s="13" t="n"/>
      <c r="G41" s="13" t="n"/>
      <c r="H41" s="13" t="n"/>
    </row>
    <row r="42" s="28">
      <c r="A42" s="33" t="n"/>
      <c r="B42" s="34" t="n"/>
      <c r="C42" s="34" t="n"/>
      <c r="D42" s="35" t="n"/>
      <c r="E42" s="13" t="n"/>
      <c r="F42" s="13" t="n"/>
      <c r="G42" s="13" t="n"/>
      <c r="H42" s="13" t="n"/>
    </row>
    <row r="43" s="28">
      <c r="A43" s="33" t="n"/>
      <c r="B43" s="34" t="n"/>
      <c r="C43" s="34" t="n"/>
      <c r="D43" s="35" t="n"/>
      <c r="E43" s="13" t="n"/>
      <c r="F43" s="13" t="n"/>
      <c r="G43" s="13" t="n"/>
      <c r="H43" s="13" t="n"/>
    </row>
    <row r="44" s="28">
      <c r="A44" s="36" t="inlineStr">
        <is>
          <t>合计</t>
        </is>
      </c>
      <c r="B44" s="32">
        <f>SUM(B27:B43)</f>
        <v/>
      </c>
      <c r="C44" s="32">
        <f>SUM(C27:C43)</f>
        <v/>
      </c>
      <c r="D44" s="35" t="n"/>
      <c r="E44" s="13" t="n"/>
      <c r="F44" s="13" t="n"/>
      <c r="G44" s="13" t="n"/>
      <c r="H44" s="13" t="n"/>
    </row>
    <row r="45" s="28">
      <c r="D45" s="86" t="n"/>
      <c r="E45" s="86" t="n"/>
      <c r="F45" s="86" t="n"/>
      <c r="G45" s="86" t="n"/>
    </row>
    <row r="46" s="28">
      <c r="A46" s="107" t="inlineStr">
        <is>
          <t>禮品卡消費</t>
        </is>
      </c>
      <c r="B46" s="98" t="n"/>
      <c r="C46" s="98" t="n"/>
      <c r="D46" s="99" t="n"/>
    </row>
    <row r="47" s="28">
      <c r="A47" s="40" t="inlineStr">
        <is>
          <t>日期</t>
        </is>
      </c>
      <c r="B47" s="40" t="inlineStr">
        <is>
          <t>卡號</t>
        </is>
      </c>
      <c r="C47" s="40" t="inlineStr">
        <is>
          <t>消費金額</t>
        </is>
      </c>
      <c r="D47" s="40" t="inlineStr">
        <is>
          <t>小费</t>
        </is>
      </c>
    </row>
    <row r="48" s="28">
      <c r="A48" s="60" t="n">
        <v>44653</v>
      </c>
      <c r="B48" s="93" t="inlineStr">
        <is>
          <t>6038360183440034579</t>
        </is>
      </c>
      <c r="C48" s="80" t="n">
        <v>100</v>
      </c>
      <c r="D48" s="80" t="n">
        <v>46.28</v>
      </c>
    </row>
    <row r="49" s="28">
      <c r="A49" s="60" t="n">
        <v>44654</v>
      </c>
      <c r="B49" s="94" t="inlineStr">
        <is>
          <t>6038360183440025924</t>
        </is>
      </c>
      <c r="C49" s="80" t="n">
        <v>50</v>
      </c>
      <c r="D49" s="80" t="n">
        <v>0</v>
      </c>
    </row>
    <row r="50" s="28">
      <c r="A50" s="60" t="n">
        <v>44655</v>
      </c>
      <c r="B50" s="93" t="inlineStr">
        <is>
          <t>6038360183440018085</t>
        </is>
      </c>
      <c r="C50" s="80" t="n">
        <v>100</v>
      </c>
      <c r="D50" s="80" t="n">
        <v>16.28</v>
      </c>
    </row>
    <row r="51" s="28">
      <c r="A51" s="80" t="n"/>
      <c r="B51" s="80" t="n"/>
      <c r="C51" s="80" t="n"/>
      <c r="D51" s="80" t="n"/>
    </row>
    <row r="52" s="28">
      <c r="A52" s="80" t="n"/>
      <c r="B52" s="80" t="n"/>
      <c r="C52" s="80" t="n"/>
      <c r="D52" s="80" t="n"/>
    </row>
    <row r="53" s="28">
      <c r="A53" s="80" t="n"/>
      <c r="B53" s="80" t="n"/>
      <c r="C53" s="80" t="n"/>
      <c r="D53" s="80" t="n"/>
    </row>
    <row r="54" s="28">
      <c r="A54" s="80" t="n"/>
      <c r="B54" s="80" t="n"/>
      <c r="C54" s="80" t="n"/>
      <c r="D54" s="80" t="n"/>
    </row>
    <row r="55" s="28">
      <c r="A55" s="80" t="n"/>
      <c r="B55" s="80" t="n"/>
      <c r="C55" s="80" t="n"/>
      <c r="D55" s="80" t="n"/>
    </row>
    <row r="56" s="28">
      <c r="A56" s="80" t="n"/>
      <c r="B56" s="80" t="n"/>
      <c r="C56" s="80" t="n"/>
      <c r="D56" s="80" t="n"/>
    </row>
    <row r="57" s="28">
      <c r="A57" s="80" t="n"/>
      <c r="B57" s="80" t="n"/>
      <c r="C57" s="80" t="n"/>
      <c r="D57" s="80" t="n"/>
    </row>
    <row r="58" s="28">
      <c r="A58" s="80" t="n"/>
      <c r="B58" s="80" t="n"/>
      <c r="C58" s="80" t="n"/>
      <c r="D58" s="80" t="n"/>
    </row>
    <row r="59" s="28">
      <c r="A59" s="80" t="n"/>
      <c r="B59" s="80" t="n"/>
      <c r="C59" s="80" t="n"/>
      <c r="D59" s="80" t="n"/>
    </row>
    <row r="60" s="28">
      <c r="A60" s="80" t="n"/>
      <c r="B60" s="80" t="n"/>
      <c r="C60" s="80" t="n"/>
      <c r="D60" s="80" t="n"/>
    </row>
    <row r="61" s="28">
      <c r="A61" s="80" t="n"/>
      <c r="B61" s="80" t="n"/>
      <c r="C61" s="80" t="n"/>
      <c r="D61" s="80" t="n"/>
    </row>
    <row r="62" s="28">
      <c r="A62" s="80" t="n"/>
      <c r="B62" s="80" t="n"/>
      <c r="C62" s="80" t="n"/>
      <c r="D62" s="80" t="n"/>
    </row>
    <row r="63" s="28">
      <c r="A63" s="80" t="n"/>
      <c r="B63" s="80" t="n"/>
      <c r="C63" s="80" t="n"/>
      <c r="D63" s="80" t="n"/>
    </row>
    <row r="64" s="28">
      <c r="A64" s="80" t="n"/>
      <c r="B64" s="80" t="n"/>
      <c r="C64" s="80" t="n"/>
      <c r="D64" s="80" t="n"/>
    </row>
    <row r="65" s="28">
      <c r="A65" s="80" t="n"/>
      <c r="B65" s="80" t="n"/>
      <c r="C65" s="80" t="n"/>
      <c r="D65" s="80" t="n"/>
    </row>
    <row r="66" s="28">
      <c r="A66" s="80" t="n"/>
      <c r="B66" s="80" t="n"/>
      <c r="C66" s="80" t="n"/>
      <c r="D66" s="80" t="n"/>
    </row>
    <row r="67" s="28">
      <c r="A67" s="80" t="n"/>
      <c r="B67" s="80" t="n"/>
      <c r="C67" s="80" t="n"/>
      <c r="D67" s="80" t="n"/>
    </row>
  </sheetData>
  <mergeCells count="5">
    <mergeCell ref="E1:H1"/>
    <mergeCell ref="L1:M1"/>
    <mergeCell ref="N1:O1"/>
    <mergeCell ref="A25:D25"/>
    <mergeCell ref="A46:D46"/>
  </mergeCells>
  <pageMargins left="0.699305555555556" right="0.699305555555556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67"/>
  <sheetViews>
    <sheetView topLeftCell="B1" zoomScale="117" zoomScaleNormal="117" workbookViewId="0">
      <selection activeCell="D12" sqref="D12"/>
    </sheetView>
  </sheetViews>
  <sheetFormatPr baseColWidth="8" defaultColWidth="9" defaultRowHeight="18.85" customHeight="1"/>
  <cols>
    <col width="14.5350877192982" customWidth="1" style="28" min="1" max="1"/>
    <col width="20.2017543859649" customWidth="1" style="28" min="2" max="2"/>
    <col width="20.2631578947368" customWidth="1" style="28" min="3" max="3"/>
    <col width="14.8771929824561" customWidth="1" style="28" min="4" max="4"/>
    <col width="14.2017543859649" customWidth="1" style="28" min="5" max="5"/>
    <col width="17.3333333333333" customWidth="1" style="28" min="6" max="6"/>
    <col width="21.7368421052632" customWidth="1" style="28" min="7" max="7"/>
    <col width="21.7982456140351" customWidth="1" style="28" min="8" max="8"/>
    <col width="17.1315789473684" customWidth="1" style="28" min="9" max="9"/>
    <col width="13.7543859649123" customWidth="1" style="28" min="10" max="10"/>
    <col width="17.640350877193" customWidth="1" style="28" min="11" max="11"/>
    <col width="11.9298245614035" customWidth="1" style="28" min="12" max="12"/>
    <col width="9.52631578947368" customWidth="1" style="28" min="14" max="14"/>
  </cols>
  <sheetData>
    <row r="1" s="28">
      <c r="A1" s="80" t="inlineStr">
        <is>
          <t>商品销售</t>
        </is>
      </c>
      <c r="B1" s="66" t="n"/>
      <c r="E1" s="97" t="inlineStr">
        <is>
          <t>核对小费</t>
        </is>
      </c>
      <c r="F1" s="98" t="n"/>
      <c r="G1" s="98" t="n"/>
      <c r="H1" s="99" t="n"/>
      <c r="L1" s="100" t="inlineStr">
        <is>
          <t>moneris</t>
        </is>
      </c>
      <c r="M1" s="99" t="n"/>
      <c r="N1" s="101" t="inlineStr">
        <is>
          <t>payfactor</t>
        </is>
      </c>
      <c r="O1" s="99" t="n"/>
      <c r="R1" s="80" t="n">
        <v>16</v>
      </c>
      <c r="S1" s="86" t="n">
        <v>100</v>
      </c>
      <c r="T1" s="58">
        <f>R1*S1</f>
        <v/>
      </c>
    </row>
    <row r="2" s="28">
      <c r="A2" s="80" t="inlineStr">
        <is>
          <t>堂食收入</t>
        </is>
      </c>
      <c r="B2" s="66" t="n">
        <v>32246.15</v>
      </c>
      <c r="C2" s="76" t="n"/>
      <c r="E2" s="61" t="n"/>
      <c r="F2" s="61" t="inlineStr">
        <is>
          <t>核对金额</t>
        </is>
      </c>
      <c r="G2" s="61" t="inlineStr">
        <is>
          <t>金额是否对得上</t>
        </is>
      </c>
      <c r="H2" s="61" t="inlineStr">
        <is>
          <t>备注</t>
        </is>
      </c>
      <c r="L2" s="45" t="inlineStr">
        <is>
          <t>菜品金额</t>
        </is>
      </c>
      <c r="M2" s="45" t="inlineStr">
        <is>
          <t>小费</t>
        </is>
      </c>
      <c r="N2" s="46" t="inlineStr">
        <is>
          <t>菜品金额</t>
        </is>
      </c>
      <c r="O2" s="46" t="inlineStr">
        <is>
          <t>小费</t>
        </is>
      </c>
      <c r="R2" s="80" t="n">
        <v>5</v>
      </c>
      <c r="S2" s="86" t="n">
        <v>50</v>
      </c>
      <c r="T2" s="58">
        <f>R2*S2</f>
        <v/>
      </c>
    </row>
    <row r="3" s="28">
      <c r="A3" s="80" t="inlineStr">
        <is>
          <t>外送收入</t>
        </is>
      </c>
      <c r="B3" s="84" t="n">
        <v>1891.9</v>
      </c>
      <c r="C3" s="78" t="n"/>
      <c r="E3" s="61" t="inlineStr">
        <is>
          <t>刷卡</t>
        </is>
      </c>
      <c r="F3" s="80">
        <f>700.92+811.4+852.58+40+81.2+1233.44</f>
        <v/>
      </c>
      <c r="G3" s="102">
        <f>IF(OR($F$3-($D$8+$D$10)&gt;10,$F$3-($D$8+$D$10)&lt;-10),0,1)</f>
        <v/>
      </c>
      <c r="H3" s="45" t="inlineStr">
        <is>
          <t>差额10以内为尾差</t>
        </is>
      </c>
      <c r="L3" s="80" t="n">
        <v>2261.78</v>
      </c>
      <c r="M3" s="80" t="n">
        <v>270.33</v>
      </c>
      <c r="N3" s="80" t="n">
        <v>5182.55</v>
      </c>
      <c r="O3" s="80" t="n">
        <v>692.63</v>
      </c>
      <c r="R3" s="80" t="n">
        <v>59</v>
      </c>
      <c r="S3" s="86" t="n">
        <v>20</v>
      </c>
      <c r="T3" s="58">
        <f>R3*S3</f>
        <v/>
      </c>
    </row>
    <row r="4" s="28">
      <c r="A4" s="61" t="inlineStr">
        <is>
          <t>收入合计</t>
        </is>
      </c>
      <c r="B4" s="61">
        <f>B2+B3+B1</f>
        <v/>
      </c>
      <c r="C4" s="103">
        <f>IF(B4=G22,1,0)</f>
        <v/>
      </c>
      <c r="E4" s="61" t="inlineStr">
        <is>
          <t>微信支付宝</t>
        </is>
      </c>
      <c r="F4" s="80">
        <f>37.99+39.61+26.46+34.83+33.04+145.49+65.65+114.57+23.88+73.64</f>
        <v/>
      </c>
      <c r="G4" s="102">
        <f>IF(OR($F$4-($D$9)&gt;10,$F$4-($D$9)&lt;-10),0,1)</f>
        <v/>
      </c>
      <c r="H4" s="45" t="inlineStr">
        <is>
          <t>差额10以内为尾差</t>
        </is>
      </c>
      <c r="L4" s="80" t="n">
        <v>2534.95</v>
      </c>
      <c r="M4" s="80" t="n">
        <v>307</v>
      </c>
      <c r="N4" s="80" t="n">
        <v>4177.61</v>
      </c>
      <c r="O4" s="80" t="n">
        <v>538.47</v>
      </c>
      <c r="R4" s="80" t="n">
        <v>8</v>
      </c>
      <c r="S4" s="86" t="n">
        <v>10</v>
      </c>
      <c r="T4" s="58">
        <f>R4*S4</f>
        <v/>
      </c>
    </row>
    <row r="5" customFormat="1" s="86">
      <c r="I5" s="86" t="n"/>
      <c r="J5" s="86" t="n"/>
      <c r="L5" s="80" t="n">
        <v>3793.11</v>
      </c>
      <c r="M5" s="80" t="n">
        <v>522.25</v>
      </c>
      <c r="N5" s="80" t="n">
        <v>3130.56</v>
      </c>
      <c r="O5" s="80" t="n">
        <v>336.21</v>
      </c>
      <c r="R5" s="80" t="n">
        <v>4</v>
      </c>
      <c r="S5" s="86" t="n">
        <v>5</v>
      </c>
      <c r="T5" s="58">
        <f>R5*S5</f>
        <v/>
      </c>
    </row>
    <row r="6" s="28">
      <c r="A6" s="31" t="inlineStr">
        <is>
          <t>客户代码</t>
        </is>
      </c>
      <c r="B6" s="31" t="inlineStr">
        <is>
          <t>客户名称</t>
        </is>
      </c>
      <c r="C6" s="31" t="inlineStr">
        <is>
          <t>营业款-小票金额</t>
        </is>
      </c>
      <c r="D6" s="31" t="inlineStr">
        <is>
          <t>小费</t>
        </is>
      </c>
      <c r="E6" s="31" t="inlineStr">
        <is>
          <t>饭团手续费</t>
        </is>
      </c>
      <c r="F6" s="31" t="inlineStr">
        <is>
          <t>点评</t>
        </is>
      </c>
      <c r="G6" s="31" t="inlineStr">
        <is>
          <t>红火台金额</t>
        </is>
      </c>
      <c r="H6" s="31" t="inlineStr">
        <is>
          <t>复核</t>
        </is>
      </c>
      <c r="I6" s="86" t="n"/>
      <c r="J6" s="86" t="n"/>
      <c r="L6" s="80" t="n"/>
      <c r="M6" s="80" t="n"/>
      <c r="N6" s="80" t="n">
        <v>2741.28</v>
      </c>
      <c r="O6" s="80" t="n">
        <v>351.27</v>
      </c>
    </row>
    <row r="7" s="28">
      <c r="A7" s="9" t="inlineStr">
        <is>
          <t>301737</t>
        </is>
      </c>
      <c r="B7" s="9" t="inlineStr">
        <is>
          <t>现金</t>
        </is>
      </c>
      <c r="C7" s="35">
        <f>-480+829+890.95+232.35+226.3+849.78+94.9+54.75+6.8</f>
        <v/>
      </c>
      <c r="D7" s="12">
        <f>101+139.05+17.65+33.7+133.22+0.55</f>
        <v/>
      </c>
      <c r="E7" s="12" t="n"/>
      <c r="F7" s="12" t="n"/>
      <c r="G7" s="35" t="n">
        <v>2704.83</v>
      </c>
      <c r="H7" s="62">
        <f>C7-G7</f>
        <v/>
      </c>
      <c r="I7" s="86" t="n"/>
      <c r="J7" s="86" t="n"/>
      <c r="L7" s="80" t="n"/>
      <c r="M7" s="80" t="n"/>
      <c r="N7" s="104" t="n">
        <v>3498.99</v>
      </c>
      <c r="O7" s="80" t="n">
        <v>410.68</v>
      </c>
      <c r="S7" s="65" t="inlineStr">
        <is>
          <t>total:</t>
        </is>
      </c>
      <c r="T7" s="65">
        <f>SUM(T1:T6)</f>
        <v/>
      </c>
    </row>
    <row r="8" s="28">
      <c r="A8" s="9" t="inlineStr">
        <is>
          <t>304102</t>
        </is>
      </c>
      <c r="B8" s="9" t="inlineStr">
        <is>
          <t>刷卡</t>
        </is>
      </c>
      <c r="C8" s="12">
        <f>L11+N11-D8</f>
        <v/>
      </c>
      <c r="D8" s="12">
        <f>M11+O11+5</f>
        <v/>
      </c>
      <c r="E8" s="12" t="n"/>
      <c r="F8" s="12" t="n"/>
      <c r="G8" s="18" t="n">
        <v>25924.39</v>
      </c>
      <c r="H8" s="62">
        <f>C8-G8</f>
        <v/>
      </c>
      <c r="I8" s="86" t="n"/>
      <c r="J8" s="86" t="n"/>
      <c r="K8" s="86" t="n"/>
      <c r="L8" s="80" t="n"/>
      <c r="M8" s="80" t="n"/>
      <c r="N8" s="80" t="n">
        <v>2328.1</v>
      </c>
      <c r="O8" s="80" t="n">
        <v>290.7</v>
      </c>
    </row>
    <row r="9" s="28">
      <c r="A9" s="9" t="inlineStr">
        <is>
          <t>304111</t>
        </is>
      </c>
      <c r="B9" s="9" t="inlineStr">
        <is>
          <t>微信支付宝</t>
        </is>
      </c>
      <c r="C9" s="80">
        <f>4325.19-D9</f>
        <v/>
      </c>
      <c r="D9" s="80" t="n">
        <v>595.16</v>
      </c>
      <c r="E9" s="80" t="n"/>
      <c r="F9" s="12" t="inlineStr">
        <is>
          <t xml:space="preserve">  </t>
        </is>
      </c>
      <c r="G9" s="80">
        <f>1051.55+2678.48</f>
        <v/>
      </c>
      <c r="H9" s="62">
        <f>C9-G9</f>
        <v/>
      </c>
      <c r="I9" s="86" t="n"/>
      <c r="J9" s="86" t="n"/>
      <c r="K9" s="86" t="n"/>
      <c r="L9" s="80" t="n"/>
      <c r="M9" s="80" t="n"/>
      <c r="N9" s="80" t="n"/>
      <c r="O9" s="80" t="n"/>
    </row>
    <row r="10" s="28">
      <c r="A10" s="9" t="inlineStr">
        <is>
          <t>304240</t>
        </is>
      </c>
      <c r="B10" s="9" t="inlineStr">
        <is>
          <t>饭团</t>
        </is>
      </c>
      <c r="C10" s="80">
        <f>864.91+77.56</f>
        <v/>
      </c>
      <c r="D10" s="12" t="n"/>
      <c r="E10" s="12">
        <f>23.05+275.23</f>
        <v/>
      </c>
      <c r="F10" s="12" t="n"/>
      <c r="G10" s="80" t="n">
        <v>1249.5</v>
      </c>
      <c r="H10" s="62">
        <f>C10-G10+D10+F10+E10</f>
        <v/>
      </c>
      <c r="I10" s="86" t="inlineStr">
        <is>
          <t>尾差</t>
        </is>
      </c>
      <c r="J10" s="86" t="n"/>
      <c r="K10" s="86" t="n"/>
      <c r="L10" s="80" t="n"/>
      <c r="M10" s="80" t="n"/>
      <c r="N10" s="80" t="n"/>
      <c r="O10" s="80" t="n"/>
    </row>
    <row r="11" s="28">
      <c r="A11" s="9" t="inlineStr">
        <is>
          <t>304432</t>
        </is>
      </c>
      <c r="B11" s="9" t="inlineStr">
        <is>
          <t>礼品卡</t>
        </is>
      </c>
      <c r="C11" s="69" t="n"/>
      <c r="D11" s="12" t="n"/>
      <c r="E11" s="12" t="n"/>
      <c r="F11" s="12" t="n"/>
      <c r="G11" s="35" t="n"/>
      <c r="H11" s="62">
        <f>C11-G11</f>
        <v/>
      </c>
      <c r="I11" s="86" t="n"/>
      <c r="J11" s="86" t="n"/>
      <c r="L11" s="53">
        <f>SUM(L1:L10)</f>
        <v/>
      </c>
      <c r="M11" s="53">
        <f>SUM(M1:M10)</f>
        <v/>
      </c>
      <c r="N11" s="64">
        <f>SUM(N1:N10)</f>
        <v/>
      </c>
      <c r="O11" s="64">
        <f>SUM(O1:O10)</f>
        <v/>
      </c>
    </row>
    <row r="12" s="28">
      <c r="A12" s="9" t="inlineStr">
        <is>
          <t>305476</t>
        </is>
      </c>
      <c r="B12" s="9" t="inlineStr">
        <is>
          <t>DoorDash</t>
        </is>
      </c>
      <c r="C12" s="12" t="n"/>
      <c r="D12" s="12" t="n"/>
      <c r="E12" s="12" t="n"/>
      <c r="F12" s="12" t="n"/>
      <c r="G12" s="19" t="n"/>
      <c r="H12" s="62">
        <f>C12-G12</f>
        <v/>
      </c>
      <c r="I12" s="86" t="n"/>
      <c r="J12" s="86" t="n"/>
    </row>
    <row r="13" s="28">
      <c r="A13" s="9" t="inlineStr">
        <is>
          <t>305477</t>
        </is>
      </c>
      <c r="B13" s="9" t="inlineStr">
        <is>
          <t>SKIP</t>
        </is>
      </c>
      <c r="C13" s="12" t="n"/>
      <c r="D13" s="12" t="n"/>
      <c r="E13" s="12" t="n"/>
      <c r="F13" s="12" t="n"/>
      <c r="G13" s="19" t="n"/>
      <c r="H13" s="62">
        <f>C13-G13</f>
        <v/>
      </c>
      <c r="I13" s="86" t="n"/>
      <c r="J13" s="86" t="n"/>
      <c r="N13" s="55" t="n"/>
    </row>
    <row r="14" s="28">
      <c r="A14" s="9" t="inlineStr">
        <is>
          <t>305478</t>
        </is>
      </c>
      <c r="B14" s="9" t="inlineStr">
        <is>
          <t>Ubereat</t>
        </is>
      </c>
      <c r="C14" s="80" t="n">
        <v>84.56999999999999</v>
      </c>
      <c r="D14" s="12" t="n"/>
      <c r="E14" s="12" t="n"/>
      <c r="F14" s="12" t="n"/>
      <c r="G14" s="80" t="n">
        <v>84.55</v>
      </c>
      <c r="H14" s="62">
        <f>C14-G14</f>
        <v/>
      </c>
      <c r="I14" s="86" t="inlineStr">
        <is>
          <t>尾差</t>
        </is>
      </c>
      <c r="K14" s="86" t="n"/>
    </row>
    <row r="15" s="28">
      <c r="A15" s="9" t="inlineStr">
        <is>
          <t>305479</t>
        </is>
      </c>
      <c r="B15" s="9" t="inlineStr">
        <is>
          <t>Chowbus</t>
        </is>
      </c>
      <c r="C15" s="12" t="n"/>
      <c r="D15" s="12" t="n"/>
      <c r="E15" s="12" t="n"/>
      <c r="F15" s="12" t="n"/>
      <c r="G15" s="12" t="n"/>
      <c r="H15" s="62">
        <f>C15-G15</f>
        <v/>
      </c>
      <c r="I15" s="86" t="n"/>
      <c r="J15" s="86" t="n"/>
      <c r="K15" s="86" t="n"/>
    </row>
    <row r="16" s="28">
      <c r="A16" s="9" t="inlineStr">
        <is>
          <t>305510</t>
        </is>
      </c>
      <c r="B16" s="9" t="inlineStr">
        <is>
          <t>snappy</t>
        </is>
      </c>
      <c r="C16" s="80" t="n">
        <v>472.19</v>
      </c>
      <c r="D16" s="81" t="n"/>
      <c r="E16" s="21" t="n"/>
      <c r="F16" s="12" t="n"/>
      <c r="G16" s="80" t="n">
        <v>444.75</v>
      </c>
      <c r="H16" s="62">
        <f>C16-G16-D16</f>
        <v/>
      </c>
      <c r="I16" s="86" t="inlineStr">
        <is>
          <t>少落单明天补上</t>
        </is>
      </c>
      <c r="J16" s="86" t="n"/>
      <c r="K16" s="86" t="n"/>
    </row>
    <row r="17" s="28">
      <c r="A17" s="9" t="n"/>
      <c r="B17" s="9" t="inlineStr">
        <is>
          <t>panda</t>
        </is>
      </c>
      <c r="C17" s="80" t="n"/>
      <c r="D17" s="22" t="n"/>
      <c r="E17" s="22" t="n"/>
      <c r="F17" s="12" t="n"/>
      <c r="G17" s="35" t="n"/>
      <c r="H17" s="62">
        <f>C17-G17</f>
        <v/>
      </c>
      <c r="I17" s="57" t="n"/>
      <c r="J17" s="86" t="n"/>
      <c r="K17" s="86" t="n"/>
    </row>
    <row r="18" s="28">
      <c r="A18" s="92" t="inlineStr">
        <is>
          <t>305606</t>
        </is>
      </c>
      <c r="B18" s="9" t="inlineStr">
        <is>
          <t>tapin</t>
        </is>
      </c>
      <c r="C18" s="12" t="n"/>
      <c r="D18" s="12" t="n"/>
      <c r="E18" s="12" t="n"/>
      <c r="F18" s="12" t="n"/>
      <c r="G18" s="35" t="n"/>
      <c r="H18" s="62">
        <f>C18-G18</f>
        <v/>
      </c>
      <c r="I18" s="86" t="n"/>
      <c r="J18" s="86" t="n"/>
    </row>
    <row r="19" s="28">
      <c r="A19" s="9" t="inlineStr">
        <is>
          <t>305512</t>
        </is>
      </c>
      <c r="B19" s="9" t="inlineStr">
        <is>
          <t>VANPEOPLE</t>
        </is>
      </c>
      <c r="C19" s="82" t="n"/>
      <c r="D19" s="12" t="n"/>
      <c r="E19" s="12" t="n"/>
      <c r="F19" s="12" t="n"/>
      <c r="G19" s="106" t="n"/>
      <c r="H19" s="62">
        <f>C19-G19</f>
        <v/>
      </c>
      <c r="I19" s="86" t="n"/>
      <c r="J19" s="86" t="n"/>
    </row>
    <row r="20" s="28">
      <c r="A20" s="9" t="inlineStr">
        <is>
          <t>305830</t>
        </is>
      </c>
      <c r="B20" s="9" t="inlineStr">
        <is>
          <t>Easi</t>
        </is>
      </c>
      <c r="C20" s="12" t="n"/>
      <c r="D20" s="12" t="n"/>
      <c r="E20" s="12" t="n"/>
      <c r="F20" s="12" t="n"/>
      <c r="G20" s="12" t="n"/>
      <c r="H20" s="62">
        <f>C20-G20</f>
        <v/>
      </c>
      <c r="I20" s="86" t="n"/>
      <c r="J20" s="86" t="n"/>
    </row>
    <row r="21" s="28">
      <c r="A21" s="92" t="inlineStr">
        <is>
          <t>305606</t>
        </is>
      </c>
      <c r="B21" s="9" t="inlineStr">
        <is>
          <t>VANPEOPLE</t>
        </is>
      </c>
      <c r="C21" s="12" t="n"/>
      <c r="D21" s="12" t="n"/>
      <c r="E21" s="12" t="n"/>
      <c r="F21" s="12" t="n"/>
      <c r="G21" s="12" t="n"/>
      <c r="H21" s="62">
        <f>C21-G21</f>
        <v/>
      </c>
      <c r="I21" s="86" t="n"/>
      <c r="J21" s="86" t="n"/>
    </row>
    <row r="22" s="28">
      <c r="A22" s="24" t="n"/>
      <c r="B22" s="25" t="inlineStr">
        <is>
          <t>入账金额合计</t>
        </is>
      </c>
      <c r="C22" s="24">
        <f>SUM(C7:C21)</f>
        <v/>
      </c>
      <c r="D22" s="24">
        <f>SUM(D7:D21)</f>
        <v/>
      </c>
      <c r="E22" s="24">
        <f>SUM(E7:E21)</f>
        <v/>
      </c>
      <c r="F22" s="24">
        <f>SUM(F7:F21)</f>
        <v/>
      </c>
      <c r="G22" s="26">
        <f>SUM(G7:G21)</f>
        <v/>
      </c>
      <c r="H22" s="26">
        <f>C22-G22+F22+E22</f>
        <v/>
      </c>
      <c r="I22" s="86" t="n"/>
      <c r="J22" s="86" t="n"/>
    </row>
    <row r="23" s="28">
      <c r="A23" s="27" t="n"/>
      <c r="B23" s="27" t="n"/>
      <c r="C23" s="27" t="n"/>
      <c r="D23" s="86" t="n"/>
      <c r="F23" s="27" t="n"/>
      <c r="G23" s="27" t="n"/>
      <c r="H23" s="27" t="n"/>
    </row>
    <row r="24" s="28">
      <c r="E24" s="86" t="n"/>
    </row>
    <row r="25" s="28">
      <c r="A25" s="31" t="inlineStr">
        <is>
          <t>Gift Card 充值明细</t>
        </is>
      </c>
      <c r="B25" s="98" t="n"/>
      <c r="C25" s="98" t="n"/>
      <c r="D25" s="99" t="n"/>
      <c r="E25" s="27" t="n"/>
    </row>
    <row r="26" s="28">
      <c r="A26" s="31" t="inlineStr">
        <is>
          <t>日期</t>
        </is>
      </c>
      <c r="B26" s="31" t="inlineStr">
        <is>
          <t>卡號</t>
        </is>
      </c>
      <c r="C26" s="31" t="inlineStr">
        <is>
          <t>充值方式</t>
        </is>
      </c>
      <c r="D26" s="31" t="inlineStr">
        <is>
          <t>充值金額</t>
        </is>
      </c>
      <c r="F26" s="31" t="inlineStr">
        <is>
          <t>每日应存现金</t>
        </is>
      </c>
      <c r="G26" s="32">
        <f>C7+D7+C44</f>
        <v/>
      </c>
      <c r="H26" s="103">
        <f>IF(T7=G26,1,0)</f>
        <v/>
      </c>
    </row>
    <row r="27" s="28">
      <c r="A27" s="33" t="n"/>
      <c r="B27" s="34" t="n"/>
      <c r="C27" s="34" t="n"/>
      <c r="D27" s="34" t="n"/>
      <c r="F27" s="32" t="inlineStr">
        <is>
          <t>&gt;0, 应存；&lt;0, 累计&gt;0时存入银行</t>
        </is>
      </c>
      <c r="G27" s="32" t="n"/>
      <c r="H27" s="31" t="n"/>
    </row>
    <row r="28" s="28">
      <c r="A28" s="33" t="n"/>
      <c r="B28" s="34" t="n"/>
      <c r="C28" s="34" t="n"/>
      <c r="D28" s="34" t="n"/>
    </row>
    <row r="29" s="28">
      <c r="A29" s="33" t="n"/>
      <c r="B29" s="34" t="n"/>
      <c r="C29" s="34" t="n"/>
      <c r="D29" s="34" t="n"/>
    </row>
    <row r="30" s="28">
      <c r="A30" s="33" t="n"/>
      <c r="B30" s="34" t="n"/>
      <c r="C30" s="34" t="n"/>
      <c r="D30" s="34" t="n"/>
    </row>
    <row r="31" s="28">
      <c r="A31" s="33" t="n"/>
      <c r="B31" s="34" t="n"/>
      <c r="C31" s="34" t="n"/>
      <c r="D31" s="34" t="n"/>
    </row>
    <row r="32" s="28">
      <c r="A32" s="33" t="n"/>
      <c r="B32" s="34" t="n"/>
      <c r="C32" s="34" t="n"/>
      <c r="D32" s="34" t="n"/>
    </row>
    <row r="33" s="28">
      <c r="A33" s="33" t="n"/>
      <c r="B33" s="17" t="n"/>
      <c r="C33" s="34" t="n"/>
      <c r="D33" s="34" t="n"/>
    </row>
    <row r="34" s="28">
      <c r="A34" s="33" t="n"/>
      <c r="B34" s="34" t="n"/>
      <c r="C34" s="34" t="n"/>
      <c r="D34" s="34" t="n"/>
      <c r="F34" s="13" t="n"/>
      <c r="G34" s="13" t="n"/>
      <c r="H34" s="13" t="n"/>
    </row>
    <row r="35" s="28">
      <c r="A35" s="33" t="n"/>
      <c r="B35" s="34" t="n"/>
      <c r="C35" s="34" t="n"/>
      <c r="D35" s="35" t="n"/>
      <c r="E35" s="13" t="n"/>
      <c r="F35" s="13" t="n"/>
      <c r="G35" s="13" t="n"/>
      <c r="H35" s="13" t="n"/>
    </row>
    <row r="36" s="28">
      <c r="A36" s="33" t="n"/>
      <c r="B36" s="34" t="n"/>
      <c r="C36" s="34" t="n"/>
      <c r="D36" s="35" t="n"/>
      <c r="E36" s="13" t="n"/>
      <c r="F36" s="13" t="n"/>
      <c r="G36" s="13" t="n"/>
      <c r="H36" s="13" t="n"/>
    </row>
    <row r="37" s="28">
      <c r="A37" s="33" t="n"/>
      <c r="B37" s="34" t="n"/>
      <c r="C37" s="34" t="n"/>
      <c r="D37" s="35" t="n"/>
      <c r="E37" s="13" t="n"/>
      <c r="F37" s="13" t="n"/>
      <c r="G37" s="13" t="n"/>
      <c r="H37" s="13" t="n"/>
    </row>
    <row r="38" s="28">
      <c r="A38" s="33" t="n"/>
      <c r="B38" s="34" t="n"/>
      <c r="C38" s="34" t="n"/>
      <c r="D38" s="35" t="n"/>
      <c r="E38" s="13" t="n"/>
      <c r="F38" s="13" t="n"/>
      <c r="G38" s="13" t="n"/>
      <c r="H38" s="13" t="n"/>
    </row>
    <row r="39" s="28">
      <c r="A39" s="33" t="n"/>
      <c r="B39" s="34" t="n"/>
      <c r="C39" s="34" t="n"/>
      <c r="D39" s="35" t="n"/>
      <c r="E39" s="13" t="n"/>
      <c r="F39" s="13" t="n"/>
      <c r="G39" s="13" t="n"/>
      <c r="H39" s="13" t="n"/>
    </row>
    <row r="40" s="28">
      <c r="A40" s="33" t="n"/>
      <c r="B40" s="34" t="n"/>
      <c r="C40" s="34" t="n"/>
      <c r="D40" s="35" t="n"/>
      <c r="E40" s="13" t="n"/>
      <c r="F40" s="13" t="n"/>
      <c r="G40" s="13" t="n"/>
      <c r="H40" s="13" t="n"/>
    </row>
    <row r="41" s="28">
      <c r="A41" s="33" t="n"/>
      <c r="B41" s="34" t="n"/>
      <c r="C41" s="34" t="n"/>
      <c r="D41" s="35" t="n"/>
      <c r="E41" s="13" t="n"/>
      <c r="F41" s="13" t="n"/>
      <c r="G41" s="13" t="n"/>
      <c r="H41" s="13" t="n"/>
    </row>
    <row r="42" s="28">
      <c r="A42" s="33" t="n"/>
      <c r="B42" s="34" t="n"/>
      <c r="C42" s="34" t="n"/>
      <c r="D42" s="35" t="n"/>
      <c r="E42" s="13" t="n"/>
      <c r="F42" s="13" t="n"/>
      <c r="G42" s="13" t="n"/>
      <c r="H42" s="13" t="n"/>
    </row>
    <row r="43" s="28">
      <c r="A43" s="33" t="n"/>
      <c r="B43" s="34" t="n"/>
      <c r="C43" s="34" t="n"/>
      <c r="D43" s="35" t="n"/>
      <c r="E43" s="13" t="n"/>
      <c r="F43" s="13" t="n"/>
      <c r="G43" s="13" t="n"/>
      <c r="H43" s="13" t="n"/>
    </row>
    <row r="44" s="28">
      <c r="A44" s="36" t="inlineStr">
        <is>
          <t>合计</t>
        </is>
      </c>
      <c r="B44" s="32">
        <f>SUM(B27:B43)</f>
        <v/>
      </c>
      <c r="C44" s="32">
        <f>SUM(C27:C43)</f>
        <v/>
      </c>
      <c r="D44" s="35" t="n"/>
      <c r="E44" s="13" t="n"/>
      <c r="F44" s="13" t="n"/>
      <c r="G44" s="13" t="n"/>
      <c r="H44" s="13" t="n"/>
    </row>
    <row r="45" s="28">
      <c r="D45" s="86" t="n"/>
      <c r="E45" s="86" t="n"/>
      <c r="F45" s="86" t="n"/>
      <c r="G45" s="86" t="n"/>
    </row>
    <row r="46" s="28">
      <c r="A46" s="107" t="inlineStr">
        <is>
          <t>禮品卡消費</t>
        </is>
      </c>
      <c r="B46" s="98" t="n"/>
      <c r="C46" s="98" t="n"/>
      <c r="D46" s="99" t="n"/>
    </row>
    <row r="47" s="28">
      <c r="A47" s="40" t="inlineStr">
        <is>
          <t>日期</t>
        </is>
      </c>
      <c r="B47" s="40" t="inlineStr">
        <is>
          <t>卡號</t>
        </is>
      </c>
      <c r="C47" s="40" t="inlineStr">
        <is>
          <t>消費金額</t>
        </is>
      </c>
      <c r="D47" s="40" t="inlineStr">
        <is>
          <t>小费</t>
        </is>
      </c>
    </row>
    <row r="48" s="28">
      <c r="A48" s="60" t="n">
        <v>44653</v>
      </c>
      <c r="B48" s="93" t="inlineStr">
        <is>
          <t>6038360183440034579</t>
        </is>
      </c>
      <c r="C48" s="80" t="n">
        <v>100</v>
      </c>
      <c r="D48" s="80" t="n">
        <v>46.28</v>
      </c>
    </row>
    <row r="49" s="28">
      <c r="A49" s="60" t="n">
        <v>44654</v>
      </c>
      <c r="B49" s="94" t="inlineStr">
        <is>
          <t>6038360183440025924</t>
        </is>
      </c>
      <c r="C49" s="80" t="n">
        <v>50</v>
      </c>
      <c r="D49" s="80" t="n">
        <v>0</v>
      </c>
    </row>
    <row r="50" s="28">
      <c r="A50" s="60" t="n">
        <v>44655</v>
      </c>
      <c r="B50" s="93" t="inlineStr">
        <is>
          <t>6038360183440018085</t>
        </is>
      </c>
      <c r="C50" s="80" t="n">
        <v>100</v>
      </c>
      <c r="D50" s="80" t="n">
        <v>16.28</v>
      </c>
    </row>
    <row r="51" s="28">
      <c r="A51" s="80" t="n"/>
      <c r="B51" s="80" t="n"/>
      <c r="C51" s="80" t="n"/>
      <c r="D51" s="80" t="n"/>
    </row>
    <row r="52" s="28">
      <c r="A52" s="80" t="n"/>
      <c r="B52" s="80" t="n"/>
      <c r="C52" s="80" t="n"/>
      <c r="D52" s="80" t="n"/>
    </row>
    <row r="53" s="28">
      <c r="A53" s="80" t="n"/>
      <c r="B53" s="80" t="n"/>
      <c r="C53" s="80" t="n"/>
      <c r="D53" s="80" t="n"/>
    </row>
    <row r="54" s="28">
      <c r="A54" s="80" t="n"/>
      <c r="B54" s="80" t="n"/>
      <c r="C54" s="80" t="n"/>
      <c r="D54" s="80" t="n"/>
    </row>
    <row r="55" s="28">
      <c r="A55" s="80" t="n"/>
      <c r="B55" s="80" t="n"/>
      <c r="C55" s="80" t="n"/>
      <c r="D55" s="80" t="n"/>
    </row>
    <row r="56" s="28">
      <c r="A56" s="80" t="n"/>
      <c r="B56" s="80" t="n"/>
      <c r="C56" s="80" t="n"/>
      <c r="D56" s="80" t="n"/>
    </row>
    <row r="57" s="28">
      <c r="A57" s="80" t="n"/>
      <c r="B57" s="80" t="n"/>
      <c r="C57" s="80" t="n"/>
      <c r="D57" s="80" t="n"/>
    </row>
    <row r="58" s="28">
      <c r="A58" s="80" t="n"/>
      <c r="B58" s="80" t="n"/>
      <c r="C58" s="80" t="n"/>
      <c r="D58" s="80" t="n"/>
    </row>
    <row r="59" s="28">
      <c r="A59" s="80" t="n"/>
      <c r="B59" s="80" t="n"/>
      <c r="C59" s="80" t="n"/>
      <c r="D59" s="80" t="n"/>
    </row>
    <row r="60" s="28">
      <c r="A60" s="80" t="n"/>
      <c r="B60" s="80" t="n"/>
      <c r="C60" s="80" t="n"/>
      <c r="D60" s="80" t="n"/>
    </row>
    <row r="61" s="28">
      <c r="A61" s="80" t="n"/>
      <c r="B61" s="80" t="n"/>
      <c r="C61" s="80" t="n"/>
      <c r="D61" s="80" t="n"/>
    </row>
    <row r="62" s="28">
      <c r="A62" s="80" t="n"/>
      <c r="B62" s="80" t="n"/>
      <c r="C62" s="80" t="n"/>
      <c r="D62" s="80" t="n"/>
    </row>
    <row r="63" s="28">
      <c r="A63" s="80" t="n"/>
      <c r="B63" s="80" t="n"/>
      <c r="C63" s="80" t="n"/>
      <c r="D63" s="80" t="n"/>
    </row>
    <row r="64" s="28">
      <c r="A64" s="80" t="n"/>
      <c r="B64" s="80" t="n"/>
      <c r="C64" s="80" t="n"/>
      <c r="D64" s="80" t="n"/>
    </row>
    <row r="65" s="28">
      <c r="A65" s="80" t="n"/>
      <c r="B65" s="80" t="n"/>
      <c r="C65" s="80" t="n"/>
      <c r="D65" s="80" t="n"/>
    </row>
    <row r="66" s="28">
      <c r="A66" s="80" t="n"/>
      <c r="B66" s="80" t="n"/>
      <c r="C66" s="80" t="n"/>
      <c r="D66" s="80" t="n"/>
    </row>
    <row r="67" s="28">
      <c r="A67" s="80" t="n"/>
      <c r="B67" s="80" t="n"/>
      <c r="C67" s="80" t="n"/>
      <c r="D67" s="80" t="n"/>
    </row>
  </sheetData>
  <mergeCells count="5">
    <mergeCell ref="E1:H1"/>
    <mergeCell ref="L1:M1"/>
    <mergeCell ref="N1:O1"/>
    <mergeCell ref="A25:D25"/>
    <mergeCell ref="A46:D46"/>
  </mergeCells>
  <pageMargins left="0.699305555555556" right="0.699305555555556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67"/>
  <sheetViews>
    <sheetView zoomScale="89" zoomScaleNormal="89" workbookViewId="0">
      <selection activeCell="D22" sqref="D22"/>
    </sheetView>
  </sheetViews>
  <sheetFormatPr baseColWidth="8" defaultColWidth="9" defaultRowHeight="18.85" customHeight="1"/>
  <cols>
    <col width="14.5350877192982" customWidth="1" style="28" min="1" max="1"/>
    <col width="20.2017543859649" customWidth="1" style="28" min="2" max="2"/>
    <col width="20.2631578947368" customWidth="1" style="28" min="3" max="3"/>
    <col width="14.8771929824561" customWidth="1" style="28" min="4" max="4"/>
    <col width="14.2017543859649" customWidth="1" style="28" min="5" max="5"/>
    <col width="17.3333333333333" customWidth="1" style="28" min="6" max="6"/>
    <col width="21.7368421052632" customWidth="1" style="28" min="7" max="7"/>
    <col width="21.7982456140351" customWidth="1" style="28" min="8" max="8"/>
    <col width="17.1315789473684" customWidth="1" style="28" min="9" max="9"/>
    <col width="13.7543859649123" customWidth="1" style="28" min="10" max="10"/>
    <col width="17.640350877193" customWidth="1" style="28" min="11" max="11"/>
    <col width="11.9298245614035" customWidth="1" style="28" min="12" max="12"/>
    <col width="9.52631578947368" customWidth="1" style="28" min="14" max="14"/>
  </cols>
  <sheetData>
    <row r="1" s="28">
      <c r="A1" s="80" t="inlineStr">
        <is>
          <t>商品销售</t>
        </is>
      </c>
      <c r="B1" s="66" t="n">
        <v>0</v>
      </c>
      <c r="E1" s="97" t="inlineStr">
        <is>
          <t>核对小费</t>
        </is>
      </c>
      <c r="F1" s="98" t="n"/>
      <c r="G1" s="98" t="n"/>
      <c r="H1" s="99" t="n"/>
      <c r="L1" s="100" t="inlineStr">
        <is>
          <t>moneris</t>
        </is>
      </c>
      <c r="M1" s="99" t="n"/>
      <c r="N1" s="101" t="inlineStr">
        <is>
          <t>payfactor</t>
        </is>
      </c>
      <c r="O1" s="99" t="n"/>
      <c r="R1" s="80" t="n">
        <v>4</v>
      </c>
      <c r="S1" s="86" t="n">
        <v>100</v>
      </c>
      <c r="T1" s="58">
        <f>R1*S1</f>
        <v/>
      </c>
    </row>
    <row r="2" s="28">
      <c r="A2" s="80" t="inlineStr">
        <is>
          <t>堂食收入</t>
        </is>
      </c>
      <c r="B2" s="66" t="n">
        <v>27712.4</v>
      </c>
      <c r="C2" s="76" t="n"/>
      <c r="E2" s="61" t="n"/>
      <c r="F2" s="61" t="inlineStr">
        <is>
          <t>核对金额</t>
        </is>
      </c>
      <c r="G2" s="61" t="inlineStr">
        <is>
          <t>金额是否对得上</t>
        </is>
      </c>
      <c r="H2" s="61" t="inlineStr">
        <is>
          <t>备注</t>
        </is>
      </c>
      <c r="L2" s="45" t="inlineStr">
        <is>
          <t>菜品金额</t>
        </is>
      </c>
      <c r="M2" s="45" t="inlineStr">
        <is>
          <t>小费</t>
        </is>
      </c>
      <c r="N2" s="46" t="inlineStr">
        <is>
          <t>菜品金额</t>
        </is>
      </c>
      <c r="O2" s="46" t="inlineStr">
        <is>
          <t>小费</t>
        </is>
      </c>
      <c r="R2" s="80" t="n">
        <v>8</v>
      </c>
      <c r="S2" s="86" t="n">
        <v>50</v>
      </c>
      <c r="T2" s="58">
        <f>R2*S2</f>
        <v/>
      </c>
    </row>
    <row r="3" s="28">
      <c r="A3" s="80" t="inlineStr">
        <is>
          <t>外送收入</t>
        </is>
      </c>
      <c r="B3" s="84" t="n">
        <v>2182.7</v>
      </c>
      <c r="C3" s="78" t="n"/>
      <c r="E3" s="61" t="inlineStr">
        <is>
          <t>刷卡</t>
        </is>
      </c>
      <c r="F3" s="80">
        <f>489.48+834.57+863.65+1237.17+27.7</f>
        <v/>
      </c>
      <c r="G3" s="103">
        <f>IF(OR($F$3-($D$8+$D$10)&gt;10,$F$3-($D$8+$D$10)&lt;-10),0,1)</f>
        <v/>
      </c>
      <c r="H3" s="80" t="inlineStr">
        <is>
          <t>差额10以内为尾差</t>
        </is>
      </c>
      <c r="L3" s="80" t="n">
        <v>3119.25</v>
      </c>
      <c r="M3" s="80" t="n">
        <v>411.77</v>
      </c>
      <c r="N3" s="80" t="n">
        <v>3876.99</v>
      </c>
      <c r="O3" s="80" t="n">
        <v>512.5599999999999</v>
      </c>
      <c r="R3" s="80" t="n">
        <v>35</v>
      </c>
      <c r="S3" s="86" t="n">
        <v>20</v>
      </c>
      <c r="T3" s="58">
        <f>R3*S3</f>
        <v/>
      </c>
    </row>
    <row r="4" s="28">
      <c r="A4" s="61" t="inlineStr">
        <is>
          <t>收入合计</t>
        </is>
      </c>
      <c r="B4" s="61">
        <f>B2+B3+B1</f>
        <v/>
      </c>
      <c r="C4" s="103">
        <f>IF(B4=G22,1,0)</f>
        <v/>
      </c>
      <c r="E4" s="61" t="inlineStr">
        <is>
          <t>微信支付宝</t>
        </is>
      </c>
      <c r="F4" s="80">
        <f>15.66+33.39+16.81+28.55+28.66+157.85+101.72+76.98</f>
        <v/>
      </c>
      <c r="G4" s="103">
        <f>IF(OR($F$4-($D$9)&gt;10,$F$4-($D$9)&lt;-10),0,1)</f>
        <v/>
      </c>
      <c r="H4" s="80" t="inlineStr">
        <is>
          <t>差额10以内为尾差</t>
        </is>
      </c>
      <c r="L4" s="80" t="n">
        <v>1155.9</v>
      </c>
      <c r="M4" s="80" t="n">
        <v>149.15</v>
      </c>
      <c r="N4" s="80" t="n">
        <v>4054.16</v>
      </c>
      <c r="O4" s="80" t="n">
        <v>555.39</v>
      </c>
      <c r="R4" s="80" t="n">
        <v>4</v>
      </c>
      <c r="S4" s="86" t="n">
        <v>10</v>
      </c>
      <c r="T4" s="58">
        <f>R4*S4</f>
        <v/>
      </c>
    </row>
    <row r="5" customFormat="1" s="86">
      <c r="I5" s="86" t="n"/>
      <c r="J5" s="86" t="n"/>
      <c r="L5" s="80" t="n">
        <v>2769.99</v>
      </c>
      <c r="M5" s="80" t="n">
        <v>348.89</v>
      </c>
      <c r="N5" s="80" t="n">
        <v>2472.54</v>
      </c>
      <c r="O5" s="80" t="n">
        <v>327.78</v>
      </c>
      <c r="R5" s="80" t="n">
        <v>2</v>
      </c>
      <c r="S5" s="86" t="n">
        <v>5</v>
      </c>
      <c r="T5" s="58">
        <f>R5*S5</f>
        <v/>
      </c>
    </row>
    <row r="6" s="28">
      <c r="A6" s="31" t="inlineStr">
        <is>
          <t>客户代码</t>
        </is>
      </c>
      <c r="B6" s="31" t="inlineStr">
        <is>
          <t>客户名称</t>
        </is>
      </c>
      <c r="C6" s="31" t="inlineStr">
        <is>
          <t>营业款-小票金额</t>
        </is>
      </c>
      <c r="D6" s="31" t="inlineStr">
        <is>
          <t>小费</t>
        </is>
      </c>
      <c r="E6" s="31" t="inlineStr">
        <is>
          <t>饭团手续费</t>
        </is>
      </c>
      <c r="F6" s="31" t="inlineStr">
        <is>
          <t>点评</t>
        </is>
      </c>
      <c r="G6" s="31" t="inlineStr">
        <is>
          <t>红火台金额</t>
        </is>
      </c>
      <c r="H6" s="31" t="inlineStr">
        <is>
          <t>复核</t>
        </is>
      </c>
      <c r="I6" s="86" t="n"/>
      <c r="J6" s="86" t="n"/>
      <c r="L6" s="80" t="n"/>
      <c r="M6" s="80" t="n"/>
      <c r="N6" s="80" t="n">
        <v>2430.27</v>
      </c>
      <c r="O6" s="80" t="n">
        <v>294.21</v>
      </c>
    </row>
    <row r="7" s="28">
      <c r="A7" s="9" t="inlineStr">
        <is>
          <t>301737</t>
        </is>
      </c>
      <c r="B7" s="9" t="inlineStr">
        <is>
          <t>现金</t>
        </is>
      </c>
      <c r="C7" s="35">
        <f>-480+256.3+752.75+367.72+303.87+147.4</f>
        <v/>
      </c>
      <c r="D7" s="12">
        <f>33.7+98.85+32.28+26.38+14.6-3.85</f>
        <v/>
      </c>
      <c r="E7" s="12" t="n"/>
      <c r="F7" s="12" t="n"/>
      <c r="G7" s="35" t="n">
        <v>1348.04</v>
      </c>
      <c r="H7" s="62">
        <f>C7-G7</f>
        <v/>
      </c>
      <c r="I7" s="86" t="n"/>
      <c r="J7" s="86" t="n"/>
      <c r="L7" s="80" t="n"/>
      <c r="M7" s="80" t="n"/>
      <c r="N7" s="104" t="n">
        <v>3763.95</v>
      </c>
      <c r="O7" s="80" t="n">
        <v>485.68</v>
      </c>
      <c r="S7" s="65" t="inlineStr">
        <is>
          <t>total:</t>
        </is>
      </c>
      <c r="T7" s="65">
        <f>SUM(T1:T6)</f>
        <v/>
      </c>
    </row>
    <row r="8" s="28">
      <c r="A8" s="9" t="inlineStr">
        <is>
          <t>304102</t>
        </is>
      </c>
      <c r="B8" s="9" t="inlineStr">
        <is>
          <t>刷卡</t>
        </is>
      </c>
      <c r="C8" s="12">
        <f>N11+L11-D8</f>
        <v/>
      </c>
      <c r="D8" s="12">
        <f>M11+O11+0.63</f>
        <v/>
      </c>
      <c r="E8" s="12" t="n"/>
      <c r="F8" s="12" t="n"/>
      <c r="G8" s="12" t="n">
        <v>22900.24</v>
      </c>
      <c r="H8" s="62">
        <f>C8-G8</f>
        <v/>
      </c>
      <c r="I8" s="86" t="n"/>
      <c r="J8" s="86" t="n"/>
      <c r="K8" s="86" t="n"/>
      <c r="L8" s="80" t="n"/>
      <c r="M8" s="80" t="n"/>
      <c r="N8" s="80" t="n">
        <v>2710.39</v>
      </c>
      <c r="O8" s="80" t="n">
        <v>367.14</v>
      </c>
    </row>
    <row r="9" s="28">
      <c r="A9" s="9" t="inlineStr">
        <is>
          <t>304111</t>
        </is>
      </c>
      <c r="B9" s="9" t="inlineStr">
        <is>
          <t>微信支付宝</t>
        </is>
      </c>
      <c r="C9" s="80">
        <f>3429.79-D9</f>
        <v/>
      </c>
      <c r="D9" s="80" t="n">
        <v>459.62</v>
      </c>
      <c r="E9" s="80" t="n"/>
      <c r="F9" s="12" t="n"/>
      <c r="G9" s="80">
        <f>629.67+2340.5</f>
        <v/>
      </c>
      <c r="H9" s="62">
        <f>C9-G9</f>
        <v/>
      </c>
      <c r="I9" s="86" t="n"/>
      <c r="J9" s="86" t="n"/>
      <c r="K9" s="86" t="n"/>
      <c r="L9" s="80" t="n"/>
      <c r="M9" s="80" t="n"/>
      <c r="N9" s="80" t="n"/>
      <c r="O9" s="80" t="n"/>
    </row>
    <row r="10" s="28">
      <c r="A10" s="9" t="inlineStr">
        <is>
          <t>304240</t>
        </is>
      </c>
      <c r="B10" s="9" t="inlineStr">
        <is>
          <t>饭团</t>
        </is>
      </c>
      <c r="C10" s="80">
        <f>1565.48-E10</f>
        <v/>
      </c>
      <c r="D10" s="12" t="n"/>
      <c r="E10" s="12" t="n">
        <v>339.48</v>
      </c>
      <c r="F10" s="12" t="n">
        <v>506.67</v>
      </c>
      <c r="G10" s="80" t="n">
        <v>2099.95</v>
      </c>
      <c r="H10" s="62">
        <f>C10-G10+D10+F10+E10</f>
        <v/>
      </c>
      <c r="I10" s="86" t="inlineStr">
        <is>
          <t>尾差</t>
        </is>
      </c>
      <c r="J10" s="86" t="n"/>
      <c r="K10" s="86" t="n"/>
      <c r="L10" s="80" t="n"/>
      <c r="M10" s="80" t="n"/>
      <c r="N10" s="80" t="n"/>
      <c r="O10" s="80" t="n"/>
    </row>
    <row r="11" s="28">
      <c r="A11" s="9" t="inlineStr">
        <is>
          <t>304432</t>
        </is>
      </c>
      <c r="B11" s="9" t="inlineStr">
        <is>
          <t>礼品卡</t>
        </is>
      </c>
      <c r="C11" s="69" t="n"/>
      <c r="D11" s="12" t="n"/>
      <c r="E11" s="12" t="n"/>
      <c r="F11" s="12" t="n"/>
      <c r="G11" s="35" t="n"/>
      <c r="H11" s="62">
        <f>C11-G11</f>
        <v/>
      </c>
      <c r="I11" s="86" t="n"/>
      <c r="J11" s="86" t="n"/>
      <c r="L11" s="53">
        <f>SUM(L1:L10)</f>
        <v/>
      </c>
      <c r="M11" s="53">
        <f>SUM(M1:M10)</f>
        <v/>
      </c>
      <c r="N11" s="64">
        <f>SUM(N1:N10)</f>
        <v/>
      </c>
      <c r="O11" s="64">
        <f>SUM(O1:O10)</f>
        <v/>
      </c>
    </row>
    <row r="12" s="28">
      <c r="A12" s="9" t="inlineStr">
        <is>
          <t>305476</t>
        </is>
      </c>
      <c r="B12" s="9" t="inlineStr">
        <is>
          <t>DoorDash</t>
        </is>
      </c>
      <c r="C12" s="12" t="n"/>
      <c r="D12" s="12" t="n"/>
      <c r="E12" s="12" t="n"/>
      <c r="F12" s="12" t="n"/>
      <c r="G12" s="19" t="n"/>
      <c r="H12" s="62">
        <f>C12-G12</f>
        <v/>
      </c>
      <c r="I12" s="86" t="n"/>
      <c r="J12" s="86" t="n"/>
    </row>
    <row r="13" s="28">
      <c r="A13" s="9" t="inlineStr">
        <is>
          <t>305477</t>
        </is>
      </c>
      <c r="B13" s="9" t="inlineStr">
        <is>
          <t>SKIP</t>
        </is>
      </c>
      <c r="C13" s="12" t="n"/>
      <c r="D13" s="12" t="n"/>
      <c r="E13" s="12" t="n"/>
      <c r="F13" s="12" t="n"/>
      <c r="G13" s="19" t="n"/>
      <c r="H13" s="62">
        <f>C13-G13</f>
        <v/>
      </c>
      <c r="I13" s="86" t="n"/>
      <c r="J13" s="86" t="n"/>
      <c r="N13" s="55" t="n"/>
    </row>
    <row r="14" s="28">
      <c r="A14" s="9" t="inlineStr">
        <is>
          <t>305478</t>
        </is>
      </c>
      <c r="B14" s="9" t="inlineStr">
        <is>
          <t>Ubereat</t>
        </is>
      </c>
      <c r="C14" s="80" t="n">
        <v>247.75</v>
      </c>
      <c r="D14" s="12" t="n"/>
      <c r="E14" s="12" t="n"/>
      <c r="F14" s="12" t="n"/>
      <c r="G14" s="80" t="n">
        <v>248.2</v>
      </c>
      <c r="H14" s="62">
        <f>C14-G14</f>
        <v/>
      </c>
      <c r="I14" s="86" t="inlineStr">
        <is>
          <t>尾差</t>
        </is>
      </c>
      <c r="K14" s="86" t="n"/>
    </row>
    <row r="15" s="28">
      <c r="A15" s="9" t="inlineStr">
        <is>
          <t>305479</t>
        </is>
      </c>
      <c r="B15" s="9" t="inlineStr">
        <is>
          <t>Chowbus</t>
        </is>
      </c>
      <c r="C15" s="12" t="n"/>
      <c r="D15" s="12" t="n"/>
      <c r="E15" s="12" t="n"/>
      <c r="F15" s="12" t="n"/>
      <c r="G15" s="12" t="n"/>
      <c r="H15" s="62">
        <f>C15-G15</f>
        <v/>
      </c>
      <c r="I15" s="86" t="n"/>
      <c r="J15" s="86" t="n"/>
      <c r="K15" s="86" t="n"/>
    </row>
    <row r="16" s="28">
      <c r="A16" s="9" t="inlineStr">
        <is>
          <t>305510</t>
        </is>
      </c>
      <c r="B16" s="9" t="inlineStr">
        <is>
          <t>snappy</t>
        </is>
      </c>
      <c r="C16" s="80" t="n">
        <v>328.53</v>
      </c>
      <c r="D16" s="81" t="n"/>
      <c r="E16" s="21" t="n"/>
      <c r="F16" s="12" t="n"/>
      <c r="G16" s="80" t="n">
        <v>328.5</v>
      </c>
      <c r="H16" s="62">
        <f>C16-G16-D16</f>
        <v/>
      </c>
      <c r="I16" s="86" t="inlineStr">
        <is>
          <t>尾差</t>
        </is>
      </c>
      <c r="J16" s="86" t="n"/>
      <c r="K16" s="86" t="n"/>
    </row>
    <row r="17" s="28">
      <c r="A17" s="9" t="n"/>
      <c r="B17" s="9" t="inlineStr">
        <is>
          <t>panda</t>
        </is>
      </c>
      <c r="C17" s="80" t="n"/>
      <c r="D17" s="22" t="n"/>
      <c r="E17" s="22" t="n"/>
      <c r="F17" s="12" t="n"/>
      <c r="G17" s="35" t="n"/>
      <c r="H17" s="62">
        <f>C17-G17</f>
        <v/>
      </c>
      <c r="I17" s="57" t="n"/>
      <c r="J17" s="86" t="n"/>
      <c r="K17" s="86" t="n"/>
    </row>
    <row r="18" s="28">
      <c r="A18" s="92" t="inlineStr">
        <is>
          <t>305606</t>
        </is>
      </c>
      <c r="B18" s="9" t="inlineStr">
        <is>
          <t>tapin</t>
        </is>
      </c>
      <c r="C18" s="12" t="n"/>
      <c r="D18" s="12" t="n"/>
      <c r="E18" s="12" t="n"/>
      <c r="F18" s="12" t="n"/>
      <c r="G18" s="35" t="n"/>
      <c r="H18" s="62">
        <f>C18-G18</f>
        <v/>
      </c>
      <c r="I18" s="86" t="n"/>
      <c r="J18" s="86" t="n"/>
    </row>
    <row r="19" s="28">
      <c r="A19" s="9" t="inlineStr">
        <is>
          <t>305512</t>
        </is>
      </c>
      <c r="B19" s="9" t="inlineStr">
        <is>
          <t>VANPEOPLE</t>
        </is>
      </c>
      <c r="C19" s="82" t="n"/>
      <c r="D19" s="12" t="n"/>
      <c r="E19" s="12" t="n"/>
      <c r="F19" s="12" t="n"/>
      <c r="G19" s="106" t="n"/>
      <c r="H19" s="62">
        <f>C19-G19</f>
        <v/>
      </c>
      <c r="I19" s="86" t="n"/>
      <c r="J19" s="86" t="n"/>
    </row>
    <row r="20" s="28">
      <c r="A20" s="9" t="inlineStr">
        <is>
          <t>305830</t>
        </is>
      </c>
      <c r="B20" s="9" t="inlineStr">
        <is>
          <t>Easi</t>
        </is>
      </c>
      <c r="C20" s="12" t="n"/>
      <c r="D20" s="12" t="n"/>
      <c r="E20" s="12" t="n"/>
      <c r="F20" s="12" t="n"/>
      <c r="G20" s="12" t="n"/>
      <c r="H20" s="62">
        <f>C20-G20</f>
        <v/>
      </c>
      <c r="I20" s="86" t="n"/>
      <c r="J20" s="86" t="n"/>
    </row>
    <row r="21" s="28">
      <c r="A21" s="92" t="inlineStr">
        <is>
          <t>305606</t>
        </is>
      </c>
      <c r="B21" s="9" t="inlineStr">
        <is>
          <t>VANPEOPLE</t>
        </is>
      </c>
      <c r="C21" s="12" t="n"/>
      <c r="D21" s="12" t="n"/>
      <c r="E21" s="12" t="n"/>
      <c r="F21" s="12" t="n"/>
      <c r="G21" s="12" t="n"/>
      <c r="H21" s="62">
        <f>C21-G21</f>
        <v/>
      </c>
      <c r="I21" s="86" t="n"/>
      <c r="J21" s="86" t="n"/>
    </row>
    <row r="22" s="28">
      <c r="A22" s="24" t="n"/>
      <c r="B22" s="25" t="inlineStr">
        <is>
          <t>入账金额合计</t>
        </is>
      </c>
      <c r="C22" s="24">
        <f>SUM(C7:C21)</f>
        <v/>
      </c>
      <c r="D22" s="24">
        <f>SUM(D7:D21)</f>
        <v/>
      </c>
      <c r="E22" s="24">
        <f>SUM(E7:E21)</f>
        <v/>
      </c>
      <c r="F22" s="24">
        <f>SUM(F7:F21)</f>
        <v/>
      </c>
      <c r="G22" s="26">
        <f>SUM(G7:G21)</f>
        <v/>
      </c>
      <c r="H22" s="26">
        <f>C22-G22+F22+E22</f>
        <v/>
      </c>
      <c r="I22" s="86" t="n"/>
      <c r="J22" s="86" t="n"/>
    </row>
    <row r="23" s="28">
      <c r="A23" s="27" t="n"/>
      <c r="B23" s="27" t="n"/>
      <c r="C23" s="27" t="n"/>
      <c r="D23" s="86" t="n"/>
      <c r="F23" s="27" t="n"/>
      <c r="G23" s="27" t="n"/>
      <c r="H23" s="27" t="n"/>
    </row>
    <row r="24" s="28">
      <c r="E24" s="86" t="n"/>
    </row>
    <row r="25" s="28">
      <c r="A25" s="31" t="inlineStr">
        <is>
          <t>Gift Card 充值明细</t>
        </is>
      </c>
      <c r="B25" s="98" t="n"/>
      <c r="C25" s="98" t="n"/>
      <c r="D25" s="99" t="n"/>
      <c r="E25" s="27" t="n"/>
    </row>
    <row r="26" s="28">
      <c r="A26" s="31" t="inlineStr">
        <is>
          <t>日期</t>
        </is>
      </c>
      <c r="B26" s="31" t="inlineStr">
        <is>
          <t>卡號</t>
        </is>
      </c>
      <c r="C26" s="31" t="inlineStr">
        <is>
          <t>充值方式</t>
        </is>
      </c>
      <c r="D26" s="31" t="inlineStr">
        <is>
          <t>充值金額</t>
        </is>
      </c>
      <c r="F26" s="31" t="inlineStr">
        <is>
          <t>每日应存现金</t>
        </is>
      </c>
      <c r="G26" s="32">
        <f>C7+D7+C44</f>
        <v/>
      </c>
      <c r="H26" s="103">
        <f>IF(T7=G26,1,0)</f>
        <v/>
      </c>
    </row>
    <row r="27" s="28">
      <c r="A27" s="33" t="n"/>
      <c r="B27" s="34" t="n"/>
      <c r="C27" s="34" t="n"/>
      <c r="D27" s="34" t="n"/>
      <c r="F27" s="32" t="inlineStr">
        <is>
          <t>&gt;0, 应存；&lt;0, 累计&gt;0时存入银行</t>
        </is>
      </c>
      <c r="G27" s="32" t="n"/>
      <c r="H27" s="31" t="n"/>
    </row>
    <row r="28" s="28">
      <c r="A28" s="33" t="n"/>
      <c r="B28" s="34" t="n"/>
      <c r="C28" s="34" t="n"/>
      <c r="D28" s="34" t="n"/>
    </row>
    <row r="29" s="28">
      <c r="A29" s="33" t="n"/>
      <c r="B29" s="34" t="n"/>
      <c r="C29" s="34" t="n"/>
      <c r="D29" s="34" t="n"/>
    </row>
    <row r="30" s="28">
      <c r="A30" s="33" t="n"/>
      <c r="B30" s="34" t="n"/>
      <c r="C30" s="34" t="n"/>
      <c r="D30" s="34" t="n"/>
    </row>
    <row r="31" s="28">
      <c r="A31" s="33" t="n"/>
      <c r="B31" s="34" t="n"/>
      <c r="C31" s="34" t="n"/>
      <c r="D31" s="34" t="n"/>
    </row>
    <row r="32" s="28">
      <c r="A32" s="33" t="n"/>
      <c r="B32" s="34" t="n"/>
      <c r="C32" s="34" t="n"/>
      <c r="D32" s="34" t="n"/>
    </row>
    <row r="33" s="28">
      <c r="A33" s="33" t="n"/>
      <c r="B33" s="17" t="n"/>
      <c r="C33" s="34" t="n"/>
      <c r="D33" s="34" t="n"/>
    </row>
    <row r="34" s="28">
      <c r="A34" s="33" t="n"/>
      <c r="B34" s="34" t="n"/>
      <c r="C34" s="34" t="n"/>
      <c r="D34" s="34" t="n"/>
      <c r="F34" s="13" t="n"/>
      <c r="G34" s="13" t="n"/>
      <c r="H34" s="13" t="n"/>
    </row>
    <row r="35" s="28">
      <c r="A35" s="33" t="n"/>
      <c r="B35" s="34" t="n"/>
      <c r="C35" s="34" t="n"/>
      <c r="D35" s="35" t="n"/>
      <c r="E35" s="13" t="n"/>
      <c r="F35" s="13" t="n"/>
      <c r="G35" s="13" t="n"/>
      <c r="H35" s="13" t="n"/>
    </row>
    <row r="36" s="28">
      <c r="A36" s="33" t="n"/>
      <c r="B36" s="34" t="n"/>
      <c r="C36" s="34" t="n"/>
      <c r="D36" s="35" t="n"/>
      <c r="E36" s="13" t="n"/>
      <c r="F36" s="13" t="n"/>
      <c r="G36" s="13" t="n"/>
      <c r="H36" s="13" t="n"/>
    </row>
    <row r="37" s="28">
      <c r="A37" s="33" t="n"/>
      <c r="B37" s="34" t="n"/>
      <c r="C37" s="34" t="n"/>
      <c r="D37" s="35" t="n"/>
      <c r="E37" s="13" t="n"/>
      <c r="F37" s="13" t="n"/>
      <c r="G37" s="13" t="n"/>
      <c r="H37" s="13" t="n"/>
    </row>
    <row r="38" s="28">
      <c r="A38" s="33" t="n"/>
      <c r="B38" s="34" t="n"/>
      <c r="C38" s="34" t="n"/>
      <c r="D38" s="35" t="n"/>
      <c r="E38" s="13" t="n"/>
      <c r="F38" s="13" t="n"/>
      <c r="G38" s="13" t="n"/>
      <c r="H38" s="13" t="n"/>
    </row>
    <row r="39" s="28">
      <c r="A39" s="33" t="n"/>
      <c r="B39" s="34" t="n"/>
      <c r="C39" s="34" t="n"/>
      <c r="D39" s="35" t="n"/>
      <c r="E39" s="13" t="n"/>
      <c r="F39" s="13" t="n"/>
      <c r="G39" s="13" t="n"/>
      <c r="H39" s="13" t="n"/>
    </row>
    <row r="40" s="28">
      <c r="A40" s="33" t="n"/>
      <c r="B40" s="34" t="n"/>
      <c r="C40" s="34" t="n"/>
      <c r="D40" s="35" t="n"/>
      <c r="E40" s="13" t="n"/>
      <c r="F40" s="13" t="n"/>
      <c r="G40" s="13" t="n"/>
      <c r="H40" s="13" t="n"/>
    </row>
    <row r="41" s="28">
      <c r="A41" s="33" t="n"/>
      <c r="B41" s="34" t="n"/>
      <c r="C41" s="34" t="n"/>
      <c r="D41" s="35" t="n"/>
      <c r="E41" s="13" t="n"/>
      <c r="F41" s="13" t="n"/>
      <c r="G41" s="13" t="n"/>
      <c r="H41" s="13" t="n"/>
    </row>
    <row r="42" s="28">
      <c r="A42" s="33" t="n"/>
      <c r="B42" s="34" t="n"/>
      <c r="C42" s="34" t="n"/>
      <c r="D42" s="35" t="n"/>
      <c r="E42" s="13" t="n"/>
      <c r="F42" s="13" t="n"/>
      <c r="G42" s="13" t="n"/>
      <c r="H42" s="13" t="n"/>
    </row>
    <row r="43" s="28">
      <c r="A43" s="33" t="n"/>
      <c r="B43" s="34" t="n"/>
      <c r="C43" s="34" t="n"/>
      <c r="D43" s="35" t="n"/>
      <c r="E43" s="13" t="n"/>
      <c r="F43" s="13" t="n"/>
      <c r="G43" s="13" t="n"/>
      <c r="H43" s="13" t="n"/>
    </row>
    <row r="44" s="28">
      <c r="A44" s="36" t="inlineStr">
        <is>
          <t>合计</t>
        </is>
      </c>
      <c r="B44" s="32">
        <f>SUM(B27:B43)</f>
        <v/>
      </c>
      <c r="C44" s="32">
        <f>SUM(C27:C43)</f>
        <v/>
      </c>
      <c r="D44" s="35" t="n"/>
      <c r="E44" s="13" t="n"/>
      <c r="F44" s="13" t="n"/>
      <c r="G44" s="13" t="n"/>
      <c r="H44" s="13" t="n"/>
    </row>
    <row r="45" s="28">
      <c r="D45" s="86" t="n"/>
      <c r="E45" s="86" t="n"/>
      <c r="F45" s="86" t="n"/>
      <c r="G45" s="86" t="n"/>
    </row>
    <row r="46" s="28">
      <c r="A46" s="107" t="inlineStr">
        <is>
          <t>禮品卡消費</t>
        </is>
      </c>
      <c r="B46" s="98" t="n"/>
      <c r="C46" s="98" t="n"/>
      <c r="D46" s="99" t="n"/>
    </row>
    <row r="47" s="28">
      <c r="A47" s="40" t="inlineStr">
        <is>
          <t>日期</t>
        </is>
      </c>
      <c r="B47" s="40" t="inlineStr">
        <is>
          <t>卡號</t>
        </is>
      </c>
      <c r="C47" s="40" t="inlineStr">
        <is>
          <t>消費金額</t>
        </is>
      </c>
      <c r="D47" s="40" t="inlineStr">
        <is>
          <t>小费</t>
        </is>
      </c>
    </row>
    <row r="48" s="28">
      <c r="A48" s="60" t="n">
        <v>44653</v>
      </c>
      <c r="B48" s="93" t="inlineStr">
        <is>
          <t>6038360183440034579</t>
        </is>
      </c>
      <c r="C48" s="80" t="n">
        <v>100</v>
      </c>
      <c r="D48" s="80" t="n">
        <v>46.28</v>
      </c>
    </row>
    <row r="49" s="28">
      <c r="A49" s="60" t="n">
        <v>44654</v>
      </c>
      <c r="B49" s="94" t="inlineStr">
        <is>
          <t>6038360183440025924</t>
        </is>
      </c>
      <c r="C49" s="80" t="n">
        <v>50</v>
      </c>
      <c r="D49" s="80" t="n">
        <v>0</v>
      </c>
    </row>
    <row r="50" s="28">
      <c r="A50" s="60" t="n">
        <v>44655</v>
      </c>
      <c r="B50" s="93" t="inlineStr">
        <is>
          <t>6038360183440018085</t>
        </is>
      </c>
      <c r="C50" s="80" t="n">
        <v>100</v>
      </c>
      <c r="D50" s="80" t="n">
        <v>16.28</v>
      </c>
    </row>
    <row r="51" s="28">
      <c r="A51" s="80" t="n"/>
      <c r="B51" s="80" t="n"/>
      <c r="C51" s="80" t="n"/>
      <c r="D51" s="80" t="n"/>
    </row>
    <row r="52" s="28">
      <c r="A52" s="80" t="n"/>
      <c r="B52" s="80" t="n"/>
      <c r="C52" s="80" t="n"/>
      <c r="D52" s="80" t="n"/>
    </row>
    <row r="53" s="28">
      <c r="A53" s="80" t="n"/>
      <c r="B53" s="80" t="n"/>
      <c r="C53" s="80" t="n"/>
      <c r="D53" s="80" t="n"/>
    </row>
    <row r="54" s="28">
      <c r="A54" s="80" t="n"/>
      <c r="B54" s="80" t="n"/>
      <c r="C54" s="80" t="n"/>
      <c r="D54" s="80" t="n"/>
    </row>
    <row r="55" s="28">
      <c r="A55" s="80" t="n"/>
      <c r="B55" s="80" t="n"/>
      <c r="C55" s="80" t="n"/>
      <c r="D55" s="80" t="n"/>
    </row>
    <row r="56" s="28">
      <c r="A56" s="80" t="n"/>
      <c r="B56" s="80" t="n"/>
      <c r="C56" s="80" t="n"/>
      <c r="D56" s="80" t="n"/>
    </row>
    <row r="57" s="28">
      <c r="A57" s="80" t="n"/>
      <c r="B57" s="80" t="n"/>
      <c r="C57" s="80" t="n"/>
      <c r="D57" s="80" t="n"/>
    </row>
    <row r="58" s="28">
      <c r="A58" s="80" t="n"/>
      <c r="B58" s="80" t="n"/>
      <c r="C58" s="80" t="n"/>
      <c r="D58" s="80" t="n"/>
    </row>
    <row r="59" s="28">
      <c r="A59" s="80" t="n"/>
      <c r="B59" s="80" t="n"/>
      <c r="C59" s="80" t="n"/>
      <c r="D59" s="80" t="n"/>
    </row>
    <row r="60" s="28">
      <c r="A60" s="80" t="n"/>
      <c r="B60" s="80" t="n"/>
      <c r="C60" s="80" t="n"/>
      <c r="D60" s="80" t="n"/>
    </row>
    <row r="61" s="28">
      <c r="A61" s="80" t="n"/>
      <c r="B61" s="80" t="n"/>
      <c r="C61" s="80" t="n"/>
      <c r="D61" s="80" t="n"/>
    </row>
    <row r="62" s="28">
      <c r="A62" s="80" t="n"/>
      <c r="B62" s="80" t="n"/>
      <c r="C62" s="80" t="n"/>
      <c r="D62" s="80" t="n"/>
    </row>
    <row r="63" s="28">
      <c r="A63" s="80" t="n"/>
      <c r="B63" s="80" t="n"/>
      <c r="C63" s="80" t="n"/>
      <c r="D63" s="80" t="n"/>
    </row>
    <row r="64" s="28">
      <c r="A64" s="80" t="n"/>
      <c r="B64" s="80" t="n"/>
      <c r="C64" s="80" t="n"/>
      <c r="D64" s="80" t="n"/>
    </row>
    <row r="65" s="28">
      <c r="A65" s="80" t="n"/>
      <c r="B65" s="80" t="n"/>
      <c r="C65" s="80" t="n"/>
      <c r="D65" s="80" t="n"/>
    </row>
    <row r="66" s="28">
      <c r="A66" s="80" t="n"/>
      <c r="B66" s="80" t="n"/>
      <c r="C66" s="80" t="n"/>
      <c r="D66" s="80" t="n"/>
    </row>
    <row r="67" s="28">
      <c r="A67" s="80" t="n"/>
      <c r="B67" s="80" t="n"/>
      <c r="C67" s="80" t="n"/>
      <c r="D67" s="80" t="n"/>
    </row>
  </sheetData>
  <mergeCells count="5">
    <mergeCell ref="E1:H1"/>
    <mergeCell ref="L1:M1"/>
    <mergeCell ref="N1:O1"/>
    <mergeCell ref="A25:D25"/>
    <mergeCell ref="A46:D46"/>
  </mergeCells>
  <pageMargins left="0.699305555555556" right="0.699305555555556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67"/>
  <sheetViews>
    <sheetView zoomScale="70" zoomScaleNormal="70" workbookViewId="0">
      <selection activeCell="D22" sqref="D22"/>
    </sheetView>
  </sheetViews>
  <sheetFormatPr baseColWidth="8" defaultColWidth="9" defaultRowHeight="18.85" customHeight="1"/>
  <cols>
    <col width="14.5350877192982" customWidth="1" style="28" min="1" max="1"/>
    <col width="20.2017543859649" customWidth="1" style="28" min="2" max="2"/>
    <col width="20.2631578947368" customWidth="1" style="28" min="3" max="3"/>
    <col width="14.8771929824561" customWidth="1" style="28" min="4" max="4"/>
    <col width="14.2017543859649" customWidth="1" style="28" min="5" max="5"/>
    <col width="17.3333333333333" customWidth="1" style="28" min="6" max="6"/>
    <col width="21.7368421052632" customWidth="1" style="28" min="7" max="7"/>
    <col width="21.7982456140351" customWidth="1" style="28" min="8" max="8"/>
    <col width="17.1315789473684" customWidth="1" style="28" min="9" max="9"/>
    <col width="13.7543859649123" customWidth="1" style="28" min="10" max="10"/>
    <col width="17.640350877193" customWidth="1" style="28" min="11" max="11"/>
    <col width="11.9298245614035" customWidth="1" style="28" min="12" max="12"/>
    <col width="9.52631578947368" customWidth="1" style="28" min="14" max="14"/>
  </cols>
  <sheetData>
    <row r="1" s="28">
      <c r="A1" s="80" t="inlineStr">
        <is>
          <t>商品销售</t>
        </is>
      </c>
      <c r="B1" s="3" t="n">
        <v>0</v>
      </c>
      <c r="L1" s="100" t="inlineStr">
        <is>
          <t>moneris</t>
        </is>
      </c>
      <c r="M1" s="99" t="n"/>
      <c r="N1" s="101" t="inlineStr">
        <is>
          <t>payfactor</t>
        </is>
      </c>
      <c r="O1" s="99" t="n"/>
      <c r="R1" s="80" t="n">
        <v>5</v>
      </c>
      <c r="S1" s="86" t="n">
        <v>100</v>
      </c>
      <c r="T1" s="58">
        <f>R1*S1</f>
        <v/>
      </c>
    </row>
    <row r="2" s="28">
      <c r="A2" s="80" t="inlineStr">
        <is>
          <t>堂食收入</t>
        </is>
      </c>
      <c r="B2" s="3" t="n">
        <v>16781.15</v>
      </c>
      <c r="C2" s="5" t="n"/>
      <c r="H2" s="86" t="n"/>
      <c r="L2" s="45" t="inlineStr">
        <is>
          <t>菜品金额</t>
        </is>
      </c>
      <c r="M2" s="45" t="inlineStr">
        <is>
          <t>小费</t>
        </is>
      </c>
      <c r="N2" s="46" t="inlineStr">
        <is>
          <t>菜品金额</t>
        </is>
      </c>
      <c r="O2" s="46" t="inlineStr">
        <is>
          <t>小费</t>
        </is>
      </c>
      <c r="R2" s="80" t="n">
        <v>8</v>
      </c>
      <c r="S2" s="86" t="n">
        <v>50</v>
      </c>
      <c r="T2" s="58">
        <f>R2*S2</f>
        <v/>
      </c>
    </row>
    <row r="3" s="28">
      <c r="A3" s="80" t="inlineStr">
        <is>
          <t>外送收入</t>
        </is>
      </c>
      <c r="B3" s="70" t="n">
        <v>1845.45</v>
      </c>
      <c r="C3" s="7" t="n"/>
      <c r="G3" s="86" t="n"/>
      <c r="L3" s="80" t="n">
        <v>1334.07</v>
      </c>
      <c r="M3" s="80" t="n">
        <v>174.9</v>
      </c>
      <c r="N3" s="80" t="n">
        <v>1541.01</v>
      </c>
      <c r="O3" s="80" t="n">
        <v>202.9</v>
      </c>
      <c r="R3" s="80" t="n">
        <v>30</v>
      </c>
      <c r="S3" s="86" t="n">
        <v>20</v>
      </c>
      <c r="T3" s="58">
        <f>R3*S3</f>
        <v/>
      </c>
    </row>
    <row r="4" s="28">
      <c r="A4" s="61" t="inlineStr">
        <is>
          <t>收入合计</t>
        </is>
      </c>
      <c r="B4" s="61">
        <f>B2+B3+B1</f>
        <v/>
      </c>
      <c r="L4" s="80" t="n">
        <v>1808.87</v>
      </c>
      <c r="M4" s="80" t="n">
        <v>231.31</v>
      </c>
      <c r="N4" s="80" t="n">
        <v>2350.69</v>
      </c>
      <c r="O4" s="80" t="n">
        <v>303.62</v>
      </c>
      <c r="R4" s="80" t="n">
        <v>9</v>
      </c>
      <c r="S4" s="86" t="n">
        <v>10</v>
      </c>
      <c r="T4" s="58">
        <f>R4*S4</f>
        <v/>
      </c>
    </row>
    <row r="5" customFormat="1" s="86">
      <c r="I5" s="86" t="n"/>
      <c r="J5" s="86" t="n"/>
      <c r="L5" s="80" t="n">
        <v>96.66</v>
      </c>
      <c r="M5" s="80" t="n">
        <v>12.61</v>
      </c>
      <c r="N5" s="80" t="n">
        <v>1980.78</v>
      </c>
      <c r="O5" s="80" t="n">
        <v>259.33</v>
      </c>
      <c r="R5" s="80" t="n">
        <v>5</v>
      </c>
      <c r="S5" s="86" t="n">
        <v>5</v>
      </c>
      <c r="T5" s="58">
        <f>R5*S5</f>
        <v/>
      </c>
    </row>
    <row r="6" s="28">
      <c r="A6" s="8" t="inlineStr">
        <is>
          <t>客户代码</t>
        </is>
      </c>
      <c r="B6" s="8" t="inlineStr">
        <is>
          <t>客户名称</t>
        </is>
      </c>
      <c r="C6" s="8" t="inlineStr">
        <is>
          <t>营业款-小票金额</t>
        </is>
      </c>
      <c r="D6" s="8" t="inlineStr">
        <is>
          <t>小费</t>
        </is>
      </c>
      <c r="E6" s="8" t="inlineStr">
        <is>
          <t>饭团手续费</t>
        </is>
      </c>
      <c r="F6" s="8" t="inlineStr">
        <is>
          <t>点评</t>
        </is>
      </c>
      <c r="G6" s="8" t="inlineStr">
        <is>
          <t>红火台金额</t>
        </is>
      </c>
      <c r="H6" s="8" t="inlineStr">
        <is>
          <t>复核</t>
        </is>
      </c>
      <c r="I6" s="86" t="n"/>
      <c r="J6" s="86" t="n"/>
      <c r="L6" s="80" t="n"/>
      <c r="M6" s="80" t="n"/>
      <c r="N6" s="80" t="n">
        <v>743.08</v>
      </c>
      <c r="O6" s="80" t="n">
        <v>81.58</v>
      </c>
    </row>
    <row r="7" s="28">
      <c r="A7" s="9" t="inlineStr">
        <is>
          <t>301737</t>
        </is>
      </c>
      <c r="B7" s="10" t="inlineStr">
        <is>
          <t>现金</t>
        </is>
      </c>
      <c r="C7" s="13">
        <f>206.15+547+178+758.4+44+36+7.3+18-360</f>
        <v/>
      </c>
      <c r="D7" s="12">
        <f>13.85+47.5+30+90.85+2.2-4.25</f>
        <v/>
      </c>
      <c r="E7" s="12" t="n"/>
      <c r="F7" s="12" t="n"/>
      <c r="G7" s="13" t="n">
        <v>1434.85</v>
      </c>
      <c r="H7" s="62">
        <f>C7-G7</f>
        <v/>
      </c>
      <c r="I7" s="86" t="n"/>
      <c r="J7" s="86" t="n"/>
      <c r="L7" s="80" t="n"/>
      <c r="M7" s="80" t="n"/>
      <c r="N7" s="104" t="n">
        <v>3333.99</v>
      </c>
      <c r="O7" s="80" t="n">
        <v>446.46</v>
      </c>
      <c r="S7" s="65" t="inlineStr">
        <is>
          <t>total:</t>
        </is>
      </c>
      <c r="T7" s="65">
        <f>SUM(T1:T6)</f>
        <v/>
      </c>
    </row>
    <row r="8" s="28">
      <c r="A8" s="9" t="inlineStr">
        <is>
          <t>304102</t>
        </is>
      </c>
      <c r="B8" s="9" t="inlineStr">
        <is>
          <t>刷卡</t>
        </is>
      </c>
      <c r="C8" s="12">
        <f>L11+N11-D8</f>
        <v/>
      </c>
      <c r="D8" s="12">
        <f>M11+O11+0.07</f>
        <v/>
      </c>
      <c r="E8" s="12" t="n"/>
      <c r="F8" s="12" t="n"/>
      <c r="G8" s="12" t="n">
        <v>12653.47</v>
      </c>
      <c r="H8" s="62">
        <f>C8-G8</f>
        <v/>
      </c>
      <c r="I8" s="86" t="n"/>
      <c r="J8" s="86" t="n"/>
      <c r="K8" s="86" t="n"/>
      <c r="L8" s="80" t="n"/>
      <c r="M8" s="80" t="n"/>
      <c r="N8" s="80" t="n">
        <v>1323.38</v>
      </c>
      <c r="O8" s="80" t="n">
        <v>146.28</v>
      </c>
    </row>
    <row r="9" s="28">
      <c r="A9" s="9" t="inlineStr">
        <is>
          <t>304111</t>
        </is>
      </c>
      <c r="B9" s="9" t="inlineStr">
        <is>
          <t>微信支付宝</t>
        </is>
      </c>
      <c r="C9" s="86">
        <f>3213.89-D9</f>
        <v/>
      </c>
      <c r="D9" s="86" t="n">
        <v>388.81</v>
      </c>
      <c r="E9" s="80" t="n"/>
      <c r="F9" s="12" t="n"/>
      <c r="G9" s="86">
        <f>517.61+2307.47</f>
        <v/>
      </c>
      <c r="H9" s="62">
        <f>C9-G9</f>
        <v/>
      </c>
      <c r="I9" s="86" t="n"/>
      <c r="J9" s="86" t="n"/>
      <c r="K9" s="86" t="n"/>
      <c r="L9" s="80" t="n"/>
      <c r="M9" s="80" t="n"/>
      <c r="N9" s="80" t="n"/>
      <c r="O9" s="80" t="n"/>
    </row>
    <row r="10" s="28">
      <c r="A10" s="9" t="inlineStr">
        <is>
          <t>304240</t>
        </is>
      </c>
      <c r="B10" s="9" t="inlineStr">
        <is>
          <t>饭团</t>
        </is>
      </c>
      <c r="C10" s="86" t="n">
        <v>1014.23</v>
      </c>
      <c r="D10" s="12" t="n"/>
      <c r="E10" s="12">
        <f>294.17+32.38+27.86</f>
        <v/>
      </c>
      <c r="F10" s="12" t="n"/>
      <c r="G10" s="86" t="n">
        <v>1367.05</v>
      </c>
      <c r="H10" s="62">
        <f>C10-G10+D10+F10+E10</f>
        <v/>
      </c>
      <c r="I10" s="86" t="inlineStr">
        <is>
          <t>尾差</t>
        </is>
      </c>
      <c r="J10" s="86" t="n"/>
      <c r="K10" s="86" t="n"/>
      <c r="L10" s="80" t="n"/>
      <c r="M10" s="80" t="n"/>
      <c r="N10" s="80" t="n"/>
      <c r="O10" s="80" t="n"/>
    </row>
    <row r="11" s="28">
      <c r="A11" s="9" t="inlineStr">
        <is>
          <t>304432</t>
        </is>
      </c>
      <c r="B11" s="9" t="inlineStr">
        <is>
          <t>礼品卡</t>
        </is>
      </c>
      <c r="C11" s="17" t="n"/>
      <c r="D11" s="12" t="n"/>
      <c r="E11" s="12" t="n"/>
      <c r="F11" s="12" t="n"/>
      <c r="G11" s="35" t="n"/>
      <c r="H11" s="62">
        <f>C11-G11</f>
        <v/>
      </c>
      <c r="I11" s="86" t="n"/>
      <c r="J11" s="86" t="n"/>
      <c r="L11" s="53">
        <f>SUM(L1:L10)</f>
        <v/>
      </c>
      <c r="M11" s="53">
        <f>SUM(M1:M10)</f>
        <v/>
      </c>
      <c r="N11" s="64">
        <f>SUM(N1:N10)</f>
        <v/>
      </c>
      <c r="O11" s="64">
        <f>SUM(O1:O10)</f>
        <v/>
      </c>
    </row>
    <row r="12" s="28">
      <c r="A12" s="9" t="inlineStr">
        <is>
          <t>305476</t>
        </is>
      </c>
      <c r="B12" s="9" t="inlineStr">
        <is>
          <t>DoorDash</t>
        </is>
      </c>
      <c r="C12" s="12" t="n"/>
      <c r="D12" s="12" t="n"/>
      <c r="E12" s="12" t="n"/>
      <c r="F12" s="12" t="n"/>
      <c r="G12" s="19" t="n"/>
      <c r="H12" s="62">
        <f>C12-G12</f>
        <v/>
      </c>
      <c r="I12" s="86" t="n"/>
      <c r="J12" s="86" t="n"/>
    </row>
    <row r="13" s="28">
      <c r="A13" s="9" t="inlineStr">
        <is>
          <t>305477</t>
        </is>
      </c>
      <c r="B13" s="9" t="inlineStr">
        <is>
          <t>SKIP</t>
        </is>
      </c>
      <c r="C13" s="12" t="n"/>
      <c r="D13" s="12" t="n"/>
      <c r="E13" s="12" t="n"/>
      <c r="F13" s="12" t="n"/>
      <c r="G13" s="19" t="n"/>
      <c r="H13" s="62">
        <f>C13-G13</f>
        <v/>
      </c>
      <c r="I13" s="86" t="n"/>
      <c r="J13" s="86" t="n"/>
      <c r="N13" s="55" t="n"/>
    </row>
    <row r="14" s="28">
      <c r="A14" s="9" t="inlineStr">
        <is>
          <t>305478</t>
        </is>
      </c>
      <c r="B14" s="9" t="inlineStr">
        <is>
          <t>Ubereat</t>
        </is>
      </c>
      <c r="C14" s="86" t="n">
        <v>207.09</v>
      </c>
      <c r="D14" s="12" t="n"/>
      <c r="E14" s="12" t="n"/>
      <c r="F14" s="12" t="n"/>
      <c r="G14" s="86" t="n">
        <v>208.5</v>
      </c>
      <c r="H14" s="62">
        <f>C14-G14</f>
        <v/>
      </c>
      <c r="I14" s="86" t="inlineStr">
        <is>
          <t>尾差</t>
        </is>
      </c>
      <c r="K14" s="86" t="n"/>
    </row>
    <row r="15" s="28">
      <c r="A15" s="9" t="inlineStr">
        <is>
          <t>305479</t>
        </is>
      </c>
      <c r="B15" s="9" t="inlineStr">
        <is>
          <t>Chowbus</t>
        </is>
      </c>
      <c r="C15" s="12" t="n"/>
      <c r="D15" s="12" t="n"/>
      <c r="E15" s="12" t="n"/>
      <c r="F15" s="12" t="n"/>
      <c r="G15" s="12" t="n"/>
      <c r="H15" s="62">
        <f>C15-G15</f>
        <v/>
      </c>
      <c r="I15" s="86" t="n"/>
      <c r="J15" s="86" t="n"/>
      <c r="K15" s="86" t="n"/>
    </row>
    <row r="16" s="28">
      <c r="A16" s="9" t="inlineStr">
        <is>
          <t>305510</t>
        </is>
      </c>
      <c r="B16" s="9" t="inlineStr">
        <is>
          <t>snappy</t>
        </is>
      </c>
      <c r="C16" s="86" t="n">
        <v>137.6</v>
      </c>
      <c r="D16" s="20" t="n"/>
      <c r="E16" s="21" t="n"/>
      <c r="F16" s="12" t="n"/>
      <c r="G16" s="86" t="n">
        <v>137.65</v>
      </c>
      <c r="H16" s="62">
        <f>C16-G16-D16</f>
        <v/>
      </c>
      <c r="I16" s="86" t="inlineStr">
        <is>
          <t>尾差</t>
        </is>
      </c>
      <c r="J16" s="86" t="n"/>
      <c r="K16" s="86" t="n"/>
    </row>
    <row r="17" s="28">
      <c r="A17" s="9" t="n"/>
      <c r="B17" s="9" t="inlineStr">
        <is>
          <t>panda</t>
        </is>
      </c>
      <c r="C17" s="80" t="n"/>
      <c r="D17" s="22" t="n"/>
      <c r="E17" s="22" t="n"/>
      <c r="F17" s="12" t="n"/>
      <c r="G17" s="35" t="n"/>
      <c r="H17" s="62">
        <f>C17-G17</f>
        <v/>
      </c>
      <c r="I17" s="57" t="n"/>
      <c r="J17" s="86" t="n"/>
      <c r="K17" s="86" t="n"/>
    </row>
    <row r="18" s="28">
      <c r="A18" s="92" t="inlineStr">
        <is>
          <t>305606</t>
        </is>
      </c>
      <c r="B18" s="9" t="inlineStr">
        <is>
          <t>tapin</t>
        </is>
      </c>
      <c r="C18" s="12" t="n"/>
      <c r="D18" s="12" t="n"/>
      <c r="E18" s="12" t="n"/>
      <c r="F18" s="12" t="n"/>
      <c r="G18" s="35" t="n"/>
      <c r="H18" s="62">
        <f>C18-G18</f>
        <v/>
      </c>
      <c r="I18" s="86" t="n"/>
      <c r="J18" s="86" t="n"/>
    </row>
    <row r="19" s="28">
      <c r="A19" s="9" t="inlineStr">
        <is>
          <t>305512</t>
        </is>
      </c>
      <c r="B19" s="9" t="inlineStr">
        <is>
          <t>VANPEOPLE</t>
        </is>
      </c>
      <c r="C19" s="72" t="n"/>
      <c r="D19" s="12" t="n"/>
      <c r="E19" s="12" t="n"/>
      <c r="F19" s="12" t="n"/>
      <c r="G19" s="108" t="n"/>
      <c r="H19" s="62">
        <f>C19-G19</f>
        <v/>
      </c>
      <c r="I19" s="86" t="inlineStr">
        <is>
          <t>尾差</t>
        </is>
      </c>
      <c r="J19" s="86" t="n"/>
    </row>
    <row r="20" s="28">
      <c r="A20" s="9" t="inlineStr">
        <is>
          <t>305830</t>
        </is>
      </c>
      <c r="B20" s="9" t="inlineStr">
        <is>
          <t>Easi</t>
        </is>
      </c>
      <c r="C20" s="12" t="n"/>
      <c r="D20" s="12" t="n"/>
      <c r="E20" s="12" t="n"/>
      <c r="F20" s="12" t="n"/>
      <c r="G20" s="12" t="n"/>
      <c r="H20" s="62">
        <f>C20-G20</f>
        <v/>
      </c>
      <c r="I20" s="86" t="n"/>
      <c r="J20" s="86" t="n"/>
    </row>
    <row r="21" s="28">
      <c r="A21" s="92" t="inlineStr">
        <is>
          <t>305606</t>
        </is>
      </c>
      <c r="B21" s="9" t="inlineStr">
        <is>
          <t>VANPEOPLE</t>
        </is>
      </c>
      <c r="C21" s="12" t="n"/>
      <c r="D21" s="12" t="n"/>
      <c r="E21" s="12" t="n"/>
      <c r="F21" s="12" t="n"/>
      <c r="G21" s="12" t="n"/>
      <c r="H21" s="62">
        <f>C21-G21</f>
        <v/>
      </c>
      <c r="I21" s="86" t="n"/>
      <c r="J21" s="86" t="n"/>
    </row>
    <row r="22" s="28">
      <c r="A22" s="24" t="n"/>
      <c r="B22" s="25" t="inlineStr">
        <is>
          <t>入账金额合计</t>
        </is>
      </c>
      <c r="C22" s="24">
        <f>SUM(C7:C21)</f>
        <v/>
      </c>
      <c r="D22" s="24">
        <f>SUM(D7:D21)</f>
        <v/>
      </c>
      <c r="E22" s="24">
        <f>SUM(E7:E21)</f>
        <v/>
      </c>
      <c r="F22" s="24">
        <f>SUM(F7:F21)</f>
        <v/>
      </c>
      <c r="G22" s="26">
        <f>SUM(G7:G21)</f>
        <v/>
      </c>
      <c r="H22" s="26">
        <f>C22-G22+F22+E22</f>
        <v/>
      </c>
      <c r="I22" s="86" t="n"/>
      <c r="J22" s="86" t="n"/>
    </row>
    <row r="23" s="28">
      <c r="A23" s="27" t="n"/>
      <c r="B23" s="27" t="n"/>
      <c r="C23" s="27" t="n"/>
      <c r="D23" s="86" t="n"/>
      <c r="F23" s="27" t="n"/>
      <c r="G23" s="27" t="n"/>
      <c r="H23" s="27" t="n"/>
    </row>
    <row r="24" s="28">
      <c r="E24" s="86" t="n"/>
    </row>
    <row r="25" s="28">
      <c r="A25" s="29" t="inlineStr">
        <is>
          <t>Gift Card 充值明细</t>
        </is>
      </c>
      <c r="E25" s="27" t="n"/>
    </row>
    <row r="26" s="28">
      <c r="A26" s="8" t="inlineStr">
        <is>
          <t>日期</t>
        </is>
      </c>
      <c r="B26" s="8" t="inlineStr">
        <is>
          <t>卡號</t>
        </is>
      </c>
      <c r="C26" s="8" t="inlineStr">
        <is>
          <t>充值方式</t>
        </is>
      </c>
      <c r="D26" s="31" t="inlineStr">
        <is>
          <t>充值金額</t>
        </is>
      </c>
      <c r="F26" s="31" t="inlineStr">
        <is>
          <t>每日应存现金</t>
        </is>
      </c>
      <c r="G26" s="32">
        <f>C7+D7+C44</f>
        <v/>
      </c>
      <c r="H26" s="61" t="n"/>
    </row>
    <row r="27" s="28">
      <c r="A27" s="33" t="n"/>
      <c r="B27" s="34" t="n"/>
      <c r="C27" s="34" t="n"/>
      <c r="D27" s="34" t="n"/>
      <c r="F27" s="32" t="inlineStr">
        <is>
          <t>&gt;0, 应存；&lt;0, 累计&gt;0时存入银行</t>
        </is>
      </c>
      <c r="G27" s="32" t="n"/>
      <c r="H27" s="31" t="n"/>
    </row>
    <row r="28" s="28">
      <c r="A28" s="33" t="n"/>
      <c r="B28" s="34" t="n"/>
      <c r="C28" s="34" t="n"/>
      <c r="D28" s="34" t="n"/>
    </row>
    <row r="29" s="28">
      <c r="A29" s="33" t="n"/>
      <c r="B29" s="34" t="n"/>
      <c r="C29" s="34" t="n"/>
      <c r="D29" s="34" t="n"/>
    </row>
    <row r="30" s="28">
      <c r="A30" s="33" t="n"/>
      <c r="B30" s="34" t="n"/>
      <c r="C30" s="34" t="n"/>
      <c r="D30" s="34" t="n"/>
    </row>
    <row r="31" s="28">
      <c r="A31" s="33" t="n"/>
      <c r="B31" s="34" t="n"/>
      <c r="C31" s="34" t="n"/>
      <c r="D31" s="34" t="n"/>
    </row>
    <row r="32" s="28">
      <c r="A32" s="33" t="n"/>
      <c r="B32" s="34" t="n"/>
      <c r="C32" s="34" t="n"/>
      <c r="D32" s="34" t="n"/>
    </row>
    <row r="33" s="28">
      <c r="A33" s="33" t="n"/>
      <c r="B33" s="17" t="n"/>
      <c r="C33" s="34" t="n"/>
      <c r="D33" s="34" t="n"/>
    </row>
    <row r="34" s="28">
      <c r="A34" s="33" t="n"/>
      <c r="B34" s="34" t="n"/>
      <c r="C34" s="34" t="n"/>
      <c r="D34" s="34" t="n"/>
      <c r="F34" s="13" t="n"/>
      <c r="G34" s="13" t="n"/>
      <c r="H34" s="13" t="n"/>
    </row>
    <row r="35" s="28">
      <c r="A35" s="33" t="n"/>
      <c r="B35" s="34" t="n"/>
      <c r="C35" s="34" t="n"/>
      <c r="D35" s="35" t="n"/>
      <c r="E35" s="13" t="n"/>
      <c r="F35" s="13" t="n"/>
      <c r="G35" s="13" t="n"/>
      <c r="H35" s="13" t="n"/>
    </row>
    <row r="36" s="28">
      <c r="A36" s="33" t="n"/>
      <c r="B36" s="34" t="n"/>
      <c r="C36" s="34" t="n"/>
      <c r="D36" s="35" t="n"/>
      <c r="E36" s="13" t="n"/>
      <c r="F36" s="13" t="n"/>
      <c r="G36" s="13" t="n"/>
      <c r="H36" s="13" t="n"/>
    </row>
    <row r="37" s="28">
      <c r="A37" s="33" t="n"/>
      <c r="B37" s="34" t="n"/>
      <c r="C37" s="34" t="n"/>
      <c r="D37" s="35" t="n"/>
      <c r="E37" s="13" t="n"/>
      <c r="F37" s="13" t="n"/>
      <c r="G37" s="13" t="n"/>
      <c r="H37" s="13" t="n"/>
    </row>
    <row r="38" s="28">
      <c r="A38" s="33" t="n"/>
      <c r="B38" s="34" t="n"/>
      <c r="C38" s="34" t="n"/>
      <c r="D38" s="35" t="n"/>
      <c r="E38" s="13" t="n"/>
      <c r="F38" s="13" t="n"/>
      <c r="G38" s="13" t="n"/>
      <c r="H38" s="13" t="n"/>
    </row>
    <row r="39" s="28">
      <c r="A39" s="33" t="n"/>
      <c r="B39" s="34" t="n"/>
      <c r="C39" s="34" t="n"/>
      <c r="D39" s="35" t="n"/>
      <c r="E39" s="13" t="n"/>
      <c r="F39" s="13" t="n"/>
      <c r="G39" s="13" t="n"/>
      <c r="H39" s="13" t="n"/>
    </row>
    <row r="40" s="28">
      <c r="A40" s="33" t="n"/>
      <c r="B40" s="34" t="n"/>
      <c r="C40" s="34" t="n"/>
      <c r="D40" s="35" t="n"/>
      <c r="E40" s="13" t="n"/>
      <c r="F40" s="13" t="n"/>
      <c r="G40" s="13" t="n"/>
      <c r="H40" s="13" t="n"/>
    </row>
    <row r="41" s="28">
      <c r="A41" s="33" t="n"/>
      <c r="B41" s="34" t="n"/>
      <c r="C41" s="34" t="n"/>
      <c r="D41" s="35" t="n"/>
      <c r="E41" s="13" t="n"/>
      <c r="F41" s="13" t="n"/>
      <c r="G41" s="13" t="n"/>
      <c r="H41" s="13" t="n"/>
    </row>
    <row r="42" s="28">
      <c r="A42" s="33" t="n"/>
      <c r="B42" s="34" t="n"/>
      <c r="C42" s="34" t="n"/>
      <c r="D42" s="35" t="n"/>
      <c r="E42" s="13" t="n"/>
      <c r="F42" s="13" t="n"/>
      <c r="G42" s="13" t="n"/>
      <c r="H42" s="13" t="n"/>
    </row>
    <row r="43" s="28">
      <c r="A43" s="33" t="n"/>
      <c r="B43" s="34" t="n"/>
      <c r="C43" s="34" t="n"/>
      <c r="D43" s="35" t="n"/>
      <c r="E43" s="13" t="n"/>
      <c r="F43" s="13" t="n"/>
      <c r="G43" s="13" t="n"/>
      <c r="H43" s="13" t="n"/>
    </row>
    <row r="44" s="28">
      <c r="A44" s="36" t="inlineStr">
        <is>
          <t>合计</t>
        </is>
      </c>
      <c r="B44" s="32">
        <f>SUM(B27:B43)</f>
        <v/>
      </c>
      <c r="C44" s="32">
        <f>SUM(C27:C43)</f>
        <v/>
      </c>
      <c r="D44" s="35" t="n"/>
      <c r="E44" s="13" t="n"/>
      <c r="F44" s="13" t="n"/>
      <c r="G44" s="13" t="n"/>
      <c r="H44" s="13" t="n"/>
    </row>
    <row r="45" s="28">
      <c r="D45" s="86" t="n"/>
      <c r="E45" s="86" t="n"/>
      <c r="F45" s="86" t="n"/>
      <c r="G45" s="86" t="n"/>
    </row>
    <row r="46" s="28">
      <c r="A46" s="107" t="inlineStr">
        <is>
          <t>禮品卡消費</t>
        </is>
      </c>
      <c r="B46" s="98" t="n"/>
      <c r="C46" s="98" t="n"/>
      <c r="D46" s="99" t="n"/>
    </row>
    <row r="47" s="28">
      <c r="A47" s="40" t="inlineStr">
        <is>
          <t>日期</t>
        </is>
      </c>
      <c r="B47" s="40" t="inlineStr">
        <is>
          <t>卡號</t>
        </is>
      </c>
      <c r="C47" s="40" t="inlineStr">
        <is>
          <t>消費金額</t>
        </is>
      </c>
      <c r="D47" s="40" t="inlineStr">
        <is>
          <t>小费</t>
        </is>
      </c>
    </row>
    <row r="48" s="28">
      <c r="A48" s="60" t="n">
        <v>44653</v>
      </c>
      <c r="B48" s="93" t="inlineStr">
        <is>
          <t>6038360183440034579</t>
        </is>
      </c>
      <c r="C48" s="80" t="n">
        <v>100</v>
      </c>
      <c r="D48" s="80" t="n">
        <v>46.28</v>
      </c>
    </row>
    <row r="49" s="28">
      <c r="A49" s="60" t="n">
        <v>44654</v>
      </c>
      <c r="B49" s="94" t="inlineStr">
        <is>
          <t>6038360183440025924</t>
        </is>
      </c>
      <c r="C49" s="80" t="n">
        <v>50</v>
      </c>
      <c r="D49" s="80" t="n">
        <v>0</v>
      </c>
    </row>
    <row r="50" s="28">
      <c r="A50" s="60" t="n">
        <v>44655</v>
      </c>
      <c r="B50" s="93" t="inlineStr">
        <is>
          <t>6038360183440018085</t>
        </is>
      </c>
      <c r="C50" s="80" t="n">
        <v>100</v>
      </c>
      <c r="D50" s="80" t="n">
        <v>16.28</v>
      </c>
    </row>
    <row r="51" s="28">
      <c r="A51" s="80" t="n"/>
      <c r="B51" s="80" t="n"/>
      <c r="C51" s="80" t="n"/>
      <c r="D51" s="80" t="n"/>
    </row>
    <row r="52" s="28">
      <c r="A52" s="80" t="n"/>
      <c r="B52" s="80" t="n"/>
      <c r="C52" s="80" t="n"/>
      <c r="D52" s="80" t="n"/>
    </row>
    <row r="53" s="28">
      <c r="A53" s="80" t="n"/>
      <c r="B53" s="80" t="n"/>
      <c r="C53" s="80" t="n"/>
      <c r="D53" s="80" t="n"/>
    </row>
    <row r="54" s="28">
      <c r="A54" s="80" t="n"/>
      <c r="B54" s="80" t="n"/>
      <c r="C54" s="80" t="n"/>
      <c r="D54" s="80" t="n"/>
    </row>
    <row r="55" s="28">
      <c r="A55" s="80" t="n"/>
      <c r="B55" s="80" t="n"/>
      <c r="C55" s="80" t="n"/>
      <c r="D55" s="80" t="n"/>
    </row>
    <row r="56" s="28">
      <c r="A56" s="80" t="n"/>
      <c r="B56" s="80" t="n"/>
      <c r="C56" s="80" t="n"/>
      <c r="D56" s="80" t="n"/>
    </row>
    <row r="57" s="28">
      <c r="A57" s="80" t="n"/>
      <c r="B57" s="80" t="n"/>
      <c r="C57" s="80" t="n"/>
      <c r="D57" s="80" t="n"/>
    </row>
    <row r="58" s="28">
      <c r="A58" s="80" t="n"/>
      <c r="B58" s="80" t="n"/>
      <c r="C58" s="80" t="n"/>
      <c r="D58" s="80" t="n"/>
    </row>
    <row r="59" s="28">
      <c r="A59" s="80" t="n"/>
      <c r="B59" s="80" t="n"/>
      <c r="C59" s="80" t="n"/>
      <c r="D59" s="80" t="n"/>
    </row>
    <row r="60" s="28">
      <c r="A60" s="80" t="n"/>
      <c r="B60" s="80" t="n"/>
      <c r="C60" s="80" t="n"/>
      <c r="D60" s="80" t="n"/>
    </row>
    <row r="61" s="28">
      <c r="A61" s="80" t="n"/>
      <c r="B61" s="80" t="n"/>
      <c r="C61" s="80" t="n"/>
      <c r="D61" s="80" t="n"/>
    </row>
    <row r="62" s="28">
      <c r="A62" s="80" t="n"/>
      <c r="B62" s="80" t="n"/>
      <c r="C62" s="80" t="n"/>
      <c r="D62" s="80" t="n"/>
    </row>
    <row r="63" s="28">
      <c r="A63" s="80" t="n"/>
      <c r="B63" s="80" t="n"/>
      <c r="C63" s="80" t="n"/>
      <c r="D63" s="80" t="n"/>
    </row>
    <row r="64" s="28">
      <c r="A64" s="80" t="n"/>
      <c r="B64" s="80" t="n"/>
      <c r="C64" s="80" t="n"/>
      <c r="D64" s="80" t="n"/>
    </row>
    <row r="65" s="28">
      <c r="A65" s="80" t="n"/>
      <c r="B65" s="80" t="n"/>
      <c r="C65" s="80" t="n"/>
      <c r="D65" s="80" t="n"/>
    </row>
    <row r="66" s="28">
      <c r="A66" s="80" t="n"/>
      <c r="B66" s="80" t="n"/>
      <c r="C66" s="80" t="n"/>
      <c r="D66" s="80" t="n"/>
    </row>
    <row r="67" s="28">
      <c r="A67" s="80" t="n"/>
      <c r="B67" s="80" t="n"/>
      <c r="C67" s="80" t="n"/>
      <c r="D67" s="80" t="n"/>
    </row>
  </sheetData>
  <mergeCells count="4">
    <mergeCell ref="L1:M1"/>
    <mergeCell ref="N1:O1"/>
    <mergeCell ref="A25:D25"/>
    <mergeCell ref="A46:D46"/>
  </mergeCells>
  <pageMargins left="0.699305555555556" right="0.699305555555556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67"/>
  <sheetViews>
    <sheetView zoomScale="99" zoomScaleNormal="99" workbookViewId="0">
      <selection activeCell="D22" sqref="D22"/>
    </sheetView>
  </sheetViews>
  <sheetFormatPr baseColWidth="8" defaultColWidth="9" defaultRowHeight="18.85" customHeight="1"/>
  <cols>
    <col width="14.5350877192982" customWidth="1" style="28" min="1" max="1"/>
    <col width="20.2017543859649" customWidth="1" style="28" min="2" max="2"/>
    <col width="20.2631578947368" customWidth="1" style="28" min="3" max="3"/>
    <col width="14.8771929824561" customWidth="1" style="28" min="4" max="4"/>
    <col width="14.2017543859649" customWidth="1" style="28" min="5" max="5"/>
    <col width="17.3333333333333" customWidth="1" style="28" min="6" max="6"/>
    <col width="21.7368421052632" customWidth="1" style="28" min="7" max="7"/>
    <col width="21.7982456140351" customWidth="1" style="28" min="8" max="8"/>
    <col width="17.1315789473684" customWidth="1" style="28" min="9" max="9"/>
    <col width="13.7543859649123" customWidth="1" style="28" min="10" max="10"/>
    <col width="17.640350877193" customWidth="1" style="28" min="11" max="11"/>
    <col width="11.9298245614035" customWidth="1" style="28" min="12" max="12"/>
    <col width="9.52631578947368" customWidth="1" style="28" min="14" max="14"/>
  </cols>
  <sheetData>
    <row r="1" s="28">
      <c r="A1" s="80" t="inlineStr">
        <is>
          <t>商品销售</t>
        </is>
      </c>
      <c r="B1" s="3" t="n">
        <v>0</v>
      </c>
      <c r="L1" s="100" t="inlineStr">
        <is>
          <t>moneris</t>
        </is>
      </c>
      <c r="M1" s="99" t="n"/>
      <c r="N1" s="101" t="inlineStr">
        <is>
          <t>payfactor</t>
        </is>
      </c>
      <c r="O1" s="99" t="n"/>
      <c r="R1" s="80" t="n">
        <v>3</v>
      </c>
      <c r="S1" s="86" t="n">
        <v>100</v>
      </c>
      <c r="T1" s="58">
        <f>R1*S1</f>
        <v/>
      </c>
    </row>
    <row r="2" s="28">
      <c r="A2" s="80" t="inlineStr">
        <is>
          <t>堂食收入</t>
        </is>
      </c>
      <c r="B2" s="3" t="n">
        <v>18107.45</v>
      </c>
      <c r="C2" s="5" t="n"/>
      <c r="D2" s="86">
        <f>200+160+40+30+20</f>
        <v/>
      </c>
      <c r="E2" s="86">
        <f>220+300+100+80+90+40+9+35+30+80+3+15</f>
        <v/>
      </c>
      <c r="H2" s="86" t="n"/>
      <c r="L2" s="45" t="inlineStr">
        <is>
          <t>菜品金额</t>
        </is>
      </c>
      <c r="M2" s="45" t="inlineStr">
        <is>
          <t>小费</t>
        </is>
      </c>
      <c r="N2" s="46" t="inlineStr">
        <is>
          <t>菜品金额</t>
        </is>
      </c>
      <c r="O2" s="46" t="inlineStr">
        <is>
          <t>小费</t>
        </is>
      </c>
      <c r="R2" s="80" t="n">
        <v>6</v>
      </c>
      <c r="S2" s="86" t="n">
        <v>50</v>
      </c>
      <c r="T2" s="58">
        <f>R2*S2</f>
        <v/>
      </c>
    </row>
    <row r="3" s="28">
      <c r="A3" s="80" t="inlineStr">
        <is>
          <t>外送收入</t>
        </is>
      </c>
      <c r="B3" s="70" t="n">
        <v>1145.7</v>
      </c>
      <c r="C3" s="7" t="n"/>
      <c r="D3" s="86">
        <f>371.95+28.05+40</f>
        <v/>
      </c>
      <c r="E3" s="86">
        <f>371.95+764.65+148+15+40+2.05-28.05-40-74.35-15-360</f>
        <v/>
      </c>
      <c r="G3" s="86" t="n"/>
      <c r="L3" s="80" t="n">
        <v>2217.14</v>
      </c>
      <c r="M3" s="80" t="n">
        <v>278.74</v>
      </c>
      <c r="N3" s="80" t="n">
        <v>1114.58</v>
      </c>
      <c r="O3" s="80" t="n">
        <v>147.93</v>
      </c>
      <c r="R3" s="80" t="n">
        <v>17</v>
      </c>
      <c r="S3" s="86" t="n">
        <v>20</v>
      </c>
      <c r="T3" s="58">
        <f>R3*S3</f>
        <v/>
      </c>
    </row>
    <row r="4" s="28">
      <c r="A4" s="61" t="inlineStr">
        <is>
          <t>收入合计</t>
        </is>
      </c>
      <c r="B4" s="61">
        <f>B2+B3+B1</f>
        <v/>
      </c>
      <c r="H4" s="86">
        <f>300+300+340+80+60+10+4.05</f>
        <v/>
      </c>
      <c r="L4" s="80" t="n">
        <v>2110.68</v>
      </c>
      <c r="M4" s="80" t="n">
        <v>296.87</v>
      </c>
      <c r="N4" s="80" t="n">
        <v>2507.52</v>
      </c>
      <c r="O4" s="80" t="n">
        <v>341.07</v>
      </c>
      <c r="R4" s="80" t="n">
        <v>9</v>
      </c>
      <c r="S4" s="86" t="n">
        <v>10</v>
      </c>
      <c r="T4" s="58">
        <f>R4*S4</f>
        <v/>
      </c>
    </row>
    <row r="5" customFormat="1" s="86">
      <c r="I5" s="86" t="n"/>
      <c r="J5" s="86" t="n"/>
      <c r="L5" s="80" t="n">
        <v>1567.48</v>
      </c>
      <c r="M5" s="80" t="n">
        <v>141.33</v>
      </c>
      <c r="N5" s="80" t="n">
        <v>3124.19</v>
      </c>
      <c r="O5" s="80" t="n">
        <v>372.24</v>
      </c>
      <c r="R5" s="80" t="n">
        <v>12</v>
      </c>
      <c r="S5" s="86" t="n">
        <v>5</v>
      </c>
      <c r="T5" s="58">
        <f>R5*S5</f>
        <v/>
      </c>
    </row>
    <row r="6" s="28">
      <c r="A6" s="8" t="inlineStr">
        <is>
          <t>客户代码</t>
        </is>
      </c>
      <c r="B6" s="8" t="inlineStr">
        <is>
          <t>客户名称</t>
        </is>
      </c>
      <c r="C6" s="8" t="inlineStr">
        <is>
          <t>营业款-小票金额</t>
        </is>
      </c>
      <c r="D6" s="8" t="inlineStr">
        <is>
          <t>小费</t>
        </is>
      </c>
      <c r="E6" s="8" t="inlineStr">
        <is>
          <t>饭团手续费</t>
        </is>
      </c>
      <c r="F6" s="8" t="inlineStr">
        <is>
          <t>点评</t>
        </is>
      </c>
      <c r="G6" s="8" t="inlineStr">
        <is>
          <t>红火台金额</t>
        </is>
      </c>
      <c r="H6" s="8" t="inlineStr">
        <is>
          <t>复核</t>
        </is>
      </c>
      <c r="I6" s="86" t="n"/>
      <c r="J6" s="86" t="n"/>
      <c r="L6" s="80" t="n"/>
      <c r="M6" s="80" t="n"/>
      <c r="N6" s="80" t="n">
        <v>2460.23</v>
      </c>
      <c r="O6" s="80" t="n">
        <v>306.17</v>
      </c>
    </row>
    <row r="7" s="28">
      <c r="A7" s="9" t="inlineStr">
        <is>
          <t>301737</t>
        </is>
      </c>
      <c r="B7" s="10" t="inlineStr">
        <is>
          <t>现金</t>
        </is>
      </c>
      <c r="C7" s="12" t="n">
        <v>926.25</v>
      </c>
      <c r="D7" s="12">
        <f>28.05+40+74.35+15+10.4-4.05</f>
        <v/>
      </c>
      <c r="E7" s="12" t="n"/>
      <c r="F7" s="12" t="n"/>
      <c r="G7" s="13" t="n">
        <v>926.25</v>
      </c>
      <c r="H7" s="62">
        <f>C7-G7</f>
        <v/>
      </c>
      <c r="I7" s="86" t="n"/>
      <c r="J7" s="86" t="n"/>
      <c r="L7" s="80" t="n"/>
      <c r="M7" s="80" t="n"/>
      <c r="N7" s="104" t="n">
        <v>2264.85</v>
      </c>
      <c r="O7" s="80" t="n">
        <v>282.65</v>
      </c>
      <c r="S7" s="65" t="inlineStr">
        <is>
          <t>total:</t>
        </is>
      </c>
      <c r="T7" s="65">
        <f>SUM(T1:T6)</f>
        <v/>
      </c>
    </row>
    <row r="8" s="28">
      <c r="A8" s="9" t="inlineStr">
        <is>
          <t>304102</t>
        </is>
      </c>
      <c r="B8" s="9" t="inlineStr">
        <is>
          <t>刷卡</t>
        </is>
      </c>
      <c r="C8" s="12">
        <f>L11+N11-D8</f>
        <v/>
      </c>
      <c r="D8" s="12">
        <f>M11+O11+5.82</f>
        <v/>
      </c>
      <c r="E8" s="12" t="n"/>
      <c r="F8" s="12" t="n"/>
      <c r="G8" s="13" t="n">
        <v>15193.85</v>
      </c>
      <c r="H8" s="62">
        <f>C8-G8</f>
        <v/>
      </c>
      <c r="I8" s="86" t="n"/>
      <c r="J8" s="86" t="n"/>
      <c r="K8" s="86" t="n"/>
      <c r="L8" s="80" t="n"/>
      <c r="M8" s="80" t="n"/>
      <c r="N8" s="80" t="n"/>
      <c r="O8" s="80" t="n"/>
    </row>
    <row r="9" s="28">
      <c r="A9" s="9" t="inlineStr">
        <is>
          <t>304111</t>
        </is>
      </c>
      <c r="B9" s="9" t="inlineStr">
        <is>
          <t>微信支付宝</t>
        </is>
      </c>
      <c r="C9" s="86">
        <f>1851.11-D9+182.36+106.54+91.65</f>
        <v/>
      </c>
      <c r="D9" s="86">
        <f>234.31+11.95+13.89+27.81</f>
        <v/>
      </c>
      <c r="E9" s="80" t="n"/>
      <c r="F9" s="12" t="n"/>
      <c r="G9" s="106">
        <f>496.75+1446.95</f>
        <v/>
      </c>
      <c r="H9" s="62">
        <f>C9-G9</f>
        <v/>
      </c>
      <c r="I9" s="86" t="n"/>
      <c r="J9" s="86" t="n"/>
      <c r="K9" s="86" t="n"/>
      <c r="L9" s="80" t="n"/>
      <c r="M9" s="80" t="n"/>
      <c r="N9" s="80" t="n"/>
      <c r="O9" s="80" t="n"/>
    </row>
    <row r="10" s="28">
      <c r="A10" s="9" t="inlineStr">
        <is>
          <t>304240</t>
        </is>
      </c>
      <c r="B10" s="9" t="inlineStr">
        <is>
          <t>饭团</t>
        </is>
      </c>
      <c r="C10" s="86">
        <f>688.88+64.9</f>
        <v/>
      </c>
      <c r="D10" s="12" t="n"/>
      <c r="E10" s="12" t="n">
        <v>216.19</v>
      </c>
      <c r="F10" s="12" t="n">
        <v>69.81</v>
      </c>
      <c r="G10" s="13" t="n">
        <v>1043.35</v>
      </c>
      <c r="H10" s="62">
        <f>C10-G10+D10+F10+E10</f>
        <v/>
      </c>
      <c r="I10" s="86" t="inlineStr">
        <is>
          <t>尾差</t>
        </is>
      </c>
      <c r="J10" s="86" t="n"/>
      <c r="K10" s="86" t="n"/>
      <c r="L10" s="80" t="n"/>
      <c r="M10" s="80" t="n"/>
      <c r="N10" s="80" t="n"/>
      <c r="O10" s="80" t="n"/>
    </row>
    <row r="11" s="28">
      <c r="A11" s="9" t="inlineStr">
        <is>
          <t>304432</t>
        </is>
      </c>
      <c r="B11" s="9" t="inlineStr">
        <is>
          <t>礼品卡</t>
        </is>
      </c>
      <c r="C11" s="17" t="n"/>
      <c r="D11" s="12" t="n"/>
      <c r="E11" s="12" t="n"/>
      <c r="F11" s="12" t="n"/>
      <c r="G11" s="35" t="n"/>
      <c r="H11" s="62">
        <f>C11-G11</f>
        <v/>
      </c>
      <c r="I11" s="86" t="n"/>
      <c r="J11" s="86" t="n"/>
      <c r="L11" s="53">
        <f>SUM(L1:L10)</f>
        <v/>
      </c>
      <c r="M11" s="53">
        <f>SUM(M1:M10)</f>
        <v/>
      </c>
      <c r="N11" s="64">
        <f>SUM(N1:N10)</f>
        <v/>
      </c>
      <c r="O11" s="64">
        <f>SUM(O1:O10)</f>
        <v/>
      </c>
    </row>
    <row r="12" s="28">
      <c r="A12" s="9" t="inlineStr">
        <is>
          <t>305476</t>
        </is>
      </c>
      <c r="B12" s="9" t="inlineStr">
        <is>
          <t>DoorDash</t>
        </is>
      </c>
      <c r="C12" s="12" t="n"/>
      <c r="D12" s="12" t="n"/>
      <c r="E12" s="12" t="n"/>
      <c r="F12" s="12" t="n"/>
      <c r="G12" s="19" t="n"/>
      <c r="H12" s="62">
        <f>C12-G12</f>
        <v/>
      </c>
      <c r="I12" s="86" t="n"/>
      <c r="J12" s="86" t="n"/>
    </row>
    <row r="13" s="28">
      <c r="A13" s="9" t="inlineStr">
        <is>
          <t>305477</t>
        </is>
      </c>
      <c r="B13" s="9" t="inlineStr">
        <is>
          <t>SKIP</t>
        </is>
      </c>
      <c r="C13" s="12" t="n"/>
      <c r="D13" s="12" t="n"/>
      <c r="E13" s="12" t="n"/>
      <c r="F13" s="12" t="n"/>
      <c r="G13" s="19" t="n"/>
      <c r="H13" s="62">
        <f>C13-G13</f>
        <v/>
      </c>
      <c r="I13" s="86" t="n"/>
      <c r="J13" s="86" t="n"/>
      <c r="N13" s="55" t="n"/>
    </row>
    <row r="14" s="28">
      <c r="A14" s="9" t="inlineStr">
        <is>
          <t>305478</t>
        </is>
      </c>
      <c r="B14" s="9" t="inlineStr">
        <is>
          <t>Ubereat</t>
        </is>
      </c>
      <c r="C14" s="86" t="n"/>
      <c r="D14" s="12" t="n"/>
      <c r="E14" s="12" t="n"/>
      <c r="F14" s="12" t="n"/>
      <c r="G14" s="35" t="n"/>
      <c r="H14" s="62">
        <f>C14-G14</f>
        <v/>
      </c>
      <c r="I14" s="86" t="inlineStr">
        <is>
          <t>尾差</t>
        </is>
      </c>
      <c r="K14" s="86" t="n"/>
    </row>
    <row r="15" s="28">
      <c r="A15" s="9" t="inlineStr">
        <is>
          <t>305479</t>
        </is>
      </c>
      <c r="B15" s="9" t="inlineStr">
        <is>
          <t>Chowbus</t>
        </is>
      </c>
      <c r="C15" s="12" t="n"/>
      <c r="D15" s="12" t="n"/>
      <c r="E15" s="12" t="n"/>
      <c r="F15" s="12" t="n"/>
      <c r="G15" s="12" t="n"/>
      <c r="H15" s="62">
        <f>C15-G15</f>
        <v/>
      </c>
      <c r="I15" s="86" t="n"/>
      <c r="J15" s="86" t="n"/>
      <c r="K15" s="86" t="n"/>
    </row>
    <row r="16" s="28">
      <c r="A16" s="9" t="inlineStr">
        <is>
          <t>305510</t>
        </is>
      </c>
      <c r="B16" s="9" t="inlineStr">
        <is>
          <t>snappy</t>
        </is>
      </c>
      <c r="C16" s="86" t="n">
        <v>64.79000000000001</v>
      </c>
      <c r="D16" s="20" t="n"/>
      <c r="E16" s="21" t="n"/>
      <c r="F16" s="12" t="n"/>
      <c r="G16" s="108" t="n">
        <v>64.7</v>
      </c>
      <c r="H16" s="62">
        <f>C16-G16-D16</f>
        <v/>
      </c>
      <c r="I16" s="86" t="inlineStr">
        <is>
          <t>尾差</t>
        </is>
      </c>
      <c r="J16" s="86" t="n"/>
      <c r="K16" s="86" t="n"/>
    </row>
    <row r="17" s="28">
      <c r="A17" s="9" t="n"/>
      <c r="B17" s="9" t="inlineStr">
        <is>
          <t>panda</t>
        </is>
      </c>
      <c r="C17" s="80" t="n"/>
      <c r="D17" s="22" t="n"/>
      <c r="E17" s="22" t="n"/>
      <c r="F17" s="12" t="n"/>
      <c r="G17" s="35" t="n"/>
      <c r="H17" s="62">
        <f>C17-G17</f>
        <v/>
      </c>
      <c r="I17" s="57" t="n"/>
      <c r="J17" s="86" t="n"/>
      <c r="K17" s="86" t="n"/>
    </row>
    <row r="18" s="28">
      <c r="A18" s="92" t="inlineStr">
        <is>
          <t>305606</t>
        </is>
      </c>
      <c r="B18" s="9" t="inlineStr">
        <is>
          <t>tapin</t>
        </is>
      </c>
      <c r="C18" s="12" t="n"/>
      <c r="D18" s="12" t="n"/>
      <c r="E18" s="12" t="n"/>
      <c r="F18" s="12" t="n"/>
      <c r="G18" s="35" t="n"/>
      <c r="H18" s="62">
        <f>C18-G18</f>
        <v/>
      </c>
      <c r="I18" s="86" t="n"/>
      <c r="J18" s="86" t="n"/>
    </row>
    <row r="19" s="28">
      <c r="A19" s="9" t="inlineStr">
        <is>
          <t>305512</t>
        </is>
      </c>
      <c r="B19" s="9" t="inlineStr">
        <is>
          <t>VANPEOPLE</t>
        </is>
      </c>
      <c r="C19" s="72" t="n">
        <v>80.81</v>
      </c>
      <c r="D19" s="12" t="n"/>
      <c r="E19" s="12" t="n"/>
      <c r="F19" s="12" t="n"/>
      <c r="G19" s="108" t="n">
        <v>81.3</v>
      </c>
      <c r="H19" s="62">
        <f>C19-G19</f>
        <v/>
      </c>
      <c r="I19" s="86" t="inlineStr">
        <is>
          <t>尾差</t>
        </is>
      </c>
      <c r="J19" s="86" t="n"/>
    </row>
    <row r="20" s="28">
      <c r="A20" s="9" t="inlineStr">
        <is>
          <t>305830</t>
        </is>
      </c>
      <c r="B20" s="9" t="inlineStr">
        <is>
          <t>Easi</t>
        </is>
      </c>
      <c r="C20" s="12" t="n"/>
      <c r="D20" s="12" t="n"/>
      <c r="E20" s="12" t="n"/>
      <c r="F20" s="12" t="n"/>
      <c r="G20" s="12" t="n"/>
      <c r="H20" s="62">
        <f>C20-G20</f>
        <v/>
      </c>
      <c r="I20" s="86" t="n"/>
      <c r="J20" s="86" t="n"/>
    </row>
    <row r="21" s="28">
      <c r="A21" s="92" t="inlineStr">
        <is>
          <t>305606</t>
        </is>
      </c>
      <c r="B21" s="9" t="inlineStr">
        <is>
          <t>VANPEOPLE</t>
        </is>
      </c>
      <c r="C21" s="12" t="n"/>
      <c r="D21" s="12" t="n"/>
      <c r="E21" s="12" t="n"/>
      <c r="F21" s="12" t="n"/>
      <c r="G21" s="12" t="n"/>
      <c r="H21" s="62">
        <f>C21-G21</f>
        <v/>
      </c>
      <c r="I21" s="86" t="n"/>
      <c r="J21" s="86" t="n"/>
    </row>
    <row r="22" s="28">
      <c r="A22" s="24" t="n"/>
      <c r="B22" s="25" t="inlineStr">
        <is>
          <t>入账金额合计</t>
        </is>
      </c>
      <c r="C22" s="24">
        <f>SUM(C7:C21)</f>
        <v/>
      </c>
      <c r="D22" s="24">
        <f>SUM(D7:D21)</f>
        <v/>
      </c>
      <c r="E22" s="24">
        <f>SUM(E7:E21)</f>
        <v/>
      </c>
      <c r="F22" s="24">
        <f>SUM(F7:F21)</f>
        <v/>
      </c>
      <c r="G22" s="26">
        <f>SUM(G7:G21)</f>
        <v/>
      </c>
      <c r="H22" s="26">
        <f>C22-G22+F22+E22</f>
        <v/>
      </c>
      <c r="I22" s="86" t="n"/>
      <c r="J22" s="86" t="n"/>
    </row>
    <row r="23" s="28">
      <c r="A23" s="27" t="n"/>
      <c r="B23" s="27" t="n"/>
      <c r="C23" s="27" t="n"/>
      <c r="D23" s="86" t="n"/>
      <c r="F23" s="27" t="n"/>
      <c r="G23" s="27" t="n"/>
      <c r="H23" s="27" t="n"/>
    </row>
    <row r="24" s="28">
      <c r="E24" s="86" t="n"/>
    </row>
    <row r="25" s="28">
      <c r="A25" s="29" t="inlineStr">
        <is>
          <t>Gift Card 充值明细</t>
        </is>
      </c>
      <c r="E25" s="27" t="n"/>
    </row>
    <row r="26" s="28">
      <c r="A26" s="8" t="inlineStr">
        <is>
          <t>日期</t>
        </is>
      </c>
      <c r="B26" s="8" t="inlineStr">
        <is>
          <t>卡號</t>
        </is>
      </c>
      <c r="C26" s="8" t="inlineStr">
        <is>
          <t>充值方式</t>
        </is>
      </c>
      <c r="D26" s="31" t="inlineStr">
        <is>
          <t>充值金額</t>
        </is>
      </c>
      <c r="F26" s="31" t="inlineStr">
        <is>
          <t>每日应存现金</t>
        </is>
      </c>
      <c r="G26" s="32">
        <f>C7+D7+C44</f>
        <v/>
      </c>
      <c r="H26" s="61" t="n"/>
    </row>
    <row r="27" s="28">
      <c r="A27" s="33" t="n"/>
      <c r="B27" s="34" t="n"/>
      <c r="C27" s="34" t="n"/>
      <c r="D27" s="34" t="n"/>
      <c r="F27" s="32" t="inlineStr">
        <is>
          <t>&gt;0, 应存；&lt;0, 累计&gt;0时存入银行</t>
        </is>
      </c>
      <c r="G27" s="32" t="n"/>
      <c r="H27" s="31" t="n"/>
    </row>
    <row r="28" s="28">
      <c r="A28" s="33" t="n"/>
      <c r="B28" s="34" t="n"/>
      <c r="C28" s="34" t="n"/>
      <c r="D28" s="34" t="n"/>
    </row>
    <row r="29" s="28">
      <c r="A29" s="33" t="n"/>
      <c r="B29" s="34" t="n"/>
      <c r="C29" s="34" t="n"/>
      <c r="D29" s="34" t="n"/>
    </row>
    <row r="30" s="28">
      <c r="A30" s="33" t="n"/>
      <c r="B30" s="34" t="n"/>
      <c r="C30" s="34" t="n"/>
      <c r="D30" s="34" t="n"/>
    </row>
    <row r="31" s="28">
      <c r="A31" s="33" t="n"/>
      <c r="B31" s="34" t="n"/>
      <c r="C31" s="34" t="n"/>
      <c r="D31" s="34" t="n"/>
    </row>
    <row r="32" s="28">
      <c r="A32" s="33" t="n"/>
      <c r="B32" s="34" t="n"/>
      <c r="C32" s="34" t="n"/>
      <c r="D32" s="34" t="n"/>
    </row>
    <row r="33" s="28">
      <c r="A33" s="33" t="n"/>
      <c r="B33" s="17" t="n"/>
      <c r="C33" s="34" t="n"/>
      <c r="D33" s="34" t="n"/>
    </row>
    <row r="34" s="28">
      <c r="A34" s="33" t="n"/>
      <c r="B34" s="34" t="n"/>
      <c r="C34" s="34" t="n"/>
      <c r="D34" s="34" t="n"/>
      <c r="F34" s="13" t="n"/>
      <c r="G34" s="13" t="n"/>
      <c r="H34" s="13" t="n"/>
    </row>
    <row r="35" s="28">
      <c r="A35" s="33" t="n"/>
      <c r="B35" s="34" t="n"/>
      <c r="C35" s="34" t="n"/>
      <c r="D35" s="35" t="n"/>
      <c r="E35" s="13" t="n"/>
      <c r="F35" s="13" t="n"/>
      <c r="G35" s="13" t="n"/>
      <c r="H35" s="13" t="n"/>
    </row>
    <row r="36" s="28">
      <c r="A36" s="33" t="n"/>
      <c r="B36" s="34" t="n"/>
      <c r="C36" s="34" t="n"/>
      <c r="D36" s="35" t="n"/>
      <c r="E36" s="13" t="n"/>
      <c r="F36" s="13" t="n"/>
      <c r="G36" s="13" t="n"/>
      <c r="H36" s="13" t="n"/>
    </row>
    <row r="37" s="28">
      <c r="A37" s="33" t="n"/>
      <c r="B37" s="34" t="n"/>
      <c r="C37" s="34" t="n"/>
      <c r="D37" s="35" t="n"/>
      <c r="E37" s="13" t="n"/>
      <c r="F37" s="13" t="n"/>
      <c r="G37" s="13" t="n"/>
      <c r="H37" s="13" t="n"/>
    </row>
    <row r="38" s="28">
      <c r="A38" s="33" t="n"/>
      <c r="B38" s="34" t="n"/>
      <c r="C38" s="34" t="n"/>
      <c r="D38" s="35" t="n"/>
      <c r="E38" s="13" t="n"/>
      <c r="F38" s="13" t="n"/>
      <c r="G38" s="13" t="n"/>
      <c r="H38" s="13" t="n"/>
    </row>
    <row r="39" s="28">
      <c r="A39" s="33" t="n"/>
      <c r="B39" s="34" t="n"/>
      <c r="C39" s="34" t="n"/>
      <c r="D39" s="35" t="n"/>
      <c r="E39" s="13" t="n"/>
      <c r="F39" s="13" t="n"/>
      <c r="G39" s="13" t="n"/>
      <c r="H39" s="13" t="n"/>
    </row>
    <row r="40" s="28">
      <c r="A40" s="33" t="n"/>
      <c r="B40" s="34" t="n"/>
      <c r="C40" s="34" t="n"/>
      <c r="D40" s="35" t="n"/>
      <c r="E40" s="13" t="n"/>
      <c r="F40" s="13" t="n"/>
      <c r="G40" s="13" t="n"/>
      <c r="H40" s="13" t="n"/>
    </row>
    <row r="41" s="28">
      <c r="A41" s="33" t="n"/>
      <c r="B41" s="34" t="n"/>
      <c r="C41" s="34" t="n"/>
      <c r="D41" s="35" t="n"/>
      <c r="E41" s="13" t="n"/>
      <c r="F41" s="13" t="n"/>
      <c r="G41" s="13" t="n"/>
      <c r="H41" s="13" t="n"/>
    </row>
    <row r="42" s="28">
      <c r="A42" s="33" t="n"/>
      <c r="B42" s="34" t="n"/>
      <c r="C42" s="34" t="n"/>
      <c r="D42" s="35" t="n"/>
      <c r="E42" s="13" t="n"/>
      <c r="F42" s="13" t="n"/>
      <c r="G42" s="13" t="n"/>
      <c r="H42" s="13" t="n"/>
    </row>
    <row r="43" s="28">
      <c r="A43" s="33" t="n"/>
      <c r="B43" s="34" t="n"/>
      <c r="C43" s="34" t="n"/>
      <c r="D43" s="35" t="n"/>
      <c r="E43" s="13" t="n"/>
      <c r="F43" s="13" t="n"/>
      <c r="G43" s="13" t="n"/>
      <c r="H43" s="13" t="n"/>
    </row>
    <row r="44" s="28">
      <c r="A44" s="36" t="inlineStr">
        <is>
          <t>合计</t>
        </is>
      </c>
      <c r="B44" s="32">
        <f>SUM(B27:B43)</f>
        <v/>
      </c>
      <c r="C44" s="32">
        <f>SUM(C27:C43)</f>
        <v/>
      </c>
      <c r="D44" s="35" t="n"/>
      <c r="E44" s="13" t="n"/>
      <c r="F44" s="13" t="n"/>
      <c r="G44" s="13" t="n"/>
      <c r="H44" s="13" t="n"/>
    </row>
    <row r="45" s="28">
      <c r="D45" s="86" t="n"/>
      <c r="E45" s="86" t="n"/>
      <c r="F45" s="86" t="n"/>
      <c r="G45" s="86" t="n"/>
    </row>
    <row r="46" s="28">
      <c r="A46" s="107" t="inlineStr">
        <is>
          <t>禮品卡消費</t>
        </is>
      </c>
      <c r="B46" s="98" t="n"/>
      <c r="C46" s="98" t="n"/>
      <c r="D46" s="99" t="n"/>
    </row>
    <row r="47" s="28">
      <c r="A47" s="40" t="inlineStr">
        <is>
          <t>日期</t>
        </is>
      </c>
      <c r="B47" s="40" t="inlineStr">
        <is>
          <t>卡號</t>
        </is>
      </c>
      <c r="C47" s="40" t="inlineStr">
        <is>
          <t>消費金額</t>
        </is>
      </c>
      <c r="D47" s="40" t="inlineStr">
        <is>
          <t>小费</t>
        </is>
      </c>
    </row>
    <row r="48" s="28">
      <c r="A48" s="60" t="n">
        <v>44653</v>
      </c>
      <c r="B48" s="93" t="inlineStr">
        <is>
          <t>6038360183440034579</t>
        </is>
      </c>
      <c r="C48" s="80" t="n">
        <v>100</v>
      </c>
      <c r="D48" s="80" t="n">
        <v>46.28</v>
      </c>
    </row>
    <row r="49" s="28">
      <c r="A49" s="60" t="n">
        <v>44654</v>
      </c>
      <c r="B49" s="94" t="inlineStr">
        <is>
          <t>6038360183440025924</t>
        </is>
      </c>
      <c r="C49" s="80" t="n">
        <v>50</v>
      </c>
      <c r="D49" s="80" t="n">
        <v>0</v>
      </c>
    </row>
    <row r="50" s="28">
      <c r="A50" s="60" t="n">
        <v>44655</v>
      </c>
      <c r="B50" s="93" t="inlineStr">
        <is>
          <t>6038360183440018085</t>
        </is>
      </c>
      <c r="C50" s="80" t="n">
        <v>100</v>
      </c>
      <c r="D50" s="80" t="n">
        <v>16.28</v>
      </c>
    </row>
    <row r="51" s="28">
      <c r="A51" s="80" t="n"/>
      <c r="B51" s="80" t="n"/>
      <c r="C51" s="80" t="n"/>
      <c r="D51" s="80" t="n"/>
    </row>
    <row r="52" s="28">
      <c r="A52" s="80" t="n"/>
      <c r="B52" s="80" t="n"/>
      <c r="C52" s="80" t="n"/>
      <c r="D52" s="80" t="n"/>
    </row>
    <row r="53" s="28">
      <c r="A53" s="80" t="n"/>
      <c r="B53" s="80" t="n"/>
      <c r="C53" s="80" t="n"/>
      <c r="D53" s="80" t="n"/>
    </row>
    <row r="54" s="28">
      <c r="A54" s="80" t="n"/>
      <c r="B54" s="80" t="n"/>
      <c r="C54" s="80" t="n"/>
      <c r="D54" s="80" t="n"/>
    </row>
    <row r="55" s="28">
      <c r="A55" s="80" t="n"/>
      <c r="B55" s="80" t="n"/>
      <c r="C55" s="80" t="n"/>
      <c r="D55" s="80" t="n"/>
    </row>
    <row r="56" s="28">
      <c r="A56" s="80" t="n"/>
      <c r="B56" s="80" t="n"/>
      <c r="C56" s="80" t="n"/>
      <c r="D56" s="80" t="n"/>
    </row>
    <row r="57" s="28">
      <c r="A57" s="80" t="n"/>
      <c r="B57" s="80" t="n"/>
      <c r="C57" s="80" t="n"/>
      <c r="D57" s="80" t="n"/>
    </row>
    <row r="58" s="28">
      <c r="A58" s="80" t="n"/>
      <c r="B58" s="80" t="n"/>
      <c r="C58" s="80" t="n"/>
      <c r="D58" s="80" t="n"/>
    </row>
    <row r="59" s="28">
      <c r="A59" s="80" t="n"/>
      <c r="B59" s="80" t="n"/>
      <c r="C59" s="80" t="n"/>
      <c r="D59" s="80" t="n"/>
    </row>
    <row r="60" s="28">
      <c r="A60" s="80" t="n"/>
      <c r="B60" s="80" t="n"/>
      <c r="C60" s="80" t="n"/>
      <c r="D60" s="80" t="n"/>
    </row>
    <row r="61" s="28">
      <c r="A61" s="80" t="n"/>
      <c r="B61" s="80" t="n"/>
      <c r="C61" s="80" t="n"/>
      <c r="D61" s="80" t="n"/>
    </row>
    <row r="62" s="28">
      <c r="A62" s="80" t="n"/>
      <c r="B62" s="80" t="n"/>
      <c r="C62" s="80" t="n"/>
      <c r="D62" s="80" t="n"/>
    </row>
    <row r="63" s="28">
      <c r="A63" s="80" t="n"/>
      <c r="B63" s="80" t="n"/>
      <c r="C63" s="80" t="n"/>
      <c r="D63" s="80" t="n"/>
    </row>
    <row r="64" s="28">
      <c r="A64" s="80" t="n"/>
      <c r="B64" s="80" t="n"/>
      <c r="C64" s="80" t="n"/>
      <c r="D64" s="80" t="n"/>
    </row>
    <row r="65" s="28">
      <c r="A65" s="80" t="n"/>
      <c r="B65" s="80" t="n"/>
      <c r="C65" s="80" t="n"/>
      <c r="D65" s="80" t="n"/>
    </row>
    <row r="66" s="28">
      <c r="A66" s="80" t="n"/>
      <c r="B66" s="80" t="n"/>
      <c r="C66" s="80" t="n"/>
      <c r="D66" s="80" t="n"/>
    </row>
    <row r="67" s="28">
      <c r="A67" s="80" t="n"/>
      <c r="B67" s="80" t="n"/>
      <c r="C67" s="80" t="n"/>
      <c r="D67" s="80" t="n"/>
    </row>
  </sheetData>
  <mergeCells count="4">
    <mergeCell ref="L1:M1"/>
    <mergeCell ref="N1:O1"/>
    <mergeCell ref="A25:D25"/>
    <mergeCell ref="A46:D46"/>
  </mergeCells>
  <pageMargins left="0.699305555555556" right="0.699305555555556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67"/>
  <sheetViews>
    <sheetView topLeftCell="A3" zoomScale="99" zoomScaleNormal="99" workbookViewId="0">
      <selection activeCell="D22" sqref="D22"/>
    </sheetView>
  </sheetViews>
  <sheetFormatPr baseColWidth="8" defaultColWidth="9" defaultRowHeight="18.85" customHeight="1"/>
  <cols>
    <col width="14.5350877192982" customWidth="1" style="28" min="1" max="1"/>
    <col width="20.2017543859649" customWidth="1" style="28" min="2" max="2"/>
    <col width="20.2631578947368" customWidth="1" style="28" min="3" max="3"/>
    <col width="14.8771929824561" customWidth="1" style="28" min="4" max="4"/>
    <col width="14.2017543859649" customWidth="1" style="28" min="5" max="5"/>
    <col width="17.3333333333333" customWidth="1" style="28" min="6" max="6"/>
    <col width="21.7368421052632" customWidth="1" style="28" min="7" max="7"/>
    <col width="21.7982456140351" customWidth="1" style="28" min="8" max="8"/>
    <col width="17.1315789473684" customWidth="1" style="28" min="9" max="9"/>
    <col width="13.7543859649123" customWidth="1" style="28" min="10" max="10"/>
    <col width="17.640350877193" customWidth="1" style="28" min="11" max="11"/>
    <col width="11.9298245614035" customWidth="1" style="28" min="12" max="12"/>
    <col width="9.52631578947368" customWidth="1" style="28" min="14" max="14"/>
  </cols>
  <sheetData>
    <row r="1" s="28">
      <c r="A1" s="80" t="inlineStr">
        <is>
          <t>商品销售</t>
        </is>
      </c>
      <c r="B1" s="3" t="n">
        <v>0</v>
      </c>
      <c r="L1" s="100" t="inlineStr">
        <is>
          <t>moneris</t>
        </is>
      </c>
      <c r="M1" s="99" t="n"/>
      <c r="N1" s="101" t="inlineStr">
        <is>
          <t>payfactor</t>
        </is>
      </c>
      <c r="O1" s="99" t="n"/>
      <c r="R1" s="80" t="n">
        <v>7</v>
      </c>
      <c r="S1" s="86" t="n">
        <v>100</v>
      </c>
      <c r="T1" s="58">
        <f>R1*S1</f>
        <v/>
      </c>
    </row>
    <row r="2" s="28">
      <c r="A2" s="80" t="inlineStr">
        <is>
          <t>堂食收入</t>
        </is>
      </c>
      <c r="B2" s="70" t="n">
        <v>15737.75</v>
      </c>
      <c r="C2" s="5" t="n"/>
      <c r="H2" s="86" t="n"/>
      <c r="L2" s="45" t="inlineStr">
        <is>
          <t>菜品金额</t>
        </is>
      </c>
      <c r="M2" s="45" t="inlineStr">
        <is>
          <t>小费</t>
        </is>
      </c>
      <c r="N2" s="46" t="inlineStr">
        <is>
          <t>菜品金额</t>
        </is>
      </c>
      <c r="O2" s="46" t="inlineStr">
        <is>
          <t>小费</t>
        </is>
      </c>
      <c r="R2" s="80" t="n">
        <v>11</v>
      </c>
      <c r="S2" s="86" t="n">
        <v>50</v>
      </c>
      <c r="T2" s="58">
        <f>R2*S2</f>
        <v/>
      </c>
    </row>
    <row r="3" s="28">
      <c r="A3" s="80" t="inlineStr">
        <is>
          <t>外送收入</t>
        </is>
      </c>
      <c r="B3" s="3" t="n">
        <v>1388.15</v>
      </c>
      <c r="C3" s="7" t="n"/>
      <c r="G3" s="86" t="n"/>
      <c r="L3" s="80" t="n">
        <v>1645.42</v>
      </c>
      <c r="M3" s="80" t="n">
        <v>223.01</v>
      </c>
      <c r="N3" s="80" t="n">
        <v>2137.11</v>
      </c>
      <c r="O3" s="80" t="n">
        <v>235.5</v>
      </c>
      <c r="R3" s="80" t="n">
        <v>17</v>
      </c>
      <c r="S3" s="86" t="n">
        <v>20</v>
      </c>
      <c r="T3" s="58">
        <f>R3*S3</f>
        <v/>
      </c>
    </row>
    <row r="4" s="28">
      <c r="A4" s="61" t="inlineStr">
        <is>
          <t>收入合计</t>
        </is>
      </c>
      <c r="B4" s="61">
        <f>B2+B3+B1</f>
        <v/>
      </c>
      <c r="L4" s="80" t="n">
        <v>1114.25</v>
      </c>
      <c r="M4" s="80" t="n">
        <v>138.35</v>
      </c>
      <c r="N4" s="80" t="n">
        <v>2801.96</v>
      </c>
      <c r="O4" s="80" t="n">
        <v>365.01</v>
      </c>
      <c r="R4" s="80" t="n">
        <v>5</v>
      </c>
      <c r="S4" s="86" t="n">
        <v>10</v>
      </c>
      <c r="T4" s="58">
        <f>R4*S4</f>
        <v/>
      </c>
    </row>
    <row r="5" customFormat="1" s="86">
      <c r="I5" s="86" t="n"/>
      <c r="J5" s="86" t="n"/>
      <c r="L5" s="80" t="n">
        <v>1699.77</v>
      </c>
      <c r="M5" s="80" t="n">
        <v>202.77</v>
      </c>
      <c r="N5" s="80" t="n">
        <v>1714.93</v>
      </c>
      <c r="O5" s="80" t="n">
        <v>251.81</v>
      </c>
      <c r="R5" s="80" t="n">
        <v>4</v>
      </c>
      <c r="S5" s="86" t="n">
        <v>5</v>
      </c>
      <c r="T5" s="58">
        <f>R5*S5</f>
        <v/>
      </c>
    </row>
    <row r="6" s="28">
      <c r="A6" s="8" t="inlineStr">
        <is>
          <t>客户代码</t>
        </is>
      </c>
      <c r="B6" s="8" t="inlineStr">
        <is>
          <t>客户名称</t>
        </is>
      </c>
      <c r="C6" s="8" t="inlineStr">
        <is>
          <t>营业款-小票金额</t>
        </is>
      </c>
      <c r="D6" s="8" t="inlineStr">
        <is>
          <t>小费</t>
        </is>
      </c>
      <c r="E6" s="8" t="inlineStr">
        <is>
          <t>饭团手续费</t>
        </is>
      </c>
      <c r="F6" s="8" t="inlineStr">
        <is>
          <t>点评</t>
        </is>
      </c>
      <c r="G6" s="8" t="inlineStr">
        <is>
          <t>红火台金额</t>
        </is>
      </c>
      <c r="H6" s="8" t="inlineStr">
        <is>
          <t>复核</t>
        </is>
      </c>
      <c r="I6" s="86" t="n"/>
      <c r="J6" s="86" t="n"/>
      <c r="L6" s="80" t="n"/>
      <c r="M6" s="80" t="n"/>
      <c r="N6" s="80" t="n">
        <v>1601.81</v>
      </c>
      <c r="O6" s="80" t="n">
        <v>200.87</v>
      </c>
    </row>
    <row r="7" s="28">
      <c r="A7" s="9" t="inlineStr">
        <is>
          <t>301737</t>
        </is>
      </c>
      <c r="B7" s="10" t="inlineStr">
        <is>
          <t>现金</t>
        </is>
      </c>
      <c r="C7" s="12" t="n">
        <v>1639.8</v>
      </c>
      <c r="D7" s="12" t="n">
        <v>258.2</v>
      </c>
      <c r="E7" s="12" t="n"/>
      <c r="F7" s="12" t="n"/>
      <c r="G7" s="71" t="n">
        <v>1639.8</v>
      </c>
      <c r="H7" s="62">
        <f>C7-G7</f>
        <v/>
      </c>
      <c r="I7" s="86" t="n"/>
      <c r="J7" s="86" t="n"/>
      <c r="L7" s="80" t="n"/>
      <c r="M7" s="80" t="n"/>
      <c r="N7" s="104" t="n">
        <v>1878.94</v>
      </c>
      <c r="O7" s="80" t="n">
        <v>246.43</v>
      </c>
      <c r="S7" s="65" t="inlineStr">
        <is>
          <t>total:</t>
        </is>
      </c>
      <c r="T7" s="65">
        <f>SUM(T1:T6)</f>
        <v/>
      </c>
    </row>
    <row r="8" s="28">
      <c r="A8" s="9" t="inlineStr">
        <is>
          <t>304102</t>
        </is>
      </c>
      <c r="B8" s="9" t="inlineStr">
        <is>
          <t>刷卡</t>
        </is>
      </c>
      <c r="C8" s="12">
        <f>L11+N11-D8</f>
        <v/>
      </c>
      <c r="D8" s="12">
        <f>1863.75+20.39</f>
        <v/>
      </c>
      <c r="E8" s="12" t="n"/>
      <c r="F8" s="12" t="n"/>
      <c r="G8" s="35" t="n">
        <v>12773</v>
      </c>
      <c r="H8" s="62">
        <f>C8-G8</f>
        <v/>
      </c>
      <c r="I8" s="86" t="n"/>
      <c r="J8" s="86" t="n"/>
      <c r="K8" s="86" t="n"/>
      <c r="L8" s="80" t="n"/>
      <c r="M8" s="80" t="n"/>
      <c r="N8" s="80" t="n">
        <v>62.95</v>
      </c>
      <c r="O8" s="80" t="n">
        <v>0</v>
      </c>
    </row>
    <row r="9" s="28">
      <c r="A9" s="9" t="inlineStr">
        <is>
          <t>304111</t>
        </is>
      </c>
      <c r="B9" s="9" t="inlineStr">
        <is>
          <t>微信支付宝</t>
        </is>
      </c>
      <c r="C9" s="86" t="n">
        <v>1282.1</v>
      </c>
      <c r="D9" s="86" t="n">
        <v>192.28</v>
      </c>
      <c r="E9" s="80" t="n"/>
      <c r="F9" s="12" t="n"/>
      <c r="G9" s="106" t="n">
        <v>1282.1</v>
      </c>
      <c r="H9" s="62">
        <f>C9-G9</f>
        <v/>
      </c>
      <c r="I9" s="86" t="n"/>
      <c r="J9" s="86" t="n"/>
      <c r="K9" s="86" t="n"/>
      <c r="L9" s="80" t="n"/>
      <c r="M9" s="80" t="n"/>
      <c r="N9" s="80" t="n"/>
      <c r="O9" s="80" t="n"/>
    </row>
    <row r="10" s="28">
      <c r="A10" s="9" t="inlineStr">
        <is>
          <t>304240</t>
        </is>
      </c>
      <c r="B10" s="9" t="inlineStr">
        <is>
          <t>饭团</t>
        </is>
      </c>
      <c r="C10" s="86">
        <f>1144.05-E10</f>
        <v/>
      </c>
      <c r="D10" s="12" t="n"/>
      <c r="E10" s="12" t="n">
        <v>291.02</v>
      </c>
      <c r="F10" s="12" t="n">
        <v>139.62</v>
      </c>
      <c r="G10" s="35" t="n">
        <v>1218.75</v>
      </c>
      <c r="H10" s="62">
        <f>C10-G10+D10+F10+E10</f>
        <v/>
      </c>
      <c r="I10" s="86" t="inlineStr">
        <is>
          <t>少落单明天补上</t>
        </is>
      </c>
      <c r="J10" s="86" t="n"/>
      <c r="K10" s="86" t="n"/>
      <c r="L10" s="80" t="n"/>
      <c r="M10" s="80" t="n"/>
      <c r="N10" s="80" t="n"/>
      <c r="O10" s="80" t="n"/>
    </row>
    <row r="11" s="28">
      <c r="A11" s="9" t="inlineStr">
        <is>
          <t>304432</t>
        </is>
      </c>
      <c r="B11" s="9" t="inlineStr">
        <is>
          <t>礼品卡</t>
        </is>
      </c>
      <c r="C11" s="17" t="n"/>
      <c r="D11" s="12" t="n"/>
      <c r="E11" s="12" t="n"/>
      <c r="F11" s="12" t="n"/>
      <c r="G11" s="35" t="n"/>
      <c r="H11" s="62">
        <f>C11-G11</f>
        <v/>
      </c>
      <c r="I11" s="86" t="n"/>
      <c r="J11" s="86" t="n"/>
      <c r="L11" s="53">
        <f>SUM(L1:L10)</f>
        <v/>
      </c>
      <c r="M11" s="53">
        <f>SUM(M1:M10)</f>
        <v/>
      </c>
      <c r="N11" s="64">
        <f>SUM(N1:N10)</f>
        <v/>
      </c>
      <c r="O11" s="64">
        <f>SUM(O1:O10)</f>
        <v/>
      </c>
    </row>
    <row r="12" s="28">
      <c r="A12" s="9" t="inlineStr">
        <is>
          <t>305476</t>
        </is>
      </c>
      <c r="B12" s="9" t="inlineStr">
        <is>
          <t>DoorDash</t>
        </is>
      </c>
      <c r="C12" s="12" t="n"/>
      <c r="D12" s="12" t="n"/>
      <c r="E12" s="12" t="n"/>
      <c r="F12" s="12" t="n"/>
      <c r="G12" s="19" t="n"/>
      <c r="H12" s="62">
        <f>C12-G12</f>
        <v/>
      </c>
      <c r="I12" s="86" t="n"/>
      <c r="J12" s="86" t="n"/>
    </row>
    <row r="13" s="28">
      <c r="A13" s="9" t="inlineStr">
        <is>
          <t>305477</t>
        </is>
      </c>
      <c r="B13" s="9" t="inlineStr">
        <is>
          <t>SKIP</t>
        </is>
      </c>
      <c r="C13" s="12" t="n"/>
      <c r="D13" s="12" t="n"/>
      <c r="E13" s="12" t="n"/>
      <c r="F13" s="12" t="n"/>
      <c r="G13" s="19" t="n"/>
      <c r="H13" s="62">
        <f>C13-G13</f>
        <v/>
      </c>
      <c r="I13" s="86" t="n"/>
      <c r="J13" s="86" t="n"/>
      <c r="N13" s="55" t="n"/>
    </row>
    <row r="14" s="28">
      <c r="A14" s="9" t="inlineStr">
        <is>
          <t>305478</t>
        </is>
      </c>
      <c r="B14" s="9" t="inlineStr">
        <is>
          <t>Ubereat</t>
        </is>
      </c>
      <c r="C14" s="86" t="n">
        <v>30.28</v>
      </c>
      <c r="D14" s="12" t="n"/>
      <c r="E14" s="12" t="n"/>
      <c r="F14" s="12" t="n"/>
      <c r="G14" s="35" t="n">
        <v>30.3</v>
      </c>
      <c r="H14" s="62">
        <f>C14-G14</f>
        <v/>
      </c>
      <c r="I14" s="86" t="inlineStr">
        <is>
          <t>尾差</t>
        </is>
      </c>
      <c r="K14" s="86" t="n"/>
    </row>
    <row r="15" s="28">
      <c r="A15" s="9" t="inlineStr">
        <is>
          <t>305479</t>
        </is>
      </c>
      <c r="B15" s="9" t="inlineStr">
        <is>
          <t>Chowbus</t>
        </is>
      </c>
      <c r="C15" s="12" t="n"/>
      <c r="D15" s="12" t="n"/>
      <c r="E15" s="12" t="n"/>
      <c r="F15" s="12" t="n"/>
      <c r="G15" s="12" t="n"/>
      <c r="H15" s="62">
        <f>C15-G15</f>
        <v/>
      </c>
      <c r="I15" s="86" t="n"/>
      <c r="J15" s="86" t="n"/>
      <c r="K15" s="86" t="n"/>
    </row>
    <row r="16" s="28">
      <c r="A16" s="9" t="inlineStr">
        <is>
          <t>305510</t>
        </is>
      </c>
      <c r="B16" s="9" t="inlineStr">
        <is>
          <t>snappy</t>
        </is>
      </c>
      <c r="C16" s="20" t="n">
        <v>138.49</v>
      </c>
      <c r="D16" s="20" t="n"/>
      <c r="E16" s="21" t="n"/>
      <c r="F16" s="12" t="n"/>
      <c r="G16" s="35" t="n">
        <v>138.55</v>
      </c>
      <c r="H16" s="62">
        <f>C16-G16-D16</f>
        <v/>
      </c>
      <c r="I16" s="86" t="inlineStr">
        <is>
          <t>尾差</t>
        </is>
      </c>
      <c r="J16" s="86" t="n"/>
      <c r="K16" s="86" t="n"/>
    </row>
    <row r="17" s="28">
      <c r="A17" s="9" t="n"/>
      <c r="B17" s="9" t="inlineStr">
        <is>
          <t>panda</t>
        </is>
      </c>
      <c r="C17" s="80" t="n"/>
      <c r="D17" s="22" t="n"/>
      <c r="E17" s="22" t="n"/>
      <c r="F17" s="12" t="n"/>
      <c r="G17" s="35" t="n"/>
      <c r="H17" s="62">
        <f>C17-G17</f>
        <v/>
      </c>
      <c r="I17" s="57" t="n"/>
      <c r="J17" s="86" t="n"/>
      <c r="K17" s="86" t="n"/>
    </row>
    <row r="18" s="28">
      <c r="A18" s="92" t="inlineStr">
        <is>
          <t>305606</t>
        </is>
      </c>
      <c r="B18" s="9" t="inlineStr">
        <is>
          <t>tapin</t>
        </is>
      </c>
      <c r="C18" s="12" t="n"/>
      <c r="D18" s="12" t="n"/>
      <c r="E18" s="12" t="n"/>
      <c r="F18" s="12" t="n"/>
      <c r="G18" s="35" t="n"/>
      <c r="H18" s="62">
        <f>C18-G18</f>
        <v/>
      </c>
      <c r="I18" s="86" t="n"/>
      <c r="J18" s="86" t="n"/>
    </row>
    <row r="19" s="28">
      <c r="A19" s="9" t="inlineStr">
        <is>
          <t>305512</t>
        </is>
      </c>
      <c r="B19" s="9" t="inlineStr">
        <is>
          <t>VANPEOPLE</t>
        </is>
      </c>
      <c r="C19" s="72" t="n">
        <v>39.17</v>
      </c>
      <c r="D19" s="12" t="n"/>
      <c r="E19" s="12" t="n"/>
      <c r="F19" s="12" t="n"/>
      <c r="G19" s="35" t="n">
        <v>43.4</v>
      </c>
      <c r="H19" s="62">
        <f>C19-G19</f>
        <v/>
      </c>
      <c r="I19" s="86" t="inlineStr">
        <is>
          <t>尾差</t>
        </is>
      </c>
      <c r="J19" s="86" t="n"/>
    </row>
    <row r="20" s="28">
      <c r="A20" s="9" t="inlineStr">
        <is>
          <t>305830</t>
        </is>
      </c>
      <c r="B20" s="9" t="inlineStr">
        <is>
          <t>Easi</t>
        </is>
      </c>
      <c r="C20" s="12" t="n"/>
      <c r="D20" s="12" t="n"/>
      <c r="E20" s="12" t="n">
        <v>0</v>
      </c>
      <c r="F20" s="12" t="n"/>
      <c r="G20" s="12" t="n"/>
      <c r="H20" s="62">
        <f>C20-G20</f>
        <v/>
      </c>
      <c r="I20" s="86" t="n"/>
      <c r="J20" s="86" t="n"/>
    </row>
    <row r="21" s="28">
      <c r="A21" s="92" t="inlineStr">
        <is>
          <t>305606</t>
        </is>
      </c>
      <c r="B21" s="9" t="inlineStr">
        <is>
          <t>VANPEOPLE</t>
        </is>
      </c>
      <c r="C21" s="12" t="n"/>
      <c r="D21" s="12" t="n"/>
      <c r="E21" s="12" t="n"/>
      <c r="F21" s="12" t="n"/>
      <c r="G21" s="12" t="n"/>
      <c r="H21" s="62">
        <f>C21-G21</f>
        <v/>
      </c>
      <c r="I21" s="86" t="n"/>
      <c r="J21" s="86" t="n"/>
    </row>
    <row r="22" s="28">
      <c r="A22" s="24" t="n"/>
      <c r="B22" s="25" t="inlineStr">
        <is>
          <t>入账金额合计</t>
        </is>
      </c>
      <c r="C22" s="24">
        <f>SUM(C7:C21)</f>
        <v/>
      </c>
      <c r="D22" s="24">
        <f>SUM(D7:D21)</f>
        <v/>
      </c>
      <c r="E22" s="24">
        <f>SUM(E7:E21)</f>
        <v/>
      </c>
      <c r="F22" s="24">
        <f>SUM(F7:F21)</f>
        <v/>
      </c>
      <c r="G22" s="26">
        <f>SUM(G7:G21)</f>
        <v/>
      </c>
      <c r="H22" s="26">
        <f>C22-G22+F22+E22</f>
        <v/>
      </c>
      <c r="I22" s="86" t="n"/>
      <c r="J22" s="86" t="n"/>
    </row>
    <row r="23" s="28">
      <c r="A23" s="27" t="n"/>
      <c r="B23" s="27" t="n"/>
      <c r="C23" s="27" t="n"/>
      <c r="D23" s="86" t="n"/>
      <c r="F23" s="27" t="n"/>
      <c r="G23" s="27" t="n"/>
      <c r="H23" s="27" t="n"/>
    </row>
    <row r="24" s="28">
      <c r="E24" s="86" t="n"/>
    </row>
    <row r="25" s="28">
      <c r="A25" s="29" t="inlineStr">
        <is>
          <t>Gift Card 充值明细</t>
        </is>
      </c>
      <c r="E25" s="27" t="n"/>
    </row>
    <row r="26" s="28">
      <c r="A26" s="8" t="inlineStr">
        <is>
          <t>日期</t>
        </is>
      </c>
      <c r="B26" s="8" t="inlineStr">
        <is>
          <t>卡號</t>
        </is>
      </c>
      <c r="C26" s="8" t="inlineStr">
        <is>
          <t>充值方式</t>
        </is>
      </c>
      <c r="D26" s="31" t="inlineStr">
        <is>
          <t>充值金額</t>
        </is>
      </c>
      <c r="F26" s="31" t="inlineStr">
        <is>
          <t>每日应存现金</t>
        </is>
      </c>
      <c r="G26" s="32">
        <f>C7+D7+C44</f>
        <v/>
      </c>
      <c r="H26" s="61" t="n"/>
    </row>
    <row r="27" s="28">
      <c r="A27" s="33" t="n"/>
      <c r="B27" s="34" t="n"/>
      <c r="C27" s="34" t="n"/>
      <c r="D27" s="34" t="n"/>
      <c r="F27" s="32" t="inlineStr">
        <is>
          <t>&gt;0, 应存；&lt;0, 累计&gt;0时存入银行</t>
        </is>
      </c>
      <c r="G27" s="32" t="n"/>
      <c r="H27" s="31" t="n"/>
    </row>
    <row r="28" s="28">
      <c r="A28" s="33" t="n"/>
      <c r="B28" s="34" t="n"/>
      <c r="C28" s="34" t="n"/>
      <c r="D28" s="34" t="n"/>
    </row>
    <row r="29" s="28">
      <c r="A29" s="33" t="n"/>
      <c r="B29" s="34" t="n"/>
      <c r="C29" s="34" t="n"/>
      <c r="D29" s="34" t="n"/>
    </row>
    <row r="30" s="28">
      <c r="A30" s="33" t="n"/>
      <c r="B30" s="34" t="n"/>
      <c r="C30" s="34" t="n"/>
      <c r="D30" s="34" t="n"/>
    </row>
    <row r="31" s="28">
      <c r="A31" s="33" t="n"/>
      <c r="B31" s="34" t="n"/>
      <c r="C31" s="34" t="n"/>
      <c r="D31" s="34" t="n"/>
    </row>
    <row r="32" s="28">
      <c r="A32" s="33" t="n"/>
      <c r="B32" s="34" t="n"/>
      <c r="C32" s="34" t="n"/>
      <c r="D32" s="34" t="n"/>
    </row>
    <row r="33" s="28">
      <c r="A33" s="33" t="n"/>
      <c r="B33" s="17" t="n"/>
      <c r="C33" s="34" t="n"/>
      <c r="D33" s="34" t="n"/>
    </row>
    <row r="34" s="28">
      <c r="A34" s="33" t="n"/>
      <c r="B34" s="34" t="n"/>
      <c r="C34" s="34" t="n"/>
      <c r="D34" s="34" t="n"/>
      <c r="F34" s="13" t="n"/>
      <c r="G34" s="13" t="n"/>
      <c r="H34" s="13" t="n"/>
    </row>
    <row r="35" s="28">
      <c r="A35" s="33" t="n"/>
      <c r="B35" s="34" t="n"/>
      <c r="C35" s="34" t="n"/>
      <c r="D35" s="35" t="n"/>
      <c r="E35" s="13" t="n"/>
      <c r="F35" s="13" t="n"/>
      <c r="G35" s="13" t="n"/>
      <c r="H35" s="13" t="n"/>
    </row>
    <row r="36" s="28">
      <c r="A36" s="33" t="n"/>
      <c r="B36" s="34" t="n"/>
      <c r="C36" s="34" t="n"/>
      <c r="D36" s="35" t="n"/>
      <c r="E36" s="13" t="n"/>
      <c r="F36" s="13" t="n"/>
      <c r="G36" s="13" t="n"/>
      <c r="H36" s="13" t="n"/>
    </row>
    <row r="37" s="28">
      <c r="A37" s="33" t="n"/>
      <c r="B37" s="34" t="n"/>
      <c r="C37" s="34" t="n"/>
      <c r="D37" s="35" t="n"/>
      <c r="E37" s="13" t="n"/>
      <c r="F37" s="13" t="n"/>
      <c r="G37" s="13" t="n"/>
      <c r="H37" s="13" t="n"/>
    </row>
    <row r="38" s="28">
      <c r="A38" s="33" t="n"/>
      <c r="B38" s="34" t="n"/>
      <c r="C38" s="34" t="n"/>
      <c r="D38" s="35" t="n"/>
      <c r="E38" s="13" t="n"/>
      <c r="F38" s="13" t="n"/>
      <c r="G38" s="13" t="n"/>
      <c r="H38" s="13" t="n"/>
    </row>
    <row r="39" s="28">
      <c r="A39" s="33" t="n"/>
      <c r="B39" s="34" t="n"/>
      <c r="C39" s="34" t="n"/>
      <c r="D39" s="35" t="n"/>
      <c r="E39" s="13" t="n"/>
      <c r="F39" s="13" t="n"/>
      <c r="G39" s="13" t="n"/>
      <c r="H39" s="13" t="n"/>
    </row>
    <row r="40" s="28">
      <c r="A40" s="33" t="n"/>
      <c r="B40" s="34" t="n"/>
      <c r="C40" s="34" t="n"/>
      <c r="D40" s="35" t="n"/>
      <c r="E40" s="13" t="n"/>
      <c r="F40" s="13" t="n"/>
      <c r="G40" s="13" t="n"/>
      <c r="H40" s="13" t="n"/>
    </row>
    <row r="41" s="28">
      <c r="A41" s="33" t="n"/>
      <c r="B41" s="34" t="n"/>
      <c r="C41" s="34" t="n"/>
      <c r="D41" s="35" t="n"/>
      <c r="E41" s="13" t="n"/>
      <c r="F41" s="13" t="n"/>
      <c r="G41" s="13" t="n"/>
      <c r="H41" s="13" t="n"/>
    </row>
    <row r="42" s="28">
      <c r="A42" s="33" t="n"/>
      <c r="B42" s="34" t="n"/>
      <c r="C42" s="34" t="n"/>
      <c r="D42" s="35" t="n"/>
      <c r="E42" s="13" t="n"/>
      <c r="F42" s="13" t="n"/>
      <c r="G42" s="13" t="n"/>
      <c r="H42" s="13" t="n"/>
    </row>
    <row r="43" s="28">
      <c r="A43" s="33" t="n"/>
      <c r="B43" s="34" t="n"/>
      <c r="C43" s="34" t="n"/>
      <c r="D43" s="35" t="n"/>
      <c r="E43" s="13" t="n"/>
      <c r="F43" s="13" t="n"/>
      <c r="G43" s="13" t="n"/>
      <c r="H43" s="13" t="n"/>
    </row>
    <row r="44" s="28">
      <c r="A44" s="36" t="inlineStr">
        <is>
          <t>合计</t>
        </is>
      </c>
      <c r="B44" s="32">
        <f>SUM(B27:B43)</f>
        <v/>
      </c>
      <c r="C44" s="32">
        <f>SUM(C27:C43)</f>
        <v/>
      </c>
      <c r="D44" s="35" t="n"/>
      <c r="E44" s="13" t="n"/>
      <c r="F44" s="13" t="n"/>
      <c r="G44" s="13" t="n"/>
      <c r="H44" s="13" t="n"/>
    </row>
    <row r="45" s="28">
      <c r="D45" s="86" t="n"/>
      <c r="E45" s="86" t="n"/>
      <c r="F45" s="86" t="n"/>
      <c r="G45" s="86" t="n"/>
    </row>
    <row r="46" s="28">
      <c r="A46" s="107" t="inlineStr">
        <is>
          <t>禮品卡消費</t>
        </is>
      </c>
      <c r="B46" s="98" t="n"/>
      <c r="C46" s="98" t="n"/>
      <c r="D46" s="99" t="n"/>
    </row>
    <row r="47" s="28">
      <c r="A47" s="40" t="inlineStr">
        <is>
          <t>日期</t>
        </is>
      </c>
      <c r="B47" s="40" t="inlineStr">
        <is>
          <t>卡號</t>
        </is>
      </c>
      <c r="C47" s="40" t="inlineStr">
        <is>
          <t>消費金額</t>
        </is>
      </c>
      <c r="D47" s="40" t="inlineStr">
        <is>
          <t>小费</t>
        </is>
      </c>
    </row>
    <row r="48" s="28">
      <c r="A48" s="60" t="n">
        <v>44653</v>
      </c>
      <c r="B48" s="93" t="inlineStr">
        <is>
          <t>6038360183440034579</t>
        </is>
      </c>
      <c r="C48" s="80" t="n">
        <v>100</v>
      </c>
      <c r="D48" s="80" t="n">
        <v>46.28</v>
      </c>
    </row>
    <row r="49" s="28">
      <c r="A49" s="60" t="n">
        <v>44654</v>
      </c>
      <c r="B49" s="94" t="inlineStr">
        <is>
          <t>6038360183440025924</t>
        </is>
      </c>
      <c r="C49" s="80" t="n">
        <v>50</v>
      </c>
      <c r="D49" s="80" t="n">
        <v>0</v>
      </c>
    </row>
    <row r="50" s="28">
      <c r="A50" s="60" t="n">
        <v>44655</v>
      </c>
      <c r="B50" s="93" t="inlineStr">
        <is>
          <t>6038360183440018085</t>
        </is>
      </c>
      <c r="C50" s="80" t="n">
        <v>100</v>
      </c>
      <c r="D50" s="80" t="n">
        <v>16.28</v>
      </c>
    </row>
    <row r="51" s="28">
      <c r="A51" s="80" t="n"/>
      <c r="B51" s="80" t="n"/>
      <c r="C51" s="80" t="n"/>
      <c r="D51" s="80" t="n"/>
    </row>
    <row r="52" s="28">
      <c r="A52" s="80" t="n"/>
      <c r="B52" s="80" t="n"/>
      <c r="C52" s="80" t="n"/>
      <c r="D52" s="80" t="n"/>
    </row>
    <row r="53" s="28">
      <c r="A53" s="80" t="n"/>
      <c r="B53" s="80" t="n"/>
      <c r="C53" s="80" t="n"/>
      <c r="D53" s="80" t="n"/>
    </row>
    <row r="54" s="28">
      <c r="A54" s="80" t="n"/>
      <c r="B54" s="80" t="n"/>
      <c r="C54" s="80" t="n"/>
      <c r="D54" s="80" t="n"/>
    </row>
    <row r="55" s="28">
      <c r="A55" s="80" t="n"/>
      <c r="B55" s="80" t="n"/>
      <c r="C55" s="80" t="n"/>
      <c r="D55" s="80" t="n"/>
    </row>
    <row r="56" s="28">
      <c r="A56" s="80" t="n"/>
      <c r="B56" s="80" t="n"/>
      <c r="C56" s="80" t="n"/>
      <c r="D56" s="80" t="n"/>
    </row>
    <row r="57" s="28">
      <c r="A57" s="80" t="n"/>
      <c r="B57" s="80" t="n"/>
      <c r="C57" s="80" t="n"/>
      <c r="D57" s="80" t="n"/>
    </row>
    <row r="58" s="28">
      <c r="A58" s="80" t="n"/>
      <c r="B58" s="80" t="n"/>
      <c r="C58" s="80" t="n"/>
      <c r="D58" s="80" t="n"/>
    </row>
    <row r="59" s="28">
      <c r="A59" s="80" t="n"/>
      <c r="B59" s="80" t="n"/>
      <c r="C59" s="80" t="n"/>
      <c r="D59" s="80" t="n"/>
    </row>
    <row r="60" s="28">
      <c r="A60" s="80" t="n"/>
      <c r="B60" s="80" t="n"/>
      <c r="C60" s="80" t="n"/>
      <c r="D60" s="80" t="n"/>
    </row>
    <row r="61" s="28">
      <c r="A61" s="80" t="n"/>
      <c r="B61" s="80" t="n"/>
      <c r="C61" s="80" t="n"/>
      <c r="D61" s="80" t="n"/>
    </row>
    <row r="62" s="28">
      <c r="A62" s="80" t="n"/>
      <c r="B62" s="80" t="n"/>
      <c r="C62" s="80" t="n"/>
      <c r="D62" s="80" t="n"/>
    </row>
    <row r="63" s="28">
      <c r="A63" s="80" t="n"/>
      <c r="B63" s="80" t="n"/>
      <c r="C63" s="80" t="n"/>
      <c r="D63" s="80" t="n"/>
    </row>
    <row r="64" s="28">
      <c r="A64" s="80" t="n"/>
      <c r="B64" s="80" t="n"/>
      <c r="C64" s="80" t="n"/>
      <c r="D64" s="80" t="n"/>
    </row>
    <row r="65" s="28">
      <c r="A65" s="80" t="n"/>
      <c r="B65" s="80" t="n"/>
      <c r="C65" s="80" t="n"/>
      <c r="D65" s="80" t="n"/>
    </row>
    <row r="66" s="28">
      <c r="A66" s="80" t="n"/>
      <c r="B66" s="80" t="n"/>
      <c r="C66" s="80" t="n"/>
      <c r="D66" s="80" t="n"/>
    </row>
    <row r="67" s="28">
      <c r="A67" s="80" t="n"/>
      <c r="B67" s="80" t="n"/>
      <c r="C67" s="80" t="n"/>
      <c r="D67" s="80" t="n"/>
    </row>
  </sheetData>
  <mergeCells count="4">
    <mergeCell ref="L1:M1"/>
    <mergeCell ref="N1:O1"/>
    <mergeCell ref="A25:D25"/>
    <mergeCell ref="A46:D46"/>
  </mergeCells>
  <pageMargins left="0.699305555555556" right="0.699305555555556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67"/>
  <sheetViews>
    <sheetView zoomScale="99" zoomScaleNormal="99" workbookViewId="0">
      <selection activeCell="D22" sqref="D22"/>
    </sheetView>
  </sheetViews>
  <sheetFormatPr baseColWidth="8" defaultColWidth="9" defaultRowHeight="18.85" customHeight="1"/>
  <cols>
    <col width="14.5350877192982" customWidth="1" style="28" min="1" max="1"/>
    <col width="20.2017543859649" customWidth="1" style="28" min="2" max="2"/>
    <col width="20.2631578947368" customWidth="1" style="28" min="3" max="3"/>
    <col width="14.8771929824561" customWidth="1" style="28" min="4" max="4"/>
    <col width="14.2017543859649" customWidth="1" style="28" min="5" max="5"/>
    <col width="17.3333333333333" customWidth="1" style="28" min="6" max="6"/>
    <col width="21.7368421052632" customWidth="1" style="28" min="7" max="7"/>
    <col width="21.7982456140351" customWidth="1" style="28" min="8" max="8"/>
    <col width="17.1315789473684" customWidth="1" style="28" min="9" max="9"/>
    <col width="13.7543859649123" customWidth="1" style="28" min="10" max="10"/>
    <col width="17.640350877193" customWidth="1" style="28" min="11" max="11"/>
    <col width="11.9298245614035" customWidth="1" style="28" min="12" max="12"/>
    <col width="9.52631578947368" customWidth="1" style="28" min="14" max="14"/>
  </cols>
  <sheetData>
    <row r="1" s="28">
      <c r="A1" s="80" t="inlineStr">
        <is>
          <t>商品销售</t>
        </is>
      </c>
      <c r="B1" s="66" t="n"/>
      <c r="L1" s="100" t="inlineStr">
        <is>
          <t>moneris</t>
        </is>
      </c>
      <c r="M1" s="99" t="n"/>
      <c r="N1" s="101" t="inlineStr">
        <is>
          <t>payfactor</t>
        </is>
      </c>
      <c r="O1" s="99" t="n"/>
      <c r="R1" s="80" t="n">
        <v>17</v>
      </c>
      <c r="S1" s="86" t="n">
        <v>100</v>
      </c>
      <c r="T1" s="58">
        <f>R1*S1</f>
        <v/>
      </c>
    </row>
    <row r="2" s="28">
      <c r="A2" s="80" t="inlineStr">
        <is>
          <t>堂食收入</t>
        </is>
      </c>
      <c r="B2" s="66" t="n">
        <v>13577.6</v>
      </c>
      <c r="C2" s="5" t="n"/>
      <c r="H2" s="86" t="n"/>
      <c r="L2" s="45" t="inlineStr">
        <is>
          <t>菜品金额</t>
        </is>
      </c>
      <c r="M2" s="45" t="inlineStr">
        <is>
          <t>小费</t>
        </is>
      </c>
      <c r="N2" s="46" t="inlineStr">
        <is>
          <t>菜品金额</t>
        </is>
      </c>
      <c r="O2" s="46" t="inlineStr">
        <is>
          <t>小费</t>
        </is>
      </c>
      <c r="R2" s="80" t="n">
        <v>8</v>
      </c>
      <c r="S2" s="86" t="n">
        <v>50</v>
      </c>
      <c r="T2" s="58">
        <f>R2*S2</f>
        <v/>
      </c>
    </row>
    <row r="3" s="28">
      <c r="A3" s="80" t="inlineStr">
        <is>
          <t>外送收入</t>
        </is>
      </c>
      <c r="B3" s="66" t="n">
        <v>869.3</v>
      </c>
      <c r="C3" s="7" t="n"/>
      <c r="G3" s="86" t="n"/>
      <c r="L3" s="80" t="n">
        <v>1414.83</v>
      </c>
      <c r="M3" s="80" t="n">
        <v>161.03</v>
      </c>
      <c r="N3" s="80" t="n">
        <v>2625.36</v>
      </c>
      <c r="O3" s="80" t="n">
        <v>466.52</v>
      </c>
      <c r="R3" s="80" t="n">
        <v>13</v>
      </c>
      <c r="S3" s="86" t="n">
        <v>20</v>
      </c>
      <c r="T3" s="58">
        <f>R3*S3</f>
        <v/>
      </c>
    </row>
    <row r="4" s="28">
      <c r="A4" s="61" t="inlineStr">
        <is>
          <t>收入合计</t>
        </is>
      </c>
      <c r="B4" s="61">
        <f>B2+B3+B1</f>
        <v/>
      </c>
      <c r="L4" s="80" t="n">
        <v>14.58</v>
      </c>
      <c r="M4" s="80" t="n">
        <v>1.33</v>
      </c>
      <c r="N4" s="80">
        <f>259.44</f>
        <v/>
      </c>
      <c r="O4" s="80" t="n">
        <v>39.69</v>
      </c>
      <c r="R4" s="80" t="n">
        <v>4</v>
      </c>
      <c r="S4" s="86" t="n">
        <v>10</v>
      </c>
      <c r="T4" s="58">
        <f>R4*S4</f>
        <v/>
      </c>
    </row>
    <row r="5" customFormat="1" s="86">
      <c r="I5" s="86" t="n"/>
      <c r="J5" s="86" t="n"/>
      <c r="L5" s="80" t="n"/>
      <c r="M5" s="80" t="n"/>
      <c r="N5" s="80" t="n">
        <v>3451.41</v>
      </c>
      <c r="O5" s="80" t="n">
        <v>466.57</v>
      </c>
      <c r="R5" s="80" t="n">
        <v>7</v>
      </c>
      <c r="S5" s="86" t="n">
        <v>5</v>
      </c>
      <c r="T5" s="58">
        <f>R5*S5</f>
        <v/>
      </c>
    </row>
    <row r="6" s="28">
      <c r="A6" s="8" t="inlineStr">
        <is>
          <t>客户代码</t>
        </is>
      </c>
      <c r="B6" s="8" t="inlineStr">
        <is>
          <t>客户名称</t>
        </is>
      </c>
      <c r="C6" s="8" t="inlineStr">
        <is>
          <t>营业款-小票金额</t>
        </is>
      </c>
      <c r="D6" s="8" t="inlineStr">
        <is>
          <t>小费</t>
        </is>
      </c>
      <c r="E6" s="8" t="inlineStr">
        <is>
          <t>饭团手续费</t>
        </is>
      </c>
      <c r="F6" s="8" t="inlineStr">
        <is>
          <t>点评</t>
        </is>
      </c>
      <c r="G6" s="8" t="inlineStr">
        <is>
          <t>红火台金额</t>
        </is>
      </c>
      <c r="H6" s="8" t="inlineStr">
        <is>
          <t>复核</t>
        </is>
      </c>
      <c r="I6" s="86" t="n"/>
      <c r="J6" s="86" t="n"/>
      <c r="L6" s="80" t="n"/>
      <c r="M6" s="80" t="n"/>
      <c r="N6" s="80" t="n">
        <v>2321.02</v>
      </c>
      <c r="O6" s="80" t="n">
        <v>312.17</v>
      </c>
    </row>
    <row r="7" s="28">
      <c r="A7" s="9" t="inlineStr">
        <is>
          <t>301737</t>
        </is>
      </c>
      <c r="B7" s="10" t="inlineStr">
        <is>
          <t>现金</t>
        </is>
      </c>
      <c r="C7" s="35">
        <f>-360+214.55+794.35+1419.5+79.1+7.3+2.75</f>
        <v/>
      </c>
      <c r="D7" s="68">
        <f>10.45+72.5+195.5-1</f>
        <v/>
      </c>
      <c r="E7" s="12" t="n"/>
      <c r="F7" s="12" t="n"/>
      <c r="G7" s="35" t="n">
        <v>2157.55</v>
      </c>
      <c r="H7" s="62">
        <f>C7-G7</f>
        <v/>
      </c>
      <c r="I7" s="86" t="n"/>
      <c r="J7" s="86" t="n"/>
      <c r="L7" s="80" t="n"/>
      <c r="M7" s="80" t="n"/>
      <c r="N7" s="104" t="n">
        <v>305.1</v>
      </c>
      <c r="O7" s="80" t="n">
        <v>18</v>
      </c>
      <c r="S7" s="65" t="inlineStr">
        <is>
          <t>total:</t>
        </is>
      </c>
      <c r="T7" s="65">
        <f>SUM(T1:T6)</f>
        <v/>
      </c>
    </row>
    <row r="8" s="28">
      <c r="A8" s="9" t="inlineStr">
        <is>
          <t>304102</t>
        </is>
      </c>
      <c r="B8" s="9" t="inlineStr">
        <is>
          <t>刷卡</t>
        </is>
      </c>
      <c r="C8" s="12">
        <f>L11+N11-D8</f>
        <v/>
      </c>
      <c r="D8" s="68">
        <f>M11+O11-105.7</f>
        <v/>
      </c>
      <c r="E8" s="12" t="n"/>
      <c r="F8" s="12" t="n"/>
      <c r="G8" s="35" t="n">
        <v>10383.43</v>
      </c>
      <c r="H8" s="62">
        <f>C8-G8</f>
        <v/>
      </c>
      <c r="I8" s="86" t="n"/>
      <c r="J8" s="86" t="n"/>
      <c r="K8" s="86" t="n"/>
      <c r="L8" s="80" t="n"/>
      <c r="M8" s="80" t="n"/>
      <c r="N8" s="80" t="n">
        <v>1542.43</v>
      </c>
      <c r="O8" s="80" t="n">
        <v>191.13</v>
      </c>
    </row>
    <row r="9" s="28">
      <c r="A9" s="9" t="inlineStr">
        <is>
          <t>304111</t>
        </is>
      </c>
      <c r="B9" s="9" t="inlineStr">
        <is>
          <t>微信支付宝</t>
        </is>
      </c>
      <c r="C9" s="80">
        <f>1090.3-D9</f>
        <v/>
      </c>
      <c r="D9" s="86">
        <f>144.09+0.01</f>
        <v/>
      </c>
      <c r="E9" s="80" t="n"/>
      <c r="F9" s="12" t="n"/>
      <c r="G9" s="35">
        <f>525.95+420.25</f>
        <v/>
      </c>
      <c r="H9" s="62">
        <f>C9-G9</f>
        <v/>
      </c>
      <c r="I9" s="86" t="n"/>
      <c r="J9" s="86" t="n"/>
      <c r="K9" s="86" t="n"/>
      <c r="L9" s="80" t="n"/>
      <c r="M9" s="80" t="n"/>
      <c r="N9" s="80" t="n"/>
      <c r="O9" s="80" t="n"/>
    </row>
    <row r="10" s="28">
      <c r="A10" s="9" t="inlineStr">
        <is>
          <t>304240</t>
        </is>
      </c>
      <c r="B10" s="9" t="inlineStr">
        <is>
          <t>饭团</t>
        </is>
      </c>
      <c r="C10" s="80" t="n">
        <v>558.95</v>
      </c>
      <c r="D10" s="68" t="n"/>
      <c r="E10" s="12">
        <f>8.59+13.37+13.61+8.91+18+13.89+11.1+34.01+39.31</f>
        <v/>
      </c>
      <c r="F10" s="12" t="n">
        <v>69.81</v>
      </c>
      <c r="G10" s="106" t="n">
        <v>825.45</v>
      </c>
      <c r="H10" s="62">
        <f>C10-G10+D10+F10+E10</f>
        <v/>
      </c>
      <c r="I10" s="86" t="inlineStr">
        <is>
          <t>尾差</t>
        </is>
      </c>
      <c r="J10" s="86" t="n"/>
      <c r="K10" s="86" t="n"/>
      <c r="L10" s="80" t="n"/>
      <c r="M10" s="80" t="n"/>
      <c r="N10" s="80" t="n"/>
      <c r="O10" s="80" t="n"/>
    </row>
    <row r="11" s="28">
      <c r="A11" s="9" t="inlineStr">
        <is>
          <t>304432</t>
        </is>
      </c>
      <c r="B11" s="9" t="inlineStr">
        <is>
          <t>礼品卡</t>
        </is>
      </c>
      <c r="C11" s="69">
        <f>100-D11</f>
        <v/>
      </c>
      <c r="D11" s="68">
        <f>16.28</f>
        <v/>
      </c>
      <c r="E11" s="12" t="n"/>
      <c r="F11" s="12" t="n"/>
      <c r="G11" s="35" t="n">
        <v>83.72</v>
      </c>
      <c r="H11" s="62">
        <f>C11-G11</f>
        <v/>
      </c>
      <c r="I11" s="86" t="n"/>
      <c r="J11" s="86" t="n"/>
      <c r="L11" s="53">
        <f>SUM(L1:L10)</f>
        <v/>
      </c>
      <c r="M11" s="53">
        <f>SUM(M1:M10)</f>
        <v/>
      </c>
      <c r="N11" s="64">
        <f>SUM(N1:N10)</f>
        <v/>
      </c>
      <c r="O11" s="64">
        <f>SUM(O1:O10)</f>
        <v/>
      </c>
    </row>
    <row r="12" s="28">
      <c r="A12" s="9" t="inlineStr">
        <is>
          <t>305476</t>
        </is>
      </c>
      <c r="B12" s="9" t="inlineStr">
        <is>
          <t>DoorDash</t>
        </is>
      </c>
      <c r="C12" s="12" t="n"/>
      <c r="D12" s="12" t="n"/>
      <c r="E12" s="12" t="n"/>
      <c r="F12" s="12" t="n"/>
      <c r="G12" s="19" t="n"/>
      <c r="H12" s="62">
        <f>C12-G12</f>
        <v/>
      </c>
      <c r="I12" s="86" t="n"/>
      <c r="J12" s="86" t="n"/>
    </row>
    <row r="13" s="28">
      <c r="A13" s="9" t="inlineStr">
        <is>
          <t>305477</t>
        </is>
      </c>
      <c r="B13" s="9" t="inlineStr">
        <is>
          <t>SKIP</t>
        </is>
      </c>
      <c r="C13" s="12" t="n"/>
      <c r="D13" s="12" t="n"/>
      <c r="E13" s="12" t="n"/>
      <c r="F13" s="12" t="n"/>
      <c r="G13" s="19" t="n"/>
      <c r="H13" s="62">
        <f>C13-G13</f>
        <v/>
      </c>
      <c r="I13" s="86" t="n"/>
      <c r="J13" s="86" t="n"/>
      <c r="N13" s="55" t="n"/>
    </row>
    <row r="14" s="28">
      <c r="A14" s="9" t="inlineStr">
        <is>
          <t>305478</t>
        </is>
      </c>
      <c r="B14" s="9" t="inlineStr">
        <is>
          <t>Ubereat</t>
        </is>
      </c>
      <c r="C14" s="63" t="n"/>
      <c r="D14" s="12" t="n"/>
      <c r="E14" s="12" t="n"/>
      <c r="F14" s="12" t="n"/>
      <c r="G14" s="35" t="n"/>
      <c r="H14" s="62">
        <f>C14-G14</f>
        <v/>
      </c>
      <c r="I14" s="86" t="n"/>
      <c r="K14" s="86" t="n"/>
    </row>
    <row r="15" s="28">
      <c r="A15" s="9" t="inlineStr">
        <is>
          <t>305479</t>
        </is>
      </c>
      <c r="B15" s="9" t="inlineStr">
        <is>
          <t>Chowbus</t>
        </is>
      </c>
      <c r="C15" s="12" t="n"/>
      <c r="D15" s="12" t="n"/>
      <c r="E15" s="12" t="n"/>
      <c r="F15" s="12" t="n"/>
      <c r="G15" s="12" t="n"/>
      <c r="H15" s="62">
        <f>C15-G15</f>
        <v/>
      </c>
      <c r="I15" s="86" t="n"/>
      <c r="J15" s="86" t="n"/>
      <c r="K15" s="86" t="n"/>
    </row>
    <row r="16" s="28">
      <c r="A16" s="9" t="inlineStr">
        <is>
          <t>305510</t>
        </is>
      </c>
      <c r="B16" s="9" t="inlineStr">
        <is>
          <t>snappy</t>
        </is>
      </c>
      <c r="C16" s="86" t="n">
        <v>50.37</v>
      </c>
      <c r="D16" s="20" t="n"/>
      <c r="E16" s="21" t="n"/>
      <c r="F16" s="12" t="n"/>
      <c r="G16" s="106" t="n">
        <v>50.55</v>
      </c>
      <c r="H16" s="62">
        <f>C16-G16-D16</f>
        <v/>
      </c>
      <c r="I16" s="86" t="inlineStr">
        <is>
          <t>尾差</t>
        </is>
      </c>
      <c r="J16" s="86" t="n"/>
      <c r="K16" s="86" t="n"/>
    </row>
    <row r="17" s="28">
      <c r="A17" s="9" t="n"/>
      <c r="B17" s="9" t="inlineStr">
        <is>
          <t>panda</t>
        </is>
      </c>
      <c r="C17" s="80" t="n"/>
      <c r="D17" s="22" t="n"/>
      <c r="E17" s="22" t="n"/>
      <c r="F17" s="12" t="n"/>
      <c r="G17" s="35" t="n"/>
      <c r="H17" s="62">
        <f>C17-G17</f>
        <v/>
      </c>
      <c r="I17" s="57" t="n"/>
      <c r="J17" s="86" t="n"/>
      <c r="K17" s="86" t="n"/>
    </row>
    <row r="18" s="28">
      <c r="A18" s="92" t="inlineStr">
        <is>
          <t>305606</t>
        </is>
      </c>
      <c r="B18" s="9" t="inlineStr">
        <is>
          <t>tapin</t>
        </is>
      </c>
      <c r="C18" s="12" t="n"/>
      <c r="D18" s="12" t="n"/>
      <c r="E18" s="12" t="n"/>
      <c r="F18" s="12" t="n"/>
      <c r="G18" s="35" t="n"/>
      <c r="H18" s="62">
        <f>C18-G18</f>
        <v/>
      </c>
      <c r="I18" s="86" t="n"/>
      <c r="J18" s="86" t="n"/>
    </row>
    <row r="19" s="28">
      <c r="A19" s="9" t="inlineStr">
        <is>
          <t>305512</t>
        </is>
      </c>
      <c r="B19" s="9" t="inlineStr">
        <is>
          <t>VANPEOPLE</t>
        </is>
      </c>
      <c r="C19" s="23" t="n"/>
      <c r="D19" s="12" t="n"/>
      <c r="E19" s="12" t="n"/>
      <c r="F19" s="12" t="n"/>
      <c r="G19" s="35" t="n"/>
      <c r="H19" s="62">
        <f>C19-G19</f>
        <v/>
      </c>
      <c r="I19" s="86" t="n"/>
      <c r="J19" s="86" t="n"/>
    </row>
    <row r="20" s="28">
      <c r="A20" s="9" t="inlineStr">
        <is>
          <t>305830</t>
        </is>
      </c>
      <c r="B20" s="9" t="inlineStr">
        <is>
          <t>Easi</t>
        </is>
      </c>
      <c r="C20" s="12" t="n"/>
      <c r="D20" s="12" t="n"/>
      <c r="E20" s="12" t="n"/>
      <c r="F20" s="12" t="n"/>
      <c r="G20" s="12" t="n"/>
      <c r="H20" s="62">
        <f>C20-G20</f>
        <v/>
      </c>
      <c r="I20" s="86" t="n"/>
      <c r="J20" s="86" t="n"/>
    </row>
    <row r="21" s="28">
      <c r="A21" s="92" t="inlineStr">
        <is>
          <t>305606</t>
        </is>
      </c>
      <c r="B21" s="9" t="inlineStr">
        <is>
          <t>VANPEOPLE</t>
        </is>
      </c>
      <c r="C21" s="12" t="n"/>
      <c r="D21" s="12" t="n"/>
      <c r="E21" s="12" t="n"/>
      <c r="F21" s="12" t="n"/>
      <c r="G21" s="12" t="n"/>
      <c r="H21" s="62">
        <f>C21-G21</f>
        <v/>
      </c>
      <c r="I21" s="86" t="n"/>
      <c r="J21" s="86" t="n"/>
    </row>
    <row r="22" s="28">
      <c r="A22" s="24" t="n"/>
      <c r="B22" s="25" t="inlineStr">
        <is>
          <t>入账金额合计</t>
        </is>
      </c>
      <c r="C22" s="24">
        <f>SUM(C7:C21)</f>
        <v/>
      </c>
      <c r="D22" s="24">
        <f>SUM(D7:D21)</f>
        <v/>
      </c>
      <c r="E22" s="24">
        <f>SUM(E7:E21)</f>
        <v/>
      </c>
      <c r="F22" s="24">
        <f>SUM(F7:F21)</f>
        <v/>
      </c>
      <c r="G22" s="26">
        <f>SUM(G7:G21)</f>
        <v/>
      </c>
      <c r="H22" s="26">
        <f>C22-G22+F22</f>
        <v/>
      </c>
      <c r="I22" s="86" t="n"/>
      <c r="J22" s="86" t="n"/>
    </row>
    <row r="23" s="28">
      <c r="A23" s="27" t="n"/>
      <c r="B23" s="27" t="n"/>
      <c r="C23" s="27" t="n"/>
      <c r="D23" s="86" t="n"/>
      <c r="F23" s="27" t="n"/>
      <c r="G23" s="27" t="n"/>
      <c r="H23" s="27" t="n"/>
    </row>
    <row r="24" s="28">
      <c r="E24" s="86" t="n"/>
    </row>
    <row r="25" s="28">
      <c r="A25" s="29" t="inlineStr">
        <is>
          <t>Gift Card 充值明细</t>
        </is>
      </c>
      <c r="E25" s="27" t="n"/>
    </row>
    <row r="26" s="28">
      <c r="A26" s="8" t="inlineStr">
        <is>
          <t>日期</t>
        </is>
      </c>
      <c r="B26" s="8" t="inlineStr">
        <is>
          <t>卡號</t>
        </is>
      </c>
      <c r="C26" s="8" t="inlineStr">
        <is>
          <t>充值方式</t>
        </is>
      </c>
      <c r="D26" s="31" t="inlineStr">
        <is>
          <t>充值金額</t>
        </is>
      </c>
      <c r="F26" s="31" t="inlineStr">
        <is>
          <t>每日应存现金</t>
        </is>
      </c>
      <c r="G26" s="32">
        <f>C7+D7+C44</f>
        <v/>
      </c>
      <c r="H26" s="61" t="n"/>
    </row>
    <row r="27" s="28">
      <c r="A27" s="33" t="n"/>
      <c r="B27" s="34" t="n"/>
      <c r="C27" s="34" t="n"/>
      <c r="D27" s="34" t="n"/>
      <c r="F27" s="32" t="inlineStr">
        <is>
          <t>&gt;0, 应存；&lt;0, 累计&gt;0时存入银行</t>
        </is>
      </c>
      <c r="G27" s="32" t="n"/>
      <c r="H27" s="31" t="n"/>
    </row>
    <row r="28" s="28">
      <c r="A28" s="33" t="n"/>
      <c r="B28" s="34" t="n"/>
      <c r="C28" s="34" t="n"/>
      <c r="D28" s="34" t="n"/>
    </row>
    <row r="29" s="28">
      <c r="A29" s="33" t="n"/>
      <c r="B29" s="34" t="n"/>
      <c r="C29" s="34" t="n"/>
      <c r="D29" s="34" t="n"/>
    </row>
    <row r="30" s="28">
      <c r="A30" s="33" t="n"/>
      <c r="B30" s="34" t="n"/>
      <c r="C30" s="34" t="n"/>
      <c r="D30" s="34" t="n"/>
    </row>
    <row r="31" s="28">
      <c r="A31" s="33" t="n"/>
      <c r="B31" s="34" t="n"/>
      <c r="C31" s="34" t="n"/>
      <c r="D31" s="34" t="n"/>
    </row>
    <row r="32" s="28">
      <c r="A32" s="33" t="n"/>
      <c r="B32" s="34" t="n"/>
      <c r="C32" s="34" t="n"/>
      <c r="D32" s="34" t="n"/>
    </row>
    <row r="33" s="28">
      <c r="A33" s="33" t="n"/>
      <c r="B33" s="17" t="n"/>
      <c r="C33" s="34" t="n"/>
      <c r="D33" s="34" t="n"/>
    </row>
    <row r="34" s="28">
      <c r="A34" s="33" t="n"/>
      <c r="B34" s="34" t="n"/>
      <c r="C34" s="34" t="n"/>
      <c r="D34" s="34" t="n"/>
      <c r="F34" s="13" t="n"/>
      <c r="G34" s="13" t="n"/>
      <c r="H34" s="13" t="n"/>
    </row>
    <row r="35" s="28">
      <c r="A35" s="33" t="n"/>
      <c r="B35" s="34" t="n"/>
      <c r="C35" s="34" t="n"/>
      <c r="D35" s="35" t="n"/>
      <c r="E35" s="13" t="n"/>
      <c r="F35" s="13" t="n"/>
      <c r="G35" s="13" t="n"/>
      <c r="H35" s="13" t="n"/>
    </row>
    <row r="36" s="28">
      <c r="A36" s="33" t="n"/>
      <c r="B36" s="34" t="n"/>
      <c r="C36" s="34" t="n"/>
      <c r="D36" s="35" t="n"/>
      <c r="E36" s="13" t="n"/>
      <c r="F36" s="13" t="n"/>
      <c r="G36" s="13" t="n"/>
      <c r="H36" s="13" t="n"/>
    </row>
    <row r="37" s="28">
      <c r="A37" s="33" t="n"/>
      <c r="B37" s="34" t="n"/>
      <c r="C37" s="34" t="n"/>
      <c r="D37" s="35" t="n"/>
      <c r="E37" s="13" t="n"/>
      <c r="F37" s="13" t="n"/>
      <c r="G37" s="13" t="n"/>
      <c r="H37" s="13" t="n"/>
    </row>
    <row r="38" s="28">
      <c r="A38" s="33" t="n"/>
      <c r="B38" s="34" t="n"/>
      <c r="C38" s="34" t="n"/>
      <c r="D38" s="35" t="n"/>
      <c r="E38" s="13" t="n"/>
      <c r="F38" s="13" t="n"/>
      <c r="G38" s="13" t="n"/>
      <c r="H38" s="13" t="n"/>
    </row>
    <row r="39" s="28">
      <c r="A39" s="33" t="n"/>
      <c r="B39" s="34" t="n"/>
      <c r="C39" s="34" t="n"/>
      <c r="D39" s="35" t="n"/>
      <c r="E39" s="13" t="n"/>
      <c r="F39" s="13" t="n"/>
      <c r="G39" s="13" t="n"/>
      <c r="H39" s="13" t="n"/>
    </row>
    <row r="40" s="28">
      <c r="A40" s="33" t="n"/>
      <c r="B40" s="34" t="n"/>
      <c r="C40" s="34" t="n"/>
      <c r="D40" s="35" t="n"/>
      <c r="E40" s="13" t="n"/>
      <c r="F40" s="13" t="n"/>
      <c r="G40" s="13" t="n"/>
      <c r="H40" s="13" t="n"/>
    </row>
    <row r="41" s="28">
      <c r="A41" s="33" t="n"/>
      <c r="B41" s="34" t="n"/>
      <c r="C41" s="34" t="n"/>
      <c r="D41" s="35" t="n"/>
      <c r="E41" s="13" t="n"/>
      <c r="F41" s="13" t="n"/>
      <c r="G41" s="13" t="n"/>
      <c r="H41" s="13" t="n"/>
    </row>
    <row r="42" s="28">
      <c r="A42" s="33" t="n"/>
      <c r="B42" s="34" t="n"/>
      <c r="C42" s="34" t="n"/>
      <c r="D42" s="35" t="n"/>
      <c r="E42" s="13" t="n"/>
      <c r="F42" s="13" t="n"/>
      <c r="G42" s="13" t="n"/>
      <c r="H42" s="13" t="n"/>
    </row>
    <row r="43" s="28">
      <c r="A43" s="33" t="n"/>
      <c r="B43" s="34" t="n"/>
      <c r="C43" s="34" t="n"/>
      <c r="D43" s="35" t="n"/>
      <c r="E43" s="13" t="n"/>
      <c r="F43" s="13" t="n"/>
      <c r="G43" s="13" t="n"/>
      <c r="H43" s="13" t="n"/>
    </row>
    <row r="44" s="28">
      <c r="A44" s="36" t="inlineStr">
        <is>
          <t>合计</t>
        </is>
      </c>
      <c r="B44" s="32">
        <f>SUM(B27:B43)</f>
        <v/>
      </c>
      <c r="C44" s="32">
        <f>SUM(C27:C43)</f>
        <v/>
      </c>
      <c r="D44" s="35" t="n"/>
      <c r="E44" s="13" t="n"/>
      <c r="F44" s="13" t="n"/>
      <c r="G44" s="13" t="n"/>
      <c r="H44" s="13" t="n"/>
    </row>
    <row r="45" s="28">
      <c r="D45" s="86" t="n"/>
      <c r="E45" s="86" t="n"/>
      <c r="F45" s="86" t="n"/>
      <c r="G45" s="86" t="n"/>
    </row>
    <row r="46" s="28">
      <c r="A46" s="107" t="inlineStr">
        <is>
          <t>禮品卡消費</t>
        </is>
      </c>
      <c r="B46" s="98" t="n"/>
      <c r="C46" s="98" t="n"/>
      <c r="D46" s="99" t="n"/>
    </row>
    <row r="47" s="28">
      <c r="A47" s="40" t="inlineStr">
        <is>
          <t>日期</t>
        </is>
      </c>
      <c r="B47" s="40" t="inlineStr">
        <is>
          <t>卡號</t>
        </is>
      </c>
      <c r="C47" s="40" t="inlineStr">
        <is>
          <t>消費金額</t>
        </is>
      </c>
      <c r="D47" s="40" t="inlineStr">
        <is>
          <t>小费</t>
        </is>
      </c>
    </row>
    <row r="48" s="28">
      <c r="A48" s="60" t="n">
        <v>44653</v>
      </c>
      <c r="B48" s="93" t="inlineStr">
        <is>
          <t>6038360183440034579</t>
        </is>
      </c>
      <c r="C48" s="80" t="n">
        <v>100</v>
      </c>
      <c r="D48" s="80" t="n">
        <v>46.28</v>
      </c>
    </row>
    <row r="49" s="28">
      <c r="A49" s="60" t="n">
        <v>44654</v>
      </c>
      <c r="B49" s="94" t="inlineStr">
        <is>
          <t>6038360183440025924</t>
        </is>
      </c>
      <c r="C49" s="80" t="n">
        <v>50</v>
      </c>
      <c r="D49" s="80" t="n">
        <v>0</v>
      </c>
    </row>
    <row r="50" s="28">
      <c r="A50" s="60" t="n">
        <v>44655</v>
      </c>
      <c r="B50" s="93" t="inlineStr">
        <is>
          <t>6038360183440018085</t>
        </is>
      </c>
      <c r="C50" s="80" t="n">
        <v>100</v>
      </c>
      <c r="D50" s="80" t="n">
        <v>16.28</v>
      </c>
    </row>
    <row r="51" s="28">
      <c r="A51" s="80" t="n"/>
      <c r="B51" s="80" t="n"/>
      <c r="C51" s="80" t="n"/>
      <c r="D51" s="80" t="n"/>
    </row>
    <row r="52" s="28">
      <c r="A52" s="80" t="n"/>
      <c r="B52" s="80" t="n"/>
      <c r="C52" s="80" t="n"/>
      <c r="D52" s="80" t="n"/>
    </row>
    <row r="53" s="28">
      <c r="A53" s="80" t="n"/>
      <c r="B53" s="80" t="n"/>
      <c r="C53" s="80" t="n"/>
      <c r="D53" s="80" t="n"/>
    </row>
    <row r="54" s="28">
      <c r="A54" s="80" t="n"/>
      <c r="B54" s="80" t="n"/>
      <c r="C54" s="80" t="n"/>
      <c r="D54" s="80" t="n"/>
    </row>
    <row r="55" s="28">
      <c r="A55" s="80" t="n"/>
      <c r="B55" s="80" t="n"/>
      <c r="C55" s="80" t="n"/>
      <c r="D55" s="80" t="n"/>
    </row>
    <row r="56" s="28">
      <c r="A56" s="80" t="n"/>
      <c r="B56" s="80" t="n"/>
      <c r="C56" s="80" t="n"/>
      <c r="D56" s="80" t="n"/>
    </row>
    <row r="57" s="28">
      <c r="A57" s="80" t="n"/>
      <c r="B57" s="80" t="n"/>
      <c r="C57" s="80" t="n"/>
      <c r="D57" s="80" t="n"/>
    </row>
    <row r="58" s="28">
      <c r="A58" s="80" t="n"/>
      <c r="B58" s="80" t="n"/>
      <c r="C58" s="80" t="n"/>
      <c r="D58" s="80" t="n"/>
    </row>
    <row r="59" s="28">
      <c r="A59" s="80" t="n"/>
      <c r="B59" s="80" t="n"/>
      <c r="C59" s="80" t="n"/>
      <c r="D59" s="80" t="n"/>
    </row>
    <row r="60" s="28">
      <c r="A60" s="80" t="n"/>
      <c r="B60" s="80" t="n"/>
      <c r="C60" s="80" t="n"/>
      <c r="D60" s="80" t="n"/>
    </row>
    <row r="61" s="28">
      <c r="A61" s="80" t="n"/>
      <c r="B61" s="80" t="n"/>
      <c r="C61" s="80" t="n"/>
      <c r="D61" s="80" t="n"/>
    </row>
    <row r="62" s="28">
      <c r="A62" s="80" t="n"/>
      <c r="B62" s="80" t="n"/>
      <c r="C62" s="80" t="n"/>
      <c r="D62" s="80" t="n"/>
    </row>
    <row r="63" s="28">
      <c r="A63" s="80" t="n"/>
      <c r="B63" s="80" t="n"/>
      <c r="C63" s="80" t="n"/>
      <c r="D63" s="80" t="n"/>
    </row>
    <row r="64" s="28">
      <c r="A64" s="80" t="n"/>
      <c r="B64" s="80" t="n"/>
      <c r="C64" s="80" t="n"/>
      <c r="D64" s="80" t="n"/>
    </row>
    <row r="65" s="28">
      <c r="A65" s="80" t="n"/>
      <c r="B65" s="80" t="n"/>
      <c r="C65" s="80" t="n"/>
      <c r="D65" s="80" t="n"/>
    </row>
    <row r="66" s="28">
      <c r="A66" s="80" t="n"/>
      <c r="B66" s="80" t="n"/>
      <c r="C66" s="80" t="n"/>
      <c r="D66" s="80" t="n"/>
    </row>
    <row r="67" s="28">
      <c r="A67" s="80" t="n"/>
      <c r="B67" s="80" t="n"/>
      <c r="C67" s="80" t="n"/>
      <c r="D67" s="80" t="n"/>
    </row>
  </sheetData>
  <mergeCells count="4">
    <mergeCell ref="L1:M1"/>
    <mergeCell ref="N1:O1"/>
    <mergeCell ref="A25:D25"/>
    <mergeCell ref="A46:D46"/>
  </mergeCells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FAN</dc:creator>
  <dcterms:created xsi:type="dcterms:W3CDTF">2021-02-28T13:48:00Z</dcterms:created>
  <dcterms:modified xsi:type="dcterms:W3CDTF">2022-04-12T22:38:07Z</dcterms:modified>
  <cp:lastModifiedBy>qq237</cp:lastModifiedBy>
</cp:coreProperties>
</file>