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bdul Majid\Downloads\Desktop\"/>
    </mc:Choice>
  </mc:AlternateContent>
  <xr:revisionPtr revIDLastSave="0" documentId="13_ncr:1_{48D6018A-8D30-4B41-BB95-8628F07EADC5}" xr6:coauthVersionLast="45" xr6:coauthVersionMax="45" xr10:uidLastSave="{00000000-0000-0000-0000-000000000000}"/>
  <bookViews>
    <workbookView xWindow="-120" yWindow="-120" windowWidth="20640" windowHeight="11760" activeTab="4" xr2:uid="{00000000-000D-0000-FFFF-FFFF00000000}"/>
  </bookViews>
  <sheets>
    <sheet name="Income Statement" sheetId="1" r:id="rId1"/>
    <sheet name="Balance Sheet" sheetId="3" r:id="rId2"/>
    <sheet name="CashFlow" sheetId="5" r:id="rId3"/>
    <sheet name="P&amp;G 3 Statement Model" sheetId="6" r:id="rId4"/>
    <sheet name="DCF" sheetId="7" r:id="rId5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1" i="7" l="1"/>
  <c r="G99" i="7"/>
  <c r="G92" i="7"/>
  <c r="G91" i="7"/>
  <c r="G89" i="7"/>
  <c r="G88" i="7"/>
  <c r="G35" i="7"/>
  <c r="H35" i="7"/>
  <c r="I35" i="7"/>
  <c r="J35" i="7"/>
  <c r="K35" i="7"/>
  <c r="L35" i="7"/>
  <c r="M35" i="7"/>
  <c r="F35" i="7"/>
  <c r="G87" i="7"/>
  <c r="G85" i="7"/>
  <c r="G94" i="7" s="1"/>
  <c r="F70" i="7" s="1"/>
  <c r="H44" i="7"/>
  <c r="I44" i="7"/>
  <c r="G82" i="7" s="1"/>
  <c r="J44" i="7"/>
  <c r="K44" i="7"/>
  <c r="L44" i="7"/>
  <c r="M44" i="7"/>
  <c r="G44" i="7"/>
  <c r="D43" i="6"/>
  <c r="E43" i="6"/>
  <c r="F43" i="6"/>
  <c r="G43" i="6"/>
  <c r="H43" i="6"/>
  <c r="I43" i="6"/>
  <c r="J43" i="6"/>
  <c r="K43" i="6"/>
  <c r="L43" i="6"/>
  <c r="C43" i="6"/>
  <c r="I11" i="7" l="1"/>
  <c r="J11" i="7"/>
  <c r="K11" i="7"/>
  <c r="L11" i="7"/>
  <c r="M11" i="7"/>
  <c r="F27" i="6" l="1"/>
  <c r="E27" i="6"/>
  <c r="D27" i="6"/>
  <c r="M155" i="6"/>
  <c r="B153" i="6"/>
  <c r="B152" i="6"/>
  <c r="G61" i="6" l="1"/>
  <c r="H61" i="6" s="1"/>
  <c r="I61" i="6" s="1"/>
  <c r="J61" i="6" s="1"/>
  <c r="K61" i="6" s="1"/>
  <c r="L61" i="6" s="1"/>
  <c r="H95" i="6"/>
  <c r="I95" i="6"/>
  <c r="J95" i="6"/>
  <c r="K95" i="6"/>
  <c r="L95" i="6"/>
  <c r="C130" i="6"/>
  <c r="D130" i="6"/>
  <c r="E130" i="6"/>
  <c r="C127" i="6"/>
  <c r="D127" i="6"/>
  <c r="N124" i="6"/>
  <c r="H99" i="6"/>
  <c r="I99" i="6"/>
  <c r="J99" i="6"/>
  <c r="K99" i="6"/>
  <c r="L99" i="6"/>
  <c r="D103" i="6"/>
  <c r="D99" i="6"/>
  <c r="E99" i="6"/>
  <c r="C99" i="6"/>
  <c r="H78" i="6" l="1"/>
  <c r="I78" i="6"/>
  <c r="J78" i="6"/>
  <c r="K78" i="6"/>
  <c r="L78" i="6"/>
  <c r="H55" i="6"/>
  <c r="I55" i="6"/>
  <c r="J55" i="6"/>
  <c r="K55" i="6"/>
  <c r="L55" i="6"/>
  <c r="H56" i="6"/>
  <c r="I56" i="6"/>
  <c r="J56" i="6"/>
  <c r="K56" i="6"/>
  <c r="L56" i="6"/>
  <c r="H36" i="6" l="1"/>
  <c r="I36" i="6"/>
  <c r="J36" i="6"/>
  <c r="K36" i="6"/>
  <c r="L36" i="6"/>
  <c r="C25" i="6"/>
  <c r="D25" i="6"/>
  <c r="E25" i="6"/>
  <c r="F25" i="6"/>
  <c r="G25" i="6"/>
  <c r="D21" i="6"/>
  <c r="E21" i="6"/>
  <c r="F21" i="6"/>
  <c r="G21" i="6"/>
  <c r="C21" i="6"/>
  <c r="F130" i="6"/>
  <c r="G130" i="6"/>
  <c r="E127" i="6"/>
  <c r="F127" i="6"/>
  <c r="G127" i="6"/>
  <c r="C120" i="6"/>
  <c r="D120" i="6"/>
  <c r="E120" i="6"/>
  <c r="F120" i="6"/>
  <c r="G120" i="6"/>
  <c r="C121" i="6"/>
  <c r="D121" i="6"/>
  <c r="E121" i="6"/>
  <c r="F121" i="6"/>
  <c r="G121" i="6"/>
  <c r="C122" i="6"/>
  <c r="D122" i="6"/>
  <c r="E122" i="6"/>
  <c r="F122" i="6"/>
  <c r="F155" i="6" s="1"/>
  <c r="G122" i="6"/>
  <c r="C123" i="6"/>
  <c r="D123" i="6"/>
  <c r="E123" i="6"/>
  <c r="F123" i="6"/>
  <c r="G123" i="6"/>
  <c r="C124" i="6"/>
  <c r="D124" i="6"/>
  <c r="E124" i="6"/>
  <c r="F124" i="6"/>
  <c r="G124" i="6"/>
  <c r="C125" i="6"/>
  <c r="D125" i="6"/>
  <c r="E125" i="6"/>
  <c r="F125" i="6"/>
  <c r="G125" i="6"/>
  <c r="D119" i="6"/>
  <c r="E119" i="6"/>
  <c r="F119" i="6"/>
  <c r="G119" i="6"/>
  <c r="C119" i="6"/>
  <c r="C108" i="6"/>
  <c r="D108" i="6"/>
  <c r="E108" i="6"/>
  <c r="F108" i="6"/>
  <c r="G108" i="6"/>
  <c r="C109" i="6"/>
  <c r="D109" i="6"/>
  <c r="E109" i="6"/>
  <c r="F109" i="6"/>
  <c r="G109" i="6"/>
  <c r="C110" i="6"/>
  <c r="D110" i="6"/>
  <c r="E110" i="6"/>
  <c r="F110" i="6"/>
  <c r="G110" i="6"/>
  <c r="C111" i="6"/>
  <c r="D111" i="6"/>
  <c r="E111" i="6"/>
  <c r="F111" i="6"/>
  <c r="G111" i="6"/>
  <c r="C112" i="6"/>
  <c r="D112" i="6"/>
  <c r="E112" i="6"/>
  <c r="F112" i="6"/>
  <c r="G112" i="6"/>
  <c r="C113" i="6"/>
  <c r="D113" i="6"/>
  <c r="E113" i="6"/>
  <c r="F113" i="6"/>
  <c r="G113" i="6"/>
  <c r="C114" i="6"/>
  <c r="D114" i="6"/>
  <c r="E114" i="6"/>
  <c r="F114" i="6"/>
  <c r="G114" i="6"/>
  <c r="C115" i="6"/>
  <c r="D115" i="6"/>
  <c r="E115" i="6"/>
  <c r="F115" i="6"/>
  <c r="G115" i="6"/>
  <c r="C116" i="6"/>
  <c r="D116" i="6"/>
  <c r="E116" i="6"/>
  <c r="F116" i="6"/>
  <c r="G116" i="6"/>
  <c r="D107" i="6"/>
  <c r="D142" i="6" s="1"/>
  <c r="E107" i="6"/>
  <c r="F107" i="6"/>
  <c r="G107" i="6"/>
  <c r="C107" i="6"/>
  <c r="C142" i="6" s="1"/>
  <c r="C94" i="6"/>
  <c r="D94" i="6"/>
  <c r="E94" i="6"/>
  <c r="F94" i="6"/>
  <c r="G94" i="6"/>
  <c r="C95" i="6"/>
  <c r="D95" i="6"/>
  <c r="E95" i="6"/>
  <c r="F95" i="6"/>
  <c r="G95" i="6"/>
  <c r="C96" i="6"/>
  <c r="D96" i="6"/>
  <c r="E96" i="6"/>
  <c r="F96" i="6"/>
  <c r="G96" i="6"/>
  <c r="C97" i="6"/>
  <c r="D97" i="6"/>
  <c r="E97" i="6"/>
  <c r="F97" i="6"/>
  <c r="G97" i="6"/>
  <c r="C98" i="6"/>
  <c r="D98" i="6"/>
  <c r="E98" i="6"/>
  <c r="F98" i="6"/>
  <c r="G98" i="6"/>
  <c r="C100" i="6"/>
  <c r="C101" i="6"/>
  <c r="C102" i="6"/>
  <c r="C103" i="6"/>
  <c r="E103" i="6"/>
  <c r="F103" i="6"/>
  <c r="G103" i="6"/>
  <c r="C104" i="6"/>
  <c r="D104" i="6"/>
  <c r="E104" i="6"/>
  <c r="F104" i="6"/>
  <c r="G104" i="6"/>
  <c r="C91" i="6"/>
  <c r="D77" i="6"/>
  <c r="E77" i="6"/>
  <c r="F77" i="6"/>
  <c r="G77" i="6"/>
  <c r="H77" i="6" s="1"/>
  <c r="I77" i="6" s="1"/>
  <c r="J77" i="6" s="1"/>
  <c r="K77" i="6" s="1"/>
  <c r="L77" i="6" s="1"/>
  <c r="D78" i="6"/>
  <c r="E78" i="6"/>
  <c r="F78" i="6"/>
  <c r="G78" i="6"/>
  <c r="D79" i="6"/>
  <c r="E79" i="6"/>
  <c r="F79" i="6"/>
  <c r="G79" i="6"/>
  <c r="H79" i="6" s="1"/>
  <c r="I79" i="6" s="1"/>
  <c r="J79" i="6" s="1"/>
  <c r="K79" i="6" s="1"/>
  <c r="L79" i="6" s="1"/>
  <c r="D80" i="6"/>
  <c r="E80" i="6"/>
  <c r="F80" i="6"/>
  <c r="G80" i="6"/>
  <c r="H80" i="6" s="1"/>
  <c r="I80" i="6" s="1"/>
  <c r="J80" i="6" s="1"/>
  <c r="K80" i="6" s="1"/>
  <c r="L80" i="6" s="1"/>
  <c r="D81" i="6"/>
  <c r="E81" i="6"/>
  <c r="F81" i="6"/>
  <c r="G81" i="6"/>
  <c r="H81" i="6" s="1"/>
  <c r="I81" i="6" s="1"/>
  <c r="J81" i="6" s="1"/>
  <c r="K81" i="6" s="1"/>
  <c r="L81" i="6" s="1"/>
  <c r="D82" i="6"/>
  <c r="E82" i="6"/>
  <c r="F82" i="6"/>
  <c r="G82" i="6"/>
  <c r="D83" i="6"/>
  <c r="E83" i="6"/>
  <c r="F83" i="6"/>
  <c r="G83" i="6"/>
  <c r="H83" i="6" s="1"/>
  <c r="I83" i="6" s="1"/>
  <c r="J83" i="6" s="1"/>
  <c r="K83" i="6" s="1"/>
  <c r="L83" i="6" s="1"/>
  <c r="D84" i="6"/>
  <c r="E84" i="6"/>
  <c r="F84" i="6"/>
  <c r="G84" i="6"/>
  <c r="D85" i="6"/>
  <c r="E85" i="6"/>
  <c r="F85" i="6"/>
  <c r="G85" i="6"/>
  <c r="C78" i="6"/>
  <c r="C79" i="6"/>
  <c r="C80" i="6"/>
  <c r="C81" i="6"/>
  <c r="C82" i="6"/>
  <c r="C83" i="6"/>
  <c r="C84" i="6"/>
  <c r="C85" i="6"/>
  <c r="C77" i="6"/>
  <c r="D72" i="6"/>
  <c r="D153" i="6" s="1"/>
  <c r="E72" i="6"/>
  <c r="E153" i="6" s="1"/>
  <c r="F72" i="6"/>
  <c r="F153" i="6" s="1"/>
  <c r="G72" i="6"/>
  <c r="G153" i="6" s="1"/>
  <c r="D73" i="6"/>
  <c r="E73" i="6"/>
  <c r="F73" i="6"/>
  <c r="G73" i="6"/>
  <c r="D74" i="6"/>
  <c r="E74" i="6"/>
  <c r="F74" i="6"/>
  <c r="G74" i="6"/>
  <c r="C73" i="6"/>
  <c r="C74" i="6"/>
  <c r="C72" i="6"/>
  <c r="D67" i="6"/>
  <c r="E67" i="6"/>
  <c r="F31" i="7" s="1"/>
  <c r="F67" i="6"/>
  <c r="G31" i="7" s="1"/>
  <c r="G67" i="6"/>
  <c r="H31" i="7" s="1"/>
  <c r="D68" i="6"/>
  <c r="E68" i="6"/>
  <c r="F68" i="6"/>
  <c r="G68" i="6"/>
  <c r="D69" i="6"/>
  <c r="E69" i="6"/>
  <c r="F32" i="7" s="1"/>
  <c r="F69" i="6"/>
  <c r="G32" i="7" s="1"/>
  <c r="G69" i="6"/>
  <c r="H32" i="7" s="1"/>
  <c r="D70" i="6"/>
  <c r="E70" i="6"/>
  <c r="F70" i="6"/>
  <c r="F152" i="6" s="1"/>
  <c r="G70" i="6"/>
  <c r="C68" i="6"/>
  <c r="C69" i="6"/>
  <c r="C70" i="6"/>
  <c r="C67" i="6"/>
  <c r="C14" i="6" s="1"/>
  <c r="D59" i="6"/>
  <c r="E59" i="6"/>
  <c r="F59" i="6"/>
  <c r="G59" i="6"/>
  <c r="D60" i="6"/>
  <c r="E60" i="6"/>
  <c r="F60" i="6"/>
  <c r="G60" i="6"/>
  <c r="H60" i="6" s="1"/>
  <c r="I60" i="6" s="1"/>
  <c r="J60" i="6" s="1"/>
  <c r="K60" i="6" s="1"/>
  <c r="L60" i="6" s="1"/>
  <c r="D61" i="6"/>
  <c r="E61" i="6"/>
  <c r="F61" i="6"/>
  <c r="D62" i="6"/>
  <c r="E62" i="6"/>
  <c r="F62" i="6"/>
  <c r="G62" i="6"/>
  <c r="H62" i="6" s="1"/>
  <c r="I62" i="6" s="1"/>
  <c r="J62" i="6" s="1"/>
  <c r="K62" i="6" s="1"/>
  <c r="L62" i="6" s="1"/>
  <c r="C60" i="6"/>
  <c r="C61" i="6"/>
  <c r="C59" i="6"/>
  <c r="D55" i="6"/>
  <c r="E55" i="6"/>
  <c r="F55" i="6"/>
  <c r="G55" i="6"/>
  <c r="D56" i="6"/>
  <c r="E56" i="6"/>
  <c r="F56" i="6"/>
  <c r="G56" i="6"/>
  <c r="D57" i="6"/>
  <c r="E57" i="6"/>
  <c r="F29" i="7" s="1"/>
  <c r="F57" i="6"/>
  <c r="G29" i="7" s="1"/>
  <c r="G57" i="6"/>
  <c r="H29" i="7" s="1"/>
  <c r="C56" i="6"/>
  <c r="C57" i="6"/>
  <c r="C55" i="6"/>
  <c r="D47" i="6"/>
  <c r="E47" i="6"/>
  <c r="F26" i="7" s="1"/>
  <c r="F47" i="6"/>
  <c r="G26" i="7" s="1"/>
  <c r="G47" i="6"/>
  <c r="D48" i="6"/>
  <c r="E48" i="6"/>
  <c r="F48" i="6"/>
  <c r="G48" i="6"/>
  <c r="D49" i="6"/>
  <c r="E49" i="6"/>
  <c r="F27" i="7" s="1"/>
  <c r="F49" i="6"/>
  <c r="G27" i="7" s="1"/>
  <c r="G49" i="6"/>
  <c r="H27" i="7" s="1"/>
  <c r="D51" i="6"/>
  <c r="E51" i="6"/>
  <c r="F51" i="6"/>
  <c r="G51" i="6"/>
  <c r="D52" i="6"/>
  <c r="E52" i="6"/>
  <c r="F52" i="6"/>
  <c r="G52" i="6"/>
  <c r="D53" i="6"/>
  <c r="E53" i="6"/>
  <c r="F53" i="6"/>
  <c r="G53" i="6"/>
  <c r="C48" i="6"/>
  <c r="C49" i="6"/>
  <c r="C51" i="6"/>
  <c r="C52" i="6"/>
  <c r="C53" i="6"/>
  <c r="C47" i="6"/>
  <c r="D38" i="6"/>
  <c r="D157" i="6" s="1"/>
  <c r="E38" i="6"/>
  <c r="E157" i="6" s="1"/>
  <c r="F38" i="6"/>
  <c r="F157" i="6" s="1"/>
  <c r="G38" i="6"/>
  <c r="G157" i="6" s="1"/>
  <c r="C38" i="6"/>
  <c r="D36" i="6"/>
  <c r="E36" i="6"/>
  <c r="F36" i="6"/>
  <c r="G36" i="6"/>
  <c r="C36" i="6"/>
  <c r="D33" i="6"/>
  <c r="E33" i="6"/>
  <c r="F33" i="6"/>
  <c r="G33" i="6"/>
  <c r="C33" i="6"/>
  <c r="D29" i="6"/>
  <c r="E29" i="6"/>
  <c r="F29" i="6"/>
  <c r="G29" i="6"/>
  <c r="D30" i="6"/>
  <c r="E30" i="6"/>
  <c r="F30" i="6"/>
  <c r="G30" i="6"/>
  <c r="D31" i="6"/>
  <c r="E31" i="6"/>
  <c r="F31" i="6"/>
  <c r="G31" i="6"/>
  <c r="C30" i="6"/>
  <c r="C31" i="6"/>
  <c r="C29" i="6"/>
  <c r="D19" i="6"/>
  <c r="E19" i="6"/>
  <c r="F10" i="7" s="1"/>
  <c r="F19" i="6"/>
  <c r="G10" i="7" s="1"/>
  <c r="G19" i="6"/>
  <c r="H10" i="7" s="1"/>
  <c r="C19" i="6"/>
  <c r="G42" i="7" l="1"/>
  <c r="G41" i="7"/>
  <c r="H38" i="7"/>
  <c r="H147" i="6"/>
  <c r="H26" i="7"/>
  <c r="G142" i="6"/>
  <c r="H36" i="7"/>
  <c r="G38" i="7"/>
  <c r="H42" i="7"/>
  <c r="H41" i="7"/>
  <c r="F142" i="6"/>
  <c r="G36" i="7"/>
  <c r="E142" i="6"/>
  <c r="F36" i="7"/>
  <c r="L48" i="6"/>
  <c r="I48" i="6"/>
  <c r="J48" i="6"/>
  <c r="K48" i="6"/>
  <c r="H48" i="6"/>
  <c r="H108" i="6"/>
  <c r="I108" i="6" s="1"/>
  <c r="J108" i="6" s="1"/>
  <c r="F154" i="6"/>
  <c r="D152" i="6"/>
  <c r="D154" i="6" s="1"/>
  <c r="E10" i="6" s="1"/>
  <c r="H112" i="6"/>
  <c r="I112" i="6" s="1"/>
  <c r="J112" i="6" s="1"/>
  <c r="K112" i="6" s="1"/>
  <c r="L112" i="6" s="1"/>
  <c r="G152" i="6"/>
  <c r="G154" i="6" s="1"/>
  <c r="H34" i="7" s="1"/>
  <c r="C153" i="6"/>
  <c r="I72" i="6"/>
  <c r="I153" i="6" s="1"/>
  <c r="H72" i="6"/>
  <c r="H153" i="6" s="1"/>
  <c r="K72" i="6"/>
  <c r="K153" i="6" s="1"/>
  <c r="L72" i="6"/>
  <c r="L153" i="6" s="1"/>
  <c r="J72" i="6"/>
  <c r="J153" i="6" s="1"/>
  <c r="H115" i="6"/>
  <c r="I115" i="6" s="1"/>
  <c r="H111" i="6"/>
  <c r="I111" i="6" s="1"/>
  <c r="H119" i="6"/>
  <c r="I119" i="6" s="1"/>
  <c r="G155" i="6"/>
  <c r="C155" i="6"/>
  <c r="H122" i="6"/>
  <c r="H155" i="6" s="1"/>
  <c r="L68" i="6"/>
  <c r="J68" i="6"/>
  <c r="I68" i="6"/>
  <c r="H68" i="6"/>
  <c r="K68" i="6"/>
  <c r="H116" i="6"/>
  <c r="I116" i="6" s="1"/>
  <c r="J116" i="6" s="1"/>
  <c r="K116" i="6" s="1"/>
  <c r="L116" i="6" s="1"/>
  <c r="H123" i="6"/>
  <c r="I123" i="6" s="1"/>
  <c r="D155" i="6"/>
  <c r="C152" i="6"/>
  <c r="H70" i="6"/>
  <c r="K74" i="6"/>
  <c r="J74" i="6"/>
  <c r="L74" i="6"/>
  <c r="I74" i="6"/>
  <c r="H74" i="6"/>
  <c r="H114" i="6"/>
  <c r="I114" i="6" s="1"/>
  <c r="J114" i="6" s="1"/>
  <c r="K114" i="6" s="1"/>
  <c r="L114" i="6" s="1"/>
  <c r="H110" i="6"/>
  <c r="H125" i="6"/>
  <c r="I125" i="6" s="1"/>
  <c r="H121" i="6"/>
  <c r="I121" i="6" s="1"/>
  <c r="L69" i="6"/>
  <c r="M32" i="7" s="1"/>
  <c r="J69" i="6"/>
  <c r="K32" i="7" s="1"/>
  <c r="K69" i="6"/>
  <c r="L32" i="7" s="1"/>
  <c r="I69" i="6"/>
  <c r="J32" i="7" s="1"/>
  <c r="H69" i="6"/>
  <c r="I32" i="7" s="1"/>
  <c r="E152" i="6"/>
  <c r="E154" i="6" s="1"/>
  <c r="F34" i="7" s="1"/>
  <c r="K73" i="6"/>
  <c r="I73" i="6"/>
  <c r="J73" i="6"/>
  <c r="L73" i="6"/>
  <c r="H73" i="6"/>
  <c r="H113" i="6"/>
  <c r="H109" i="6"/>
  <c r="I109" i="6" s="1"/>
  <c r="H124" i="6"/>
  <c r="E155" i="6"/>
  <c r="G16" i="6"/>
  <c r="F16" i="6"/>
  <c r="E16" i="6"/>
  <c r="C16" i="6"/>
  <c r="D16" i="6"/>
  <c r="F41" i="6"/>
  <c r="G19" i="7" s="1"/>
  <c r="E41" i="6"/>
  <c r="F19" i="7" s="1"/>
  <c r="D41" i="6"/>
  <c r="D100" i="6"/>
  <c r="F102" i="6"/>
  <c r="G41" i="6"/>
  <c r="H19" i="7" s="1"/>
  <c r="C41" i="6"/>
  <c r="D91" i="6"/>
  <c r="D147" i="6"/>
  <c r="F91" i="6"/>
  <c r="F147" i="6"/>
  <c r="E91" i="6"/>
  <c r="D129" i="6" s="1"/>
  <c r="E147" i="6"/>
  <c r="G91" i="6"/>
  <c r="F129" i="6" s="1"/>
  <c r="G147" i="6"/>
  <c r="E8" i="6"/>
  <c r="G8" i="6"/>
  <c r="F8" i="6"/>
  <c r="K31" i="6"/>
  <c r="I38" i="6"/>
  <c r="I157" i="6" s="1"/>
  <c r="G100" i="6"/>
  <c r="G102" i="6"/>
  <c r="L127" i="6"/>
  <c r="I127" i="6"/>
  <c r="K127" i="6"/>
  <c r="J127" i="6"/>
  <c r="H127" i="6"/>
  <c r="C129" i="6"/>
  <c r="L104" i="6"/>
  <c r="I104" i="6"/>
  <c r="H104" i="6"/>
  <c r="J104" i="6"/>
  <c r="K104" i="6"/>
  <c r="E12" i="6"/>
  <c r="K103" i="6"/>
  <c r="L103" i="6"/>
  <c r="I103" i="6"/>
  <c r="H103" i="6"/>
  <c r="J103" i="6"/>
  <c r="M48" i="6"/>
  <c r="M70" i="6"/>
  <c r="J97" i="6"/>
  <c r="K97" i="6"/>
  <c r="L97" i="6"/>
  <c r="I97" i="6"/>
  <c r="H97" i="6"/>
  <c r="N70" i="6"/>
  <c r="D102" i="6"/>
  <c r="I96" i="6"/>
  <c r="H96" i="6"/>
  <c r="J96" i="6"/>
  <c r="K96" i="6"/>
  <c r="L96" i="6"/>
  <c r="K57" i="6"/>
  <c r="L29" i="7" s="1"/>
  <c r="L57" i="6"/>
  <c r="M29" i="7" s="1"/>
  <c r="I57" i="6"/>
  <c r="J29" i="7" s="1"/>
  <c r="H57" i="6"/>
  <c r="I29" i="7" s="1"/>
  <c r="I58" i="7" s="1"/>
  <c r="J57" i="6"/>
  <c r="K29" i="7" s="1"/>
  <c r="L58" i="7" s="1"/>
  <c r="D14" i="6"/>
  <c r="G14" i="6"/>
  <c r="H91" i="6"/>
  <c r="E102" i="6"/>
  <c r="C8" i="6"/>
  <c r="G12" i="6"/>
  <c r="E14" i="6"/>
  <c r="F12" i="6"/>
  <c r="F100" i="6"/>
  <c r="E100" i="6"/>
  <c r="N50" i="6"/>
  <c r="I85" i="6"/>
  <c r="H85" i="6"/>
  <c r="J85" i="6"/>
  <c r="K85" i="6"/>
  <c r="L85" i="6"/>
  <c r="D8" i="6"/>
  <c r="C12" i="6"/>
  <c r="D12" i="6"/>
  <c r="F14" i="6"/>
  <c r="K30" i="6"/>
  <c r="J31" i="6"/>
  <c r="J30" i="6"/>
  <c r="L38" i="6"/>
  <c r="L157" i="6" s="1"/>
  <c r="I31" i="6"/>
  <c r="I30" i="6"/>
  <c r="K38" i="6"/>
  <c r="K157" i="6" s="1"/>
  <c r="H31" i="6"/>
  <c r="J38" i="6"/>
  <c r="J157" i="6" s="1"/>
  <c r="L31" i="6"/>
  <c r="L30" i="6"/>
  <c r="H30" i="6"/>
  <c r="F23" i="6"/>
  <c r="H38" i="6"/>
  <c r="H157" i="6" s="1"/>
  <c r="G23" i="6"/>
  <c r="H19" i="6"/>
  <c r="I10" i="7" s="1"/>
  <c r="I50" i="7" s="1"/>
  <c r="E22" i="6"/>
  <c r="G26" i="6"/>
  <c r="F26" i="6"/>
  <c r="C23" i="6"/>
  <c r="C7" i="6" s="1"/>
  <c r="D23" i="6"/>
  <c r="D7" i="6" s="1"/>
  <c r="E23" i="6"/>
  <c r="E7" i="6" s="1"/>
  <c r="E26" i="6"/>
  <c r="C26" i="6"/>
  <c r="D26" i="6"/>
  <c r="D20" i="6"/>
  <c r="F20" i="6"/>
  <c r="G11" i="7" s="1"/>
  <c r="C22" i="6"/>
  <c r="E20" i="6"/>
  <c r="F11" i="7" s="1"/>
  <c r="D22" i="6"/>
  <c r="G20" i="6"/>
  <c r="H11" i="7" s="1"/>
  <c r="E86" i="6"/>
  <c r="F86" i="6"/>
  <c r="G86" i="6"/>
  <c r="D86" i="6"/>
  <c r="C86" i="6"/>
  <c r="D71" i="6"/>
  <c r="D75" i="6" s="1"/>
  <c r="E71" i="6"/>
  <c r="E75" i="6" s="1"/>
  <c r="F71" i="6"/>
  <c r="F75" i="6" s="1"/>
  <c r="G71" i="6"/>
  <c r="G75" i="6" s="1"/>
  <c r="C71" i="6"/>
  <c r="C75" i="6" s="1"/>
  <c r="D54" i="6"/>
  <c r="E54" i="6"/>
  <c r="F28" i="7" s="1"/>
  <c r="F54" i="6"/>
  <c r="G28" i="7" s="1"/>
  <c r="G54" i="6"/>
  <c r="H28" i="7" s="1"/>
  <c r="C54" i="6"/>
  <c r="K58" i="7" l="1"/>
  <c r="G43" i="7"/>
  <c r="L60" i="7"/>
  <c r="L42" i="7"/>
  <c r="G39" i="7"/>
  <c r="G40" i="7"/>
  <c r="J58" i="7"/>
  <c r="I42" i="7"/>
  <c r="I60" i="7"/>
  <c r="M42" i="7"/>
  <c r="M60" i="7"/>
  <c r="J60" i="7"/>
  <c r="J42" i="7"/>
  <c r="H40" i="7"/>
  <c r="H39" i="7"/>
  <c r="H43" i="7"/>
  <c r="M58" i="7"/>
  <c r="K60" i="7"/>
  <c r="K42" i="7"/>
  <c r="G10" i="6"/>
  <c r="G34" i="7"/>
  <c r="I122" i="6"/>
  <c r="J122" i="6" s="1"/>
  <c r="J155" i="6" s="1"/>
  <c r="E156" i="6"/>
  <c r="F156" i="6" s="1"/>
  <c r="C154" i="6"/>
  <c r="D10" i="6" s="1"/>
  <c r="F10" i="6"/>
  <c r="K10" i="6" s="1"/>
  <c r="I110" i="6"/>
  <c r="J110" i="6" s="1"/>
  <c r="K110" i="6" s="1"/>
  <c r="L110" i="6" s="1"/>
  <c r="G156" i="6"/>
  <c r="J125" i="6"/>
  <c r="K125" i="6" s="1"/>
  <c r="J115" i="6"/>
  <c r="K115" i="6" s="1"/>
  <c r="L115" i="6" s="1"/>
  <c r="I124" i="6"/>
  <c r="I70" i="6"/>
  <c r="J121" i="6"/>
  <c r="J109" i="6"/>
  <c r="K109" i="6" s="1"/>
  <c r="L109" i="6" s="1"/>
  <c r="J123" i="6"/>
  <c r="I113" i="6"/>
  <c r="J113" i="6" s="1"/>
  <c r="K113" i="6" s="1"/>
  <c r="L113" i="6" s="1"/>
  <c r="H120" i="6"/>
  <c r="H126" i="6" s="1"/>
  <c r="H149" i="6" s="1"/>
  <c r="H152" i="6"/>
  <c r="H154" i="6" s="1"/>
  <c r="J119" i="6"/>
  <c r="K119" i="6" s="1"/>
  <c r="J111" i="6"/>
  <c r="K111" i="6" s="1"/>
  <c r="L111" i="6" s="1"/>
  <c r="K108" i="6"/>
  <c r="L108" i="6" s="1"/>
  <c r="D156" i="6"/>
  <c r="L16" i="6"/>
  <c r="I16" i="6"/>
  <c r="H16" i="6"/>
  <c r="H107" i="6" s="1"/>
  <c r="I36" i="7" s="1"/>
  <c r="J16" i="6"/>
  <c r="K16" i="6"/>
  <c r="E129" i="6"/>
  <c r="L8" i="6"/>
  <c r="I8" i="6"/>
  <c r="K8" i="6"/>
  <c r="G129" i="6"/>
  <c r="N71" i="6"/>
  <c r="H8" i="6"/>
  <c r="J8" i="6"/>
  <c r="E58" i="6"/>
  <c r="E63" i="6" s="1"/>
  <c r="F101" i="6"/>
  <c r="E13" i="6"/>
  <c r="H14" i="6"/>
  <c r="C58" i="6"/>
  <c r="C63" i="6" s="1"/>
  <c r="D101" i="6"/>
  <c r="C13" i="6"/>
  <c r="D58" i="6"/>
  <c r="D63" i="6" s="1"/>
  <c r="E101" i="6"/>
  <c r="D13" i="6"/>
  <c r="G13" i="6"/>
  <c r="H12" i="6"/>
  <c r="H49" i="6" s="1"/>
  <c r="G58" i="6"/>
  <c r="F58" i="6"/>
  <c r="F63" i="6" s="1"/>
  <c r="G101" i="6"/>
  <c r="F13" i="6"/>
  <c r="H5" i="6"/>
  <c r="G24" i="6"/>
  <c r="G7" i="6"/>
  <c r="F24" i="6"/>
  <c r="F7" i="6"/>
  <c r="E28" i="6"/>
  <c r="E24" i="6"/>
  <c r="J26" i="6"/>
  <c r="I26" i="6"/>
  <c r="H26" i="6"/>
  <c r="H25" i="6" s="1"/>
  <c r="K26" i="6"/>
  <c r="L26" i="6"/>
  <c r="C28" i="6"/>
  <c r="C24" i="6"/>
  <c r="D28" i="6"/>
  <c r="D24" i="6"/>
  <c r="I19" i="6"/>
  <c r="J10" i="7" s="1"/>
  <c r="J50" i="7" s="1"/>
  <c r="F87" i="6"/>
  <c r="G87" i="6"/>
  <c r="E87" i="6"/>
  <c r="D87" i="6"/>
  <c r="C87" i="6"/>
  <c r="I43" i="7" l="1"/>
  <c r="I61" i="7"/>
  <c r="H134" i="6"/>
  <c r="I27" i="7"/>
  <c r="H156" i="6"/>
  <c r="I34" i="7"/>
  <c r="I155" i="6"/>
  <c r="K122" i="6"/>
  <c r="K155" i="6" s="1"/>
  <c r="H10" i="6"/>
  <c r="H29" i="6" s="1"/>
  <c r="J10" i="6"/>
  <c r="L10" i="6"/>
  <c r="I10" i="6"/>
  <c r="C156" i="6"/>
  <c r="K121" i="6"/>
  <c r="L121" i="6" s="1"/>
  <c r="K123" i="6"/>
  <c r="L123" i="6" s="1"/>
  <c r="H142" i="6"/>
  <c r="H117" i="6"/>
  <c r="L119" i="6"/>
  <c r="L125" i="6"/>
  <c r="I152" i="6"/>
  <c r="I154" i="6" s="1"/>
  <c r="I120" i="6"/>
  <c r="I126" i="6" s="1"/>
  <c r="I149" i="6" s="1"/>
  <c r="J70" i="6"/>
  <c r="J124" i="6"/>
  <c r="K124" i="6" s="1"/>
  <c r="I107" i="6"/>
  <c r="J36" i="7" s="1"/>
  <c r="E88" i="6"/>
  <c r="D88" i="6"/>
  <c r="C88" i="6"/>
  <c r="I14" i="6"/>
  <c r="I5" i="6"/>
  <c r="H100" i="6"/>
  <c r="F88" i="6"/>
  <c r="I12" i="6"/>
  <c r="I49" i="6" s="1"/>
  <c r="J27" i="7" s="1"/>
  <c r="H13" i="6"/>
  <c r="I13" i="6" s="1"/>
  <c r="I25" i="6"/>
  <c r="J19" i="6"/>
  <c r="K10" i="7" s="1"/>
  <c r="K50" i="7" s="1"/>
  <c r="F22" i="6"/>
  <c r="G22" i="6"/>
  <c r="G27" i="6"/>
  <c r="J38" i="7" l="1"/>
  <c r="J43" i="7"/>
  <c r="I156" i="6"/>
  <c r="J34" i="7"/>
  <c r="J56" i="7"/>
  <c r="I38" i="7"/>
  <c r="I56" i="7"/>
  <c r="J61" i="7"/>
  <c r="L122" i="6"/>
  <c r="L155" i="6" s="1"/>
  <c r="I29" i="6"/>
  <c r="L124" i="6"/>
  <c r="J120" i="6"/>
  <c r="J126" i="6" s="1"/>
  <c r="J149" i="6" s="1"/>
  <c r="J152" i="6"/>
  <c r="J154" i="6" s="1"/>
  <c r="K34" i="7" s="1"/>
  <c r="I142" i="6"/>
  <c r="I117" i="6"/>
  <c r="K70" i="6"/>
  <c r="L70" i="6" s="1"/>
  <c r="J107" i="6"/>
  <c r="K36" i="7" s="1"/>
  <c r="I100" i="6"/>
  <c r="I134" i="6"/>
  <c r="J12" i="6"/>
  <c r="K12" i="6" s="1"/>
  <c r="L12" i="6" s="1"/>
  <c r="J13" i="6"/>
  <c r="K13" i="6" s="1"/>
  <c r="G28" i="6"/>
  <c r="G99" i="6"/>
  <c r="J49" i="6"/>
  <c r="K27" i="7" s="1"/>
  <c r="F28" i="6"/>
  <c r="F99" i="6"/>
  <c r="J14" i="6"/>
  <c r="J25" i="6"/>
  <c r="J5" i="6"/>
  <c r="K22" i="6"/>
  <c r="H22" i="6"/>
  <c r="H21" i="6" s="1"/>
  <c r="I22" i="6"/>
  <c r="I21" i="6" s="1"/>
  <c r="J22" i="6"/>
  <c r="J21" i="6" s="1"/>
  <c r="L22" i="6"/>
  <c r="K19" i="6"/>
  <c r="L10" i="7" s="1"/>
  <c r="L50" i="7" s="1"/>
  <c r="C32" i="6"/>
  <c r="K43" i="7" l="1"/>
  <c r="K61" i="7"/>
  <c r="K38" i="7"/>
  <c r="C9" i="6"/>
  <c r="C35" i="6"/>
  <c r="C37" i="6" s="1"/>
  <c r="C93" i="6" s="1"/>
  <c r="K56" i="7"/>
  <c r="K120" i="6"/>
  <c r="K126" i="6" s="1"/>
  <c r="K149" i="6" s="1"/>
  <c r="K152" i="6"/>
  <c r="K154" i="6" s="1"/>
  <c r="L34" i="7" s="1"/>
  <c r="J142" i="6"/>
  <c r="J117" i="6"/>
  <c r="L120" i="6"/>
  <c r="L126" i="6" s="1"/>
  <c r="L149" i="6" s="1"/>
  <c r="L152" i="6"/>
  <c r="L154" i="6" s="1"/>
  <c r="M34" i="7" s="1"/>
  <c r="J156" i="6"/>
  <c r="J29" i="6"/>
  <c r="K107" i="6"/>
  <c r="L36" i="7" s="1"/>
  <c r="L43" i="7" s="1"/>
  <c r="J100" i="6"/>
  <c r="J134" i="6"/>
  <c r="K49" i="6"/>
  <c r="L13" i="6"/>
  <c r="J23" i="6"/>
  <c r="J7" i="6" s="1"/>
  <c r="J67" i="6"/>
  <c r="J54" i="6"/>
  <c r="I23" i="6"/>
  <c r="I7" i="6" s="1"/>
  <c r="I67" i="6"/>
  <c r="I54" i="6"/>
  <c r="H23" i="6"/>
  <c r="H7" i="6" s="1"/>
  <c r="H67" i="6"/>
  <c r="H54" i="6"/>
  <c r="K14" i="6"/>
  <c r="L14" i="6" s="1"/>
  <c r="K100" i="6"/>
  <c r="K25" i="6"/>
  <c r="K5" i="6"/>
  <c r="C40" i="6"/>
  <c r="C42" i="6" s="1"/>
  <c r="C34" i="6"/>
  <c r="I28" i="6"/>
  <c r="I32" i="6" s="1"/>
  <c r="L19" i="6"/>
  <c r="K21" i="6"/>
  <c r="G32" i="6"/>
  <c r="F32" i="6"/>
  <c r="E32" i="6"/>
  <c r="D32" i="6"/>
  <c r="D126" i="6"/>
  <c r="D149" i="6" s="1"/>
  <c r="E126" i="6"/>
  <c r="E149" i="6" s="1"/>
  <c r="F126" i="6"/>
  <c r="F149" i="6" s="1"/>
  <c r="G126" i="6"/>
  <c r="G149" i="6" s="1"/>
  <c r="C126" i="6"/>
  <c r="C149" i="6" s="1"/>
  <c r="D117" i="6"/>
  <c r="E117" i="6"/>
  <c r="F117" i="6"/>
  <c r="G117" i="6"/>
  <c r="C117" i="6"/>
  <c r="C157" i="6"/>
  <c r="J136" i="6" l="1"/>
  <c r="K31" i="7"/>
  <c r="H135" i="6"/>
  <c r="I28" i="7"/>
  <c r="I136" i="6"/>
  <c r="J31" i="7"/>
  <c r="J135" i="6"/>
  <c r="J137" i="6" s="1"/>
  <c r="K28" i="7"/>
  <c r="K134" i="6"/>
  <c r="L27" i="7"/>
  <c r="I135" i="6"/>
  <c r="I137" i="6" s="1"/>
  <c r="J28" i="7"/>
  <c r="L107" i="6"/>
  <c r="M36" i="7" s="1"/>
  <c r="M10" i="7"/>
  <c r="M50" i="7" s="1"/>
  <c r="H136" i="6"/>
  <c r="I31" i="7"/>
  <c r="L61" i="7"/>
  <c r="L156" i="6"/>
  <c r="L29" i="6"/>
  <c r="L142" i="6"/>
  <c r="L117" i="6"/>
  <c r="K156" i="6"/>
  <c r="K29" i="6"/>
  <c r="K142" i="6"/>
  <c r="K117" i="6"/>
  <c r="L49" i="6"/>
  <c r="H137" i="6"/>
  <c r="H24" i="6"/>
  <c r="J24" i="6"/>
  <c r="J28" i="6"/>
  <c r="J32" i="6" s="1"/>
  <c r="J40" i="6" s="1"/>
  <c r="K16" i="7" s="1"/>
  <c r="H28" i="6"/>
  <c r="H32" i="6" s="1"/>
  <c r="H40" i="6" s="1"/>
  <c r="I16" i="7" s="1"/>
  <c r="H102" i="6"/>
  <c r="H71" i="6"/>
  <c r="H75" i="6" s="1"/>
  <c r="J101" i="6"/>
  <c r="J102" i="6"/>
  <c r="J71" i="6"/>
  <c r="J75" i="6" s="1"/>
  <c r="I101" i="6"/>
  <c r="H101" i="6"/>
  <c r="K23" i="6"/>
  <c r="K7" i="6" s="1"/>
  <c r="K67" i="6"/>
  <c r="K54" i="6"/>
  <c r="I24" i="6"/>
  <c r="I102" i="6"/>
  <c r="I71" i="6"/>
  <c r="I75" i="6" s="1"/>
  <c r="E34" i="6"/>
  <c r="E9" i="6"/>
  <c r="F34" i="6"/>
  <c r="F9" i="6"/>
  <c r="L25" i="6"/>
  <c r="L5" i="6"/>
  <c r="G34" i="6"/>
  <c r="G9" i="6"/>
  <c r="D34" i="6"/>
  <c r="D9" i="6"/>
  <c r="I40" i="6"/>
  <c r="J16" i="7" s="1"/>
  <c r="D35" i="6"/>
  <c r="D37" i="6" s="1"/>
  <c r="D93" i="6" s="1"/>
  <c r="D105" i="6" s="1"/>
  <c r="D40" i="6"/>
  <c r="D42" i="6" s="1"/>
  <c r="E35" i="6"/>
  <c r="E37" i="6" s="1"/>
  <c r="E40" i="6"/>
  <c r="F35" i="6"/>
  <c r="F37" i="6" s="1"/>
  <c r="F93" i="6" s="1"/>
  <c r="F105" i="6" s="1"/>
  <c r="F40" i="6"/>
  <c r="G35" i="6"/>
  <c r="G37" i="6" s="1"/>
  <c r="G40" i="6"/>
  <c r="L21" i="6"/>
  <c r="C105" i="6"/>
  <c r="C39" i="6"/>
  <c r="D143" i="6"/>
  <c r="E143" i="6"/>
  <c r="F143" i="6"/>
  <c r="G143" i="6"/>
  <c r="C143" i="6"/>
  <c r="C141" i="6"/>
  <c r="D136" i="6"/>
  <c r="E136" i="6"/>
  <c r="F136" i="6"/>
  <c r="G136" i="6"/>
  <c r="D135" i="6"/>
  <c r="E135" i="6"/>
  <c r="F135" i="6"/>
  <c r="G135" i="6"/>
  <c r="C136" i="6"/>
  <c r="C135" i="6"/>
  <c r="K52" i="7" l="1"/>
  <c r="K17" i="7"/>
  <c r="J57" i="7"/>
  <c r="I39" i="7"/>
  <c r="I40" i="7"/>
  <c r="I57" i="7"/>
  <c r="F42" i="6"/>
  <c r="G13" i="7" s="1"/>
  <c r="G14" i="7" s="1"/>
  <c r="G16" i="7"/>
  <c r="G17" i="7" s="1"/>
  <c r="K136" i="6"/>
  <c r="L31" i="7"/>
  <c r="L38" i="7"/>
  <c r="L56" i="7"/>
  <c r="J59" i="7"/>
  <c r="J41" i="7"/>
  <c r="K59" i="7"/>
  <c r="K41" i="7"/>
  <c r="I41" i="7"/>
  <c r="I59" i="7"/>
  <c r="J40" i="7"/>
  <c r="J39" i="7"/>
  <c r="K57" i="7"/>
  <c r="K40" i="7"/>
  <c r="K39" i="7"/>
  <c r="K135" i="6"/>
  <c r="K137" i="6" s="1"/>
  <c r="K138" i="6" s="1"/>
  <c r="L28" i="7"/>
  <c r="L134" i="6"/>
  <c r="M27" i="7"/>
  <c r="M38" i="7" s="1"/>
  <c r="G42" i="6"/>
  <c r="H13" i="7" s="1"/>
  <c r="H14" i="7" s="1"/>
  <c r="H16" i="7"/>
  <c r="H17" i="7" s="1"/>
  <c r="E42" i="6"/>
  <c r="F13" i="7" s="1"/>
  <c r="F14" i="7" s="1"/>
  <c r="F16" i="7"/>
  <c r="F17" i="7" s="1"/>
  <c r="J52" i="7"/>
  <c r="J17" i="7"/>
  <c r="I52" i="7"/>
  <c r="I17" i="7"/>
  <c r="M61" i="7"/>
  <c r="M43" i="7"/>
  <c r="C144" i="6"/>
  <c r="D141" i="6" s="1"/>
  <c r="C17" i="6"/>
  <c r="L100" i="6"/>
  <c r="I138" i="6"/>
  <c r="J138" i="6"/>
  <c r="F128" i="6"/>
  <c r="F148" i="6"/>
  <c r="F150" i="6" s="1"/>
  <c r="D128" i="6"/>
  <c r="D148" i="6"/>
  <c r="D150" i="6" s="1"/>
  <c r="C128" i="6"/>
  <c r="C148" i="6"/>
  <c r="C150" i="6" s="1"/>
  <c r="K28" i="6"/>
  <c r="K32" i="6" s="1"/>
  <c r="K40" i="6" s="1"/>
  <c r="L16" i="7" s="1"/>
  <c r="J34" i="6"/>
  <c r="F39" i="6"/>
  <c r="L23" i="6"/>
  <c r="L7" i="6" s="1"/>
  <c r="L54" i="6"/>
  <c r="L67" i="6"/>
  <c r="L34" i="6"/>
  <c r="M53" i="7" s="1"/>
  <c r="G39" i="6"/>
  <c r="G93" i="6"/>
  <c r="G105" i="6" s="1"/>
  <c r="E39" i="6"/>
  <c r="E93" i="6"/>
  <c r="E105" i="6" s="1"/>
  <c r="K24" i="6"/>
  <c r="K102" i="6"/>
  <c r="K71" i="6"/>
  <c r="K75" i="6" s="1"/>
  <c r="K101" i="6"/>
  <c r="I34" i="6"/>
  <c r="H34" i="6"/>
  <c r="K34" i="6"/>
  <c r="L53" i="7" s="1"/>
  <c r="K9" i="6"/>
  <c r="L9" i="6"/>
  <c r="I9" i="6"/>
  <c r="J9" i="6"/>
  <c r="H9" i="6"/>
  <c r="D134" i="6"/>
  <c r="D137" i="6" s="1"/>
  <c r="E134" i="6"/>
  <c r="E137" i="6" s="1"/>
  <c r="F134" i="6"/>
  <c r="F137" i="6" s="1"/>
  <c r="G134" i="6"/>
  <c r="G137" i="6" s="1"/>
  <c r="H138" i="6" s="1"/>
  <c r="C134" i="6"/>
  <c r="C137" i="6" s="1"/>
  <c r="D6" i="6"/>
  <c r="E6" i="6"/>
  <c r="F6" i="6"/>
  <c r="G6" i="6"/>
  <c r="C6" i="6"/>
  <c r="E5" i="6"/>
  <c r="F5" i="6"/>
  <c r="G5" i="6"/>
  <c r="D5" i="6"/>
  <c r="M56" i="7" l="1"/>
  <c r="I33" i="6"/>
  <c r="I35" i="6" s="1"/>
  <c r="I37" i="6" s="1"/>
  <c r="I93" i="6" s="1"/>
  <c r="J53" i="7"/>
  <c r="J54" i="7" s="1"/>
  <c r="L40" i="7"/>
  <c r="L39" i="7"/>
  <c r="H33" i="6"/>
  <c r="H35" i="6" s="1"/>
  <c r="H37" i="6" s="1"/>
  <c r="H93" i="6" s="1"/>
  <c r="I53" i="7"/>
  <c r="G83" i="7" s="1"/>
  <c r="G84" i="7" s="1"/>
  <c r="L135" i="6"/>
  <c r="M28" i="7"/>
  <c r="L52" i="7"/>
  <c r="L54" i="7" s="1"/>
  <c r="L17" i="7"/>
  <c r="I54" i="7"/>
  <c r="L59" i="7"/>
  <c r="L41" i="7"/>
  <c r="L136" i="6"/>
  <c r="M31" i="7"/>
  <c r="J33" i="6"/>
  <c r="J35" i="6" s="1"/>
  <c r="J37" i="6" s="1"/>
  <c r="J93" i="6" s="1"/>
  <c r="K53" i="7"/>
  <c r="L57" i="7"/>
  <c r="K54" i="7"/>
  <c r="D144" i="6"/>
  <c r="E141" i="6" s="1"/>
  <c r="D17" i="6"/>
  <c r="D138" i="6"/>
  <c r="H39" i="6"/>
  <c r="H84" i="6" s="1"/>
  <c r="H86" i="6" s="1"/>
  <c r="H87" i="6" s="1"/>
  <c r="L137" i="6"/>
  <c r="L138" i="6" s="1"/>
  <c r="E128" i="6"/>
  <c r="E148" i="6"/>
  <c r="E150" i="6" s="1"/>
  <c r="G128" i="6"/>
  <c r="G148" i="6"/>
  <c r="G150" i="6" s="1"/>
  <c r="K33" i="6"/>
  <c r="K35" i="6" s="1"/>
  <c r="K37" i="6" s="1"/>
  <c r="K93" i="6" s="1"/>
  <c r="L101" i="6"/>
  <c r="L28" i="6"/>
  <c r="L32" i="6" s="1"/>
  <c r="L40" i="6" s="1"/>
  <c r="M16" i="7" s="1"/>
  <c r="L24" i="6"/>
  <c r="I39" i="6"/>
  <c r="L102" i="6"/>
  <c r="L71" i="6"/>
  <c r="L75" i="6" s="1"/>
  <c r="K6" i="6"/>
  <c r="L6" i="6"/>
  <c r="I6" i="6"/>
  <c r="H6" i="6"/>
  <c r="J6" i="6"/>
  <c r="E138" i="6"/>
  <c r="F138" i="6"/>
  <c r="G138" i="6"/>
  <c r="B18" i="3"/>
  <c r="B14" i="3"/>
  <c r="B31" i="3"/>
  <c r="B35" i="3" s="1"/>
  <c r="F14" i="3"/>
  <c r="F18" i="3" s="1"/>
  <c r="F23" i="3" s="1"/>
  <c r="B23" i="3"/>
  <c r="F19" i="5"/>
  <c r="F46" i="3"/>
  <c r="F31" i="3"/>
  <c r="F35" i="3" s="1"/>
  <c r="F47" i="3" s="1"/>
  <c r="M52" i="7" l="1"/>
  <c r="M54" i="7" s="1"/>
  <c r="M17" i="7"/>
  <c r="M40" i="7"/>
  <c r="M39" i="7"/>
  <c r="M57" i="7"/>
  <c r="J39" i="6"/>
  <c r="M41" i="7"/>
  <c r="M59" i="7"/>
  <c r="E144" i="6"/>
  <c r="F141" i="6" s="1"/>
  <c r="E17" i="6"/>
  <c r="F20" i="7" s="1"/>
  <c r="I84" i="6"/>
  <c r="I86" i="6" s="1"/>
  <c r="I87" i="6" s="1"/>
  <c r="K39" i="6"/>
  <c r="L33" i="6"/>
  <c r="L35" i="6" s="1"/>
  <c r="L37" i="6" s="1"/>
  <c r="L93" i="6" s="1"/>
  <c r="J84" i="6" l="1"/>
  <c r="K84" i="6" s="1"/>
  <c r="F144" i="6"/>
  <c r="G141" i="6" s="1"/>
  <c r="F17" i="6"/>
  <c r="G20" i="7" s="1"/>
  <c r="L39" i="6"/>
  <c r="J86" i="6"/>
  <c r="J87" i="6" s="1"/>
  <c r="G144" i="6" l="1"/>
  <c r="G17" i="6"/>
  <c r="L84" i="6"/>
  <c r="L86" i="6" s="1"/>
  <c r="L87" i="6" s="1"/>
  <c r="K86" i="6"/>
  <c r="K87" i="6" s="1"/>
  <c r="L17" i="6" l="1"/>
  <c r="M20" i="7" s="1"/>
  <c r="H20" i="7"/>
  <c r="I17" i="6"/>
  <c r="J20" i="7" s="1"/>
  <c r="H17" i="6"/>
  <c r="I20" i="7" s="1"/>
  <c r="J17" i="6"/>
  <c r="K20" i="7" s="1"/>
  <c r="K17" i="6"/>
  <c r="L20" i="7" s="1"/>
  <c r="H141" i="6"/>
  <c r="H59" i="6"/>
  <c r="G63" i="6"/>
  <c r="G88" i="6" s="1"/>
  <c r="H94" i="6" l="1"/>
  <c r="H143" i="6"/>
  <c r="H144" i="6" s="1"/>
  <c r="H105" i="6" l="1"/>
  <c r="H128" i="6" s="1"/>
  <c r="H130" i="6" s="1"/>
  <c r="H47" i="6" s="1"/>
  <c r="H41" i="6"/>
  <c r="I141" i="6"/>
  <c r="I59" i="6"/>
  <c r="I94" i="6" s="1"/>
  <c r="I41" i="6" s="1"/>
  <c r="H42" i="6" l="1"/>
  <c r="I13" i="7" s="1"/>
  <c r="I19" i="7"/>
  <c r="I55" i="7" s="1"/>
  <c r="I62" i="7" s="1"/>
  <c r="I64" i="7" s="1"/>
  <c r="I42" i="6"/>
  <c r="J13" i="7" s="1"/>
  <c r="J19" i="7"/>
  <c r="J55" i="7" s="1"/>
  <c r="J62" i="7" s="1"/>
  <c r="J64" i="7" s="1"/>
  <c r="H58" i="6"/>
  <c r="I26" i="7"/>
  <c r="H148" i="6"/>
  <c r="H150" i="6" s="1"/>
  <c r="I105" i="6"/>
  <c r="I143" i="6"/>
  <c r="I144" i="6" s="1"/>
  <c r="I91" i="6"/>
  <c r="H129" i="6" s="1"/>
  <c r="H63" i="6"/>
  <c r="H88" i="6" s="1"/>
  <c r="I147" i="6"/>
  <c r="J51" i="7" l="1"/>
  <c r="J14" i="7"/>
  <c r="I51" i="7"/>
  <c r="I14" i="7"/>
  <c r="J141" i="6"/>
  <c r="J59" i="6"/>
  <c r="J94" i="6" s="1"/>
  <c r="J41" i="6" s="1"/>
  <c r="I148" i="6"/>
  <c r="I150" i="6" s="1"/>
  <c r="I128" i="6"/>
  <c r="I130" i="6" s="1"/>
  <c r="I47" i="6" s="1"/>
  <c r="J26" i="7" s="1"/>
  <c r="J42" i="6" l="1"/>
  <c r="K13" i="7" s="1"/>
  <c r="K19" i="7"/>
  <c r="K55" i="7" s="1"/>
  <c r="K62" i="7" s="1"/>
  <c r="K64" i="7" s="1"/>
  <c r="I58" i="6"/>
  <c r="I63" i="6" s="1"/>
  <c r="I88" i="6" s="1"/>
  <c r="J147" i="6"/>
  <c r="J91" i="6"/>
  <c r="I129" i="6" s="1"/>
  <c r="J143" i="6"/>
  <c r="J144" i="6" s="1"/>
  <c r="J105" i="6"/>
  <c r="K51" i="7" l="1"/>
  <c r="K14" i="7"/>
  <c r="K141" i="6"/>
  <c r="K59" i="6"/>
  <c r="K94" i="6" s="1"/>
  <c r="K41" i="6" s="1"/>
  <c r="J128" i="6"/>
  <c r="J130" i="6" s="1"/>
  <c r="J47" i="6" s="1"/>
  <c r="K26" i="7" s="1"/>
  <c r="J148" i="6"/>
  <c r="J150" i="6" s="1"/>
  <c r="K42" i="6" l="1"/>
  <c r="L13" i="7" s="1"/>
  <c r="L19" i="7"/>
  <c r="L55" i="7" s="1"/>
  <c r="L62" i="7" s="1"/>
  <c r="L64" i="7" s="1"/>
  <c r="K143" i="6"/>
  <c r="K144" i="6" s="1"/>
  <c r="K105" i="6"/>
  <c r="K91" i="6"/>
  <c r="J129" i="6" s="1"/>
  <c r="J58" i="6"/>
  <c r="J63" i="6" s="1"/>
  <c r="J88" i="6" s="1"/>
  <c r="K147" i="6"/>
  <c r="L51" i="7" l="1"/>
  <c r="L14" i="7"/>
  <c r="K128" i="6"/>
  <c r="K130" i="6" s="1"/>
  <c r="K47" i="6" s="1"/>
  <c r="L26" i="7" s="1"/>
  <c r="K148" i="6"/>
  <c r="K150" i="6" s="1"/>
  <c r="L141" i="6"/>
  <c r="L59" i="6"/>
  <c r="L94" i="6" s="1"/>
  <c r="L41" i="6" s="1"/>
  <c r="L42" i="6" l="1"/>
  <c r="M13" i="7" s="1"/>
  <c r="M19" i="7"/>
  <c r="M55" i="7" s="1"/>
  <c r="M62" i="7" s="1"/>
  <c r="L105" i="6"/>
  <c r="L143" i="6"/>
  <c r="L144" i="6" s="1"/>
  <c r="L91" i="6"/>
  <c r="L147" i="6"/>
  <c r="K58" i="6"/>
  <c r="K63" i="6" s="1"/>
  <c r="K88" i="6" s="1"/>
  <c r="M64" i="7" l="1"/>
  <c r="F65" i="7" s="1"/>
  <c r="F71" i="7"/>
  <c r="M51" i="7"/>
  <c r="M14" i="7"/>
  <c r="K129" i="6"/>
  <c r="L129" i="6"/>
  <c r="L148" i="6"/>
  <c r="L150" i="6" s="1"/>
  <c r="L128" i="6"/>
  <c r="L130" i="6" s="1"/>
  <c r="L47" i="6" s="1"/>
  <c r="F72" i="7" l="1"/>
  <c r="F73" i="7" s="1"/>
  <c r="G98" i="7" s="1"/>
  <c r="G100" i="7" s="1"/>
  <c r="G103" i="7" s="1"/>
  <c r="L58" i="6"/>
  <c r="L63" i="6" s="1"/>
  <c r="L88" i="6" s="1"/>
  <c r="M26" i="7"/>
</calcChain>
</file>

<file path=xl/sharedStrings.xml><?xml version="1.0" encoding="utf-8"?>
<sst xmlns="http://schemas.openxmlformats.org/spreadsheetml/2006/main" count="382" uniqueCount="246">
  <si>
    <t/>
  </si>
  <si>
    <t> </t>
  </si>
  <si>
    <t>NET SALES</t>
  </si>
  <si>
    <t>Cost of products sold</t>
  </si>
  <si>
    <t>Selling, general and administrative expense</t>
  </si>
  <si>
    <t>OPERATING INCOME</t>
  </si>
  <si>
    <t>Interest expense</t>
  </si>
  <si>
    <t>Interest income</t>
  </si>
  <si>
    <t>EARNINGS FROM CONTINUING OPERATIONS BEFORE INCOME TAXES</t>
  </si>
  <si>
    <t>Income taxes on continuing operations</t>
  </si>
  <si>
    <t>NET EARNINGS FROM CONTINUING OPERATIONS</t>
  </si>
  <si>
    <t>NET EARNINGS FROM DISCONTINUED OPERATIONS</t>
  </si>
  <si>
    <t>NET EARNINGS</t>
  </si>
  <si>
    <t>Less: Net earnings attributable to noncontrolling interests</t>
  </si>
  <si>
    <t>NET EARNINGS ATTRIBUTABLE TO PROCTER &amp; GAMBLE</t>
  </si>
  <si>
    <t>Earnings from continuing operations</t>
  </si>
  <si>
    <t>Earnings from discontinued operations</t>
  </si>
  <si>
    <t>BASIC NET EARNINGS PER COMMON SHARE</t>
  </si>
  <si>
    <t>DILUTED NET EARNINGS PER COMMON SHARE</t>
  </si>
  <si>
    <t>DIVIDENDS PER COMMON SHARE</t>
  </si>
  <si>
    <t>TOTAL LIABILITIES AND SHAREHOLDERS' EQUITY</t>
  </si>
  <si>
    <t>TOTAL SHAREHOLDERS' EQUITY</t>
  </si>
  <si>
    <t>Noncontrolling interest</t>
  </si>
  <si>
    <t>Retained earnings</t>
  </si>
  <si>
    <t>Accumulated other comprehensive income/(loss)</t>
  </si>
  <si>
    <t>Reserve for ESOP debt retirement</t>
  </si>
  <si>
    <t>Additional paid-in capital</t>
  </si>
  <si>
    <t>Non-Voting Class B preferred stock, stated value $1 per share (200 shares authorized)</t>
  </si>
  <si>
    <t>Convertible Class A preferred stock, stated value $1 per share (600 shares authorized)</t>
  </si>
  <si>
    <t>SHAREHOLDERS' EQUITY</t>
  </si>
  <si>
    <t>TOTAL LIABILITIES</t>
  </si>
  <si>
    <t>OTHER NONCURRENT LIABILITIES</t>
  </si>
  <si>
    <t>DEFERRED INCOME TAXES</t>
  </si>
  <si>
    <t>LONG-TERM DEBT</t>
  </si>
  <si>
    <t>TOTAL CURRENT LIABILITIES</t>
  </si>
  <si>
    <t>Debt due within one year</t>
  </si>
  <si>
    <t>Accrued and other liabilities</t>
  </si>
  <si>
    <t>Accounts payable</t>
  </si>
  <si>
    <t>CURRENT LIABILITIES</t>
  </si>
  <si>
    <t>TOTAL ASSETS</t>
  </si>
  <si>
    <t>OTHER NONCURRENT ASSETS</t>
  </si>
  <si>
    <t>TRADEMARKS AND OTHER INTANGIBLE ASSETS, NET</t>
  </si>
  <si>
    <t>GOODWILL</t>
  </si>
  <si>
    <t>PROPERTY, PLANT AND EQUIPMENT, NET</t>
  </si>
  <si>
    <t>TOTAL CURRENT ASSETS</t>
  </si>
  <si>
    <t>Prepaid expenses and other current assets</t>
  </si>
  <si>
    <t>Deferred income taxes</t>
  </si>
  <si>
    <t>Total inventories</t>
  </si>
  <si>
    <t>Finished goods</t>
  </si>
  <si>
    <t>Work in process</t>
  </si>
  <si>
    <t>Materials and supplies</t>
  </si>
  <si>
    <t>Accounts receivable</t>
  </si>
  <si>
    <t>Available-for-sale investment securities</t>
  </si>
  <si>
    <t>Cash and cash equivalents</t>
  </si>
  <si>
    <t>CURRENT ASSETS</t>
  </si>
  <si>
    <t>Amounts in millions; As of June 30</t>
  </si>
  <si>
    <t>Net earnings</t>
  </si>
  <si>
    <t>Assets acquired through non-cash capital leases are immaterial for all periods.</t>
  </si>
  <si>
    <t>Divestiture of Beauty business in exchange for shares of P&amp;G stock and assumption of debt</t>
  </si>
  <si>
    <t>SUPPLEMENTAL DISCLOSURE</t>
  </si>
  <si>
    <t>CASH AND CASH EQUIVALENTS, END OF YEAR</t>
  </si>
  <si>
    <t>CHANGE IN CASH AND CASH EQUIVALENTS</t>
  </si>
  <si>
    <t>EFFECT OF EXCHANGE RATE CHANGES ON CASH AND CASH EQUIVALENTS</t>
  </si>
  <si>
    <t>TOTAL FINANCING ACTIVITIES</t>
  </si>
  <si>
    <t>Impact of stock options and other</t>
  </si>
  <si>
    <t>Treasury stock purchases</t>
  </si>
  <si>
    <t>Additions to long-term debt</t>
  </si>
  <si>
    <t>Change in short-term debt</t>
  </si>
  <si>
    <t>Dividends to shareholders</t>
  </si>
  <si>
    <t>FINANCING ACTIVITIES</t>
  </si>
  <si>
    <t>TOTAL INVESTING ACTIVITIES</t>
  </si>
  <si>
    <t>Change in other investments</t>
  </si>
  <si>
    <t>Cash transferred in Batteries divestiture</t>
  </si>
  <si>
    <t>Release of restricted cash upon closing of the Beauty Brands divestiture</t>
  </si>
  <si>
    <t>Cash transferred at closing related to the Beauty Brands divestiture</t>
  </si>
  <si>
    <t>Pre-divestiture addition of restricted cash related to the Beauty Brands divestiture</t>
  </si>
  <si>
    <t>Proceeds from sales and maturities of short-term investments</t>
  </si>
  <si>
    <t>Purchases of short-term investments</t>
  </si>
  <si>
    <t>Acquisitions, net of cash acquired</t>
  </si>
  <si>
    <t>Proceeds from asset sales</t>
  </si>
  <si>
    <t>Capital expenditures</t>
  </si>
  <si>
    <t>INVESTING ACTIVITIES</t>
  </si>
  <si>
    <t>TOTAL OPERATING ACTIVITIES</t>
  </si>
  <si>
    <t>Other</t>
  </si>
  <si>
    <t>Change in other operating assets and liabilities</t>
  </si>
  <si>
    <t>Change in accounts payable, accrued and other liabilities</t>
  </si>
  <si>
    <t>Change in inventories</t>
  </si>
  <si>
    <t>Change in accounts receivable</t>
  </si>
  <si>
    <t>Gain on sale of assets</t>
  </si>
  <si>
    <t>Share-based compensation expense</t>
  </si>
  <si>
    <t>Loss on early extinguishment of debt</t>
  </si>
  <si>
    <t>Depreciation and amortization</t>
  </si>
  <si>
    <t>OPERATING ACTIVITIES</t>
  </si>
  <si>
    <t>CASH AND CASH EQUIVALENTS, BEGINNING OF YEAR</t>
  </si>
  <si>
    <t>The Procter &amp; Gamble Company</t>
  </si>
  <si>
    <t>Consolidated Statements of Earnings</t>
  </si>
  <si>
    <t>Amounts in millions except per share amounts; Years ended June 30</t>
  </si>
  <si>
    <t>Consolidated Balance Sheets</t>
  </si>
  <si>
    <t>Consolidated Statements of Cash Flows</t>
  </si>
  <si>
    <t>Amounts in millions; Years ended June 30</t>
  </si>
  <si>
    <r>
      <t xml:space="preserve">(2)       </t>
    </r>
    <r>
      <rPr>
        <sz val="10"/>
        <color rgb="FF000000"/>
        <rFont val="Times New Roman"/>
        <family val="1"/>
      </rPr>
      <t>Includes $1,730 from cash infused into the Batteries business pursuant to the divestiture agreement (see Note 13).</t>
    </r>
  </si>
  <si>
    <r>
      <t xml:space="preserve">Divestiture of Batteries business in exchange for shares of P&amp;G stock </t>
    </r>
    <r>
      <rPr>
        <vertAlign val="superscript"/>
        <sz val="10"/>
        <color rgb="FF000000"/>
        <rFont val="Times New Roman"/>
        <family val="1"/>
      </rPr>
      <t>(2)</t>
    </r>
  </si>
  <si>
    <t>Treasury stock from cash infused in Batteries divestiture</t>
  </si>
  <si>
    <t>INVENTORIES</t>
  </si>
  <si>
    <r>
      <t xml:space="preserve">BASIC NET EARNINGS PER COMMON SHARE: </t>
    </r>
    <r>
      <rPr>
        <b/>
        <vertAlign val="superscript"/>
        <sz val="10"/>
        <color rgb="FF000000"/>
        <rFont val="Times New Roman"/>
        <family val="1"/>
      </rPr>
      <t>(1)</t>
    </r>
  </si>
  <si>
    <r>
      <t xml:space="preserve">DILUTED NET EARNINGS PER COMMON SHARE: </t>
    </r>
    <r>
      <rPr>
        <b/>
        <vertAlign val="superscript"/>
        <sz val="10"/>
        <color rgb="FF000000"/>
        <rFont val="Times New Roman"/>
        <family val="1"/>
      </rPr>
      <t>(1)</t>
    </r>
  </si>
  <si>
    <t>Assets</t>
  </si>
  <si>
    <t>Liabilities and Sharesholders' Equity</t>
  </si>
  <si>
    <t>Cash payments for interest</t>
  </si>
  <si>
    <t>Cash payments for income taxes</t>
  </si>
  <si>
    <t>Other non-operating income/(expense), net</t>
  </si>
  <si>
    <t>Common stock, stated value $1 per share (10,000 shares authorized; shares issued: 
2018 - 4,009.2, 2017 - 4,009.2 )</t>
  </si>
  <si>
    <t>Treasury stock, at cost (shares held:  2018 -1,511.2, 2017 - 1,455.9)</t>
  </si>
  <si>
    <r>
      <t xml:space="preserve">Reductions of long-term debt </t>
    </r>
    <r>
      <rPr>
        <vertAlign val="superscript"/>
        <sz val="10"/>
        <color rgb="FF000000"/>
        <rFont val="Times New Roman"/>
        <family val="1"/>
      </rPr>
      <t>(1)</t>
    </r>
  </si>
  <si>
    <r>
      <t xml:space="preserve">(1)       </t>
    </r>
    <r>
      <rPr>
        <sz val="10"/>
        <color rgb="FF000000"/>
        <rFont val="Times New Roman"/>
        <family val="1"/>
      </rPr>
      <t>Includes early extinguishment of debt costs of $346 and $543 in 2018 and 2017, respectively.</t>
    </r>
  </si>
  <si>
    <t>Goodwill and intangible asset impairment charges</t>
  </si>
  <si>
    <t>Goodwill and indefinite-lived intangibles impairment charges</t>
  </si>
  <si>
    <t>Current Assets held for sale</t>
  </si>
  <si>
    <t>Current liabilities held for sale</t>
  </si>
  <si>
    <t>Deferred Income taxes</t>
  </si>
  <si>
    <t>Reductions of long-term debt (1)</t>
  </si>
  <si>
    <t xml:space="preserve"> Balance Sheet</t>
  </si>
  <si>
    <t>Procter &amp; Gamble Company</t>
  </si>
  <si>
    <t>Historical Period</t>
  </si>
  <si>
    <t>Income Statement</t>
  </si>
  <si>
    <t>Forecasted Period</t>
  </si>
  <si>
    <t>Assumptions</t>
  </si>
  <si>
    <t>Income statement</t>
  </si>
  <si>
    <t>Revenue Growth (% Change)</t>
  </si>
  <si>
    <t>Cost of Goods Sold (% of Revenue)</t>
  </si>
  <si>
    <t>Depreciation &amp; Amortization (% of PP&amp;E Open Bal)</t>
  </si>
  <si>
    <t>Interest (% of Debt Open Bal)</t>
  </si>
  <si>
    <t>Tax Rate (% of Earnings Before Tax)</t>
  </si>
  <si>
    <t>Balance Sheet</t>
  </si>
  <si>
    <t>Accounts Receivable (Days)</t>
  </si>
  <si>
    <t>Inventory (Days)</t>
  </si>
  <si>
    <t>Accounts Payable (Days)</t>
  </si>
  <si>
    <t>Supporting Schedules</t>
  </si>
  <si>
    <t>Working Capital Schedule</t>
  </si>
  <si>
    <t>Accounts Receivable</t>
  </si>
  <si>
    <t>Inventory</t>
  </si>
  <si>
    <t>Accounts Payable</t>
  </si>
  <si>
    <t>Net Working Capital (NWC)</t>
  </si>
  <si>
    <t>Change in NWC</t>
  </si>
  <si>
    <t>Depreciation Schedule</t>
  </si>
  <si>
    <t>PPE Opening</t>
  </si>
  <si>
    <t>Plus Capex - Capital Expenditure</t>
  </si>
  <si>
    <t>Less Depreciation</t>
  </si>
  <si>
    <t>PPE Closing</t>
  </si>
  <si>
    <t>Debt &amp; Interest Schedule</t>
  </si>
  <si>
    <t>Debt Closing</t>
  </si>
  <si>
    <t>Interest Expense</t>
  </si>
  <si>
    <t>check</t>
  </si>
  <si>
    <t>Growth(%)</t>
  </si>
  <si>
    <t>NA</t>
  </si>
  <si>
    <t>(% of Sales)</t>
  </si>
  <si>
    <t>Selling, general and administrative expense (SG&amp;A)</t>
  </si>
  <si>
    <t xml:space="preserve">OPERATING INCOME </t>
  </si>
  <si>
    <t>Gross Profit</t>
  </si>
  <si>
    <t>NET EARNINGS FROM CONTINUING OPERATIONS(EAT)</t>
  </si>
  <si>
    <t>(EBIT)</t>
  </si>
  <si>
    <t>Depreciation &amp; Ammortization</t>
  </si>
  <si>
    <t>EBITDA</t>
  </si>
  <si>
    <t>Tax Rate(%)</t>
  </si>
  <si>
    <t>EARNINGS FROM CONTINUING OPERATIONS BEFORE INCOME TAXES (EBT)</t>
  </si>
  <si>
    <t>SGA (% of Sales)</t>
  </si>
  <si>
    <t>Gross Profit (% of Sales)</t>
  </si>
  <si>
    <t>NET CASHFLOW</t>
  </si>
  <si>
    <t>Cash Balance @ BEG OF YEAR(END OF LAST YEAR)</t>
  </si>
  <si>
    <t>PLUS:Free CashFlow From Operating &amp; Investing Activities</t>
  </si>
  <si>
    <t>PLUS:Free CashFlow From Financing Activities</t>
  </si>
  <si>
    <t>Total Cash Availaible</t>
  </si>
  <si>
    <t>Debt</t>
  </si>
  <si>
    <t>Capital Expenditures (% of Sales)</t>
  </si>
  <si>
    <t>CashFlow</t>
  </si>
  <si>
    <t>Repayments of Long term Debt</t>
  </si>
  <si>
    <t xml:space="preserve"> Debt Opening</t>
  </si>
  <si>
    <t>CASH FLOW STATEMENT</t>
  </si>
  <si>
    <t>Property Plant &amp; Equipment (PP&amp;E)</t>
  </si>
  <si>
    <t>Goodwill</t>
  </si>
  <si>
    <t>Trademarks &amp; Intangible Assets,Net</t>
  </si>
  <si>
    <t>Other non-Current Assets</t>
  </si>
  <si>
    <t>Cash &amp; Cash Equivalent, Beg of Year</t>
  </si>
  <si>
    <t>DISCOUNTED CASHFLOW ANALYSIS</t>
  </si>
  <si>
    <t>Select Operating Data</t>
  </si>
  <si>
    <t>Forecasted Data</t>
  </si>
  <si>
    <t>Historical Data</t>
  </si>
  <si>
    <t>Revenue</t>
  </si>
  <si>
    <t>Margin(%)</t>
  </si>
  <si>
    <t>EBIT</t>
  </si>
  <si>
    <t>(% of PP&amp;E Opening)</t>
  </si>
  <si>
    <t>Select Balance Sheet &amp; Other Data</t>
  </si>
  <si>
    <t>Cash</t>
  </si>
  <si>
    <t>A/R</t>
  </si>
  <si>
    <t>Inventories</t>
  </si>
  <si>
    <t>Prepaid Expenses</t>
  </si>
  <si>
    <t>A/P</t>
  </si>
  <si>
    <t>Accrued Expenses</t>
  </si>
  <si>
    <t>CAPEX</t>
  </si>
  <si>
    <t>A/R  Growth (%)</t>
  </si>
  <si>
    <t>Inventories Growth (%)</t>
  </si>
  <si>
    <t>Prepaid Expenses Growth(%)</t>
  </si>
  <si>
    <t>A/P Growth (%)</t>
  </si>
  <si>
    <t>Accrued Expenses Growth (%)</t>
  </si>
  <si>
    <t>CAPEX Growth(%)</t>
  </si>
  <si>
    <t>Free CashFlow Buildup</t>
  </si>
  <si>
    <t>Period</t>
  </si>
  <si>
    <t>Total Revenues</t>
  </si>
  <si>
    <t>Tax Rate</t>
  </si>
  <si>
    <t>EBIAT</t>
  </si>
  <si>
    <t>Capital Expenditures</t>
  </si>
  <si>
    <t>Unlevered free CashFlows</t>
  </si>
  <si>
    <t>Discounted Rate (WACC)</t>
  </si>
  <si>
    <t>Present value (Free CashFlows)</t>
  </si>
  <si>
    <t>Sum OF PV (Free CashFlows)</t>
  </si>
  <si>
    <t>Stage 1 of FCF Analysis</t>
  </si>
  <si>
    <t>Terminal Value</t>
  </si>
  <si>
    <t>WACC</t>
  </si>
  <si>
    <t>Free CashFlow (t+1)</t>
  </si>
  <si>
    <t>Present Value Of Terminal Value</t>
  </si>
  <si>
    <t>After-tax Cost of Debt</t>
  </si>
  <si>
    <t>Cost of Equity</t>
  </si>
  <si>
    <t>Total Debt ($)</t>
  </si>
  <si>
    <t>Total Equity ($)</t>
  </si>
  <si>
    <t>Total Capital</t>
  </si>
  <si>
    <t>Debt Weighing</t>
  </si>
  <si>
    <t>Equity Weighing</t>
  </si>
  <si>
    <t>Valuation Date</t>
  </si>
  <si>
    <t>Market Assumptions</t>
  </si>
  <si>
    <t>Riskfree Rate</t>
  </si>
  <si>
    <t>Market Risk Premium</t>
  </si>
  <si>
    <t>Cost of debt</t>
  </si>
  <si>
    <t>Equity Assumptions</t>
  </si>
  <si>
    <t>Cost of Debt</t>
  </si>
  <si>
    <t>Cost of debt (%)</t>
  </si>
  <si>
    <t xml:space="preserve">Beta </t>
  </si>
  <si>
    <t>Equity</t>
  </si>
  <si>
    <t>Stage 2 of TV Analysis</t>
  </si>
  <si>
    <t>Enterprise Value to Equity Value</t>
  </si>
  <si>
    <t>Enterprise Value</t>
  </si>
  <si>
    <t>Long-Term Constant Growth rate</t>
  </si>
  <si>
    <t>Less Net debt</t>
  </si>
  <si>
    <t>Equity Value</t>
  </si>
  <si>
    <t>Shares Outstanding</t>
  </si>
  <si>
    <t>Equity Value per share</t>
  </si>
  <si>
    <t xml:space="preserve">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</si>
</sst>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"/>
    <numFmt numFmtId="165" formatCode="_(&quot;$&quot;* #,##0,,_)_%;_(&quot;$&quot;* \(#,##0,,\)_%;_(&quot;$&quot;* &quot;—&quot;_);_(@_)"/>
    <numFmt numFmtId="166" formatCode="_(#,##0,,_)_%;_(\(#,##0,,\)_%;_(&quot;—&quot;_);_(@_)"/>
    <numFmt numFmtId="167" formatCode="_(&quot;$&quot;* #,##0.00_)_%;_(&quot;$&quot;* \(#,##0.00\)_%;_(&quot;$&quot;* &quot;—&quot;_);_(@_)"/>
    <numFmt numFmtId="168" formatCode="_(#,##0.00_)_%;_(\(#,##0.00\)_%;_(&quot;—&quot;_);_(@_)"/>
    <numFmt numFmtId="169" formatCode="_(#,##0_)_%;_(\(#,##0\)_%;_(&quot;—&quot;_);_(@_)"/>
    <numFmt numFmtId="170" formatCode="_(&quot;$&quot;* #,##0,,_);_(&quot;$&quot;* \(#,##0,,\);_(&quot;$&quot;* &quot;—&quot;_);_(@_)"/>
    <numFmt numFmtId="171" formatCode="_(&quot;$&quot;* #,##0_);_(&quot;$&quot;* \(#,##0\);_(&quot;$&quot;* &quot;-&quot;??_);_(@_)"/>
    <numFmt numFmtId="172" formatCode="_(* #,##0_);_(* \(#,##0\);_(* &quot;-&quot;??_);_(@_)"/>
    <numFmt numFmtId="173" formatCode="_(&quot;$&quot;* #,##0_);_(&quot;$&quot;* \(#,##0\);_(&quot;$&quot;* &quot;—&quot;_);_(@_)"/>
    <numFmt numFmtId="174" formatCode="_-* #,##0_-;\(#,##0\)_-;_-* &quot;-&quot;_-;_-@_-"/>
    <numFmt numFmtId="175" formatCode="0.000%"/>
    <numFmt numFmtId="180" formatCode="0.0%"/>
  </numFmts>
  <fonts count="45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u/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b/>
      <u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12"/>
      <color theme="1"/>
      <name val="Times New Roman"/>
      <family val="1"/>
    </font>
    <font>
      <b/>
      <u/>
      <sz val="10"/>
      <color theme="0"/>
      <name val="Times New Roman"/>
      <family val="1"/>
    </font>
    <font>
      <b/>
      <sz val="22"/>
      <color theme="0"/>
      <name val="Times New Roman"/>
      <family val="1"/>
    </font>
    <font>
      <sz val="22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1"/>
      <color theme="7" tint="-0.499984740745262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  <font>
      <b/>
      <u/>
      <sz val="11"/>
      <color rgb="FF000000"/>
      <name val="Times New Roman"/>
      <family val="1"/>
    </font>
    <font>
      <b/>
      <i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sz val="11"/>
      <color theme="0"/>
      <name val="Arial Narrow"/>
      <family val="2"/>
    </font>
    <font>
      <b/>
      <sz val="11"/>
      <color rgb="FF92D05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b/>
      <sz val="10"/>
      <color rgb="FF0070C0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2CCCD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51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 indent="3"/>
    </xf>
    <xf numFmtId="169" fontId="1" fillId="0" borderId="0" xfId="0" applyNumberFormat="1" applyFont="1" applyAlignment="1">
      <alignment horizontal="left"/>
    </xf>
    <xf numFmtId="167" fontId="6" fillId="0" borderId="5" xfId="0" applyNumberFormat="1" applyFont="1" applyBorder="1" applyAlignment="1"/>
    <xf numFmtId="164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 indent="5"/>
    </xf>
    <xf numFmtId="0" fontId="3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wrapText="1" indent="3"/>
    </xf>
    <xf numFmtId="165" fontId="1" fillId="2" borderId="0" xfId="0" applyNumberFormat="1" applyFont="1" applyFill="1" applyAlignment="1">
      <alignment horizontal="left"/>
    </xf>
    <xf numFmtId="167" fontId="5" fillId="2" borderId="0" xfId="0" applyNumberFormat="1" applyFont="1" applyFill="1" applyAlignment="1"/>
    <xf numFmtId="0" fontId="11" fillId="0" borderId="0" xfId="0" applyFont="1" applyFill="1"/>
    <xf numFmtId="0" fontId="1" fillId="2" borderId="0" xfId="0" applyFont="1" applyFill="1" applyAlignment="1">
      <alignment wrapText="1" indent="5"/>
    </xf>
    <xf numFmtId="0" fontId="3" fillId="0" borderId="0" xfId="0" applyFont="1" applyAlignment="1"/>
    <xf numFmtId="166" fontId="1" fillId="2" borderId="0" xfId="0" applyNumberFormat="1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2" fillId="2" borderId="0" xfId="0" applyFont="1" applyFill="1" applyAlignment="1">
      <alignment wrapText="1"/>
    </xf>
    <xf numFmtId="166" fontId="12" fillId="2" borderId="0" xfId="0" applyNumberFormat="1" applyFont="1" applyFill="1" applyAlignment="1"/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 indent="3"/>
    </xf>
    <xf numFmtId="167" fontId="12" fillId="0" borderId="6" xfId="0" applyNumberFormat="1" applyFont="1" applyBorder="1" applyAlignment="1"/>
    <xf numFmtId="167" fontId="10" fillId="2" borderId="0" xfId="0" applyNumberFormat="1" applyFont="1" applyFill="1" applyAlignment="1"/>
    <xf numFmtId="168" fontId="10" fillId="0" borderId="0" xfId="0" applyNumberFormat="1" applyFont="1" applyAlignment="1"/>
    <xf numFmtId="167" fontId="10" fillId="2" borderId="4" xfId="0" applyNumberFormat="1" applyFont="1" applyFill="1" applyBorder="1" applyAlignment="1"/>
    <xf numFmtId="168" fontId="10" fillId="0" borderId="1" xfId="0" applyNumberFormat="1" applyFont="1" applyBorder="1" applyAlignment="1"/>
    <xf numFmtId="0" fontId="9" fillId="2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166" fontId="1" fillId="0" borderId="0" xfId="0" applyNumberFormat="1" applyFont="1" applyFill="1" applyAlignment="1"/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0" fillId="2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167" fontId="1" fillId="2" borderId="0" xfId="0" applyNumberFormat="1" applyFont="1" applyFill="1" applyAlignment="1"/>
    <xf numFmtId="168" fontId="1" fillId="0" borderId="0" xfId="0" applyNumberFormat="1" applyFont="1" applyAlignment="1"/>
    <xf numFmtId="167" fontId="1" fillId="2" borderId="4" xfId="0" applyNumberFormat="1" applyFont="1" applyFill="1" applyBorder="1" applyAlignment="1"/>
    <xf numFmtId="168" fontId="1" fillId="0" borderId="1" xfId="0" applyNumberFormat="1" applyFont="1" applyBorder="1" applyAlignment="1"/>
    <xf numFmtId="167" fontId="1" fillId="0" borderId="6" xfId="0" applyNumberFormat="1" applyFont="1" applyBorder="1" applyAlignment="1"/>
    <xf numFmtId="0" fontId="1" fillId="0" borderId="0" xfId="0" applyFont="1" applyFill="1" applyAlignment="1">
      <alignment wrapText="1" indent="3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 indent="3"/>
    </xf>
    <xf numFmtId="0" fontId="1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166" fontId="5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165" fontId="12" fillId="2" borderId="0" xfId="0" applyNumberFormat="1" applyFont="1" applyFill="1" applyAlignment="1">
      <alignment horizontal="left"/>
    </xf>
    <xf numFmtId="166" fontId="5" fillId="0" borderId="0" xfId="0" applyNumberFormat="1" applyFont="1" applyFill="1" applyAlignment="1"/>
    <xf numFmtId="167" fontId="5" fillId="2" borderId="4" xfId="0" applyNumberFormat="1" applyFont="1" applyFill="1" applyBorder="1" applyAlignment="1"/>
    <xf numFmtId="0" fontId="8" fillId="0" borderId="0" xfId="0" applyFont="1" applyAlignment="1">
      <alignment horizontal="left" wrapText="1"/>
    </xf>
    <xf numFmtId="171" fontId="1" fillId="2" borderId="3" xfId="3" applyNumberFormat="1" applyFont="1" applyFill="1" applyBorder="1" applyAlignment="1"/>
    <xf numFmtId="172" fontId="1" fillId="2" borderId="0" xfId="2" applyNumberFormat="1" applyFont="1" applyFill="1" applyAlignment="1"/>
    <xf numFmtId="0" fontId="1" fillId="3" borderId="0" xfId="0" applyFont="1" applyFill="1" applyAlignment="1">
      <alignment wrapText="1" indent="3"/>
    </xf>
    <xf numFmtId="171" fontId="1" fillId="2" borderId="4" xfId="3" applyNumberFormat="1" applyFont="1" applyFill="1" applyBorder="1" applyAlignment="1"/>
    <xf numFmtId="171" fontId="1" fillId="3" borderId="4" xfId="3" applyNumberFormat="1" applyFont="1" applyFill="1" applyBorder="1" applyAlignment="1"/>
    <xf numFmtId="171" fontId="5" fillId="3" borderId="4" xfId="3" applyNumberFormat="1" applyFont="1" applyFill="1" applyBorder="1" applyAlignment="1"/>
    <xf numFmtId="172" fontId="5" fillId="2" borderId="0" xfId="2" applyNumberFormat="1" applyFont="1" applyFill="1" applyAlignment="1"/>
    <xf numFmtId="171" fontId="5" fillId="2" borderId="3" xfId="3" applyNumberFormat="1" applyFont="1" applyFill="1" applyBorder="1" applyAlignment="1"/>
    <xf numFmtId="171" fontId="1" fillId="3" borderId="0" xfId="3" applyNumberFormat="1" applyFont="1" applyFill="1" applyAlignment="1"/>
    <xf numFmtId="171" fontId="5" fillId="3" borderId="0" xfId="3" applyNumberFormat="1" applyFont="1" applyFill="1" applyAlignment="1"/>
    <xf numFmtId="0" fontId="5" fillId="0" borderId="0" xfId="0" applyNumberFormat="1" applyFont="1" applyFill="1" applyAlignment="1">
      <alignment horizontal="left" indent="5"/>
    </xf>
    <xf numFmtId="0" fontId="12" fillId="2" borderId="0" xfId="0" applyNumberFormat="1" applyFont="1" applyFill="1" applyAlignment="1">
      <alignment horizontal="left" indent="5"/>
    </xf>
    <xf numFmtId="0" fontId="1" fillId="2" borderId="0" xfId="0" applyNumberFormat="1" applyFont="1" applyFill="1" applyAlignment="1">
      <alignment horizontal="left" indent="5"/>
    </xf>
    <xf numFmtId="0" fontId="5" fillId="0" borderId="1" xfId="0" applyNumberFormat="1" applyFont="1" applyBorder="1" applyAlignment="1">
      <alignment horizontal="left" indent="8"/>
    </xf>
    <xf numFmtId="0" fontId="5" fillId="0" borderId="0" xfId="0" applyNumberFormat="1" applyFont="1" applyAlignment="1">
      <alignment horizontal="left" indent="8"/>
    </xf>
    <xf numFmtId="0" fontId="1" fillId="2" borderId="1" xfId="0" applyFont="1" applyFill="1" applyBorder="1" applyAlignment="1">
      <alignment wrapText="1" indent="3"/>
    </xf>
    <xf numFmtId="171" fontId="1" fillId="2" borderId="0" xfId="3" applyNumberFormat="1" applyFont="1" applyFill="1" applyAlignment="1">
      <alignment wrapText="1" indent="3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 indent="5"/>
    </xf>
    <xf numFmtId="0" fontId="12" fillId="0" borderId="2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174" fontId="16" fillId="0" borderId="0" xfId="2" applyNumberFormat="1" applyFont="1"/>
    <xf numFmtId="174" fontId="17" fillId="0" borderId="0" xfId="2" applyNumberFormat="1" applyFont="1" applyFill="1" applyBorder="1"/>
    <xf numFmtId="174" fontId="17" fillId="0" borderId="0" xfId="2" applyNumberFormat="1" applyFont="1" applyFill="1" applyBorder="1" applyAlignment="1">
      <alignment horizontal="center"/>
    </xf>
    <xf numFmtId="174" fontId="17" fillId="0" borderId="0" xfId="2" applyNumberFormat="1" applyFont="1"/>
    <xf numFmtId="174" fontId="16" fillId="0" borderId="0" xfId="2" applyNumberFormat="1" applyFont="1" applyAlignment="1">
      <alignment horizontal="center"/>
    </xf>
    <xf numFmtId="174" fontId="17" fillId="0" borderId="0" xfId="2" applyNumberFormat="1" applyFont="1" applyBorder="1"/>
    <xf numFmtId="174" fontId="17" fillId="0" borderId="0" xfId="2" applyNumberFormat="1" applyFont="1" applyBorder="1" applyAlignment="1">
      <alignment horizontal="center"/>
    </xf>
    <xf numFmtId="9" fontId="18" fillId="0" borderId="0" xfId="1" applyFont="1" applyFill="1" applyAlignment="1">
      <alignment horizontal="center"/>
    </xf>
    <xf numFmtId="174" fontId="17" fillId="0" borderId="0" xfId="2" applyNumberFormat="1" applyFont="1" applyAlignment="1">
      <alignment horizontal="center"/>
    </xf>
    <xf numFmtId="0" fontId="1" fillId="2" borderId="1" xfId="0" applyNumberFormat="1" applyFont="1" applyFill="1" applyBorder="1" applyAlignment="1"/>
    <xf numFmtId="171" fontId="6" fillId="2" borderId="3" xfId="3" applyNumberFormat="1" applyFont="1" applyFill="1" applyBorder="1" applyAlignment="1"/>
    <xf numFmtId="171" fontId="6" fillId="0" borderId="0" xfId="3" applyNumberFormat="1" applyFont="1" applyAlignment="1"/>
    <xf numFmtId="171" fontId="1" fillId="0" borderId="0" xfId="3" applyNumberFormat="1" applyFont="1" applyAlignment="1"/>
    <xf numFmtId="171" fontId="5" fillId="0" borderId="0" xfId="3" applyNumberFormat="1" applyFont="1" applyAlignment="1"/>
    <xf numFmtId="171" fontId="6" fillId="2" borderId="0" xfId="3" applyNumberFormat="1" applyFont="1" applyFill="1" applyAlignment="1"/>
    <xf numFmtId="171" fontId="1" fillId="2" borderId="0" xfId="3" applyNumberFormat="1" applyFont="1" applyFill="1" applyBorder="1" applyAlignment="1"/>
    <xf numFmtId="171" fontId="5" fillId="2" borderId="0" xfId="3" applyNumberFormat="1" applyFont="1" applyFill="1" applyBorder="1" applyAlignment="1"/>
    <xf numFmtId="171" fontId="6" fillId="0" borderId="2" xfId="3" applyNumberFormat="1" applyFont="1" applyBorder="1" applyAlignment="1"/>
    <xf numFmtId="171" fontId="1" fillId="0" borderId="2" xfId="3" applyNumberFormat="1" applyFont="1" applyBorder="1" applyAlignment="1"/>
    <xf numFmtId="171" fontId="5" fillId="0" borderId="2" xfId="3" applyNumberFormat="1" applyFont="1" applyBorder="1" applyAlignment="1"/>
    <xf numFmtId="171" fontId="1" fillId="2" borderId="0" xfId="3" applyNumberFormat="1" applyFont="1" applyFill="1" applyAlignment="1"/>
    <xf numFmtId="171" fontId="5" fillId="2" borderId="0" xfId="3" applyNumberFormat="1" applyFont="1" applyFill="1" applyAlignment="1"/>
    <xf numFmtId="171" fontId="6" fillId="2" borderId="1" xfId="3" applyNumberFormat="1" applyFont="1" applyFill="1" applyBorder="1" applyAlignment="1"/>
    <xf numFmtId="171" fontId="1" fillId="2" borderId="1" xfId="3" applyNumberFormat="1" applyFont="1" applyFill="1" applyBorder="1" applyAlignment="1"/>
    <xf numFmtId="171" fontId="5" fillId="2" borderId="1" xfId="3" applyNumberFormat="1" applyFont="1" applyFill="1" applyBorder="1" applyAlignment="1"/>
    <xf numFmtId="171" fontId="6" fillId="0" borderId="1" xfId="3" applyNumberFormat="1" applyFont="1" applyBorder="1" applyAlignment="1"/>
    <xf numFmtId="171" fontId="12" fillId="2" borderId="3" xfId="3" applyNumberFormat="1" applyFont="1" applyFill="1" applyBorder="1" applyAlignment="1"/>
    <xf numFmtId="171" fontId="12" fillId="0" borderId="2" xfId="3" applyNumberFormat="1" applyFont="1" applyBorder="1" applyAlignment="1"/>
    <xf numFmtId="171" fontId="6" fillId="0" borderId="4" xfId="3" applyNumberFormat="1" applyFont="1" applyBorder="1" applyAlignment="1"/>
    <xf numFmtId="171" fontId="1" fillId="0" borderId="4" xfId="3" applyNumberFormat="1" applyFont="1" applyBorder="1" applyAlignment="1"/>
    <xf numFmtId="171" fontId="12" fillId="0" borderId="4" xfId="3" applyNumberFormat="1" applyFont="1" applyBorder="1" applyAlignment="1"/>
    <xf numFmtId="171" fontId="1" fillId="3" borderId="2" xfId="3" applyNumberFormat="1" applyFont="1" applyFill="1" applyBorder="1" applyAlignment="1"/>
    <xf numFmtId="171" fontId="5" fillId="3" borderId="2" xfId="3" applyNumberFormat="1" applyFont="1" applyFill="1" applyBorder="1" applyAlignment="1"/>
    <xf numFmtId="171" fontId="1" fillId="0" borderId="0" xfId="3" applyNumberFormat="1" applyFont="1" applyAlignment="1">
      <alignment horizontal="left"/>
    </xf>
    <xf numFmtId="171" fontId="1" fillId="2" borderId="0" xfId="3" applyNumberFormat="1" applyFont="1" applyFill="1" applyAlignment="1">
      <alignment horizontal="left"/>
    </xf>
    <xf numFmtId="171" fontId="1" fillId="2" borderId="2" xfId="3" applyNumberFormat="1" applyFont="1" applyFill="1" applyBorder="1" applyAlignment="1">
      <alignment horizontal="left"/>
    </xf>
    <xf numFmtId="171" fontId="1" fillId="2" borderId="0" xfId="3" applyNumberFormat="1" applyFont="1" applyFill="1" applyAlignment="1">
      <alignment wrapText="1"/>
    </xf>
    <xf numFmtId="171" fontId="1" fillId="2" borderId="0" xfId="3" applyNumberFormat="1" applyFont="1" applyFill="1"/>
    <xf numFmtId="171" fontId="5" fillId="2" borderId="0" xfId="3" applyNumberFormat="1" applyFont="1" applyFill="1"/>
    <xf numFmtId="171" fontId="1" fillId="0" borderId="0" xfId="3" applyNumberFormat="1" applyFont="1" applyAlignment="1">
      <alignment wrapText="1"/>
    </xf>
    <xf numFmtId="171" fontId="1" fillId="3" borderId="0" xfId="3" applyNumberFormat="1" applyFont="1" applyFill="1"/>
    <xf numFmtId="171" fontId="5" fillId="3" borderId="0" xfId="3" applyNumberFormat="1" applyFont="1" applyFill="1"/>
    <xf numFmtId="171" fontId="1" fillId="0" borderId="0" xfId="3" applyNumberFormat="1" applyFont="1" applyFill="1" applyAlignment="1"/>
    <xf numFmtId="171" fontId="5" fillId="0" borderId="0" xfId="3" applyNumberFormat="1" applyFont="1" applyFill="1" applyAlignment="1"/>
    <xf numFmtId="171" fontId="1" fillId="0" borderId="0" xfId="3" applyNumberFormat="1" applyFont="1"/>
    <xf numFmtId="171" fontId="5" fillId="0" borderId="0" xfId="3" applyNumberFormat="1" applyFont="1"/>
    <xf numFmtId="171" fontId="1" fillId="2" borderId="1" xfId="3" applyNumberFormat="1" applyFont="1" applyFill="1" applyBorder="1"/>
    <xf numFmtId="171" fontId="5" fillId="2" borderId="1" xfId="3" applyNumberFormat="1" applyFont="1" applyFill="1" applyBorder="1"/>
    <xf numFmtId="171" fontId="1" fillId="0" borderId="2" xfId="3" applyNumberFormat="1" applyFont="1" applyBorder="1" applyAlignment="1">
      <alignment wrapText="1"/>
    </xf>
    <xf numFmtId="171" fontId="1" fillId="0" borderId="2" xfId="3" applyNumberFormat="1" applyFont="1" applyFill="1" applyBorder="1" applyAlignment="1"/>
    <xf numFmtId="171" fontId="5" fillId="0" borderId="2" xfId="3" applyNumberFormat="1" applyFont="1" applyFill="1" applyBorder="1" applyAlignment="1"/>
    <xf numFmtId="171" fontId="1" fillId="0" borderId="2" xfId="3" applyNumberFormat="1" applyFont="1" applyBorder="1"/>
    <xf numFmtId="171" fontId="5" fillId="0" borderId="2" xfId="3" applyNumberFormat="1" applyFont="1" applyBorder="1"/>
    <xf numFmtId="171" fontId="12" fillId="0" borderId="2" xfId="3" applyNumberFormat="1" applyFont="1" applyFill="1" applyBorder="1" applyAlignment="1">
      <alignment wrapText="1"/>
    </xf>
    <xf numFmtId="171" fontId="1" fillId="0" borderId="1" xfId="3" applyNumberFormat="1" applyFont="1" applyFill="1" applyBorder="1" applyAlignment="1"/>
    <xf numFmtId="171" fontId="5" fillId="0" borderId="1" xfId="3" applyNumberFormat="1" applyFont="1" applyFill="1" applyBorder="1" applyAlignment="1"/>
    <xf numFmtId="171" fontId="1" fillId="0" borderId="1" xfId="3" applyNumberFormat="1" applyFont="1" applyBorder="1"/>
    <xf numFmtId="171" fontId="5" fillId="0" borderId="1" xfId="3" applyNumberFormat="1" applyFont="1" applyBorder="1"/>
    <xf numFmtId="171" fontId="12" fillId="2" borderId="0" xfId="3" applyNumberFormat="1" applyFont="1" applyFill="1" applyAlignment="1">
      <alignment wrapText="1"/>
    </xf>
    <xf numFmtId="171" fontId="1" fillId="2" borderId="2" xfId="3" applyNumberFormat="1" applyFont="1" applyFill="1" applyBorder="1" applyAlignment="1">
      <alignment wrapText="1"/>
    </xf>
    <xf numFmtId="171" fontId="1" fillId="2" borderId="2" xfId="3" applyNumberFormat="1" applyFont="1" applyFill="1" applyBorder="1" applyAlignment="1"/>
    <xf numFmtId="171" fontId="1" fillId="2" borderId="2" xfId="3" applyNumberFormat="1" applyFont="1" applyFill="1" applyBorder="1"/>
    <xf numFmtId="171" fontId="1" fillId="0" borderId="4" xfId="3" applyNumberFormat="1" applyFont="1" applyBorder="1" applyAlignment="1">
      <alignment wrapText="1"/>
    </xf>
    <xf numFmtId="171" fontId="1" fillId="0" borderId="5" xfId="3" applyNumberFormat="1" applyFont="1" applyFill="1" applyBorder="1" applyAlignment="1"/>
    <xf numFmtId="171" fontId="5" fillId="0" borderId="5" xfId="3" applyNumberFormat="1" applyFont="1" applyFill="1" applyBorder="1" applyAlignment="1"/>
    <xf numFmtId="171" fontId="1" fillId="0" borderId="5" xfId="3" applyNumberFormat="1" applyFont="1" applyBorder="1"/>
    <xf numFmtId="171" fontId="5" fillId="0" borderId="5" xfId="3" applyNumberFormat="1" applyFont="1" applyBorder="1"/>
    <xf numFmtId="171" fontId="9" fillId="2" borderId="0" xfId="3" applyNumberFormat="1" applyFont="1" applyFill="1" applyAlignment="1">
      <alignment wrapText="1"/>
    </xf>
    <xf numFmtId="171" fontId="12" fillId="0" borderId="0" xfId="3" applyNumberFormat="1" applyFont="1" applyAlignment="1">
      <alignment wrapText="1"/>
    </xf>
    <xf numFmtId="171" fontId="1" fillId="0" borderId="0" xfId="3" applyNumberFormat="1" applyFont="1" applyAlignment="1">
      <alignment wrapText="1" indent="3"/>
    </xf>
    <xf numFmtId="171" fontId="12" fillId="0" borderId="0" xfId="3" applyNumberFormat="1" applyFont="1" applyAlignment="1">
      <alignment wrapText="1" indent="3"/>
    </xf>
    <xf numFmtId="171" fontId="1" fillId="2" borderId="0" xfId="3" applyNumberFormat="1" applyFont="1" applyFill="1" applyAlignment="1">
      <alignment wrapText="1" indent="5"/>
    </xf>
    <xf numFmtId="171" fontId="1" fillId="0" borderId="0" xfId="3" applyNumberFormat="1" applyFont="1" applyAlignment="1">
      <alignment wrapText="1" indent="5"/>
    </xf>
    <xf numFmtId="171" fontId="1" fillId="0" borderId="3" xfId="3" applyNumberFormat="1" applyFont="1" applyBorder="1" applyAlignment="1">
      <alignment wrapText="1" indent="3"/>
    </xf>
    <xf numFmtId="171" fontId="1" fillId="0" borderId="0" xfId="3" applyNumberFormat="1" applyFont="1" applyBorder="1" applyAlignment="1">
      <alignment wrapText="1" indent="3"/>
    </xf>
    <xf numFmtId="171" fontId="1" fillId="2" borderId="1" xfId="3" applyNumberFormat="1" applyFont="1" applyFill="1" applyBorder="1" applyAlignment="1">
      <alignment wrapText="1" indent="3"/>
    </xf>
    <xf numFmtId="171" fontId="12" fillId="0" borderId="1" xfId="3" applyNumberFormat="1" applyFont="1" applyFill="1" applyBorder="1" applyAlignment="1">
      <alignment wrapText="1"/>
    </xf>
    <xf numFmtId="171" fontId="12" fillId="0" borderId="0" xfId="3" applyNumberFormat="1" applyFont="1" applyFill="1" applyAlignment="1">
      <alignment wrapText="1"/>
    </xf>
    <xf numFmtId="171" fontId="12" fillId="2" borderId="4" xfId="3" applyNumberFormat="1" applyFont="1" applyFill="1" applyBorder="1" applyAlignment="1">
      <alignment wrapText="1"/>
    </xf>
    <xf numFmtId="171" fontId="5" fillId="2" borderId="4" xfId="3" applyNumberFormat="1" applyFont="1" applyFill="1" applyBorder="1" applyAlignment="1"/>
    <xf numFmtId="171" fontId="1" fillId="2" borderId="4" xfId="3" applyNumberFormat="1" applyFont="1" applyFill="1" applyBorder="1"/>
    <xf numFmtId="171" fontId="5" fillId="2" borderId="4" xfId="3" applyNumberFormat="1" applyFont="1" applyFill="1" applyBorder="1"/>
    <xf numFmtId="171" fontId="12" fillId="0" borderId="0" xfId="3" applyNumberFormat="1" applyFont="1" applyAlignment="1"/>
    <xf numFmtId="171" fontId="12" fillId="2" borderId="0" xfId="3" applyNumberFormat="1" applyFont="1" applyFill="1" applyAlignment="1"/>
    <xf numFmtId="171" fontId="1" fillId="2" borderId="0" xfId="3" applyNumberFormat="1" applyFont="1" applyFill="1" applyAlignment="1">
      <alignment horizontal="left" indent="5"/>
    </xf>
    <xf numFmtId="171" fontId="12" fillId="0" borderId="0" xfId="3" applyNumberFormat="1" applyFont="1" applyFill="1" applyAlignment="1"/>
    <xf numFmtId="171" fontId="5" fillId="2" borderId="0" xfId="3" applyNumberFormat="1" applyFont="1" applyFill="1" applyAlignment="1">
      <alignment horizontal="left" indent="5"/>
    </xf>
    <xf numFmtId="171" fontId="12" fillId="2" borderId="2" xfId="3" applyNumberFormat="1" applyFont="1" applyFill="1" applyBorder="1" applyAlignment="1"/>
    <xf numFmtId="171" fontId="5" fillId="2" borderId="2" xfId="3" applyNumberFormat="1" applyFont="1" applyFill="1" applyBorder="1" applyAlignment="1"/>
    <xf numFmtId="171" fontId="1" fillId="0" borderId="0" xfId="3" applyNumberFormat="1" applyFont="1" applyFill="1" applyAlignment="1">
      <alignment wrapText="1"/>
    </xf>
    <xf numFmtId="171" fontId="5" fillId="0" borderId="0" xfId="3" applyNumberFormat="1" applyFont="1" applyFill="1" applyAlignment="1">
      <alignment horizontal="right"/>
    </xf>
    <xf numFmtId="171" fontId="5" fillId="0" borderId="0" xfId="3" applyNumberFormat="1" applyFont="1" applyFill="1" applyAlignment="1">
      <alignment horizontal="left" indent="5"/>
    </xf>
    <xf numFmtId="171" fontId="1" fillId="0" borderId="0" xfId="3" applyNumberFormat="1" applyFont="1" applyFill="1" applyAlignment="1">
      <alignment horizontal="left" indent="5"/>
    </xf>
    <xf numFmtId="171" fontId="12" fillId="0" borderId="0" xfId="3" applyNumberFormat="1" applyFont="1" applyFill="1" applyAlignment="1">
      <alignment horizontal="left" indent="5"/>
    </xf>
    <xf numFmtId="171" fontId="1" fillId="2" borderId="0" xfId="3" applyNumberFormat="1" applyFont="1" applyFill="1" applyAlignment="1">
      <alignment horizontal="right"/>
    </xf>
    <xf numFmtId="171" fontId="1" fillId="0" borderId="3" xfId="3" applyNumberFormat="1" applyFont="1" applyFill="1" applyBorder="1" applyAlignment="1"/>
    <xf numFmtId="171" fontId="12" fillId="0" borderId="3" xfId="3" applyNumberFormat="1" applyFont="1" applyFill="1" applyBorder="1" applyAlignment="1"/>
    <xf numFmtId="171" fontId="1" fillId="3" borderId="3" xfId="3" applyNumberFormat="1" applyFont="1" applyFill="1" applyBorder="1" applyAlignment="1"/>
    <xf numFmtId="171" fontId="1" fillId="0" borderId="3" xfId="3" applyNumberFormat="1" applyFont="1" applyFill="1" applyBorder="1" applyAlignment="1">
      <alignment horizontal="right" wrapText="1"/>
    </xf>
    <xf numFmtId="171" fontId="1" fillId="2" borderId="2" xfId="3" applyNumberFormat="1" applyFont="1" applyFill="1" applyBorder="1" applyAlignment="1">
      <alignment horizontal="right"/>
    </xf>
    <xf numFmtId="171" fontId="1" fillId="2" borderId="4" xfId="3" applyNumberFormat="1" applyFont="1" applyFill="1" applyBorder="1" applyAlignment="1">
      <alignment horizontal="left"/>
    </xf>
    <xf numFmtId="3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174" fontId="19" fillId="0" borderId="0" xfId="2" applyNumberFormat="1" applyFont="1" applyBorder="1"/>
    <xf numFmtId="0" fontId="15" fillId="8" borderId="1" xfId="0" applyFont="1" applyFill="1" applyBorder="1" applyAlignment="1">
      <alignment wrapText="1"/>
    </xf>
    <xf numFmtId="0" fontId="15" fillId="8" borderId="0" xfId="0" applyFont="1" applyFill="1" applyAlignment="1">
      <alignment vertical="top"/>
    </xf>
    <xf numFmtId="0" fontId="20" fillId="4" borderId="1" xfId="0" applyFont="1" applyFill="1" applyBorder="1" applyAlignment="1">
      <alignment wrapText="1"/>
    </xf>
    <xf numFmtId="44" fontId="1" fillId="0" borderId="0" xfId="0" applyNumberFormat="1" applyFont="1" applyAlignment="1"/>
    <xf numFmtId="0" fontId="21" fillId="5" borderId="12" xfId="0" applyFont="1" applyFill="1" applyBorder="1" applyAlignment="1"/>
    <xf numFmtId="164" fontId="23" fillId="4" borderId="16" xfId="0" applyNumberFormat="1" applyFont="1" applyFill="1" applyBorder="1" applyAlignment="1">
      <alignment horizontal="center"/>
    </xf>
    <xf numFmtId="164" fontId="23" fillId="4" borderId="12" xfId="0" applyNumberFormat="1" applyFont="1" applyFill="1" applyBorder="1" applyAlignment="1">
      <alignment horizontal="center"/>
    </xf>
    <xf numFmtId="164" fontId="23" fillId="9" borderId="16" xfId="0" applyNumberFormat="1" applyFont="1" applyFill="1" applyBorder="1" applyAlignment="1">
      <alignment horizontal="center"/>
    </xf>
    <xf numFmtId="164" fontId="23" fillId="9" borderId="12" xfId="0" applyNumberFormat="1" applyFont="1" applyFill="1" applyBorder="1" applyAlignment="1">
      <alignment horizontal="center"/>
    </xf>
    <xf numFmtId="164" fontId="23" fillId="9" borderId="2" xfId="0" applyNumberFormat="1" applyFont="1" applyFill="1" applyBorder="1" applyAlignment="1">
      <alignment horizontal="center"/>
    </xf>
    <xf numFmtId="0" fontId="15" fillId="8" borderId="0" xfId="0" applyFont="1" applyFill="1" applyAlignment="1">
      <alignment wrapText="1"/>
    </xf>
    <xf numFmtId="0" fontId="23" fillId="8" borderId="0" xfId="0" applyFont="1" applyFill="1" applyAlignment="1"/>
    <xf numFmtId="0" fontId="24" fillId="8" borderId="17" xfId="0" applyFont="1" applyFill="1" applyBorder="1" applyAlignment="1">
      <alignment wrapText="1"/>
    </xf>
    <xf numFmtId="0" fontId="24" fillId="8" borderId="18" xfId="0" applyFont="1" applyFill="1" applyBorder="1" applyAlignment="1">
      <alignment wrapText="1"/>
    </xf>
    <xf numFmtId="0" fontId="24" fillId="8" borderId="0" xfId="0" applyFont="1" applyFill="1" applyAlignment="1">
      <alignment wrapText="1"/>
    </xf>
    <xf numFmtId="0" fontId="24" fillId="8" borderId="10" xfId="0" applyFont="1" applyFill="1" applyBorder="1" applyAlignment="1">
      <alignment wrapText="1"/>
    </xf>
    <xf numFmtId="0" fontId="24" fillId="8" borderId="8" xfId="0" applyFont="1" applyFill="1" applyBorder="1" applyAlignment="1">
      <alignment wrapText="1"/>
    </xf>
    <xf numFmtId="0" fontId="24" fillId="8" borderId="0" xfId="0" applyFont="1" applyFill="1" applyBorder="1" applyAlignment="1">
      <alignment wrapText="1"/>
    </xf>
    <xf numFmtId="174" fontId="25" fillId="0" borderId="0" xfId="2" applyNumberFormat="1" applyFont="1" applyFill="1"/>
    <xf numFmtId="174" fontId="26" fillId="0" borderId="11" xfId="2" applyNumberFormat="1" applyFont="1" applyFill="1" applyBorder="1"/>
    <xf numFmtId="174" fontId="26" fillId="0" borderId="18" xfId="2" applyNumberFormat="1" applyFont="1" applyFill="1" applyBorder="1" applyAlignment="1">
      <alignment horizontal="center"/>
    </xf>
    <xf numFmtId="0" fontId="27" fillId="0" borderId="18" xfId="0" applyFont="1" applyFill="1" applyBorder="1" applyAlignment="1">
      <alignment wrapText="1"/>
    </xf>
    <xf numFmtId="0" fontId="27" fillId="0" borderId="11" xfId="0" applyFont="1" applyFill="1" applyBorder="1" applyAlignment="1">
      <alignment wrapText="1"/>
    </xf>
    <xf numFmtId="174" fontId="26" fillId="0" borderId="0" xfId="2" applyNumberFormat="1" applyFont="1" applyFill="1"/>
    <xf numFmtId="174" fontId="28" fillId="0" borderId="11" xfId="2" applyNumberFormat="1" applyFont="1" applyFill="1" applyBorder="1"/>
    <xf numFmtId="175" fontId="26" fillId="0" borderId="18" xfId="1" applyNumberFormat="1" applyFont="1" applyFill="1" applyBorder="1" applyAlignment="1">
      <alignment horizontal="right"/>
    </xf>
    <xf numFmtId="174" fontId="26" fillId="0" borderId="0" xfId="2" applyNumberFormat="1" applyFont="1" applyFill="1" applyBorder="1"/>
    <xf numFmtId="9" fontId="26" fillId="0" borderId="11" xfId="1" applyFont="1" applyFill="1" applyBorder="1"/>
    <xf numFmtId="9" fontId="26" fillId="0" borderId="18" xfId="1" applyFont="1" applyFill="1" applyBorder="1"/>
    <xf numFmtId="1" fontId="26" fillId="0" borderId="11" xfId="2" applyNumberFormat="1" applyFont="1" applyFill="1" applyBorder="1"/>
    <xf numFmtId="1" fontId="26" fillId="0" borderId="18" xfId="2" applyNumberFormat="1" applyFont="1" applyFill="1" applyBorder="1"/>
    <xf numFmtId="174" fontId="26" fillId="0" borderId="18" xfId="2" applyNumberFormat="1" applyFont="1" applyFill="1" applyBorder="1"/>
    <xf numFmtId="174" fontId="26" fillId="0" borderId="22" xfId="2" applyNumberFormat="1" applyFont="1" applyFill="1" applyBorder="1"/>
    <xf numFmtId="9" fontId="26" fillId="0" borderId="21" xfId="1" applyFont="1" applyFill="1" applyBorder="1"/>
    <xf numFmtId="9" fontId="26" fillId="0" borderId="23" xfId="1" applyFont="1" applyFill="1" applyBorder="1"/>
    <xf numFmtId="0" fontId="7" fillId="0" borderId="17" xfId="0" applyFont="1" applyFill="1" applyBorder="1" applyAlignment="1">
      <alignment wrapText="1"/>
    </xf>
    <xf numFmtId="171" fontId="27" fillId="0" borderId="11" xfId="3" applyNumberFormat="1" applyFont="1" applyFill="1" applyBorder="1" applyAlignment="1"/>
    <xf numFmtId="171" fontId="27" fillId="0" borderId="18" xfId="3" applyNumberFormat="1" applyFont="1" applyFill="1" applyBorder="1" applyAlignment="1"/>
    <xf numFmtId="171" fontId="27" fillId="0" borderId="0" xfId="3" applyNumberFormat="1" applyFont="1" applyFill="1" applyBorder="1" applyAlignment="1"/>
    <xf numFmtId="171" fontId="27" fillId="0" borderId="18" xfId="0" applyNumberFormat="1" applyFont="1" applyFill="1" applyBorder="1" applyAlignment="1"/>
    <xf numFmtId="171" fontId="27" fillId="0" borderId="0" xfId="0" applyNumberFormat="1" applyFont="1" applyFill="1" applyBorder="1" applyAlignment="1"/>
    <xf numFmtId="0" fontId="7" fillId="0" borderId="18" xfId="0" applyFont="1" applyFill="1" applyBorder="1" applyAlignment="1">
      <alignment wrapText="1"/>
    </xf>
    <xf numFmtId="171" fontId="27" fillId="0" borderId="11" xfId="3" applyNumberFormat="1" applyFont="1" applyFill="1" applyBorder="1" applyAlignment="1">
      <alignment horizontal="right"/>
    </xf>
    <xf numFmtId="175" fontId="27" fillId="0" borderId="18" xfId="1" applyNumberFormat="1" applyFont="1" applyFill="1" applyBorder="1" applyAlignment="1"/>
    <xf numFmtId="175" fontId="27" fillId="0" borderId="11" xfId="1" applyNumberFormat="1" applyFont="1" applyFill="1" applyBorder="1" applyAlignment="1"/>
    <xf numFmtId="175" fontId="27" fillId="0" borderId="0" xfId="1" applyNumberFormat="1" applyFont="1" applyFill="1" applyBorder="1" applyAlignment="1"/>
    <xf numFmtId="0" fontId="27" fillId="0" borderId="18" xfId="0" applyFont="1" applyFill="1" applyBorder="1" applyAlignment="1">
      <alignment wrapText="1" indent="3"/>
    </xf>
    <xf numFmtId="171" fontId="27" fillId="0" borderId="18" xfId="0" applyNumberFormat="1" applyFont="1" applyFill="1" applyBorder="1" applyAlignment="1">
      <alignment wrapText="1"/>
    </xf>
    <xf numFmtId="171" fontId="27" fillId="0" borderId="0" xfId="0" applyNumberFormat="1" applyFont="1" applyFill="1" applyBorder="1" applyAlignment="1">
      <alignment wrapText="1"/>
    </xf>
    <xf numFmtId="9" fontId="27" fillId="0" borderId="11" xfId="1" applyFont="1" applyFill="1" applyBorder="1" applyAlignment="1"/>
    <xf numFmtId="9" fontId="27" fillId="0" borderId="18" xfId="1" applyFont="1" applyFill="1" applyBorder="1" applyAlignment="1"/>
    <xf numFmtId="9" fontId="27" fillId="0" borderId="0" xfId="1" applyFont="1" applyFill="1" applyBorder="1" applyAlignment="1"/>
    <xf numFmtId="9" fontId="29" fillId="0" borderId="18" xfId="0" applyNumberFormat="1" applyFont="1" applyFill="1" applyBorder="1" applyAlignment="1">
      <alignment wrapText="1"/>
    </xf>
    <xf numFmtId="9" fontId="29" fillId="0" borderId="0" xfId="0" applyNumberFormat="1" applyFont="1" applyFill="1" applyBorder="1" applyAlignment="1">
      <alignment wrapText="1"/>
    </xf>
    <xf numFmtId="0" fontId="7" fillId="0" borderId="16" xfId="0" applyFont="1" applyFill="1" applyBorder="1" applyAlignment="1">
      <alignment wrapText="1" indent="3"/>
    </xf>
    <xf numFmtId="171" fontId="7" fillId="0" borderId="12" xfId="1" applyNumberFormat="1" applyFont="1" applyFill="1" applyBorder="1" applyAlignment="1"/>
    <xf numFmtId="171" fontId="7" fillId="0" borderId="16" xfId="1" applyNumberFormat="1" applyFont="1" applyFill="1" applyBorder="1" applyAlignment="1"/>
    <xf numFmtId="171" fontId="7" fillId="0" borderId="2" xfId="1" applyNumberFormat="1" applyFont="1" applyFill="1" applyBorder="1" applyAlignment="1"/>
    <xf numFmtId="0" fontId="7" fillId="0" borderId="18" xfId="0" applyFont="1" applyFill="1" applyBorder="1" applyAlignment="1">
      <alignment wrapText="1" indent="3"/>
    </xf>
    <xf numFmtId="9" fontId="7" fillId="0" borderId="11" xfId="1" applyFont="1" applyFill="1" applyBorder="1" applyAlignment="1"/>
    <xf numFmtId="9" fontId="7" fillId="0" borderId="18" xfId="1" applyFont="1" applyFill="1" applyBorder="1" applyAlignment="1"/>
    <xf numFmtId="9" fontId="7" fillId="0" borderId="0" xfId="1" applyFont="1" applyFill="1" applyBorder="1" applyAlignment="1"/>
    <xf numFmtId="0" fontId="27" fillId="0" borderId="18" xfId="0" applyFont="1" applyFill="1" applyBorder="1" applyAlignment="1"/>
    <xf numFmtId="0" fontId="27" fillId="0" borderId="0" xfId="0" applyFont="1" applyFill="1" applyBorder="1" applyAlignment="1">
      <alignment wrapText="1"/>
    </xf>
    <xf numFmtId="0" fontId="7" fillId="0" borderId="16" xfId="0" applyFont="1" applyFill="1" applyBorder="1" applyAlignment="1">
      <alignment wrapText="1"/>
    </xf>
    <xf numFmtId="171" fontId="27" fillId="0" borderId="12" xfId="0" applyNumberFormat="1" applyFont="1" applyFill="1" applyBorder="1" applyAlignment="1"/>
    <xf numFmtId="171" fontId="27" fillId="0" borderId="16" xfId="0" applyNumberFormat="1" applyFont="1" applyFill="1" applyBorder="1" applyAlignment="1"/>
    <xf numFmtId="171" fontId="27" fillId="0" borderId="2" xfId="0" applyNumberFormat="1" applyFont="1" applyFill="1" applyBorder="1" applyAlignment="1"/>
    <xf numFmtId="0" fontId="27" fillId="0" borderId="11" xfId="0" applyNumberFormat="1" applyFont="1" applyFill="1" applyBorder="1" applyAlignment="1"/>
    <xf numFmtId="0" fontId="7" fillId="0" borderId="25" xfId="0" applyFont="1" applyFill="1" applyBorder="1" applyAlignment="1">
      <alignment wrapText="1"/>
    </xf>
    <xf numFmtId="171" fontId="27" fillId="0" borderId="26" xfId="3" applyNumberFormat="1" applyFont="1" applyFill="1" applyBorder="1" applyAlignment="1"/>
    <xf numFmtId="171" fontId="7" fillId="0" borderId="5" xfId="3" applyNumberFormat="1" applyFont="1" applyFill="1" applyBorder="1" applyAlignment="1"/>
    <xf numFmtId="171" fontId="7" fillId="0" borderId="26" xfId="3" applyNumberFormat="1" applyFont="1" applyFill="1" applyBorder="1" applyAlignment="1"/>
    <xf numFmtId="0" fontId="7" fillId="0" borderId="0" xfId="0" applyFont="1" applyFill="1" applyBorder="1" applyAlignment="1">
      <alignment wrapText="1"/>
    </xf>
    <xf numFmtId="1" fontId="27" fillId="0" borderId="11" xfId="0" applyNumberFormat="1" applyFont="1" applyFill="1" applyBorder="1" applyAlignment="1"/>
    <xf numFmtId="0" fontId="7" fillId="0" borderId="22" xfId="0" applyFont="1" applyFill="1" applyBorder="1" applyAlignment="1">
      <alignment wrapText="1"/>
    </xf>
    <xf numFmtId="171" fontId="7" fillId="0" borderId="21" xfId="3" applyNumberFormat="1" applyFont="1" applyFill="1" applyBorder="1" applyAlignment="1"/>
    <xf numFmtId="171" fontId="7" fillId="0" borderId="23" xfId="3" applyNumberFormat="1" applyFont="1" applyFill="1" applyBorder="1" applyAlignment="1"/>
    <xf numFmtId="171" fontId="7" fillId="0" borderId="22" xfId="3" applyNumberFormat="1" applyFont="1" applyFill="1" applyBorder="1" applyAlignment="1"/>
    <xf numFmtId="0" fontId="30" fillId="8" borderId="0" xfId="0" applyFont="1" applyFill="1" applyAlignment="1">
      <alignment wrapText="1"/>
    </xf>
    <xf numFmtId="0" fontId="30" fillId="8" borderId="1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27" fillId="0" borderId="18" xfId="0" applyFont="1" applyFill="1" applyBorder="1" applyAlignment="1">
      <alignment horizontal="left"/>
    </xf>
    <xf numFmtId="0" fontId="27" fillId="0" borderId="3" xfId="0" applyFont="1" applyFill="1" applyBorder="1" applyAlignment="1">
      <alignment horizontal="left"/>
    </xf>
    <xf numFmtId="0" fontId="27" fillId="0" borderId="17" xfId="0" applyFont="1" applyFill="1" applyBorder="1" applyAlignment="1">
      <alignment horizontal="left"/>
    </xf>
    <xf numFmtId="0" fontId="27" fillId="0" borderId="10" xfId="0" applyFont="1" applyFill="1" applyBorder="1" applyAlignment="1">
      <alignment wrapText="1"/>
    </xf>
    <xf numFmtId="0" fontId="27" fillId="0" borderId="3" xfId="0" applyFont="1" applyFill="1" applyBorder="1" applyAlignment="1">
      <alignment wrapText="1"/>
    </xf>
    <xf numFmtId="0" fontId="27" fillId="0" borderId="17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27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wrapText="1" indent="3"/>
    </xf>
    <xf numFmtId="1" fontId="27" fillId="0" borderId="11" xfId="0" applyNumberFormat="1" applyFont="1" applyFill="1" applyBorder="1" applyAlignment="1">
      <alignment wrapText="1"/>
    </xf>
    <xf numFmtId="171" fontId="27" fillId="0" borderId="11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 indent="3"/>
    </xf>
    <xf numFmtId="0" fontId="27" fillId="0" borderId="0" xfId="0" applyFont="1" applyFill="1" applyBorder="1" applyAlignment="1">
      <alignment wrapText="1" indent="5"/>
    </xf>
    <xf numFmtId="0" fontId="27" fillId="0" borderId="1" xfId="0" applyFont="1" applyFill="1" applyBorder="1" applyAlignment="1">
      <alignment wrapText="1" indent="5"/>
    </xf>
    <xf numFmtId="0" fontId="27" fillId="0" borderId="1" xfId="0" applyFont="1" applyFill="1" applyBorder="1" applyAlignment="1">
      <alignment wrapText="1" indent="3"/>
    </xf>
    <xf numFmtId="0" fontId="7" fillId="0" borderId="2" xfId="0" applyFont="1" applyFill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27" fillId="0" borderId="0" xfId="0" applyFont="1" applyFill="1" applyAlignment="1">
      <alignment horizontal="left"/>
    </xf>
    <xf numFmtId="0" fontId="27" fillId="0" borderId="14" xfId="0" applyFont="1" applyFill="1" applyBorder="1" applyAlignment="1">
      <alignment horizontal="left"/>
    </xf>
    <xf numFmtId="0" fontId="27" fillId="0" borderId="11" xfId="0" applyFont="1" applyFill="1" applyBorder="1" applyAlignment="1">
      <alignment horizontal="left"/>
    </xf>
    <xf numFmtId="0" fontId="27" fillId="0" borderId="27" xfId="0" applyFont="1" applyFill="1" applyBorder="1" applyAlignment="1">
      <alignment horizontal="left"/>
    </xf>
    <xf numFmtId="0" fontId="27" fillId="0" borderId="27" xfId="0" applyFont="1" applyFill="1" applyBorder="1" applyAlignment="1">
      <alignment wrapText="1"/>
    </xf>
    <xf numFmtId="0" fontId="27" fillId="0" borderId="15" xfId="0" applyFont="1" applyFill="1" applyBorder="1" applyAlignment="1">
      <alignment wrapText="1"/>
    </xf>
    <xf numFmtId="0" fontId="31" fillId="0" borderId="1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27" fillId="0" borderId="0" xfId="0" applyFont="1" applyFill="1" applyAlignment="1">
      <alignment wrapText="1" indent="3"/>
    </xf>
    <xf numFmtId="6" fontId="27" fillId="0" borderId="18" xfId="0" applyNumberFormat="1" applyFont="1" applyFill="1" applyBorder="1" applyAlignment="1">
      <alignment wrapText="1"/>
    </xf>
    <xf numFmtId="6" fontId="27" fillId="0" borderId="0" xfId="0" applyNumberFormat="1" applyFont="1" applyFill="1" applyBorder="1" applyAlignment="1">
      <alignment wrapText="1"/>
    </xf>
    <xf numFmtId="3" fontId="27" fillId="0" borderId="16" xfId="0" applyNumberFormat="1" applyFont="1" applyFill="1" applyBorder="1" applyAlignment="1">
      <alignment wrapText="1"/>
    </xf>
    <xf numFmtId="3" fontId="27" fillId="0" borderId="18" xfId="0" applyNumberFormat="1" applyFont="1" applyFill="1" applyBorder="1" applyAlignment="1">
      <alignment wrapText="1"/>
    </xf>
    <xf numFmtId="3" fontId="7" fillId="0" borderId="16" xfId="0" applyNumberFormat="1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6" fontId="33" fillId="0" borderId="0" xfId="0" applyNumberFormat="1" applyFont="1" applyFill="1" applyBorder="1" applyAlignment="1">
      <alignment wrapText="1"/>
    </xf>
    <xf numFmtId="170" fontId="27" fillId="0" borderId="0" xfId="0" applyNumberFormat="1" applyFont="1" applyFill="1" applyBorder="1" applyAlignment="1"/>
    <xf numFmtId="170" fontId="7" fillId="0" borderId="0" xfId="0" applyNumberFormat="1" applyFont="1" applyFill="1" applyBorder="1" applyAlignment="1"/>
    <xf numFmtId="173" fontId="27" fillId="0" borderId="0" xfId="0" applyNumberFormat="1" applyFont="1" applyFill="1" applyBorder="1"/>
    <xf numFmtId="173" fontId="7" fillId="0" borderId="0" xfId="0" applyNumberFormat="1" applyFont="1" applyFill="1" applyBorder="1"/>
    <xf numFmtId="0" fontId="27" fillId="0" borderId="0" xfId="0" applyFont="1" applyFill="1" applyAlignment="1">
      <alignment wrapText="1"/>
    </xf>
    <xf numFmtId="0" fontId="27" fillId="8" borderId="1" xfId="0" applyFont="1" applyFill="1" applyBorder="1" applyAlignment="1">
      <alignment wrapText="1"/>
    </xf>
    <xf numFmtId="0" fontId="27" fillId="8" borderId="0" xfId="0" applyFont="1" applyFill="1" applyAlignment="1">
      <alignment wrapText="1"/>
    </xf>
    <xf numFmtId="1" fontId="27" fillId="0" borderId="10" xfId="0" applyNumberFormat="1" applyFont="1" applyFill="1" applyBorder="1" applyAlignment="1"/>
    <xf numFmtId="0" fontId="7" fillId="7" borderId="0" xfId="0" applyFont="1" applyFill="1" applyAlignment="1">
      <alignment wrapText="1"/>
    </xf>
    <xf numFmtId="0" fontId="27" fillId="7" borderId="11" xfId="0" applyFont="1" applyFill="1" applyBorder="1" applyAlignment="1">
      <alignment wrapText="1"/>
    </xf>
    <xf numFmtId="172" fontId="29" fillId="0" borderId="11" xfId="0" applyNumberFormat="1" applyFont="1" applyFill="1" applyBorder="1" applyAlignment="1">
      <alignment wrapText="1"/>
    </xf>
    <xf numFmtId="171" fontId="27" fillId="0" borderId="11" xfId="0" applyNumberFormat="1" applyFont="1" applyFill="1" applyBorder="1" applyAlignment="1"/>
    <xf numFmtId="6" fontId="27" fillId="0" borderId="11" xfId="0" applyNumberFormat="1" applyFont="1" applyFill="1" applyBorder="1" applyAlignment="1"/>
    <xf numFmtId="171" fontId="29" fillId="0" borderId="18" xfId="3" applyNumberFormat="1" applyFont="1" applyFill="1" applyBorder="1" applyAlignment="1"/>
    <xf numFmtId="0" fontId="7" fillId="0" borderId="2" xfId="0" applyFont="1" applyFill="1" applyBorder="1" applyAlignment="1">
      <alignment horizontal="left" wrapText="1"/>
    </xf>
    <xf numFmtId="1" fontId="27" fillId="0" borderId="12" xfId="0" applyNumberFormat="1" applyFont="1" applyFill="1" applyBorder="1" applyAlignment="1"/>
    <xf numFmtId="0" fontId="28" fillId="0" borderId="2" xfId="0" applyFont="1" applyFill="1" applyBorder="1" applyAlignment="1">
      <alignment wrapText="1"/>
    </xf>
    <xf numFmtId="1" fontId="26" fillId="0" borderId="12" xfId="0" applyNumberFormat="1" applyFont="1" applyFill="1" applyBorder="1" applyAlignment="1"/>
    <xf numFmtId="0" fontId="7" fillId="0" borderId="0" xfId="0" applyFont="1" applyFill="1" applyAlignment="1">
      <alignment horizontal="left" wrapText="1"/>
    </xf>
    <xf numFmtId="1" fontId="27" fillId="0" borderId="19" xfId="0" applyNumberFormat="1" applyFont="1" applyFill="1" applyBorder="1" applyAlignment="1"/>
    <xf numFmtId="0" fontId="7" fillId="0" borderId="5" xfId="0" applyFont="1" applyFill="1" applyBorder="1" applyAlignment="1">
      <alignment horizontal="left" wrapText="1"/>
    </xf>
    <xf numFmtId="1" fontId="27" fillId="0" borderId="24" xfId="0" applyNumberFormat="1" applyFont="1" applyFill="1" applyBorder="1" applyAlignment="1">
      <alignment wrapText="1"/>
    </xf>
    <xf numFmtId="0" fontId="27" fillId="0" borderId="0" xfId="0" applyFont="1" applyAlignment="1">
      <alignment wrapText="1"/>
    </xf>
    <xf numFmtId="174" fontId="35" fillId="0" borderId="3" xfId="2" applyNumberFormat="1" applyFont="1" applyBorder="1"/>
    <xf numFmtId="174" fontId="26" fillId="0" borderId="17" xfId="2" applyNumberFormat="1" applyFont="1" applyBorder="1"/>
    <xf numFmtId="0" fontId="27" fillId="0" borderId="17" xfId="0" applyFont="1" applyBorder="1" applyAlignment="1">
      <alignment wrapText="1"/>
    </xf>
    <xf numFmtId="174" fontId="26" fillId="0" borderId="0" xfId="2" applyNumberFormat="1" applyFont="1" applyBorder="1"/>
    <xf numFmtId="174" fontId="26" fillId="0" borderId="18" xfId="2" applyNumberFormat="1" applyFont="1" applyBorder="1"/>
    <xf numFmtId="174" fontId="26" fillId="0" borderId="3" xfId="2" applyNumberFormat="1" applyFont="1" applyBorder="1"/>
    <xf numFmtId="174" fontId="26" fillId="0" borderId="18" xfId="2" applyNumberFormat="1" applyFont="1" applyBorder="1" applyAlignment="1">
      <alignment horizontal="center"/>
    </xf>
    <xf numFmtId="0" fontId="27" fillId="0" borderId="18" xfId="0" applyFont="1" applyBorder="1" applyAlignment="1">
      <alignment wrapText="1"/>
    </xf>
    <xf numFmtId="174" fontId="35" fillId="0" borderId="0" xfId="2" applyNumberFormat="1" applyFont="1" applyBorder="1"/>
    <xf numFmtId="174" fontId="26" fillId="0" borderId="0" xfId="2" applyNumberFormat="1" applyFont="1"/>
    <xf numFmtId="174" fontId="35" fillId="0" borderId="0" xfId="2" applyNumberFormat="1" applyFont="1"/>
    <xf numFmtId="174" fontId="26" fillId="0" borderId="2" xfId="2" applyNumberFormat="1" applyFont="1" applyBorder="1"/>
    <xf numFmtId="174" fontId="26" fillId="0" borderId="16" xfId="2" applyNumberFormat="1" applyFont="1" applyBorder="1"/>
    <xf numFmtId="174" fontId="28" fillId="0" borderId="0" xfId="2" applyNumberFormat="1" applyFont="1"/>
    <xf numFmtId="174" fontId="26" fillId="0" borderId="22" xfId="2" applyNumberFormat="1" applyFont="1" applyBorder="1"/>
    <xf numFmtId="174" fontId="26" fillId="0" borderId="23" xfId="2" applyNumberFormat="1" applyFont="1" applyBorder="1"/>
    <xf numFmtId="174" fontId="28" fillId="0" borderId="0" xfId="2" applyNumberFormat="1" applyFont="1" applyBorder="1"/>
    <xf numFmtId="174" fontId="28" fillId="0" borderId="18" xfId="2" applyNumberFormat="1" applyFont="1" applyBorder="1"/>
    <xf numFmtId="174" fontId="28" fillId="0" borderId="4" xfId="2" applyNumberFormat="1" applyFont="1" applyBorder="1"/>
    <xf numFmtId="174" fontId="28" fillId="0" borderId="25" xfId="2" applyNumberFormat="1" applyFont="1" applyBorder="1"/>
    <xf numFmtId="37" fontId="15" fillId="8" borderId="0" xfId="0" applyNumberFormat="1" applyFont="1" applyFill="1" applyAlignment="1">
      <alignment vertical="center"/>
    </xf>
    <xf numFmtId="9" fontId="36" fillId="0" borderId="18" xfId="1" applyNumberFormat="1" applyFont="1" applyFill="1" applyBorder="1" applyAlignment="1">
      <alignment horizontal="right"/>
    </xf>
    <xf numFmtId="9" fontId="36" fillId="0" borderId="11" xfId="1" applyNumberFormat="1" applyFont="1" applyFill="1" applyBorder="1" applyAlignment="1">
      <alignment horizontal="right"/>
    </xf>
    <xf numFmtId="9" fontId="36" fillId="0" borderId="18" xfId="0" applyNumberFormat="1" applyFont="1" applyFill="1" applyBorder="1" applyAlignment="1">
      <alignment wrapText="1"/>
    </xf>
    <xf numFmtId="9" fontId="36" fillId="0" borderId="11" xfId="0" applyNumberFormat="1" applyFont="1" applyFill="1" applyBorder="1" applyAlignment="1">
      <alignment wrapText="1"/>
    </xf>
    <xf numFmtId="9" fontId="36" fillId="0" borderId="18" xfId="1" applyFont="1" applyFill="1" applyBorder="1"/>
    <xf numFmtId="9" fontId="36" fillId="0" borderId="11" xfId="1" applyFont="1" applyFill="1" applyBorder="1"/>
    <xf numFmtId="175" fontId="36" fillId="0" borderId="18" xfId="0" applyNumberFormat="1" applyFont="1" applyFill="1" applyBorder="1" applyAlignment="1">
      <alignment wrapText="1"/>
    </xf>
    <xf numFmtId="175" fontId="36" fillId="0" borderId="11" xfId="0" applyNumberFormat="1" applyFont="1" applyFill="1" applyBorder="1" applyAlignment="1">
      <alignment wrapText="1"/>
    </xf>
    <xf numFmtId="0" fontId="36" fillId="0" borderId="18" xfId="0" applyFont="1" applyFill="1" applyBorder="1" applyAlignment="1">
      <alignment wrapText="1"/>
    </xf>
    <xf numFmtId="0" fontId="36" fillId="0" borderId="11" xfId="0" applyFont="1" applyFill="1" applyBorder="1" applyAlignment="1">
      <alignment wrapText="1"/>
    </xf>
    <xf numFmtId="1" fontId="36" fillId="0" borderId="18" xfId="0" applyNumberFormat="1" applyFont="1" applyFill="1" applyBorder="1" applyAlignment="1">
      <alignment wrapText="1"/>
    </xf>
    <xf numFmtId="1" fontId="36" fillId="0" borderId="0" xfId="0" applyNumberFormat="1" applyFont="1" applyFill="1" applyBorder="1" applyAlignment="1">
      <alignment wrapText="1"/>
    </xf>
    <xf numFmtId="9" fontId="36" fillId="0" borderId="23" xfId="1" applyFont="1" applyFill="1" applyBorder="1"/>
    <xf numFmtId="9" fontId="36" fillId="0" borderId="21" xfId="1" applyFont="1" applyFill="1" applyBorder="1"/>
    <xf numFmtId="9" fontId="36" fillId="0" borderId="0" xfId="0" applyNumberFormat="1" applyFont="1" applyFill="1" applyBorder="1" applyAlignment="1">
      <alignment wrapText="1"/>
    </xf>
    <xf numFmtId="0" fontId="31" fillId="6" borderId="0" xfId="0" applyFont="1" applyFill="1" applyAlignment="1">
      <alignment wrapText="1"/>
    </xf>
    <xf numFmtId="0" fontId="37" fillId="0" borderId="0" xfId="0" applyFont="1" applyFill="1" applyAlignment="1">
      <alignment wrapText="1"/>
    </xf>
    <xf numFmtId="0" fontId="38" fillId="6" borderId="3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6" fontId="7" fillId="0" borderId="25" xfId="0" applyNumberFormat="1" applyFont="1" applyFill="1" applyBorder="1" applyAlignment="1">
      <alignment wrapText="1"/>
    </xf>
    <xf numFmtId="171" fontId="27" fillId="0" borderId="18" xfId="3" applyNumberFormat="1" applyFont="1" applyFill="1" applyBorder="1" applyAlignment="1">
      <alignment wrapText="1"/>
    </xf>
    <xf numFmtId="171" fontId="27" fillId="0" borderId="0" xfId="3" applyNumberFormat="1" applyFont="1" applyFill="1" applyBorder="1" applyAlignment="1">
      <alignment wrapText="1"/>
    </xf>
    <xf numFmtId="171" fontId="29" fillId="0" borderId="18" xfId="3" applyNumberFormat="1" applyFont="1" applyFill="1" applyBorder="1" applyAlignment="1">
      <alignment wrapText="1"/>
    </xf>
    <xf numFmtId="171" fontId="29" fillId="0" borderId="0" xfId="3" applyNumberFormat="1" applyFont="1" applyFill="1" applyBorder="1" applyAlignment="1">
      <alignment wrapText="1"/>
    </xf>
    <xf numFmtId="171" fontId="27" fillId="0" borderId="12" xfId="3" applyNumberFormat="1" applyFont="1" applyFill="1" applyBorder="1" applyAlignment="1"/>
    <xf numFmtId="171" fontId="27" fillId="0" borderId="16" xfId="3" applyNumberFormat="1" applyFont="1" applyFill="1" applyBorder="1" applyAlignment="1"/>
    <xf numFmtId="171" fontId="27" fillId="0" borderId="2" xfId="3" applyNumberFormat="1" applyFont="1" applyFill="1" applyBorder="1" applyAlignment="1"/>
    <xf numFmtId="171" fontId="27" fillId="0" borderId="24" xfId="3" applyNumberFormat="1" applyFont="1" applyFill="1" applyBorder="1" applyAlignment="1"/>
    <xf numFmtId="171" fontId="7" fillId="0" borderId="24" xfId="3" applyNumberFormat="1" applyFont="1" applyFill="1" applyBorder="1" applyAlignment="1"/>
    <xf numFmtId="171" fontId="27" fillId="0" borderId="18" xfId="3" applyNumberFormat="1" applyFont="1" applyFill="1" applyBorder="1" applyAlignment="1">
      <alignment horizontal="left"/>
    </xf>
    <xf numFmtId="171" fontId="7" fillId="0" borderId="11" xfId="3" applyNumberFormat="1" applyFont="1" applyFill="1" applyBorder="1" applyAlignment="1">
      <alignment wrapText="1"/>
    </xf>
    <xf numFmtId="171" fontId="27" fillId="0" borderId="11" xfId="3" applyNumberFormat="1" applyFont="1" applyFill="1" applyBorder="1" applyAlignment="1">
      <alignment wrapText="1"/>
    </xf>
    <xf numFmtId="171" fontId="27" fillId="0" borderId="10" xfId="3" applyNumberFormat="1" applyFont="1" applyFill="1" applyBorder="1" applyAlignment="1"/>
    <xf numFmtId="171" fontId="27" fillId="0" borderId="17" xfId="3" applyNumberFormat="1" applyFont="1" applyFill="1" applyBorder="1" applyAlignment="1"/>
    <xf numFmtId="171" fontId="27" fillId="0" borderId="3" xfId="3" applyNumberFormat="1" applyFont="1" applyFill="1" applyBorder="1" applyAlignment="1"/>
    <xf numFmtId="171" fontId="7" fillId="0" borderId="19" xfId="3" applyNumberFormat="1" applyFont="1" applyFill="1" applyBorder="1" applyAlignment="1"/>
    <xf numFmtId="171" fontId="7" fillId="0" borderId="20" xfId="3" applyNumberFormat="1" applyFont="1" applyFill="1" applyBorder="1" applyAlignment="1"/>
    <xf numFmtId="171" fontId="7" fillId="0" borderId="1" xfId="3" applyNumberFormat="1" applyFont="1" applyFill="1" applyBorder="1" applyAlignment="1"/>
    <xf numFmtId="171" fontId="29" fillId="0" borderId="11" xfId="3" applyNumberFormat="1" applyFont="1" applyFill="1" applyBorder="1" applyAlignment="1"/>
    <xf numFmtId="171" fontId="29" fillId="0" borderId="0" xfId="3" applyNumberFormat="1" applyFont="1" applyFill="1" applyBorder="1" applyAlignment="1"/>
    <xf numFmtId="171" fontId="7" fillId="0" borderId="13" xfId="3" applyNumberFormat="1" applyFont="1" applyFill="1" applyBorder="1" applyAlignment="1"/>
    <xf numFmtId="171" fontId="7" fillId="0" borderId="25" xfId="3" applyNumberFormat="1" applyFont="1" applyFill="1" applyBorder="1" applyAlignment="1"/>
    <xf numFmtId="171" fontId="7" fillId="0" borderId="4" xfId="3" applyNumberFormat="1" applyFont="1" applyFill="1" applyBorder="1" applyAlignment="1"/>
    <xf numFmtId="171" fontId="27" fillId="0" borderId="11" xfId="3" applyNumberFormat="1" applyFont="1" applyFill="1" applyBorder="1" applyAlignment="1">
      <alignment horizontal="left"/>
    </xf>
    <xf numFmtId="171" fontId="27" fillId="0" borderId="0" xfId="3" applyNumberFormat="1" applyFont="1" applyFill="1" applyAlignment="1">
      <alignment horizontal="left"/>
    </xf>
    <xf numFmtId="171" fontId="27" fillId="0" borderId="0" xfId="3" applyNumberFormat="1" applyFont="1" applyFill="1" applyAlignment="1">
      <alignment wrapText="1"/>
    </xf>
    <xf numFmtId="171" fontId="27" fillId="0" borderId="12" xfId="3" applyNumberFormat="1" applyFont="1" applyFill="1" applyBorder="1" applyAlignment="1">
      <alignment wrapText="1"/>
    </xf>
    <xf numFmtId="171" fontId="27" fillId="0" borderId="16" xfId="3" applyNumberFormat="1" applyFont="1" applyFill="1" applyBorder="1" applyAlignment="1">
      <alignment wrapText="1"/>
    </xf>
    <xf numFmtId="171" fontId="27" fillId="0" borderId="2" xfId="3" applyNumberFormat="1" applyFont="1" applyFill="1" applyBorder="1" applyAlignment="1">
      <alignment wrapText="1"/>
    </xf>
    <xf numFmtId="171" fontId="7" fillId="0" borderId="12" xfId="3" applyNumberFormat="1" applyFont="1" applyFill="1" applyBorder="1" applyAlignment="1">
      <alignment wrapText="1"/>
    </xf>
    <xf numFmtId="171" fontId="7" fillId="0" borderId="16" xfId="3" applyNumberFormat="1" applyFont="1" applyFill="1" applyBorder="1" applyAlignment="1">
      <alignment wrapText="1"/>
    </xf>
    <xf numFmtId="171" fontId="7" fillId="0" borderId="2" xfId="3" applyNumberFormat="1" applyFont="1" applyFill="1" applyBorder="1" applyAlignment="1">
      <alignment wrapText="1"/>
    </xf>
    <xf numFmtId="171" fontId="7" fillId="0" borderId="13" xfId="3" applyNumberFormat="1" applyFont="1" applyFill="1" applyBorder="1" applyAlignment="1">
      <alignment wrapText="1"/>
    </xf>
    <xf numFmtId="171" fontId="7" fillId="0" borderId="25" xfId="3" applyNumberFormat="1" applyFont="1" applyFill="1" applyBorder="1" applyAlignment="1">
      <alignment wrapText="1"/>
    </xf>
    <xf numFmtId="171" fontId="7" fillId="0" borderId="4" xfId="3" applyNumberFormat="1" applyFont="1" applyFill="1" applyBorder="1" applyAlignment="1">
      <alignment wrapText="1"/>
    </xf>
    <xf numFmtId="171" fontId="27" fillId="8" borderId="0" xfId="3" applyNumberFormat="1" applyFont="1" applyFill="1" applyAlignment="1">
      <alignment wrapText="1"/>
    </xf>
    <xf numFmtId="171" fontId="27" fillId="7" borderId="11" xfId="3" applyNumberFormat="1" applyFont="1" applyFill="1" applyBorder="1" applyAlignment="1"/>
    <xf numFmtId="171" fontId="27" fillId="7" borderId="18" xfId="3" applyNumberFormat="1" applyFont="1" applyFill="1" applyBorder="1" applyAlignment="1">
      <alignment wrapText="1"/>
    </xf>
    <xf numFmtId="171" fontId="27" fillId="7" borderId="11" xfId="3" applyNumberFormat="1" applyFont="1" applyFill="1" applyBorder="1" applyAlignment="1">
      <alignment wrapText="1"/>
    </xf>
    <xf numFmtId="171" fontId="27" fillId="7" borderId="0" xfId="3" applyNumberFormat="1" applyFont="1" applyFill="1" applyBorder="1" applyAlignment="1">
      <alignment wrapText="1"/>
    </xf>
    <xf numFmtId="171" fontId="29" fillId="0" borderId="11" xfId="3" applyNumberFormat="1" applyFont="1" applyFill="1" applyBorder="1" applyAlignment="1">
      <alignment wrapText="1"/>
    </xf>
    <xf numFmtId="171" fontId="27" fillId="0" borderId="19" xfId="3" applyNumberFormat="1" applyFont="1" applyFill="1" applyBorder="1" applyAlignment="1"/>
    <xf numFmtId="171" fontId="7" fillId="7" borderId="11" xfId="3" applyNumberFormat="1" applyFont="1" applyFill="1" applyBorder="1" applyAlignment="1"/>
    <xf numFmtId="171" fontId="26" fillId="0" borderId="12" xfId="3" applyNumberFormat="1" applyFont="1" applyFill="1" applyBorder="1" applyAlignment="1"/>
    <xf numFmtId="171" fontId="27" fillId="0" borderId="24" xfId="3" applyNumberFormat="1" applyFont="1" applyFill="1" applyBorder="1" applyAlignment="1">
      <alignment wrapText="1"/>
    </xf>
    <xf numFmtId="171" fontId="27" fillId="0" borderId="0" xfId="3" applyNumberFormat="1" applyFont="1" applyAlignment="1">
      <alignment wrapText="1"/>
    </xf>
    <xf numFmtId="171" fontId="34" fillId="8" borderId="0" xfId="3" applyNumberFormat="1" applyFont="1" applyFill="1" applyAlignment="1">
      <alignment vertical="center"/>
    </xf>
    <xf numFmtId="171" fontId="26" fillId="0" borderId="17" xfId="3" applyNumberFormat="1" applyFont="1" applyBorder="1"/>
    <xf numFmtId="171" fontId="26" fillId="0" borderId="17" xfId="3" applyNumberFormat="1" applyFont="1" applyBorder="1" applyAlignment="1">
      <alignment horizontal="center"/>
    </xf>
    <xf numFmtId="171" fontId="27" fillId="0" borderId="17" xfId="3" applyNumberFormat="1" applyFont="1" applyBorder="1" applyAlignment="1">
      <alignment wrapText="1"/>
    </xf>
    <xf numFmtId="171" fontId="27" fillId="0" borderId="10" xfId="3" applyNumberFormat="1" applyFont="1" applyBorder="1" applyAlignment="1">
      <alignment wrapText="1"/>
    </xf>
    <xf numFmtId="171" fontId="27" fillId="0" borderId="3" xfId="3" applyNumberFormat="1" applyFont="1" applyBorder="1" applyAlignment="1">
      <alignment wrapText="1"/>
    </xf>
    <xf numFmtId="171" fontId="26" fillId="0" borderId="18" xfId="3" applyNumberFormat="1" applyFont="1" applyBorder="1"/>
    <xf numFmtId="171" fontId="26" fillId="0" borderId="11" xfId="3" applyNumberFormat="1" applyFont="1" applyBorder="1"/>
    <xf numFmtId="171" fontId="26" fillId="0" borderId="0" xfId="3" applyNumberFormat="1" applyFont="1" applyBorder="1"/>
    <xf numFmtId="171" fontId="26" fillId="0" borderId="10" xfId="3" applyNumberFormat="1" applyFont="1" applyBorder="1"/>
    <xf numFmtId="171" fontId="26" fillId="0" borderId="3" xfId="3" applyNumberFormat="1" applyFont="1" applyBorder="1"/>
    <xf numFmtId="171" fontId="26" fillId="0" borderId="18" xfId="3" applyNumberFormat="1" applyFont="1" applyBorder="1" applyAlignment="1">
      <alignment horizontal="center"/>
    </xf>
    <xf numFmtId="171" fontId="26" fillId="0" borderId="11" xfId="3" applyNumberFormat="1" applyFont="1" applyBorder="1" applyAlignment="1">
      <alignment horizontal="center"/>
    </xf>
    <xf numFmtId="171" fontId="27" fillId="0" borderId="18" xfId="3" applyNumberFormat="1" applyFont="1" applyBorder="1" applyAlignment="1">
      <alignment wrapText="1"/>
    </xf>
    <xf numFmtId="171" fontId="27" fillId="0" borderId="11" xfId="3" applyNumberFormat="1" applyFont="1" applyBorder="1" applyAlignment="1">
      <alignment wrapText="1"/>
    </xf>
    <xf numFmtId="171" fontId="27" fillId="0" borderId="0" xfId="3" applyNumberFormat="1" applyFont="1" applyBorder="1" applyAlignment="1">
      <alignment wrapText="1"/>
    </xf>
    <xf numFmtId="171" fontId="26" fillId="0" borderId="0" xfId="3" applyNumberFormat="1" applyFont="1"/>
    <xf numFmtId="171" fontId="26" fillId="0" borderId="0" xfId="3" applyNumberFormat="1" applyFont="1" applyAlignment="1">
      <alignment horizontal="center"/>
    </xf>
    <xf numFmtId="171" fontId="26" fillId="0" borderId="16" xfId="3" applyNumberFormat="1" applyFont="1" applyBorder="1"/>
    <xf numFmtId="171" fontId="26" fillId="0" borderId="12" xfId="3" applyNumberFormat="1" applyFont="1" applyBorder="1"/>
    <xf numFmtId="171" fontId="26" fillId="0" borderId="2" xfId="3" applyNumberFormat="1" applyFont="1" applyBorder="1"/>
    <xf numFmtId="171" fontId="26" fillId="0" borderId="23" xfId="3" applyNumberFormat="1" applyFont="1" applyBorder="1"/>
    <xf numFmtId="171" fontId="26" fillId="0" borderId="21" xfId="3" applyNumberFormat="1" applyFont="1" applyBorder="1"/>
    <xf numFmtId="171" fontId="26" fillId="0" borderId="22" xfId="3" applyNumberFormat="1" applyFont="1" applyBorder="1"/>
    <xf numFmtId="171" fontId="28" fillId="0" borderId="18" xfId="3" applyNumberFormat="1" applyFont="1" applyBorder="1"/>
    <xf numFmtId="171" fontId="28" fillId="0" borderId="11" xfId="3" applyNumberFormat="1" applyFont="1" applyBorder="1"/>
    <xf numFmtId="171" fontId="28" fillId="0" borderId="0" xfId="3" applyNumberFormat="1" applyFont="1" applyBorder="1"/>
    <xf numFmtId="171" fontId="28" fillId="0" borderId="25" xfId="3" applyNumberFormat="1" applyFont="1" applyBorder="1"/>
    <xf numFmtId="171" fontId="28" fillId="0" borderId="13" xfId="3" applyNumberFormat="1" applyFont="1" applyBorder="1"/>
    <xf numFmtId="171" fontId="28" fillId="0" borderId="4" xfId="3" applyNumberFormat="1" applyFont="1" applyBorder="1"/>
    <xf numFmtId="174" fontId="26" fillId="0" borderId="18" xfId="2" applyNumberFormat="1" applyFont="1" applyBorder="1" applyAlignment="1">
      <alignment horizontal="right"/>
    </xf>
    <xf numFmtId="171" fontId="26" fillId="0" borderId="18" xfId="3" applyNumberFormat="1" applyFont="1" applyBorder="1" applyAlignment="1">
      <alignment horizontal="right"/>
    </xf>
    <xf numFmtId="171" fontId="26" fillId="0" borderId="11" xfId="3" applyNumberFormat="1" applyFont="1" applyBorder="1" applyAlignment="1">
      <alignment horizontal="right"/>
    </xf>
    <xf numFmtId="171" fontId="26" fillId="0" borderId="0" xfId="3" applyNumberFormat="1" applyFont="1" applyBorder="1" applyAlignment="1">
      <alignment horizontal="right"/>
    </xf>
    <xf numFmtId="0" fontId="1" fillId="0" borderId="0" xfId="0" applyFont="1" applyAlignment="1"/>
    <xf numFmtId="0" fontId="39" fillId="0" borderId="0" xfId="0" applyFont="1" applyAlignment="1"/>
    <xf numFmtId="0" fontId="0" fillId="0" borderId="0" xfId="0" applyAlignment="1"/>
    <xf numFmtId="9" fontId="0" fillId="0" borderId="0" xfId="1" applyFont="1" applyAlignment="1">
      <alignment wrapText="1"/>
    </xf>
    <xf numFmtId="175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0" fillId="10" borderId="0" xfId="0" applyFont="1" applyFill="1" applyAlignment="1"/>
    <xf numFmtId="0" fontId="0" fillId="10" borderId="0" xfId="0" applyFill="1" applyAlignment="1">
      <alignment wrapText="1"/>
    </xf>
    <xf numFmtId="0" fontId="0" fillId="6" borderId="0" xfId="0" applyFill="1" applyAlignment="1">
      <alignment wrapText="1"/>
    </xf>
    <xf numFmtId="0" fontId="40" fillId="6" borderId="0" xfId="0" applyFont="1" applyFill="1" applyAlignment="1"/>
    <xf numFmtId="9" fontId="36" fillId="0" borderId="18" xfId="1" applyFont="1" applyFill="1" applyBorder="1" applyAlignment="1">
      <alignment wrapText="1"/>
    </xf>
    <xf numFmtId="9" fontId="36" fillId="0" borderId="0" xfId="1" applyFont="1" applyFill="1" applyBorder="1" applyAlignment="1">
      <alignment wrapText="1"/>
    </xf>
    <xf numFmtId="9" fontId="0" fillId="12" borderId="0" xfId="0" applyNumberFormat="1" applyFill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71" fontId="0" fillId="0" borderId="0" xfId="3" applyNumberFormat="1" applyFont="1" applyAlignment="1">
      <alignment wrapText="1"/>
    </xf>
    <xf numFmtId="171" fontId="0" fillId="0" borderId="0" xfId="3" applyNumberFormat="1" applyFont="1" applyAlignment="1">
      <alignment horizontal="right" wrapText="1"/>
    </xf>
    <xf numFmtId="171" fontId="0" fillId="0" borderId="3" xfId="3" applyNumberFormat="1" applyFont="1" applyBorder="1" applyAlignment="1">
      <alignment wrapText="1"/>
    </xf>
    <xf numFmtId="0" fontId="5" fillId="0" borderId="0" xfId="0" applyFont="1" applyAlignment="1"/>
    <xf numFmtId="0" fontId="7" fillId="0" borderId="0" xfId="0" applyFont="1" applyAlignment="1"/>
    <xf numFmtId="0" fontId="7" fillId="0" borderId="3" xfId="0" applyFont="1" applyBorder="1" applyAlignment="1"/>
    <xf numFmtId="0" fontId="7" fillId="0" borderId="3" xfId="0" applyFont="1" applyBorder="1" applyAlignment="1">
      <alignment wrapText="1"/>
    </xf>
    <xf numFmtId="171" fontId="5" fillId="0" borderId="3" xfId="0" applyNumberFormat="1" applyFont="1" applyBorder="1" applyAlignment="1">
      <alignment wrapText="1"/>
    </xf>
    <xf numFmtId="171" fontId="0" fillId="0" borderId="0" xfId="0" applyNumberFormat="1" applyAlignment="1">
      <alignment wrapText="1"/>
    </xf>
    <xf numFmtId="0" fontId="41" fillId="0" borderId="0" xfId="0" applyFont="1" applyAlignment="1"/>
    <xf numFmtId="14" fontId="5" fillId="0" borderId="0" xfId="0" applyNumberFormat="1" applyFont="1" applyAlignment="1"/>
    <xf numFmtId="0" fontId="21" fillId="5" borderId="7" xfId="0" applyFont="1" applyFill="1" applyBorder="1" applyAlignment="1">
      <alignment horizontal="center" wrapText="1"/>
    </xf>
    <xf numFmtId="0" fontId="22" fillId="5" borderId="3" xfId="0" applyFont="1" applyFill="1" applyBorder="1" applyAlignment="1">
      <alignment horizontal="center" wrapText="1"/>
    </xf>
    <xf numFmtId="0" fontId="22" fillId="5" borderId="10" xfId="0" applyFont="1" applyFill="1" applyBorder="1" applyAlignment="1">
      <alignment horizontal="center" wrapText="1"/>
    </xf>
    <xf numFmtId="0" fontId="21" fillId="5" borderId="9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22" fillId="5" borderId="12" xfId="0" applyFont="1" applyFill="1" applyBorder="1" applyAlignment="1">
      <alignment horizontal="center" wrapText="1"/>
    </xf>
    <xf numFmtId="0" fontId="0" fillId="0" borderId="0" xfId="0"/>
    <xf numFmtId="175" fontId="7" fillId="0" borderId="0" xfId="1" applyNumberFormat="1" applyFont="1" applyFill="1" applyBorder="1" applyAlignment="1"/>
    <xf numFmtId="175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42" fillId="0" borderId="0" xfId="0" applyFont="1" applyBorder="1"/>
    <xf numFmtId="4" fontId="1" fillId="0" borderId="0" xfId="0" applyNumberFormat="1" applyFont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0" fontId="42" fillId="0" borderId="1" xfId="0" applyFont="1" applyBorder="1"/>
    <xf numFmtId="0" fontId="0" fillId="0" borderId="1" xfId="0" applyBorder="1" applyAlignment="1">
      <alignment wrapText="1"/>
    </xf>
    <xf numFmtId="10" fontId="43" fillId="0" borderId="0" xfId="0" applyNumberFormat="1" applyFont="1" applyAlignment="1">
      <alignment wrapText="1"/>
    </xf>
    <xf numFmtId="9" fontId="43" fillId="0" borderId="0" xfId="0" applyNumberFormat="1" applyFont="1" applyAlignment="1">
      <alignment wrapText="1"/>
    </xf>
    <xf numFmtId="0" fontId="43" fillId="0" borderId="0" xfId="0" applyFont="1" applyAlignment="1">
      <alignment wrapText="1"/>
    </xf>
    <xf numFmtId="0" fontId="7" fillId="0" borderId="2" xfId="0" applyFont="1" applyBorder="1" applyAlignment="1"/>
    <xf numFmtId="0" fontId="0" fillId="0" borderId="2" xfId="0" applyBorder="1" applyAlignment="1">
      <alignment wrapText="1"/>
    </xf>
    <xf numFmtId="0" fontId="7" fillId="0" borderId="9" xfId="0" applyFont="1" applyBorder="1" applyAlignment="1"/>
    <xf numFmtId="171" fontId="5" fillId="0" borderId="12" xfId="0" applyNumberFormat="1" applyFont="1" applyBorder="1" applyAlignment="1">
      <alignment wrapText="1"/>
    </xf>
    <xf numFmtId="171" fontId="5" fillId="0" borderId="12" xfId="0" applyNumberFormat="1" applyFont="1" applyBorder="1" applyAlignment="1"/>
    <xf numFmtId="180" fontId="0" fillId="13" borderId="0" xfId="0" applyNumberFormat="1" applyFill="1" applyAlignment="1">
      <alignment wrapText="1"/>
    </xf>
    <xf numFmtId="0" fontId="44" fillId="0" borderId="0" xfId="0" applyFont="1" applyAlignment="1"/>
    <xf numFmtId="0" fontId="40" fillId="0" borderId="0" xfId="0" applyFont="1" applyAlignment="1">
      <alignment wrapText="1"/>
    </xf>
    <xf numFmtId="44" fontId="40" fillId="0" borderId="0" xfId="0" applyNumberFormat="1" applyFont="1" applyAlignment="1">
      <alignment wrapText="1"/>
    </xf>
    <xf numFmtId="0" fontId="40" fillId="0" borderId="0" xfId="0" applyFont="1" applyAlignment="1"/>
    <xf numFmtId="171" fontId="40" fillId="0" borderId="0" xfId="0" applyNumberFormat="1" applyFont="1" applyAlignment="1">
      <alignment wrapText="1"/>
    </xf>
    <xf numFmtId="0" fontId="40" fillId="0" borderId="3" xfId="0" applyFont="1" applyBorder="1" applyAlignment="1"/>
    <xf numFmtId="0" fontId="40" fillId="0" borderId="3" xfId="0" applyFont="1" applyBorder="1" applyAlignment="1">
      <alignment wrapText="1"/>
    </xf>
    <xf numFmtId="171" fontId="40" fillId="0" borderId="3" xfId="0" applyNumberFormat="1" applyFont="1" applyBorder="1" applyAlignment="1">
      <alignment wrapText="1"/>
    </xf>
    <xf numFmtId="175" fontId="5" fillId="0" borderId="2" xfId="1" applyNumberFormat="1" applyFont="1" applyBorder="1" applyAlignment="1">
      <alignment wrapText="1"/>
    </xf>
    <xf numFmtId="0" fontId="5" fillId="13" borderId="2" xfId="0" applyFont="1" applyFill="1" applyBorder="1" applyAlignment="1">
      <alignment wrapText="1"/>
    </xf>
    <xf numFmtId="0" fontId="0" fillId="13" borderId="2" xfId="0" applyFill="1" applyBorder="1" applyAlignment="1">
      <alignment wrapText="1"/>
    </xf>
    <xf numFmtId="9" fontId="5" fillId="13" borderId="2" xfId="1" applyNumberFormat="1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3" fontId="5" fillId="0" borderId="0" xfId="0" applyNumberFormat="1" applyFont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 applyAlignment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indent="7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CC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0"/>
  <sheetViews>
    <sheetView workbookViewId="0">
      <selection activeCell="B16" sqref="B16"/>
    </sheetView>
  </sheetViews>
  <sheetFormatPr defaultColWidth="21.5" defaultRowHeight="12.75" x14ac:dyDescent="0.2"/>
  <cols>
    <col min="1" max="1" width="73.6640625" customWidth="1"/>
    <col min="2" max="3" width="15.83203125" customWidth="1"/>
    <col min="4" max="4" width="18.5" customWidth="1"/>
    <col min="5" max="5" width="12.1640625" customWidth="1"/>
    <col min="6" max="6" width="12.6640625" customWidth="1"/>
  </cols>
  <sheetData>
    <row r="1" spans="1:6" ht="14.25" x14ac:dyDescent="0.2">
      <c r="A1" s="13" t="s">
        <v>94</v>
      </c>
    </row>
    <row r="2" spans="1:6" ht="14.25" x14ac:dyDescent="0.2">
      <c r="A2" s="13" t="s">
        <v>95</v>
      </c>
      <c r="B2" s="2" t="s">
        <v>0</v>
      </c>
      <c r="C2" s="2" t="s">
        <v>0</v>
      </c>
      <c r="D2" s="2" t="s">
        <v>0</v>
      </c>
      <c r="E2" s="3" t="s">
        <v>0</v>
      </c>
      <c r="F2" s="3" t="s">
        <v>0</v>
      </c>
    </row>
    <row r="3" spans="1:6" ht="14.25" x14ac:dyDescent="0.2">
      <c r="A3" s="13"/>
      <c r="B3" s="2"/>
      <c r="C3" s="2"/>
      <c r="D3" s="2"/>
      <c r="E3" s="3"/>
      <c r="F3" s="3"/>
    </row>
    <row r="4" spans="1:6" ht="18.75" customHeight="1" x14ac:dyDescent="0.2">
      <c r="A4" s="14" t="s">
        <v>96</v>
      </c>
      <c r="B4" s="9">
        <v>42551</v>
      </c>
      <c r="C4" s="9">
        <v>42916</v>
      </c>
      <c r="D4" s="5">
        <v>43281</v>
      </c>
      <c r="E4" s="9">
        <v>43646</v>
      </c>
      <c r="F4" s="9">
        <v>44012</v>
      </c>
    </row>
    <row r="5" spans="1:6" x14ac:dyDescent="0.2">
      <c r="A5" s="26" t="s">
        <v>2</v>
      </c>
      <c r="B5" s="95">
        <v>65299</v>
      </c>
      <c r="C5" s="60">
        <v>65058</v>
      </c>
      <c r="D5" s="67">
        <v>66832</v>
      </c>
      <c r="E5" s="60">
        <v>67684</v>
      </c>
      <c r="F5" s="67">
        <v>70950</v>
      </c>
    </row>
    <row r="6" spans="1:6" x14ac:dyDescent="0.2">
      <c r="A6" s="6" t="s">
        <v>3</v>
      </c>
      <c r="B6" s="96">
        <v>32909</v>
      </c>
      <c r="C6" s="97">
        <v>32535</v>
      </c>
      <c r="D6" s="98">
        <v>34268</v>
      </c>
      <c r="E6" s="97">
        <v>34768</v>
      </c>
      <c r="F6" s="98">
        <v>35250</v>
      </c>
    </row>
    <row r="7" spans="1:6" x14ac:dyDescent="0.2">
      <c r="A7" s="17" t="s">
        <v>4</v>
      </c>
      <c r="B7" s="99">
        <v>18949</v>
      </c>
      <c r="C7" s="100">
        <v>18568</v>
      </c>
      <c r="D7" s="101">
        <v>18853</v>
      </c>
      <c r="E7" s="105">
        <v>19084</v>
      </c>
      <c r="F7" s="106">
        <v>19994</v>
      </c>
    </row>
    <row r="8" spans="1:6" x14ac:dyDescent="0.2">
      <c r="A8" s="17" t="s">
        <v>116</v>
      </c>
      <c r="B8" s="99"/>
      <c r="C8" s="100"/>
      <c r="D8" s="101"/>
      <c r="E8" s="105">
        <v>8345</v>
      </c>
      <c r="F8" s="106">
        <v>0</v>
      </c>
    </row>
    <row r="9" spans="1:6" x14ac:dyDescent="0.2">
      <c r="A9" s="29" t="s">
        <v>5</v>
      </c>
      <c r="B9" s="102">
        <v>13441</v>
      </c>
      <c r="C9" s="103">
        <v>13955</v>
      </c>
      <c r="D9" s="104">
        <v>13711</v>
      </c>
      <c r="E9" s="116">
        <v>5487</v>
      </c>
      <c r="F9" s="117">
        <v>15706</v>
      </c>
    </row>
    <row r="10" spans="1:6" x14ac:dyDescent="0.2">
      <c r="A10" s="17" t="s">
        <v>6</v>
      </c>
      <c r="B10" s="99">
        <v>-579</v>
      </c>
      <c r="C10" s="105">
        <v>-465</v>
      </c>
      <c r="D10" s="106">
        <v>-506</v>
      </c>
      <c r="E10" s="60">
        <v>-509</v>
      </c>
      <c r="F10" s="67">
        <v>-465</v>
      </c>
    </row>
    <row r="11" spans="1:6" x14ac:dyDescent="0.2">
      <c r="A11" s="6" t="s">
        <v>7</v>
      </c>
      <c r="B11" s="96">
        <v>182</v>
      </c>
      <c r="C11" s="97">
        <v>171</v>
      </c>
      <c r="D11" s="98">
        <v>247</v>
      </c>
      <c r="E11" s="68">
        <v>220</v>
      </c>
      <c r="F11" s="69">
        <v>155</v>
      </c>
    </row>
    <row r="12" spans="1:6" x14ac:dyDescent="0.2">
      <c r="A12" s="17" t="s">
        <v>110</v>
      </c>
      <c r="B12" s="107">
        <v>325</v>
      </c>
      <c r="C12" s="108">
        <v>-404</v>
      </c>
      <c r="D12" s="109">
        <v>-126</v>
      </c>
      <c r="E12" s="108">
        <v>871</v>
      </c>
      <c r="F12" s="109">
        <v>438</v>
      </c>
    </row>
    <row r="13" spans="1:6" x14ac:dyDescent="0.2">
      <c r="A13" s="29" t="s">
        <v>8</v>
      </c>
      <c r="B13" s="102">
        <v>13369</v>
      </c>
      <c r="C13" s="103">
        <v>13257</v>
      </c>
      <c r="D13" s="104">
        <v>13326</v>
      </c>
      <c r="E13" s="116">
        <v>6069</v>
      </c>
      <c r="F13" s="117">
        <v>15834</v>
      </c>
    </row>
    <row r="14" spans="1:6" x14ac:dyDescent="0.2">
      <c r="A14" s="17" t="s">
        <v>9</v>
      </c>
      <c r="B14" s="107">
        <v>3342</v>
      </c>
      <c r="C14" s="108">
        <v>3063</v>
      </c>
      <c r="D14" s="109">
        <v>3465</v>
      </c>
      <c r="E14" s="108">
        <v>2103</v>
      </c>
      <c r="F14" s="109">
        <v>2731</v>
      </c>
    </row>
    <row r="15" spans="1:6" x14ac:dyDescent="0.2">
      <c r="A15" s="29" t="s">
        <v>10</v>
      </c>
      <c r="B15" s="110">
        <v>10027</v>
      </c>
      <c r="C15" s="103">
        <v>10194</v>
      </c>
      <c r="D15" s="104">
        <v>9861</v>
      </c>
      <c r="E15" s="116"/>
      <c r="F15" s="118"/>
    </row>
    <row r="16" spans="1:6" x14ac:dyDescent="0.2">
      <c r="A16" s="26" t="s">
        <v>11</v>
      </c>
      <c r="B16" s="107">
        <v>577</v>
      </c>
      <c r="C16" s="60">
        <v>5217</v>
      </c>
      <c r="D16" s="111">
        <v>0</v>
      </c>
      <c r="E16" s="119"/>
      <c r="F16" s="120"/>
    </row>
    <row r="17" spans="1:6" x14ac:dyDescent="0.2">
      <c r="A17" s="29" t="s">
        <v>12</v>
      </c>
      <c r="B17" s="110">
        <v>10604</v>
      </c>
      <c r="C17" s="103">
        <v>15411</v>
      </c>
      <c r="D17" s="112">
        <v>9861</v>
      </c>
      <c r="E17" s="116">
        <v>3966</v>
      </c>
      <c r="F17" s="117">
        <v>13103</v>
      </c>
    </row>
    <row r="18" spans="1:6" x14ac:dyDescent="0.2">
      <c r="A18" s="17" t="s">
        <v>13</v>
      </c>
      <c r="B18" s="107">
        <v>96</v>
      </c>
      <c r="C18" s="60">
        <v>85</v>
      </c>
      <c r="D18" s="111">
        <v>111</v>
      </c>
      <c r="E18" s="60">
        <v>69</v>
      </c>
      <c r="F18" s="67">
        <v>76</v>
      </c>
    </row>
    <row r="19" spans="1:6" ht="13.5" thickBot="1" x14ac:dyDescent="0.25">
      <c r="A19" s="29" t="s">
        <v>14</v>
      </c>
      <c r="B19" s="113">
        <v>10508</v>
      </c>
      <c r="C19" s="114">
        <v>15326</v>
      </c>
      <c r="D19" s="115">
        <v>9750</v>
      </c>
      <c r="E19" s="64">
        <v>3897</v>
      </c>
      <c r="F19" s="65">
        <v>13027</v>
      </c>
    </row>
    <row r="20" spans="1:6" ht="13.5" thickTop="1" x14ac:dyDescent="0.2">
      <c r="A20" s="16"/>
      <c r="B20" s="18"/>
      <c r="C20" s="16"/>
      <c r="D20" s="28"/>
      <c r="E20" s="16"/>
      <c r="F20" s="16"/>
    </row>
    <row r="21" spans="1:6" ht="15.75" x14ac:dyDescent="0.2">
      <c r="A21" s="29" t="s">
        <v>104</v>
      </c>
      <c r="B21" s="4"/>
      <c r="C21" s="4"/>
      <c r="D21" s="4"/>
      <c r="E21" s="4"/>
      <c r="F21" s="4"/>
    </row>
    <row r="22" spans="1:6" x14ac:dyDescent="0.2">
      <c r="A22" s="17" t="s">
        <v>15</v>
      </c>
      <c r="B22" s="32">
        <v>3.59</v>
      </c>
      <c r="C22" s="43">
        <v>3.79</v>
      </c>
      <c r="D22" s="19">
        <v>3.75</v>
      </c>
      <c r="E22" s="16"/>
      <c r="F22" s="16"/>
    </row>
    <row r="23" spans="1:6" x14ac:dyDescent="0.2">
      <c r="A23" s="6" t="s">
        <v>16</v>
      </c>
      <c r="B23" s="33">
        <v>0.21</v>
      </c>
      <c r="C23" s="44">
        <v>2.0099999999999998</v>
      </c>
      <c r="D23" s="74">
        <v>0</v>
      </c>
      <c r="E23" s="4"/>
      <c r="F23" s="4"/>
    </row>
    <row r="24" spans="1:6" ht="13.5" thickBot="1" x14ac:dyDescent="0.25">
      <c r="A24" s="26" t="s">
        <v>17</v>
      </c>
      <c r="B24" s="34">
        <v>3.8</v>
      </c>
      <c r="C24" s="45">
        <v>5.8</v>
      </c>
      <c r="D24" s="58">
        <v>3.75</v>
      </c>
      <c r="E24" s="19"/>
      <c r="F24" s="19"/>
    </row>
    <row r="25" spans="1:6" ht="16.5" thickTop="1" x14ac:dyDescent="0.2">
      <c r="A25" s="29" t="s">
        <v>105</v>
      </c>
      <c r="B25" s="7"/>
      <c r="C25" s="7"/>
      <c r="D25" s="7"/>
      <c r="E25" s="4"/>
      <c r="F25" s="4"/>
    </row>
    <row r="26" spans="1:6" x14ac:dyDescent="0.2">
      <c r="A26" s="17" t="s">
        <v>15</v>
      </c>
      <c r="B26" s="32">
        <v>3.49</v>
      </c>
      <c r="C26" s="43">
        <v>3.69</v>
      </c>
      <c r="D26" s="19">
        <v>3.67</v>
      </c>
      <c r="E26" s="16"/>
      <c r="F26" s="16"/>
    </row>
    <row r="27" spans="1:6" x14ac:dyDescent="0.2">
      <c r="A27" s="6" t="s">
        <v>16</v>
      </c>
      <c r="B27" s="35">
        <v>0.2</v>
      </c>
      <c r="C27" s="46">
        <v>1.9</v>
      </c>
      <c r="D27" s="73">
        <v>0</v>
      </c>
      <c r="E27" s="4"/>
      <c r="F27" s="4"/>
    </row>
    <row r="28" spans="1:6" ht="13.5" thickBot="1" x14ac:dyDescent="0.25">
      <c r="A28" s="26" t="s">
        <v>18</v>
      </c>
      <c r="B28" s="34">
        <v>3.69</v>
      </c>
      <c r="C28" s="45">
        <v>5.59</v>
      </c>
      <c r="D28" s="58">
        <v>3.67</v>
      </c>
      <c r="E28" s="19"/>
      <c r="F28" s="19"/>
    </row>
    <row r="29" spans="1:6" ht="14.25" thickTop="1" thickBot="1" x14ac:dyDescent="0.25">
      <c r="A29" s="29" t="s">
        <v>19</v>
      </c>
      <c r="B29" s="8">
        <v>2.6579999999999999</v>
      </c>
      <c r="C29" s="47">
        <v>2.6981000000000002</v>
      </c>
      <c r="D29" s="31">
        <v>2.786</v>
      </c>
      <c r="E29" s="4"/>
      <c r="F29" s="4"/>
    </row>
    <row r="30" spans="1:6" ht="13.5" thickTop="1" x14ac:dyDescent="0.2"/>
  </sheetData>
  <pageMargins left="0.7" right="0.7" top="0.75" bottom="0.75" header="0.3" footer="0.3"/>
  <pageSetup scale="82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58"/>
  <sheetViews>
    <sheetView topLeftCell="A11" workbookViewId="0">
      <selection activeCell="F32" sqref="F32"/>
    </sheetView>
  </sheetViews>
  <sheetFormatPr defaultColWidth="21.5" defaultRowHeight="12.75" x14ac:dyDescent="0.2"/>
  <cols>
    <col min="1" max="1" width="92.83203125" customWidth="1"/>
    <col min="2" max="2" width="18" bestFit="1" customWidth="1"/>
    <col min="3" max="4" width="13.5" customWidth="1"/>
    <col min="5" max="5" width="14.1640625" customWidth="1"/>
    <col min="6" max="6" width="15.5" customWidth="1"/>
  </cols>
  <sheetData>
    <row r="1" spans="1:27" ht="14.25" x14ac:dyDescent="0.2">
      <c r="A1" s="20" t="s">
        <v>94</v>
      </c>
      <c r="B1" s="20"/>
    </row>
    <row r="2" spans="1:27" ht="14.25" x14ac:dyDescent="0.2">
      <c r="A2" s="20" t="s">
        <v>97</v>
      </c>
      <c r="B2" s="20"/>
      <c r="E2" s="1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22" customFormat="1" ht="12.75" customHeight="1" x14ac:dyDescent="0.2"/>
    <row r="4" spans="1:27" x14ac:dyDescent="0.2">
      <c r="A4" s="77" t="s">
        <v>55</v>
      </c>
      <c r="B4" s="78">
        <v>2016</v>
      </c>
      <c r="C4" s="9">
        <v>42916</v>
      </c>
      <c r="D4" s="9">
        <v>43281</v>
      </c>
      <c r="E4" s="9">
        <v>43646</v>
      </c>
      <c r="F4" s="9">
        <v>44012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36" t="s">
        <v>106</v>
      </c>
      <c r="B5" s="152"/>
      <c r="C5" s="119"/>
      <c r="D5" s="119"/>
      <c r="E5" s="119"/>
      <c r="F5" s="1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29" t="s">
        <v>54</v>
      </c>
      <c r="B6" s="153"/>
      <c r="C6" s="118"/>
      <c r="D6" s="118"/>
      <c r="E6" s="118"/>
      <c r="F6" s="11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A7" s="17" t="s">
        <v>53</v>
      </c>
      <c r="B7" s="76">
        <v>7102</v>
      </c>
      <c r="C7" s="105">
        <v>5569</v>
      </c>
      <c r="D7" s="106">
        <v>2569</v>
      </c>
      <c r="E7" s="122">
        <v>4239</v>
      </c>
      <c r="F7" s="123">
        <v>16181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A8" s="6" t="s">
        <v>52</v>
      </c>
      <c r="B8" s="154">
        <v>6246</v>
      </c>
      <c r="C8" s="97">
        <v>9568</v>
      </c>
      <c r="D8" s="98">
        <v>9281</v>
      </c>
      <c r="E8" s="129">
        <v>6048</v>
      </c>
      <c r="F8" s="130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17" t="s">
        <v>51</v>
      </c>
      <c r="B9" s="76">
        <v>4373</v>
      </c>
      <c r="C9" s="105">
        <v>4594</v>
      </c>
      <c r="D9" s="106">
        <v>4686</v>
      </c>
      <c r="E9" s="122">
        <v>4951</v>
      </c>
      <c r="F9" s="123">
        <v>4178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30" t="s">
        <v>103</v>
      </c>
      <c r="B10" s="155"/>
      <c r="C10" s="118"/>
      <c r="D10" s="97"/>
      <c r="E10" s="118"/>
      <c r="F10" s="12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">
      <c r="A11" s="21" t="s">
        <v>50</v>
      </c>
      <c r="B11" s="156">
        <v>1188</v>
      </c>
      <c r="C11" s="105">
        <v>1308</v>
      </c>
      <c r="D11" s="106">
        <v>1335</v>
      </c>
      <c r="E11" s="122">
        <v>1289</v>
      </c>
      <c r="F11" s="123">
        <v>1414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11" t="s">
        <v>49</v>
      </c>
      <c r="B12" s="157">
        <v>563</v>
      </c>
      <c r="C12" s="97">
        <v>529</v>
      </c>
      <c r="D12" s="98">
        <v>588</v>
      </c>
      <c r="E12" s="129">
        <v>612</v>
      </c>
      <c r="F12" s="130">
        <v>674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79" t="s">
        <v>48</v>
      </c>
      <c r="B13" s="156">
        <v>2965</v>
      </c>
      <c r="C13" s="108">
        <v>2787</v>
      </c>
      <c r="D13" s="109">
        <v>2815</v>
      </c>
      <c r="E13" s="131">
        <v>3116</v>
      </c>
      <c r="F13" s="132">
        <v>3410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 s="6" t="s">
        <v>47</v>
      </c>
      <c r="B14" s="158">
        <f>SUM(B11:B13)</f>
        <v>4716</v>
      </c>
      <c r="C14" s="97">
        <v>4624</v>
      </c>
      <c r="D14" s="98">
        <v>4738</v>
      </c>
      <c r="E14" s="129">
        <v>5017</v>
      </c>
      <c r="F14" s="130">
        <f>SUM(F11:F13)</f>
        <v>5498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">
      <c r="A15" s="6" t="s">
        <v>119</v>
      </c>
      <c r="B15" s="159">
        <v>1507</v>
      </c>
      <c r="C15" s="97">
        <v>0</v>
      </c>
      <c r="D15" s="97">
        <v>0</v>
      </c>
      <c r="E15" s="97">
        <v>0</v>
      </c>
      <c r="F15" s="97"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6" t="s">
        <v>117</v>
      </c>
      <c r="B16" s="159">
        <v>7185</v>
      </c>
      <c r="C16" s="97"/>
      <c r="D16" s="98"/>
      <c r="E16" s="129"/>
      <c r="F16" s="13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s="75" t="s">
        <v>45</v>
      </c>
      <c r="B17" s="160">
        <v>2653</v>
      </c>
      <c r="C17" s="105">
        <v>2139</v>
      </c>
      <c r="D17" s="106">
        <v>2046</v>
      </c>
      <c r="E17" s="122">
        <v>2218</v>
      </c>
      <c r="F17" s="132">
        <v>2130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s="80" t="s">
        <v>44</v>
      </c>
      <c r="B18" s="161">
        <f>SUM(B7:B9,B14:B17)</f>
        <v>33782</v>
      </c>
      <c r="C18" s="134">
        <v>26494</v>
      </c>
      <c r="D18" s="135">
        <v>23320</v>
      </c>
      <c r="E18" s="136">
        <v>22473</v>
      </c>
      <c r="F18" s="142">
        <f>+F17+F14+F9+F8+F7</f>
        <v>27987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s="26" t="s">
        <v>43</v>
      </c>
      <c r="B19" s="143">
        <v>19385</v>
      </c>
      <c r="C19" s="105">
        <v>19893</v>
      </c>
      <c r="D19" s="106">
        <v>20600</v>
      </c>
      <c r="E19" s="122">
        <v>21271</v>
      </c>
      <c r="F19" s="123">
        <v>20692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s="37" t="s">
        <v>42</v>
      </c>
      <c r="B20" s="162">
        <v>44350</v>
      </c>
      <c r="C20" s="127">
        <v>44699</v>
      </c>
      <c r="D20" s="128">
        <v>45175</v>
      </c>
      <c r="E20" s="129">
        <v>40273</v>
      </c>
      <c r="F20" s="130">
        <v>39901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s="26" t="s">
        <v>41</v>
      </c>
      <c r="B21" s="143">
        <v>24527</v>
      </c>
      <c r="C21" s="105">
        <v>24187</v>
      </c>
      <c r="D21" s="106">
        <v>23902</v>
      </c>
      <c r="E21" s="122">
        <v>24215</v>
      </c>
      <c r="F21" s="123">
        <v>23792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s="81" t="s">
        <v>40</v>
      </c>
      <c r="B22" s="161"/>
      <c r="C22" s="139">
        <v>5133</v>
      </c>
      <c r="D22" s="140">
        <v>5313</v>
      </c>
      <c r="E22" s="141">
        <v>6863</v>
      </c>
      <c r="F22" s="142">
        <v>8328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5" thickBot="1" x14ac:dyDescent="0.25">
      <c r="A23" s="82" t="s">
        <v>39</v>
      </c>
      <c r="B23" s="163">
        <f>SUM(B18:B22)</f>
        <v>122044</v>
      </c>
      <c r="C23" s="63">
        <v>120406</v>
      </c>
      <c r="D23" s="164">
        <v>118310</v>
      </c>
      <c r="E23" s="165">
        <v>115095</v>
      </c>
      <c r="F23" s="166">
        <f>+SUM(F18:F22)</f>
        <v>120700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5" thickTop="1" x14ac:dyDescent="0.2">
      <c r="A24" s="25"/>
      <c r="B24" s="25"/>
      <c r="C24" s="25"/>
      <c r="D24" s="25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s="36" t="s">
        <v>107</v>
      </c>
      <c r="B25" s="36"/>
      <c r="C25" s="16"/>
      <c r="D25" s="16"/>
      <c r="E25" s="15" t="s">
        <v>1</v>
      </c>
      <c r="F25" s="1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s="37" t="s">
        <v>38</v>
      </c>
      <c r="B26" s="37"/>
      <c r="C26" s="25"/>
      <c r="D26" s="25"/>
      <c r="E26" s="24" t="s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s="17" t="s">
        <v>37</v>
      </c>
      <c r="B27" s="121">
        <v>9325</v>
      </c>
      <c r="C27" s="105">
        <v>9632</v>
      </c>
      <c r="D27" s="106">
        <v>10344</v>
      </c>
      <c r="E27" s="122">
        <v>11260</v>
      </c>
      <c r="F27" s="123">
        <v>12071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s="62" t="s">
        <v>118</v>
      </c>
      <c r="B28" s="124">
        <v>2343</v>
      </c>
      <c r="C28" s="68"/>
      <c r="D28" s="69"/>
      <c r="E28" s="125"/>
      <c r="F28" s="12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s="48" t="s">
        <v>36</v>
      </c>
      <c r="B29" s="124">
        <v>7449</v>
      </c>
      <c r="C29" s="127">
        <v>7024</v>
      </c>
      <c r="D29" s="128">
        <v>7470</v>
      </c>
      <c r="E29" s="129">
        <v>9054</v>
      </c>
      <c r="F29" s="130">
        <v>9722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s="17" t="s">
        <v>35</v>
      </c>
      <c r="B30" s="121">
        <v>11653</v>
      </c>
      <c r="C30" s="108">
        <v>13554</v>
      </c>
      <c r="D30" s="109">
        <v>10423</v>
      </c>
      <c r="E30" s="131">
        <v>9697</v>
      </c>
      <c r="F30" s="132">
        <v>11183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s="80" t="s">
        <v>34</v>
      </c>
      <c r="B31" s="133">
        <f>SUM(B27:B30)</f>
        <v>30770</v>
      </c>
      <c r="C31" s="134">
        <v>30210</v>
      </c>
      <c r="D31" s="135">
        <v>28237</v>
      </c>
      <c r="E31" s="136">
        <v>30011</v>
      </c>
      <c r="F31" s="137">
        <f>+SUM(F27:F30)</f>
        <v>32976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s="26" t="s">
        <v>33</v>
      </c>
      <c r="B32" s="121">
        <v>18945</v>
      </c>
      <c r="C32" s="105">
        <v>18038</v>
      </c>
      <c r="D32" s="106">
        <v>20863</v>
      </c>
      <c r="E32" s="122">
        <v>20395</v>
      </c>
      <c r="F32" s="123">
        <v>23537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s="37" t="s">
        <v>32</v>
      </c>
      <c r="B33" s="124">
        <v>9113</v>
      </c>
      <c r="C33" s="127">
        <v>8126</v>
      </c>
      <c r="D33" s="128">
        <v>6163</v>
      </c>
      <c r="E33" s="129">
        <v>6899</v>
      </c>
      <c r="F33" s="130">
        <v>6199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26" t="s">
        <v>31</v>
      </c>
      <c r="B34" s="121">
        <v>10325</v>
      </c>
      <c r="C34" s="108">
        <v>8254</v>
      </c>
      <c r="D34" s="109">
        <v>10164</v>
      </c>
      <c r="E34" s="131">
        <v>10211</v>
      </c>
      <c r="F34" s="132">
        <v>11110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80" t="s">
        <v>30</v>
      </c>
      <c r="B35" s="138">
        <f>SUM(B31,B32:B34)</f>
        <v>69153</v>
      </c>
      <c r="C35" s="139">
        <v>64628</v>
      </c>
      <c r="D35" s="140">
        <v>65427</v>
      </c>
      <c r="E35" s="141">
        <v>67516</v>
      </c>
      <c r="F35" s="142">
        <f>+SUM(F31:F34)</f>
        <v>73822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s="26" t="s">
        <v>29</v>
      </c>
      <c r="B36" s="143"/>
      <c r="C36" s="119"/>
      <c r="D36" s="119"/>
      <c r="E36" s="119"/>
      <c r="F36" s="1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s="48" t="s">
        <v>28</v>
      </c>
      <c r="B37" s="124">
        <v>1038</v>
      </c>
      <c r="C37" s="127">
        <v>1006</v>
      </c>
      <c r="D37" s="128">
        <v>967</v>
      </c>
      <c r="E37" s="129">
        <v>928</v>
      </c>
      <c r="F37" s="130">
        <v>897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s="17" t="s">
        <v>27</v>
      </c>
      <c r="B38" s="76"/>
      <c r="C38" s="105">
        <v>0</v>
      </c>
      <c r="D38" s="106">
        <v>0</v>
      </c>
      <c r="E38" s="122">
        <v>0</v>
      </c>
      <c r="F38" s="123"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5.5" customHeight="1" x14ac:dyDescent="0.2">
      <c r="A39" s="48" t="s">
        <v>111</v>
      </c>
      <c r="B39" s="124">
        <v>4009</v>
      </c>
      <c r="C39" s="127">
        <v>4009</v>
      </c>
      <c r="D39" s="128">
        <v>4009</v>
      </c>
      <c r="E39" s="129">
        <v>4009</v>
      </c>
      <c r="F39" s="130">
        <v>4009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17" t="s">
        <v>26</v>
      </c>
      <c r="B40" s="121">
        <v>63714</v>
      </c>
      <c r="C40" s="105">
        <v>63641</v>
      </c>
      <c r="D40" s="106">
        <v>63846</v>
      </c>
      <c r="E40" s="122">
        <v>63827</v>
      </c>
      <c r="F40" s="123">
        <v>64194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48" t="s">
        <v>25</v>
      </c>
      <c r="B41" s="124">
        <v>-1290</v>
      </c>
      <c r="C41" s="127">
        <v>-1249</v>
      </c>
      <c r="D41" s="128">
        <v>-1204</v>
      </c>
      <c r="E41" s="129">
        <v>-1146</v>
      </c>
      <c r="F41" s="130">
        <v>-1080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s="17" t="s">
        <v>24</v>
      </c>
      <c r="B42" s="121">
        <v>-15907</v>
      </c>
      <c r="C42" s="105">
        <v>-14632</v>
      </c>
      <c r="D42" s="106">
        <v>-14749</v>
      </c>
      <c r="E42" s="122">
        <v>-14936</v>
      </c>
      <c r="F42" s="123">
        <v>-16165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s="48" t="s">
        <v>112</v>
      </c>
      <c r="B43" s="124">
        <v>-82176</v>
      </c>
      <c r="C43" s="127">
        <v>-93715</v>
      </c>
      <c r="D43" s="128">
        <v>-99217</v>
      </c>
      <c r="E43" s="129">
        <v>-100406</v>
      </c>
      <c r="F43" s="130">
        <v>-105573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s="17" t="s">
        <v>23</v>
      </c>
      <c r="B44" s="121">
        <v>87953</v>
      </c>
      <c r="C44" s="105">
        <v>96124</v>
      </c>
      <c r="D44" s="106">
        <v>98641</v>
      </c>
      <c r="E44" s="122">
        <v>94918</v>
      </c>
      <c r="F44" s="123">
        <v>100239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48" t="s">
        <v>22</v>
      </c>
      <c r="B45" s="124">
        <v>642</v>
      </c>
      <c r="C45" s="139">
        <v>594</v>
      </c>
      <c r="D45" s="140">
        <v>590</v>
      </c>
      <c r="E45" s="141">
        <v>385</v>
      </c>
      <c r="F45" s="142">
        <v>357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83" t="s">
        <v>21</v>
      </c>
      <c r="B46" s="144">
        <v>57983</v>
      </c>
      <c r="C46" s="145">
        <v>55778</v>
      </c>
      <c r="D46" s="109">
        <v>52883</v>
      </c>
      <c r="E46" s="146">
        <v>47579</v>
      </c>
      <c r="F46" s="132">
        <f>+SUM(F37:F45)</f>
        <v>46878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5" thickBot="1" x14ac:dyDescent="0.25">
      <c r="A47" s="84" t="s">
        <v>20</v>
      </c>
      <c r="B47" s="147">
        <v>127136</v>
      </c>
      <c r="C47" s="148">
        <v>120406</v>
      </c>
      <c r="D47" s="149">
        <v>118310</v>
      </c>
      <c r="E47" s="150">
        <v>115095</v>
      </c>
      <c r="F47" s="151">
        <f>+F46+F35</f>
        <v>120700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5" thickTop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</sheetData>
  <pageMargins left="0.7" right="0.7" top="0.75" bottom="0.75" header="0.3" footer="0.3"/>
  <pageSetup scale="84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59"/>
  <sheetViews>
    <sheetView topLeftCell="A16" workbookViewId="0">
      <selection activeCell="F13" sqref="F13"/>
    </sheetView>
  </sheetViews>
  <sheetFormatPr defaultColWidth="21.5" defaultRowHeight="12.75" x14ac:dyDescent="0.2"/>
  <cols>
    <col min="1" max="1" width="84.5" customWidth="1"/>
    <col min="2" max="4" width="14.33203125" customWidth="1"/>
    <col min="5" max="5" width="15.6640625" bestFit="1" customWidth="1"/>
    <col min="6" max="6" width="14.33203125" bestFit="1" customWidth="1"/>
  </cols>
  <sheetData>
    <row r="1" spans="1:23" ht="14.25" x14ac:dyDescent="0.2">
      <c r="A1" s="20" t="s">
        <v>94</v>
      </c>
    </row>
    <row r="2" spans="1:23" ht="14.25" x14ac:dyDescent="0.2">
      <c r="A2" s="20" t="s">
        <v>98</v>
      </c>
      <c r="B2" s="2" t="s">
        <v>0</v>
      </c>
      <c r="C2" s="2" t="s">
        <v>0</v>
      </c>
      <c r="D2" s="2" t="s">
        <v>0</v>
      </c>
      <c r="E2" s="3" t="s">
        <v>0</v>
      </c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B3" s="40"/>
      <c r="C3" s="40"/>
      <c r="D3" s="39"/>
      <c r="E3" s="40"/>
      <c r="F3" s="4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">
      <c r="A4" s="14" t="s">
        <v>99</v>
      </c>
      <c r="B4" s="9">
        <v>42551</v>
      </c>
      <c r="C4" s="9">
        <v>42916</v>
      </c>
      <c r="D4" s="9">
        <v>43281</v>
      </c>
      <c r="E4" s="9">
        <v>43646</v>
      </c>
      <c r="F4" s="9">
        <v>44012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A5" s="26" t="s">
        <v>93</v>
      </c>
      <c r="B5" s="60">
        <v>6836</v>
      </c>
      <c r="C5" s="60">
        <v>7102</v>
      </c>
      <c r="D5" s="111">
        <v>5569</v>
      </c>
      <c r="E5" s="60">
        <v>2569</v>
      </c>
      <c r="F5" s="67">
        <v>4239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29" t="s">
        <v>92</v>
      </c>
      <c r="B6" s="97"/>
      <c r="C6" s="97"/>
      <c r="D6" s="167"/>
      <c r="E6" s="129"/>
      <c r="F6" s="13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17" t="s">
        <v>56</v>
      </c>
      <c r="B7" s="105">
        <v>10604</v>
      </c>
      <c r="C7" s="105">
        <v>15411</v>
      </c>
      <c r="D7" s="168">
        <v>9861</v>
      </c>
      <c r="E7" s="105">
        <v>3966</v>
      </c>
      <c r="F7" s="106">
        <v>13103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 t="s">
        <v>91</v>
      </c>
      <c r="B8" s="97">
        <v>3078</v>
      </c>
      <c r="C8" s="97">
        <v>2820</v>
      </c>
      <c r="D8" s="167">
        <v>2834</v>
      </c>
      <c r="E8" s="127">
        <v>2824</v>
      </c>
      <c r="F8" s="128">
        <v>3013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">
      <c r="A9" s="17" t="s">
        <v>90</v>
      </c>
      <c r="B9" s="169">
        <v>0</v>
      </c>
      <c r="C9" s="105">
        <v>543</v>
      </c>
      <c r="D9" s="168">
        <v>346</v>
      </c>
      <c r="E9" s="105">
        <v>0</v>
      </c>
      <c r="F9" s="106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6" t="s">
        <v>89</v>
      </c>
      <c r="B10" s="97">
        <v>335</v>
      </c>
      <c r="C10" s="97">
        <v>351</v>
      </c>
      <c r="D10" s="167">
        <v>395</v>
      </c>
      <c r="E10" s="127">
        <v>515</v>
      </c>
      <c r="F10" s="128">
        <v>558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">
      <c r="A11" s="17" t="s">
        <v>46</v>
      </c>
      <c r="B11" s="105">
        <v>-815</v>
      </c>
      <c r="C11" s="105">
        <v>-601</v>
      </c>
      <c r="D11" s="168">
        <v>-1844</v>
      </c>
      <c r="E11" s="105">
        <v>-411</v>
      </c>
      <c r="F11" s="106">
        <v>-596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s="49" customFormat="1" x14ac:dyDescent="0.2">
      <c r="A12" s="48" t="s">
        <v>88</v>
      </c>
      <c r="B12" s="127">
        <v>-41</v>
      </c>
      <c r="C12" s="127">
        <v>-5490</v>
      </c>
      <c r="D12" s="170">
        <v>-176</v>
      </c>
      <c r="E12" s="127">
        <v>-678</v>
      </c>
      <c r="F12" s="128">
        <v>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2">
      <c r="A13" s="17" t="s">
        <v>115</v>
      </c>
      <c r="B13" s="105">
        <v>450</v>
      </c>
      <c r="C13" s="169">
        <v>0</v>
      </c>
      <c r="D13" s="169">
        <v>0</v>
      </c>
      <c r="E13" s="169">
        <v>8345</v>
      </c>
      <c r="F13" s="171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s="49" customFormat="1" x14ac:dyDescent="0.2">
      <c r="A14" s="48" t="s">
        <v>87</v>
      </c>
      <c r="B14" s="127">
        <v>35</v>
      </c>
      <c r="C14" s="127">
        <v>-322</v>
      </c>
      <c r="D14" s="170">
        <v>-177</v>
      </c>
      <c r="E14" s="127">
        <v>-276</v>
      </c>
      <c r="F14" s="128">
        <v>634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2">
      <c r="A15" s="17" t="s">
        <v>86</v>
      </c>
      <c r="B15" s="105">
        <v>116</v>
      </c>
      <c r="C15" s="105">
        <v>71</v>
      </c>
      <c r="D15" s="168">
        <v>-188</v>
      </c>
      <c r="E15" s="105">
        <v>-239</v>
      </c>
      <c r="F15" s="106">
        <v>-637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s="49" customFormat="1" x14ac:dyDescent="0.2">
      <c r="A16" s="48" t="s">
        <v>85</v>
      </c>
      <c r="B16" s="127">
        <v>1285</v>
      </c>
      <c r="C16" s="127">
        <v>-149</v>
      </c>
      <c r="D16" s="170">
        <v>1385</v>
      </c>
      <c r="E16" s="127">
        <v>1856</v>
      </c>
      <c r="F16" s="128">
        <v>1923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x14ac:dyDescent="0.2">
      <c r="A17" s="17" t="s">
        <v>84</v>
      </c>
      <c r="B17" s="105">
        <v>204</v>
      </c>
      <c r="C17" s="105">
        <v>-43</v>
      </c>
      <c r="D17" s="168">
        <v>2000</v>
      </c>
      <c r="E17" s="105">
        <v>-973</v>
      </c>
      <c r="F17" s="106">
        <v>-710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s="49" customFormat="1" x14ac:dyDescent="0.2">
      <c r="A18" s="48" t="s">
        <v>83</v>
      </c>
      <c r="B18" s="127">
        <v>184</v>
      </c>
      <c r="C18" s="127">
        <v>162</v>
      </c>
      <c r="D18" s="170">
        <v>431</v>
      </c>
      <c r="E18" s="127">
        <v>313</v>
      </c>
      <c r="F18" s="128">
        <v>108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x14ac:dyDescent="0.2">
      <c r="A19" s="52" t="s">
        <v>82</v>
      </c>
      <c r="B19" s="145">
        <v>15435</v>
      </c>
      <c r="C19" s="145">
        <v>12753</v>
      </c>
      <c r="D19" s="172">
        <v>14867</v>
      </c>
      <c r="E19" s="145">
        <v>15242</v>
      </c>
      <c r="F19" s="173">
        <f>SUM(F7:F18)</f>
        <v>17403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s="49" customFormat="1" x14ac:dyDescent="0.2">
      <c r="A20" s="37" t="s">
        <v>81</v>
      </c>
      <c r="B20" s="127"/>
      <c r="C20" s="127"/>
      <c r="D20" s="170"/>
      <c r="E20" s="174" t="s">
        <v>1</v>
      </c>
      <c r="F20" s="174" t="s">
        <v>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2">
      <c r="A21" s="17" t="s">
        <v>80</v>
      </c>
      <c r="B21" s="105">
        <v>-3314</v>
      </c>
      <c r="C21" s="105">
        <v>-3384</v>
      </c>
      <c r="D21" s="106">
        <v>-3717</v>
      </c>
      <c r="E21" s="105">
        <v>-3347</v>
      </c>
      <c r="F21" s="106">
        <v>-3073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s="49" customFormat="1" x14ac:dyDescent="0.2">
      <c r="A22" s="48" t="s">
        <v>79</v>
      </c>
      <c r="B22" s="127">
        <v>432</v>
      </c>
      <c r="C22" s="127">
        <v>571</v>
      </c>
      <c r="D22" s="175">
        <v>269</v>
      </c>
      <c r="E22" s="127">
        <v>394</v>
      </c>
      <c r="F22" s="175">
        <v>30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x14ac:dyDescent="0.2">
      <c r="A23" s="17" t="s">
        <v>78</v>
      </c>
      <c r="B23" s="105">
        <v>-186</v>
      </c>
      <c r="C23" s="105">
        <v>-16</v>
      </c>
      <c r="D23" s="106">
        <v>-109</v>
      </c>
      <c r="E23" s="105">
        <v>-3945</v>
      </c>
      <c r="F23" s="106">
        <v>-58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s="49" customFormat="1" x14ac:dyDescent="0.2">
      <c r="A24" s="48" t="s">
        <v>77</v>
      </c>
      <c r="B24" s="127">
        <v>-2815</v>
      </c>
      <c r="C24" s="127">
        <v>-4843</v>
      </c>
      <c r="D24" s="175">
        <v>-3909</v>
      </c>
      <c r="E24" s="127">
        <v>-158</v>
      </c>
      <c r="F24" s="175"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x14ac:dyDescent="0.2">
      <c r="A25" s="17" t="s">
        <v>76</v>
      </c>
      <c r="B25" s="105">
        <v>1354</v>
      </c>
      <c r="C25" s="105">
        <v>1488</v>
      </c>
      <c r="D25" s="106">
        <v>3928</v>
      </c>
      <c r="E25" s="105">
        <v>3628</v>
      </c>
      <c r="F25" s="106">
        <v>6151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s="49" customFormat="1" x14ac:dyDescent="0.2">
      <c r="A26" s="48" t="s">
        <v>75</v>
      </c>
      <c r="B26" s="127">
        <v>-996</v>
      </c>
      <c r="C26" s="127">
        <v>-874</v>
      </c>
      <c r="D26" s="176">
        <v>0</v>
      </c>
      <c r="E26" s="176">
        <v>0</v>
      </c>
      <c r="F26" s="176">
        <v>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x14ac:dyDescent="0.2">
      <c r="A27" s="17" t="s">
        <v>74</v>
      </c>
      <c r="B27" s="169">
        <v>0</v>
      </c>
      <c r="C27" s="105">
        <v>-475</v>
      </c>
      <c r="D27" s="171">
        <v>0</v>
      </c>
      <c r="E27" s="171">
        <v>0</v>
      </c>
      <c r="F27" s="171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s="49" customFormat="1" x14ac:dyDescent="0.2">
      <c r="A28" s="48" t="s">
        <v>73</v>
      </c>
      <c r="B28" s="177">
        <v>0</v>
      </c>
      <c r="C28" s="127">
        <v>1870</v>
      </c>
      <c r="D28" s="176">
        <v>0</v>
      </c>
      <c r="E28" s="176">
        <v>0</v>
      </c>
      <c r="F28" s="176">
        <v>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x14ac:dyDescent="0.2">
      <c r="A29" s="17" t="s">
        <v>72</v>
      </c>
      <c r="B29" s="105">
        <v>-143</v>
      </c>
      <c r="C29" s="169">
        <v>0</v>
      </c>
      <c r="D29" s="171">
        <v>0</v>
      </c>
      <c r="E29" s="169">
        <v>0</v>
      </c>
      <c r="F29" s="171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s="49" customFormat="1" x14ac:dyDescent="0.2">
      <c r="A30" s="48" t="s">
        <v>71</v>
      </c>
      <c r="B30" s="127">
        <v>93</v>
      </c>
      <c r="C30" s="127">
        <v>-26</v>
      </c>
      <c r="D30" s="175">
        <v>27</v>
      </c>
      <c r="E30" s="127">
        <v>-62</v>
      </c>
      <c r="F30" s="175">
        <v>-5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x14ac:dyDescent="0.2">
      <c r="A31" s="52" t="s">
        <v>70</v>
      </c>
      <c r="B31" s="145">
        <v>-5575</v>
      </c>
      <c r="C31" s="145">
        <v>-5689</v>
      </c>
      <c r="D31" s="173">
        <v>-3511</v>
      </c>
      <c r="E31" s="145">
        <v>-3490</v>
      </c>
      <c r="F31" s="173">
        <v>3045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s="49" customFormat="1" x14ac:dyDescent="0.2">
      <c r="A32" s="37" t="s">
        <v>69</v>
      </c>
      <c r="B32" s="127"/>
      <c r="C32" s="127"/>
      <c r="D32" s="170"/>
      <c r="E32" s="174" t="s">
        <v>1</v>
      </c>
      <c r="F32" s="174" t="s">
        <v>1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x14ac:dyDescent="0.2">
      <c r="A33" s="17" t="s">
        <v>68</v>
      </c>
      <c r="B33" s="105">
        <v>-7436</v>
      </c>
      <c r="C33" s="105">
        <v>-7236</v>
      </c>
      <c r="D33" s="106">
        <v>-7310</v>
      </c>
      <c r="E33" s="105">
        <v>-7498</v>
      </c>
      <c r="F33" s="106">
        <v>-7789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s="49" customFormat="1" x14ac:dyDescent="0.2">
      <c r="A34" s="48" t="s">
        <v>67</v>
      </c>
      <c r="B34" s="127">
        <v>-418</v>
      </c>
      <c r="C34" s="127">
        <v>2727</v>
      </c>
      <c r="D34" s="170">
        <v>-3437</v>
      </c>
      <c r="E34" s="127">
        <v>-2215</v>
      </c>
      <c r="F34" s="128">
        <v>2345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x14ac:dyDescent="0.2">
      <c r="A35" s="17" t="s">
        <v>66</v>
      </c>
      <c r="B35" s="105">
        <v>3916</v>
      </c>
      <c r="C35" s="105">
        <v>3603</v>
      </c>
      <c r="D35" s="106">
        <v>5072</v>
      </c>
      <c r="E35" s="105">
        <v>2367</v>
      </c>
      <c r="F35" s="106">
        <v>4951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s="49" customFormat="1" ht="15.75" x14ac:dyDescent="0.2">
      <c r="A36" s="48" t="s">
        <v>113</v>
      </c>
      <c r="B36" s="127">
        <v>-2213</v>
      </c>
      <c r="C36" s="127">
        <v>-4931</v>
      </c>
      <c r="D36" s="170">
        <v>-2873</v>
      </c>
      <c r="E36" s="127">
        <v>-969</v>
      </c>
      <c r="F36" s="128">
        <v>-2447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x14ac:dyDescent="0.2">
      <c r="A37" s="17" t="s">
        <v>65</v>
      </c>
      <c r="B37" s="105">
        <v>-4004</v>
      </c>
      <c r="C37" s="105">
        <v>-5204</v>
      </c>
      <c r="D37" s="106">
        <v>-7004</v>
      </c>
      <c r="E37" s="105">
        <v>-5003</v>
      </c>
      <c r="F37" s="106">
        <v>-7405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s="49" customFormat="1" x14ac:dyDescent="0.2">
      <c r="A38" s="50" t="s">
        <v>102</v>
      </c>
      <c r="B38" s="127">
        <v>-1730</v>
      </c>
      <c r="C38" s="177">
        <v>0</v>
      </c>
      <c r="D38" s="178">
        <v>0</v>
      </c>
      <c r="E38" s="177">
        <v>0</v>
      </c>
      <c r="F38" s="178">
        <v>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x14ac:dyDescent="0.2">
      <c r="A39" s="17" t="s">
        <v>64</v>
      </c>
      <c r="B39" s="105">
        <v>2672</v>
      </c>
      <c r="C39" s="105">
        <v>2473</v>
      </c>
      <c r="D39" s="106">
        <v>1177</v>
      </c>
      <c r="E39" s="105">
        <v>3324</v>
      </c>
      <c r="F39" s="179">
        <v>1978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s="49" customFormat="1" x14ac:dyDescent="0.2">
      <c r="A40" s="37" t="s">
        <v>63</v>
      </c>
      <c r="B40" s="180">
        <v>-9213</v>
      </c>
      <c r="C40" s="180">
        <v>-8568</v>
      </c>
      <c r="D40" s="181">
        <v>-14375</v>
      </c>
      <c r="E40" s="182">
        <v>-9994</v>
      </c>
      <c r="F40" s="183">
        <v>-8367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x14ac:dyDescent="0.2">
      <c r="A41" s="52" t="s">
        <v>62</v>
      </c>
      <c r="B41" s="145">
        <v>-381</v>
      </c>
      <c r="C41" s="145">
        <v>-29</v>
      </c>
      <c r="D41" s="173">
        <v>19</v>
      </c>
      <c r="E41" s="145">
        <v>-88</v>
      </c>
      <c r="F41" s="184">
        <v>-139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s="49" customFormat="1" x14ac:dyDescent="0.2">
      <c r="A42" s="37" t="s">
        <v>61</v>
      </c>
      <c r="B42" s="127">
        <v>266</v>
      </c>
      <c r="C42" s="127">
        <v>-1533</v>
      </c>
      <c r="D42" s="170">
        <v>-3000</v>
      </c>
      <c r="E42" s="68">
        <v>1670</v>
      </c>
      <c r="F42" s="174">
        <v>11942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3.5" thickBot="1" x14ac:dyDescent="0.25">
      <c r="A43" s="52" t="s">
        <v>60</v>
      </c>
      <c r="B43" s="63">
        <v>7102</v>
      </c>
      <c r="C43" s="63">
        <v>5569</v>
      </c>
      <c r="D43" s="164">
        <v>2569</v>
      </c>
      <c r="E43" s="63">
        <v>4239</v>
      </c>
      <c r="F43" s="185">
        <v>16181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s="49" customFormat="1" ht="13.5" thickTop="1" x14ac:dyDescent="0.2">
      <c r="A44" s="53"/>
      <c r="B44" s="55"/>
      <c r="C44" s="55"/>
      <c r="D44" s="5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s="49" customFormat="1" x14ac:dyDescent="0.2">
      <c r="A45" s="26" t="s">
        <v>59</v>
      </c>
      <c r="B45" s="16"/>
      <c r="C45" s="16"/>
      <c r="D45" s="56"/>
      <c r="E45" s="15" t="s">
        <v>1</v>
      </c>
      <c r="F45" s="15" t="s">
        <v>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s="49" customFormat="1" x14ac:dyDescent="0.2">
      <c r="A46" s="42" t="s">
        <v>108</v>
      </c>
      <c r="B46" s="38">
        <v>569000000</v>
      </c>
      <c r="C46" s="38">
        <v>518</v>
      </c>
      <c r="D46" s="57">
        <v>529</v>
      </c>
      <c r="E46" s="68">
        <v>497</v>
      </c>
      <c r="F46" s="69">
        <v>434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s="49" customFormat="1" x14ac:dyDescent="0.2">
      <c r="A47" s="41" t="s">
        <v>109</v>
      </c>
      <c r="B47" s="23">
        <v>3730000000</v>
      </c>
      <c r="C47" s="23">
        <v>3714</v>
      </c>
      <c r="D47" s="27">
        <v>2830</v>
      </c>
      <c r="E47" s="61">
        <v>3064</v>
      </c>
      <c r="F47" s="66">
        <v>3550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s="49" customFormat="1" ht="15.75" x14ac:dyDescent="0.2">
      <c r="A48" s="42" t="s">
        <v>101</v>
      </c>
      <c r="B48" s="38">
        <v>4213000000</v>
      </c>
      <c r="C48" s="70">
        <v>0</v>
      </c>
      <c r="D48" s="70">
        <v>0</v>
      </c>
      <c r="E48" s="70">
        <v>0</v>
      </c>
      <c r="F48" s="70">
        <v>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s="49" customFormat="1" ht="14.25" customHeight="1" x14ac:dyDescent="0.2">
      <c r="A49" s="51" t="s">
        <v>58</v>
      </c>
      <c r="B49" s="72">
        <v>0</v>
      </c>
      <c r="C49" s="23">
        <v>11360</v>
      </c>
      <c r="D49" s="71">
        <v>0</v>
      </c>
      <c r="E49" s="71">
        <v>0</v>
      </c>
      <c r="F49" s="71">
        <v>0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s="49" customFormat="1" x14ac:dyDescent="0.2">
      <c r="A50" s="42" t="s">
        <v>57</v>
      </c>
      <c r="B50" s="38"/>
      <c r="C50" s="38"/>
      <c r="D50" s="57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 x14ac:dyDescent="0.2">
      <c r="A52" s="59" t="s">
        <v>114</v>
      </c>
      <c r="B52" s="59"/>
      <c r="C52" s="59"/>
      <c r="D52" s="59"/>
      <c r="E52" s="59"/>
      <c r="F52" s="5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 x14ac:dyDescent="0.2">
      <c r="A53" s="59" t="s">
        <v>100</v>
      </c>
      <c r="B53" s="59"/>
      <c r="C53" s="59"/>
      <c r="D53" s="59"/>
      <c r="E53" s="59"/>
      <c r="F53" s="5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8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8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8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8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8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8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</sheetData>
  <pageMargins left="0.7" right="0.7" top="0.75" bottom="0.75" header="0.3" footer="0.3"/>
  <pageSetup scale="75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C735-EF82-4B64-B9A0-9FE7AAB45616}">
  <dimension ref="B1:Q157"/>
  <sheetViews>
    <sheetView workbookViewId="0">
      <pane xSplit="2" ySplit="2" topLeftCell="C77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RowHeight="12.75" x14ac:dyDescent="0.2"/>
  <cols>
    <col min="1" max="1" width="5.5" customWidth="1"/>
    <col min="2" max="2" width="61.6640625" customWidth="1"/>
    <col min="3" max="5" width="16.83203125" bestFit="1" customWidth="1"/>
    <col min="6" max="12" width="16.33203125" bestFit="1" customWidth="1"/>
    <col min="14" max="14" width="11.1640625" bestFit="1" customWidth="1"/>
  </cols>
  <sheetData>
    <row r="1" spans="2:17" ht="27.75" x14ac:dyDescent="0.4">
      <c r="B1" s="193" t="s">
        <v>122</v>
      </c>
      <c r="C1" s="476" t="s">
        <v>123</v>
      </c>
      <c r="D1" s="477"/>
      <c r="E1" s="477"/>
      <c r="F1" s="477"/>
      <c r="G1" s="478"/>
      <c r="H1" s="479" t="s">
        <v>125</v>
      </c>
      <c r="I1" s="480"/>
      <c r="J1" s="480"/>
      <c r="K1" s="480"/>
      <c r="L1" s="481"/>
      <c r="M1" s="1"/>
      <c r="N1" s="1"/>
    </row>
    <row r="2" spans="2:17" ht="28.5" customHeight="1" x14ac:dyDescent="0.25">
      <c r="B2" s="191" t="s">
        <v>96</v>
      </c>
      <c r="C2" s="194">
        <v>42551</v>
      </c>
      <c r="D2" s="194">
        <v>42916</v>
      </c>
      <c r="E2" s="194">
        <v>43281</v>
      </c>
      <c r="F2" s="195">
        <v>43646</v>
      </c>
      <c r="G2" s="195">
        <v>44012</v>
      </c>
      <c r="H2" s="196">
        <v>44377</v>
      </c>
      <c r="I2" s="197">
        <v>44742</v>
      </c>
      <c r="J2" s="198">
        <v>45107</v>
      </c>
      <c r="K2" s="196">
        <v>45473</v>
      </c>
      <c r="L2" s="197">
        <v>45838</v>
      </c>
      <c r="M2" s="1"/>
      <c r="N2" s="1"/>
    </row>
    <row r="3" spans="2:17" ht="15.75" x14ac:dyDescent="0.25">
      <c r="B3" s="200" t="s">
        <v>126</v>
      </c>
      <c r="C3" s="201"/>
      <c r="D3" s="202"/>
      <c r="E3" s="202"/>
      <c r="F3" s="201"/>
      <c r="G3" s="203"/>
      <c r="H3" s="201"/>
      <c r="I3" s="201"/>
      <c r="J3" s="201"/>
      <c r="K3" s="204"/>
      <c r="L3" s="204"/>
      <c r="M3" s="1"/>
      <c r="N3" s="1"/>
    </row>
    <row r="4" spans="2:17" ht="15.75" x14ac:dyDescent="0.25">
      <c r="B4" s="207" t="s">
        <v>127</v>
      </c>
      <c r="C4" s="208"/>
      <c r="D4" s="209"/>
      <c r="E4" s="210"/>
      <c r="F4" s="210"/>
      <c r="G4" s="210"/>
      <c r="H4" s="210"/>
      <c r="I4" s="210"/>
      <c r="J4" s="210"/>
      <c r="K4" s="211"/>
      <c r="L4" s="211"/>
      <c r="M4" s="1"/>
      <c r="N4" s="1"/>
      <c r="O4" s="85"/>
      <c r="P4" s="86"/>
      <c r="Q4" s="87"/>
    </row>
    <row r="5" spans="2:17" ht="15.75" x14ac:dyDescent="0.25">
      <c r="B5" s="212" t="s">
        <v>128</v>
      </c>
      <c r="C5" s="213"/>
      <c r="D5" s="214">
        <f>D19/C19-1</f>
        <v>-3.6907150186067383E-3</v>
      </c>
      <c r="E5" s="214">
        <f t="shared" ref="E5:G5" si="0">E19/D19-1</f>
        <v>2.7267976267330685E-2</v>
      </c>
      <c r="F5" s="214">
        <f t="shared" si="0"/>
        <v>1.2748384007660984E-2</v>
      </c>
      <c r="G5" s="214">
        <f t="shared" si="0"/>
        <v>4.8253649311506441E-2</v>
      </c>
      <c r="H5" s="348">
        <f t="shared" ref="H5" si="1">H19/G19-1</f>
        <v>5.0000000000000044E-2</v>
      </c>
      <c r="I5" s="348">
        <f t="shared" ref="I5" si="2">I19/H19-1</f>
        <v>5.0000000000000044E-2</v>
      </c>
      <c r="J5" s="348">
        <f t="shared" ref="J5" si="3">J19/I19-1</f>
        <v>5.0000000000000044E-2</v>
      </c>
      <c r="K5" s="349">
        <f t="shared" ref="K5" si="4">K19/J19-1</f>
        <v>5.0000000000000044E-2</v>
      </c>
      <c r="L5" s="349">
        <f t="shared" ref="L5" si="5">L19/K19-1</f>
        <v>5.0000000000000044E-2</v>
      </c>
      <c r="M5" s="1"/>
      <c r="N5" s="1"/>
      <c r="O5" s="88"/>
      <c r="P5" s="85"/>
      <c r="Q5" s="89"/>
    </row>
    <row r="6" spans="2:17" ht="15.75" x14ac:dyDescent="0.25">
      <c r="B6" s="215" t="s">
        <v>129</v>
      </c>
      <c r="C6" s="216">
        <f>C21/C19</f>
        <v>0.50397402716733797</v>
      </c>
      <c r="D6" s="217">
        <f t="shared" ref="D6:G6" si="6">D21/D19</f>
        <v>0.50009222539887488</v>
      </c>
      <c r="E6" s="217">
        <f t="shared" si="6"/>
        <v>0.51274838400766098</v>
      </c>
      <c r="F6" s="217">
        <f t="shared" si="6"/>
        <v>0.51368122451391762</v>
      </c>
      <c r="G6" s="217">
        <f t="shared" si="6"/>
        <v>0.49682875264270615</v>
      </c>
      <c r="H6" s="350">
        <f>AVERAGE($C$6:$G$6)</f>
        <v>0.50546492274609955</v>
      </c>
      <c r="I6" s="350">
        <f t="shared" ref="I6:L6" si="7">AVERAGE($C$6:$G$6)</f>
        <v>0.50546492274609955</v>
      </c>
      <c r="J6" s="350">
        <f t="shared" si="7"/>
        <v>0.50546492274609955</v>
      </c>
      <c r="K6" s="351">
        <f t="shared" si="7"/>
        <v>0.50546492274609955</v>
      </c>
      <c r="L6" s="351">
        <f t="shared" si="7"/>
        <v>0.50546492274609955</v>
      </c>
      <c r="M6" s="1"/>
      <c r="N6" s="1"/>
      <c r="O6" s="90"/>
      <c r="P6" s="90"/>
      <c r="Q6" s="91"/>
    </row>
    <row r="7" spans="2:17" ht="15.75" x14ac:dyDescent="0.25">
      <c r="B7" s="215" t="s">
        <v>166</v>
      </c>
      <c r="C7" s="216">
        <f>C23/C19</f>
        <v>0.49602597283266209</v>
      </c>
      <c r="D7" s="217">
        <f t="shared" ref="D7:L7" si="8">D23/D19</f>
        <v>0.49990777460112518</v>
      </c>
      <c r="E7" s="217">
        <f t="shared" si="8"/>
        <v>0.48725161599233902</v>
      </c>
      <c r="F7" s="217">
        <f t="shared" si="8"/>
        <v>0.48631877548608238</v>
      </c>
      <c r="G7" s="217">
        <f t="shared" si="8"/>
        <v>0.5031712473572939</v>
      </c>
      <c r="H7" s="352">
        <f t="shared" si="8"/>
        <v>0.49453507725390039</v>
      </c>
      <c r="I7" s="352">
        <f t="shared" si="8"/>
        <v>0.49453507725390045</v>
      </c>
      <c r="J7" s="352">
        <f t="shared" si="8"/>
        <v>0.49453507725390045</v>
      </c>
      <c r="K7" s="353">
        <f t="shared" si="8"/>
        <v>0.49453507725390045</v>
      </c>
      <c r="L7" s="353">
        <f t="shared" si="8"/>
        <v>0.49453507725390045</v>
      </c>
      <c r="M7" s="1"/>
      <c r="N7" s="1"/>
      <c r="O7" s="90"/>
      <c r="P7" s="90"/>
      <c r="Q7" s="91"/>
    </row>
    <row r="8" spans="2:17" ht="15.75" x14ac:dyDescent="0.25">
      <c r="B8" s="215" t="s">
        <v>165</v>
      </c>
      <c r="C8" s="216">
        <f>C25/C19</f>
        <v>0.29018821115177873</v>
      </c>
      <c r="D8" s="217">
        <f t="shared" ref="D8:G8" si="9">D25/D19</f>
        <v>0.28540686771803619</v>
      </c>
      <c r="E8" s="217">
        <f t="shared" si="9"/>
        <v>0.28209540339956907</v>
      </c>
      <c r="F8" s="217">
        <f t="shared" si="9"/>
        <v>0.28195733112700194</v>
      </c>
      <c r="G8" s="217">
        <f t="shared" si="9"/>
        <v>0.28180408738548274</v>
      </c>
      <c r="H8" s="350">
        <f>AVERAGE($C$8:$G$8)</f>
        <v>0.28429038015637376</v>
      </c>
      <c r="I8" s="350">
        <f t="shared" ref="I8:L8" si="10">AVERAGE($C$8:$G$8)</f>
        <v>0.28429038015637376</v>
      </c>
      <c r="J8" s="350">
        <f t="shared" si="10"/>
        <v>0.28429038015637376</v>
      </c>
      <c r="K8" s="351">
        <f t="shared" si="10"/>
        <v>0.28429038015637376</v>
      </c>
      <c r="L8" s="351">
        <f t="shared" si="10"/>
        <v>0.28429038015637376</v>
      </c>
      <c r="M8" s="1"/>
      <c r="N8" s="1"/>
      <c r="O8" s="90"/>
      <c r="P8" s="90"/>
      <c r="Q8" s="91"/>
    </row>
    <row r="9" spans="2:17" ht="15.75" x14ac:dyDescent="0.25">
      <c r="B9" s="215" t="s">
        <v>132</v>
      </c>
      <c r="C9" s="216">
        <f>C33/C32</f>
        <v>0.25868875299945815</v>
      </c>
      <c r="D9" s="217">
        <f t="shared" ref="D9:G9" si="11">D33/D32</f>
        <v>0.23104774835935732</v>
      </c>
      <c r="E9" s="217">
        <f t="shared" si="11"/>
        <v>0.26001800990544799</v>
      </c>
      <c r="F9" s="217">
        <f t="shared" si="11"/>
        <v>0.34651507661888287</v>
      </c>
      <c r="G9" s="217">
        <f t="shared" si="11"/>
        <v>0.17247694833901731</v>
      </c>
      <c r="H9" s="350">
        <f>AVERAGE($C$9:$G$9)</f>
        <v>0.25374930724443273</v>
      </c>
      <c r="I9" s="350">
        <f t="shared" ref="I9:L9" si="12">AVERAGE($C$9:$G$9)</f>
        <v>0.25374930724443273</v>
      </c>
      <c r="J9" s="350">
        <f t="shared" si="12"/>
        <v>0.25374930724443273</v>
      </c>
      <c r="K9" s="351">
        <f t="shared" si="12"/>
        <v>0.25374930724443273</v>
      </c>
      <c r="L9" s="351">
        <f t="shared" si="12"/>
        <v>0.25374930724443273</v>
      </c>
      <c r="M9" s="1"/>
      <c r="N9" s="1"/>
      <c r="O9" s="90"/>
      <c r="P9" s="90"/>
      <c r="Q9" s="91"/>
    </row>
    <row r="10" spans="2:17" ht="15.75" x14ac:dyDescent="0.25">
      <c r="B10" s="215" t="s">
        <v>131</v>
      </c>
      <c r="C10" s="208"/>
      <c r="D10" s="214">
        <f>D29/C154</f>
        <v>-1.5197071704032943E-2</v>
      </c>
      <c r="E10" s="214">
        <f t="shared" ref="E10:G10" si="13">E29/D154</f>
        <v>-1.6016713091922007E-2</v>
      </c>
      <c r="F10" s="214">
        <f t="shared" si="13"/>
        <v>-1.6269257814997124E-2</v>
      </c>
      <c r="G10" s="214">
        <f t="shared" si="13"/>
        <v>-1.5452611989897648E-2</v>
      </c>
      <c r="H10" s="354">
        <f>AVERAGE($D$10:$G$10)</f>
        <v>-1.5733913650212428E-2</v>
      </c>
      <c r="I10" s="354">
        <f t="shared" ref="I10:L10" si="14">AVERAGE($D$10:$G$10)</f>
        <v>-1.5733913650212428E-2</v>
      </c>
      <c r="J10" s="354">
        <f t="shared" si="14"/>
        <v>-1.5733913650212428E-2</v>
      </c>
      <c r="K10" s="355">
        <f t="shared" si="14"/>
        <v>-1.5733913650212428E-2</v>
      </c>
      <c r="L10" s="355">
        <f t="shared" si="14"/>
        <v>-1.5733913650212428E-2</v>
      </c>
      <c r="M10" s="1"/>
      <c r="N10" s="1"/>
      <c r="O10" s="90"/>
      <c r="P10" s="90"/>
      <c r="Q10" s="91"/>
    </row>
    <row r="11" spans="2:17" ht="15.75" x14ac:dyDescent="0.25">
      <c r="B11" s="207" t="s">
        <v>133</v>
      </c>
      <c r="C11" s="208"/>
      <c r="D11" s="209"/>
      <c r="E11" s="210"/>
      <c r="F11" s="210"/>
      <c r="G11" s="210"/>
      <c r="H11" s="356"/>
      <c r="I11" s="356"/>
      <c r="J11" s="356"/>
      <c r="K11" s="357"/>
      <c r="L11" s="357"/>
      <c r="M11" s="1"/>
      <c r="N11" s="1"/>
      <c r="O11" s="90"/>
      <c r="P11" s="90"/>
      <c r="Q11" s="91"/>
    </row>
    <row r="12" spans="2:17" ht="15.75" x14ac:dyDescent="0.25">
      <c r="B12" s="212" t="s">
        <v>134</v>
      </c>
      <c r="C12" s="218">
        <f>C49/C19*365</f>
        <v>24.44363619657269</v>
      </c>
      <c r="D12" s="219">
        <f t="shared" ref="D12:G12" si="15">D49/D19*365</f>
        <v>25.774078514556244</v>
      </c>
      <c r="E12" s="219">
        <f t="shared" si="15"/>
        <v>25.592380895379456</v>
      </c>
      <c r="F12" s="219">
        <f t="shared" si="15"/>
        <v>26.699293776963536</v>
      </c>
      <c r="G12" s="219">
        <f t="shared" si="15"/>
        <v>21.493587033121916</v>
      </c>
      <c r="H12" s="358">
        <f>AVERAGE(C12:G12)</f>
        <v>24.800595283318767</v>
      </c>
      <c r="I12" s="358">
        <f t="shared" ref="I12:L12" si="16">AVERAGE(D12:H12)</f>
        <v>24.871987100667983</v>
      </c>
      <c r="J12" s="358">
        <f t="shared" si="16"/>
        <v>24.691568817890332</v>
      </c>
      <c r="K12" s="359">
        <f t="shared" si="16"/>
        <v>24.511406402392506</v>
      </c>
      <c r="L12" s="358">
        <f t="shared" si="16"/>
        <v>24.073828927478299</v>
      </c>
      <c r="M12" s="1"/>
      <c r="N12" s="1"/>
      <c r="O12" s="90"/>
      <c r="P12" s="90"/>
      <c r="Q12" s="91"/>
    </row>
    <row r="13" spans="2:17" ht="15.75" x14ac:dyDescent="0.25">
      <c r="B13" s="212" t="s">
        <v>135</v>
      </c>
      <c r="C13" s="208">
        <f>C54/C21*365</f>
        <v>52.306056094077604</v>
      </c>
      <c r="D13" s="220">
        <f t="shared" ref="D13:G13" si="17">D54/D21*365</f>
        <v>51.875211310895956</v>
      </c>
      <c r="E13" s="220">
        <f t="shared" si="17"/>
        <v>50.46603245009922</v>
      </c>
      <c r="F13" s="220">
        <f t="shared" si="17"/>
        <v>52.669264841233321</v>
      </c>
      <c r="G13" s="220">
        <f t="shared" si="17"/>
        <v>56.929645390070924</v>
      </c>
      <c r="H13" s="358">
        <f>AVERAGE(C13:G13)</f>
        <v>52.849242017275401</v>
      </c>
      <c r="I13" s="358">
        <f t="shared" ref="I13:L13" si="18">AVERAGE(D13:H13)</f>
        <v>52.957879201914963</v>
      </c>
      <c r="J13" s="358">
        <f t="shared" si="18"/>
        <v>53.174412780118772</v>
      </c>
      <c r="K13" s="359">
        <f t="shared" si="18"/>
        <v>53.716088846122673</v>
      </c>
      <c r="L13" s="358">
        <f t="shared" si="18"/>
        <v>53.925453647100539</v>
      </c>
      <c r="M13" s="1"/>
      <c r="N13" s="1"/>
      <c r="O13" s="90"/>
      <c r="P13" s="90"/>
      <c r="Q13" s="91"/>
    </row>
    <row r="14" spans="2:17" ht="15.75" x14ac:dyDescent="0.25">
      <c r="B14" s="212" t="s">
        <v>136</v>
      </c>
      <c r="C14" s="208">
        <f>C67/C21*365</f>
        <v>103.42535476617338</v>
      </c>
      <c r="D14" s="220">
        <f t="shared" ref="D14:G14" si="19">D67/D21*365</f>
        <v>108.05839864761028</v>
      </c>
      <c r="E14" s="220">
        <f t="shared" si="19"/>
        <v>110.17742500291817</v>
      </c>
      <c r="F14" s="220">
        <f t="shared" si="19"/>
        <v>118.20927289461574</v>
      </c>
      <c r="G14" s="220">
        <f t="shared" si="19"/>
        <v>124.9904964539007</v>
      </c>
      <c r="H14" s="358">
        <f>AVERAGE(C14:G14)</f>
        <v>112.97218955304365</v>
      </c>
      <c r="I14" s="358">
        <f t="shared" ref="I14:L14" si="20">AVERAGE(D14:H14)</f>
        <v>114.88155651041772</v>
      </c>
      <c r="J14" s="358">
        <f t="shared" si="20"/>
        <v>116.24618808297919</v>
      </c>
      <c r="K14" s="359">
        <f t="shared" si="20"/>
        <v>117.45994069899139</v>
      </c>
      <c r="L14" s="358">
        <f t="shared" si="20"/>
        <v>117.31007425986654</v>
      </c>
      <c r="M14" s="1"/>
      <c r="N14" s="1"/>
      <c r="O14" s="90"/>
      <c r="P14" s="90"/>
      <c r="Q14" s="91"/>
    </row>
    <row r="15" spans="2:17" ht="15.75" x14ac:dyDescent="0.25">
      <c r="B15" s="207" t="s">
        <v>174</v>
      </c>
      <c r="C15" s="208"/>
      <c r="D15" s="209"/>
      <c r="E15" s="210"/>
      <c r="F15" s="210"/>
      <c r="G15" s="210"/>
      <c r="H15" s="356"/>
      <c r="I15" s="356"/>
      <c r="J15" s="356"/>
      <c r="K15" s="357"/>
      <c r="L15" s="357"/>
      <c r="M15" s="1"/>
      <c r="N15" s="1"/>
      <c r="O15" s="90"/>
      <c r="P15" s="90"/>
      <c r="Q15" s="91"/>
    </row>
    <row r="16" spans="2:17" ht="15.75" x14ac:dyDescent="0.25">
      <c r="B16" s="215" t="s">
        <v>173</v>
      </c>
      <c r="C16" s="216">
        <f>C107/C19</f>
        <v>-5.0751160048392779E-2</v>
      </c>
      <c r="D16" s="217">
        <f t="shared" ref="D16:G16" si="21">D107/D19</f>
        <v>-5.2015124965415473E-2</v>
      </c>
      <c r="E16" s="217">
        <f t="shared" si="21"/>
        <v>-5.561706966722528E-2</v>
      </c>
      <c r="F16" s="217">
        <f t="shared" si="21"/>
        <v>-4.9450387092961408E-2</v>
      </c>
      <c r="G16" s="217">
        <f t="shared" si="21"/>
        <v>-4.3312191684284705E-2</v>
      </c>
      <c r="H16" s="350">
        <f>AVERAGE($C$16:$G$16)</f>
        <v>-5.0229186691655922E-2</v>
      </c>
      <c r="I16" s="350">
        <f t="shared" ref="I16:L16" si="22">AVERAGE($C$16:$G$16)</f>
        <v>-5.0229186691655922E-2</v>
      </c>
      <c r="J16" s="350">
        <f t="shared" si="22"/>
        <v>-5.0229186691655922E-2</v>
      </c>
      <c r="K16" s="351">
        <f t="shared" si="22"/>
        <v>-5.0229186691655922E-2</v>
      </c>
      <c r="L16" s="351">
        <f t="shared" si="22"/>
        <v>-5.0229186691655922E-2</v>
      </c>
      <c r="M16" s="1"/>
      <c r="N16" s="1"/>
      <c r="O16" s="90"/>
      <c r="P16" s="90"/>
      <c r="Q16" s="91"/>
    </row>
    <row r="17" spans="2:17" ht="16.5" thickBot="1" x14ac:dyDescent="0.3">
      <c r="B17" s="221" t="s">
        <v>130</v>
      </c>
      <c r="C17" s="222">
        <f>C94/C141</f>
        <v>0.15878256383801909</v>
      </c>
      <c r="D17" s="223">
        <f>D94/D141</f>
        <v>0.14372356149024004</v>
      </c>
      <c r="E17" s="223">
        <f>E94/E141</f>
        <v>0.1404012880852118</v>
      </c>
      <c r="F17" s="223">
        <f>F94/F141</f>
        <v>0.13404214923106134</v>
      </c>
      <c r="G17" s="223">
        <f>G94/G141</f>
        <v>0.13954888610995322</v>
      </c>
      <c r="H17" s="360">
        <f>AVERAGE($C$17:$G$17)</f>
        <v>0.14329968975089707</v>
      </c>
      <c r="I17" s="360">
        <f>AVERAGE($C$17:$G$17)</f>
        <v>0.14329968975089707</v>
      </c>
      <c r="J17" s="360">
        <f>AVERAGE($C$17:$G$17)</f>
        <v>0.14329968975089707</v>
      </c>
      <c r="K17" s="361">
        <f>AVERAGE($C$17:$G$17)</f>
        <v>0.14329968975089707</v>
      </c>
      <c r="L17" s="361">
        <f>AVERAGE($C$17:$G$17)</f>
        <v>0.14329968975089707</v>
      </c>
      <c r="M17" s="1"/>
      <c r="N17" s="1"/>
      <c r="O17" s="90"/>
      <c r="P17" s="90"/>
      <c r="Q17" s="91"/>
    </row>
    <row r="18" spans="2:17" ht="18.75" x14ac:dyDescent="0.25">
      <c r="B18" s="190" t="s">
        <v>124</v>
      </c>
      <c r="C18" s="205"/>
      <c r="D18" s="206"/>
      <c r="E18" s="206"/>
      <c r="F18" s="206"/>
      <c r="G18" s="206"/>
      <c r="H18" s="206"/>
      <c r="I18" s="206"/>
      <c r="J18" s="206"/>
      <c r="K18" s="206"/>
      <c r="L18" s="206"/>
      <c r="M18" s="1"/>
      <c r="N18" s="1"/>
      <c r="O18" s="88"/>
      <c r="P18" s="88"/>
      <c r="Q18" s="92"/>
    </row>
    <row r="19" spans="2:17" ht="15.75" customHeight="1" x14ac:dyDescent="0.25">
      <c r="B19" s="224" t="s">
        <v>2</v>
      </c>
      <c r="C19" s="225">
        <f>'Income Statement'!B5</f>
        <v>65299</v>
      </c>
      <c r="D19" s="226">
        <f>'Income Statement'!C5</f>
        <v>65058</v>
      </c>
      <c r="E19" s="225">
        <f>'Income Statement'!D5</f>
        <v>66832</v>
      </c>
      <c r="F19" s="226">
        <f>'Income Statement'!E5</f>
        <v>67684</v>
      </c>
      <c r="G19" s="227">
        <f>'Income Statement'!F5</f>
        <v>70950</v>
      </c>
      <c r="H19" s="228">
        <f>G19*(1+H20)</f>
        <v>74497.5</v>
      </c>
      <c r="I19" s="229">
        <f t="shared" ref="I19:L19" si="23">H19*(1+I20)</f>
        <v>78222.375</v>
      </c>
      <c r="J19" s="228">
        <f t="shared" si="23"/>
        <v>82133.493750000009</v>
      </c>
      <c r="K19" s="229">
        <f t="shared" si="23"/>
        <v>86240.168437500019</v>
      </c>
      <c r="L19" s="228">
        <f t="shared" si="23"/>
        <v>90552.176859375017</v>
      </c>
      <c r="M19" s="1"/>
      <c r="N19" s="192"/>
      <c r="O19" s="88"/>
      <c r="P19" s="88"/>
      <c r="Q19" s="92"/>
    </row>
    <row r="20" spans="2:17" ht="15.75" x14ac:dyDescent="0.25">
      <c r="B20" s="230" t="s">
        <v>153</v>
      </c>
      <c r="C20" s="231" t="s">
        <v>154</v>
      </c>
      <c r="D20" s="232">
        <f>D19/C19-1</f>
        <v>-3.6907150186067383E-3</v>
      </c>
      <c r="E20" s="233">
        <f t="shared" ref="E20:G20" si="24">E19/D19-1</f>
        <v>2.7267976267330685E-2</v>
      </c>
      <c r="F20" s="232">
        <f t="shared" si="24"/>
        <v>1.2748384007660984E-2</v>
      </c>
      <c r="G20" s="234">
        <f t="shared" si="24"/>
        <v>4.8253649311506441E-2</v>
      </c>
      <c r="H20" s="350">
        <v>0.05</v>
      </c>
      <c r="I20" s="362">
        <v>0.05</v>
      </c>
      <c r="J20" s="350">
        <v>0.05</v>
      </c>
      <c r="K20" s="362">
        <v>0.05</v>
      </c>
      <c r="L20" s="350">
        <v>0.05</v>
      </c>
      <c r="M20" s="1"/>
      <c r="N20" s="1"/>
      <c r="O20" s="88"/>
      <c r="P20" s="88"/>
      <c r="Q20" s="92"/>
    </row>
    <row r="21" spans="2:17" ht="15.75" x14ac:dyDescent="0.25">
      <c r="B21" s="235" t="s">
        <v>3</v>
      </c>
      <c r="C21" s="225">
        <f>'Income Statement'!B6</f>
        <v>32909</v>
      </c>
      <c r="D21" s="226">
        <f>'Income Statement'!C6</f>
        <v>32535</v>
      </c>
      <c r="E21" s="225">
        <f>'Income Statement'!D6</f>
        <v>34268</v>
      </c>
      <c r="F21" s="226">
        <f>'Income Statement'!E6</f>
        <v>34768</v>
      </c>
      <c r="G21" s="227">
        <f>'Income Statement'!F6</f>
        <v>35250</v>
      </c>
      <c r="H21" s="236">
        <f>H19*H22</f>
        <v>37655.873082277554</v>
      </c>
      <c r="I21" s="237">
        <f t="shared" ref="I21:L21" si="25">I19*I22</f>
        <v>39538.666736391431</v>
      </c>
      <c r="J21" s="236">
        <f t="shared" si="25"/>
        <v>41515.600073211004</v>
      </c>
      <c r="K21" s="237">
        <f t="shared" si="25"/>
        <v>43591.380076871559</v>
      </c>
      <c r="L21" s="236">
        <f t="shared" si="25"/>
        <v>45770.949080715138</v>
      </c>
      <c r="M21" s="1"/>
      <c r="N21" s="1"/>
      <c r="O21" s="88"/>
      <c r="P21" s="88"/>
      <c r="Q21" s="93"/>
    </row>
    <row r="22" spans="2:17" ht="15.75" x14ac:dyDescent="0.25">
      <c r="B22" s="235" t="s">
        <v>155</v>
      </c>
      <c r="C22" s="238">
        <f>C21/C$19</f>
        <v>0.50397402716733797</v>
      </c>
      <c r="D22" s="239">
        <f>D21/D$19</f>
        <v>0.50009222539887488</v>
      </c>
      <c r="E22" s="238">
        <f t="shared" ref="E22:G22" si="26">E21/E$19</f>
        <v>0.51274838400766098</v>
      </c>
      <c r="F22" s="239">
        <f t="shared" si="26"/>
        <v>0.51368122451391762</v>
      </c>
      <c r="G22" s="240">
        <f t="shared" si="26"/>
        <v>0.49682875264270615</v>
      </c>
      <c r="H22" s="241">
        <f>AVERAGE($C$22:$G$22)</f>
        <v>0.50546492274609955</v>
      </c>
      <c r="I22" s="242">
        <f t="shared" ref="I22:L22" si="27">AVERAGE($C$22:$G$22)</f>
        <v>0.50546492274609955</v>
      </c>
      <c r="J22" s="241">
        <f t="shared" si="27"/>
        <v>0.50546492274609955</v>
      </c>
      <c r="K22" s="242">
        <f t="shared" si="27"/>
        <v>0.50546492274609955</v>
      </c>
      <c r="L22" s="241">
        <f t="shared" si="27"/>
        <v>0.50546492274609955</v>
      </c>
      <c r="M22" s="1"/>
      <c r="N22" s="1"/>
      <c r="O22" s="88"/>
      <c r="P22" s="88"/>
      <c r="Q22" s="93"/>
    </row>
    <row r="23" spans="2:17" s="10" customFormat="1" ht="15.75" x14ac:dyDescent="0.25">
      <c r="B23" s="243" t="s">
        <v>158</v>
      </c>
      <c r="C23" s="244">
        <f>C19-C21</f>
        <v>32390</v>
      </c>
      <c r="D23" s="245">
        <f t="shared" ref="D23:L23" si="28">D19-D21</f>
        <v>32523</v>
      </c>
      <c r="E23" s="244">
        <f t="shared" si="28"/>
        <v>32564</v>
      </c>
      <c r="F23" s="245">
        <f t="shared" si="28"/>
        <v>32916</v>
      </c>
      <c r="G23" s="246">
        <f t="shared" si="28"/>
        <v>35700</v>
      </c>
      <c r="H23" s="245">
        <f t="shared" si="28"/>
        <v>36841.626917722446</v>
      </c>
      <c r="I23" s="246">
        <f t="shared" si="28"/>
        <v>38683.708263608569</v>
      </c>
      <c r="J23" s="245">
        <f t="shared" si="28"/>
        <v>40617.893676789005</v>
      </c>
      <c r="K23" s="246">
        <f t="shared" si="28"/>
        <v>42648.788360628459</v>
      </c>
      <c r="L23" s="245">
        <f t="shared" si="28"/>
        <v>44781.227778659879</v>
      </c>
      <c r="O23" s="85"/>
      <c r="P23" s="85"/>
      <c r="Q23" s="89"/>
    </row>
    <row r="24" spans="2:17" s="10" customFormat="1" ht="15.75" x14ac:dyDescent="0.25">
      <c r="B24" s="247" t="s">
        <v>155</v>
      </c>
      <c r="C24" s="248">
        <f>C23/C$19</f>
        <v>0.49602597283266209</v>
      </c>
      <c r="D24" s="249">
        <f t="shared" ref="D24:G24" si="29">D23/D$19</f>
        <v>0.49990777460112518</v>
      </c>
      <c r="E24" s="248">
        <f t="shared" si="29"/>
        <v>0.48725161599233902</v>
      </c>
      <c r="F24" s="249">
        <f t="shared" si="29"/>
        <v>0.48631877548608238</v>
      </c>
      <c r="G24" s="250">
        <f t="shared" si="29"/>
        <v>0.5031712473572939</v>
      </c>
      <c r="H24" s="249">
        <f>H23/H$19</f>
        <v>0.49453507725390039</v>
      </c>
      <c r="I24" s="250">
        <f t="shared" ref="I24" si="30">I23/I$19</f>
        <v>0.49453507725390045</v>
      </c>
      <c r="J24" s="249">
        <f t="shared" ref="J24" si="31">J23/J$19</f>
        <v>0.49453507725390045</v>
      </c>
      <c r="K24" s="250">
        <f t="shared" ref="K24" si="32">K23/K$19</f>
        <v>0.49453507725390045</v>
      </c>
      <c r="L24" s="249">
        <f t="shared" ref="L24" si="33">L23/L$19</f>
        <v>0.49453507725390045</v>
      </c>
      <c r="O24" s="85"/>
      <c r="P24" s="85"/>
      <c r="Q24" s="89"/>
    </row>
    <row r="25" spans="2:17" ht="15.75" x14ac:dyDescent="0.25">
      <c r="B25" s="235" t="s">
        <v>156</v>
      </c>
      <c r="C25" s="225">
        <f>'Income Statement'!B7</f>
        <v>18949</v>
      </c>
      <c r="D25" s="226">
        <f>'Income Statement'!C7</f>
        <v>18568</v>
      </c>
      <c r="E25" s="225">
        <f>'Income Statement'!D7</f>
        <v>18853</v>
      </c>
      <c r="F25" s="226">
        <f>'Income Statement'!E7</f>
        <v>19084</v>
      </c>
      <c r="G25" s="227">
        <f>'Income Statement'!F7</f>
        <v>19994</v>
      </c>
      <c r="H25" s="236">
        <f>H19*H26</f>
        <v>21178.922595699452</v>
      </c>
      <c r="I25" s="237">
        <f t="shared" ref="I25:L25" si="34">I19*I26</f>
        <v>22237.868725484426</v>
      </c>
      <c r="J25" s="236">
        <f t="shared" si="34"/>
        <v>23349.762161758652</v>
      </c>
      <c r="K25" s="237">
        <f t="shared" si="34"/>
        <v>24517.250269846587</v>
      </c>
      <c r="L25" s="236">
        <f t="shared" si="34"/>
        <v>25743.112783338915</v>
      </c>
      <c r="M25" s="1"/>
      <c r="N25" s="1"/>
      <c r="O25" s="88"/>
      <c r="P25" s="88"/>
      <c r="Q25" s="93"/>
    </row>
    <row r="26" spans="2:17" ht="15.75" x14ac:dyDescent="0.25">
      <c r="B26" s="235" t="s">
        <v>155</v>
      </c>
      <c r="C26" s="238">
        <f>C25/C$19</f>
        <v>0.29018821115177873</v>
      </c>
      <c r="D26" s="239">
        <f t="shared" ref="D26:G26" si="35">D25/D$19</f>
        <v>0.28540686771803619</v>
      </c>
      <c r="E26" s="238">
        <f t="shared" si="35"/>
        <v>0.28209540339956907</v>
      </c>
      <c r="F26" s="239">
        <f t="shared" si="35"/>
        <v>0.28195733112700194</v>
      </c>
      <c r="G26" s="240">
        <f t="shared" si="35"/>
        <v>0.28180408738548274</v>
      </c>
      <c r="H26" s="241">
        <f>AVERAGE($C$26:$G$26)</f>
        <v>0.28429038015637376</v>
      </c>
      <c r="I26" s="242">
        <f t="shared" ref="I26:L26" si="36">AVERAGE($C$26:$G$26)</f>
        <v>0.28429038015637376</v>
      </c>
      <c r="J26" s="241">
        <f t="shared" si="36"/>
        <v>0.28429038015637376</v>
      </c>
      <c r="K26" s="242">
        <f t="shared" si="36"/>
        <v>0.28429038015637376</v>
      </c>
      <c r="L26" s="241">
        <f t="shared" si="36"/>
        <v>0.28429038015637376</v>
      </c>
      <c r="M26" s="1"/>
      <c r="N26" s="1"/>
      <c r="O26" s="88"/>
      <c r="P26" s="88"/>
      <c r="Q26" s="93"/>
    </row>
    <row r="27" spans="2:17" ht="15.75" x14ac:dyDescent="0.25">
      <c r="B27" s="251" t="s">
        <v>116</v>
      </c>
      <c r="C27" s="225">
        <v>450</v>
      </c>
      <c r="D27" s="226">
        <f>'Income Statement'!C8</f>
        <v>0</v>
      </c>
      <c r="E27" s="226">
        <f>'Income Statement'!D8</f>
        <v>0</v>
      </c>
      <c r="F27" s="226">
        <f>'Income Statement'!E8</f>
        <v>8345</v>
      </c>
      <c r="G27" s="227">
        <f>'Income Statement'!F8</f>
        <v>0</v>
      </c>
      <c r="H27" s="210"/>
      <c r="I27" s="252"/>
      <c r="J27" s="210"/>
      <c r="K27" s="252"/>
      <c r="L27" s="210"/>
      <c r="M27" s="1"/>
      <c r="N27" s="1"/>
      <c r="O27" s="88"/>
      <c r="P27" s="88"/>
      <c r="Q27" s="93"/>
    </row>
    <row r="28" spans="2:17" ht="15" x14ac:dyDescent="0.25">
      <c r="B28" s="253" t="s">
        <v>157</v>
      </c>
      <c r="C28" s="254">
        <f>C23-C25-C27</f>
        <v>12991</v>
      </c>
      <c r="D28" s="255">
        <f t="shared" ref="D28:G28" si="37">D23-D25-D27</f>
        <v>13955</v>
      </c>
      <c r="E28" s="254">
        <f t="shared" si="37"/>
        <v>13711</v>
      </c>
      <c r="F28" s="255">
        <f t="shared" si="37"/>
        <v>5487</v>
      </c>
      <c r="G28" s="256">
        <f t="shared" si="37"/>
        <v>15706</v>
      </c>
      <c r="H28" s="255">
        <f t="shared" ref="H28" si="38">H23-H25-H27</f>
        <v>15662.704322022993</v>
      </c>
      <c r="I28" s="256">
        <f t="shared" ref="I28" si="39">I23-I25-I27</f>
        <v>16445.839538124143</v>
      </c>
      <c r="J28" s="255">
        <f t="shared" ref="J28" si="40">J23-J25-J27</f>
        <v>17268.131515030353</v>
      </c>
      <c r="K28" s="256">
        <f t="shared" ref="K28" si="41">K23-K25-K27</f>
        <v>18131.538090781873</v>
      </c>
      <c r="L28" s="255">
        <f t="shared" ref="L28" si="42">L23-L25-L27</f>
        <v>19038.114995320964</v>
      </c>
      <c r="M28" s="1"/>
      <c r="N28" s="1"/>
    </row>
    <row r="29" spans="2:17" ht="15" x14ac:dyDescent="0.25">
      <c r="B29" s="235" t="s">
        <v>6</v>
      </c>
      <c r="C29" s="225">
        <f>'Income Statement'!B10</f>
        <v>-579</v>
      </c>
      <c r="D29" s="226">
        <f>'Income Statement'!C10</f>
        <v>-465</v>
      </c>
      <c r="E29" s="225">
        <f>'Income Statement'!D10</f>
        <v>-506</v>
      </c>
      <c r="F29" s="226">
        <f>'Income Statement'!E10</f>
        <v>-509</v>
      </c>
      <c r="G29" s="227">
        <f>'Income Statement'!F10</f>
        <v>-465</v>
      </c>
      <c r="H29" s="370">
        <f>H154*H10</f>
        <v>-498.09794477296492</v>
      </c>
      <c r="I29" s="371">
        <f>I154*I10</f>
        <v>-496.99342403472002</v>
      </c>
      <c r="J29" s="370">
        <f>J154*J10</f>
        <v>-489.68596517901534</v>
      </c>
      <c r="K29" s="371">
        <f>K154*K10</f>
        <v>-490.7695912799328</v>
      </c>
      <c r="L29" s="370">
        <f>L154*L10</f>
        <v>-494.35450686304461</v>
      </c>
      <c r="M29" s="1"/>
      <c r="N29" s="1"/>
    </row>
    <row r="30" spans="2:17" ht="15" x14ac:dyDescent="0.25">
      <c r="B30" s="235" t="s">
        <v>7</v>
      </c>
      <c r="C30" s="225">
        <f>'Income Statement'!B11</f>
        <v>182</v>
      </c>
      <c r="D30" s="226">
        <f>'Income Statement'!C11</f>
        <v>171</v>
      </c>
      <c r="E30" s="225">
        <f>'Income Statement'!D11</f>
        <v>247</v>
      </c>
      <c r="F30" s="226">
        <f>'Income Statement'!E11</f>
        <v>220</v>
      </c>
      <c r="G30" s="227">
        <f>'Income Statement'!F11</f>
        <v>155</v>
      </c>
      <c r="H30" s="368">
        <f>AVERAGE($C$30:$G$30)</f>
        <v>195</v>
      </c>
      <c r="I30" s="369">
        <f t="shared" ref="I30:L30" si="43">AVERAGE($C$30:$G$30)</f>
        <v>195</v>
      </c>
      <c r="J30" s="368">
        <f t="shared" si="43"/>
        <v>195</v>
      </c>
      <c r="K30" s="369">
        <f t="shared" si="43"/>
        <v>195</v>
      </c>
      <c r="L30" s="368">
        <f t="shared" si="43"/>
        <v>195</v>
      </c>
      <c r="M30" s="1"/>
      <c r="N30" s="1"/>
    </row>
    <row r="31" spans="2:17" ht="15" x14ac:dyDescent="0.25">
      <c r="B31" s="235" t="s">
        <v>110</v>
      </c>
      <c r="C31" s="225">
        <f>'Income Statement'!B12</f>
        <v>325</v>
      </c>
      <c r="D31" s="226">
        <f>'Income Statement'!C12</f>
        <v>-404</v>
      </c>
      <c r="E31" s="225">
        <f>'Income Statement'!D12</f>
        <v>-126</v>
      </c>
      <c r="F31" s="226">
        <f>'Income Statement'!E12</f>
        <v>871</v>
      </c>
      <c r="G31" s="227">
        <f>'Income Statement'!F12</f>
        <v>438</v>
      </c>
      <c r="H31" s="368">
        <f>AVERAGE($C$31:$G$31)</f>
        <v>220.8</v>
      </c>
      <c r="I31" s="369">
        <f t="shared" ref="I31:L31" si="44">AVERAGE($C$31:$G$31)</f>
        <v>220.8</v>
      </c>
      <c r="J31" s="368">
        <f t="shared" si="44"/>
        <v>220.8</v>
      </c>
      <c r="K31" s="369">
        <f t="shared" si="44"/>
        <v>220.8</v>
      </c>
      <c r="L31" s="368">
        <f t="shared" si="44"/>
        <v>220.8</v>
      </c>
      <c r="M31" s="1"/>
      <c r="N31" s="1"/>
    </row>
    <row r="32" spans="2:17" ht="29.25" x14ac:dyDescent="0.25">
      <c r="B32" s="230" t="s">
        <v>164</v>
      </c>
      <c r="C32" s="225">
        <f>SUM(C28:C31)</f>
        <v>12919</v>
      </c>
      <c r="D32" s="226">
        <f t="shared" ref="D32:G32" si="45">SUM(D28:D31)</f>
        <v>13257</v>
      </c>
      <c r="E32" s="225">
        <f t="shared" si="45"/>
        <v>13326</v>
      </c>
      <c r="F32" s="226">
        <f t="shared" si="45"/>
        <v>6069</v>
      </c>
      <c r="G32" s="227">
        <f t="shared" si="45"/>
        <v>15834</v>
      </c>
      <c r="H32" s="226">
        <f t="shared" ref="H32" si="46">SUM(H28:H31)</f>
        <v>15580.406377250029</v>
      </c>
      <c r="I32" s="227">
        <f t="shared" ref="I32" si="47">SUM(I28:I31)</f>
        <v>16364.646114089423</v>
      </c>
      <c r="J32" s="226">
        <f t="shared" ref="J32" si="48">SUM(J28:J31)</f>
        <v>17194.245549851337</v>
      </c>
      <c r="K32" s="227">
        <f t="shared" ref="K32" si="49">SUM(K28:K31)</f>
        <v>18056.56849950194</v>
      </c>
      <c r="L32" s="226">
        <f t="shared" ref="L32" si="50">SUM(L28:L31)</f>
        <v>18959.560488457919</v>
      </c>
      <c r="M32" s="1"/>
      <c r="N32" s="1"/>
    </row>
    <row r="33" spans="2:14" ht="15" x14ac:dyDescent="0.25">
      <c r="B33" s="235" t="s">
        <v>9</v>
      </c>
      <c r="C33" s="225">
        <f>'Income Statement'!B14</f>
        <v>3342</v>
      </c>
      <c r="D33" s="226">
        <f>'Income Statement'!C14</f>
        <v>3063</v>
      </c>
      <c r="E33" s="225">
        <f>'Income Statement'!D14</f>
        <v>3465</v>
      </c>
      <c r="F33" s="226">
        <f>'Income Statement'!E14</f>
        <v>2103</v>
      </c>
      <c r="G33" s="227">
        <f>'Income Statement'!F14</f>
        <v>2731</v>
      </c>
      <c r="H33" s="368">
        <f>H32*H34</f>
        <v>3953.5173248139367</v>
      </c>
      <c r="I33" s="369">
        <f t="shared" ref="I33:L33" si="51">I32*I34</f>
        <v>4152.517614750489</v>
      </c>
      <c r="J33" s="368">
        <f t="shared" si="51"/>
        <v>4363.0278968654475</v>
      </c>
      <c r="K33" s="369">
        <f t="shared" si="51"/>
        <v>4581.8417479602631</v>
      </c>
      <c r="L33" s="368">
        <f t="shared" si="51"/>
        <v>4810.9753396051156</v>
      </c>
      <c r="M33" s="1"/>
      <c r="N33" s="1"/>
    </row>
    <row r="34" spans="2:14" ht="15" x14ac:dyDescent="0.25">
      <c r="B34" s="235" t="s">
        <v>163</v>
      </c>
      <c r="C34" s="238">
        <f>C33/C32</f>
        <v>0.25868875299945815</v>
      </c>
      <c r="D34" s="239">
        <f t="shared" ref="D34:G34" si="52">D33/D32</f>
        <v>0.23104774835935732</v>
      </c>
      <c r="E34" s="238">
        <f t="shared" si="52"/>
        <v>0.26001800990544799</v>
      </c>
      <c r="F34" s="239">
        <f t="shared" si="52"/>
        <v>0.34651507661888287</v>
      </c>
      <c r="G34" s="240">
        <f t="shared" si="52"/>
        <v>0.17247694833901731</v>
      </c>
      <c r="H34" s="460">
        <f>AVERAGE($C$34:$G$34)</f>
        <v>0.25374930724443273</v>
      </c>
      <c r="I34" s="461">
        <f t="shared" ref="I34:L34" si="53">AVERAGE($C$34:$G$34)</f>
        <v>0.25374930724443273</v>
      </c>
      <c r="J34" s="460">
        <f t="shared" si="53"/>
        <v>0.25374930724443273</v>
      </c>
      <c r="K34" s="461">
        <f t="shared" si="53"/>
        <v>0.25374930724443273</v>
      </c>
      <c r="L34" s="460">
        <f t="shared" si="53"/>
        <v>0.25374930724443273</v>
      </c>
      <c r="M34" s="1"/>
      <c r="N34" s="1"/>
    </row>
    <row r="35" spans="2:14" ht="18.75" customHeight="1" x14ac:dyDescent="0.25">
      <c r="B35" s="253" t="s">
        <v>159</v>
      </c>
      <c r="C35" s="372">
        <f>C32-C33</f>
        <v>9577</v>
      </c>
      <c r="D35" s="373">
        <f>D32-D33</f>
        <v>10194</v>
      </c>
      <c r="E35" s="372">
        <f>E32-E33</f>
        <v>9861</v>
      </c>
      <c r="F35" s="373">
        <f>F32-F33</f>
        <v>3966</v>
      </c>
      <c r="G35" s="374">
        <f>G32-G33</f>
        <v>13103</v>
      </c>
      <c r="H35" s="373">
        <f t="shared" ref="H35:L35" si="54">H32-H33</f>
        <v>11626.889052436092</v>
      </c>
      <c r="I35" s="374">
        <f t="shared" si="54"/>
        <v>12212.128499338934</v>
      </c>
      <c r="J35" s="373">
        <f t="shared" si="54"/>
        <v>12831.21765298589</v>
      </c>
      <c r="K35" s="374">
        <f t="shared" si="54"/>
        <v>13474.726751541677</v>
      </c>
      <c r="L35" s="373">
        <f t="shared" si="54"/>
        <v>14148.585148852802</v>
      </c>
      <c r="M35" s="1"/>
      <c r="N35" s="1"/>
    </row>
    <row r="36" spans="2:14" ht="29.25" x14ac:dyDescent="0.25">
      <c r="B36" s="230" t="s">
        <v>11</v>
      </c>
      <c r="C36" s="225">
        <f>'Income Statement'!B16</f>
        <v>577</v>
      </c>
      <c r="D36" s="226">
        <f>'Income Statement'!C16</f>
        <v>5217</v>
      </c>
      <c r="E36" s="225">
        <f>'Income Statement'!D16</f>
        <v>0</v>
      </c>
      <c r="F36" s="226">
        <f>'Income Statement'!E16</f>
        <v>0</v>
      </c>
      <c r="G36" s="227">
        <f>'Income Statement'!F16</f>
        <v>0</v>
      </c>
      <c r="H36" s="226">
        <f>'Income Statement'!G16</f>
        <v>0</v>
      </c>
      <c r="I36" s="227">
        <f>'Income Statement'!H16</f>
        <v>0</v>
      </c>
      <c r="J36" s="226">
        <f>'Income Statement'!I16</f>
        <v>0</v>
      </c>
      <c r="K36" s="227">
        <f>'Income Statement'!J16</f>
        <v>0</v>
      </c>
      <c r="L36" s="226">
        <f>'Income Statement'!K16</f>
        <v>0</v>
      </c>
      <c r="M36" s="1"/>
      <c r="N36" s="1"/>
    </row>
    <row r="37" spans="2:14" ht="15" x14ac:dyDescent="0.25">
      <c r="B37" s="253" t="s">
        <v>12</v>
      </c>
      <c r="C37" s="372">
        <f>SUM(C35:C36)</f>
        <v>10154</v>
      </c>
      <c r="D37" s="373">
        <f>SUM(D35:D36)</f>
        <v>15411</v>
      </c>
      <c r="E37" s="372">
        <f t="shared" ref="E37:L37" si="55">SUM(E35:E36)</f>
        <v>9861</v>
      </c>
      <c r="F37" s="373">
        <f t="shared" si="55"/>
        <v>3966</v>
      </c>
      <c r="G37" s="374">
        <f t="shared" si="55"/>
        <v>13103</v>
      </c>
      <c r="H37" s="373">
        <f t="shared" si="55"/>
        <v>11626.889052436092</v>
      </c>
      <c r="I37" s="374">
        <f t="shared" si="55"/>
        <v>12212.128499338934</v>
      </c>
      <c r="J37" s="373">
        <f t="shared" si="55"/>
        <v>12831.21765298589</v>
      </c>
      <c r="K37" s="374">
        <f t="shared" si="55"/>
        <v>13474.726751541677</v>
      </c>
      <c r="L37" s="373">
        <f t="shared" si="55"/>
        <v>14148.585148852802</v>
      </c>
      <c r="M37" s="1"/>
      <c r="N37" s="1"/>
    </row>
    <row r="38" spans="2:14" ht="30" x14ac:dyDescent="0.25">
      <c r="B38" s="235" t="s">
        <v>13</v>
      </c>
      <c r="C38" s="225">
        <f>'Income Statement'!B18</f>
        <v>96</v>
      </c>
      <c r="D38" s="226">
        <f>'Income Statement'!C18</f>
        <v>85</v>
      </c>
      <c r="E38" s="225">
        <f>'Income Statement'!D18</f>
        <v>111</v>
      </c>
      <c r="F38" s="226">
        <f>'Income Statement'!E18</f>
        <v>69</v>
      </c>
      <c r="G38" s="227">
        <f>'Income Statement'!F18</f>
        <v>76</v>
      </c>
      <c r="H38" s="368">
        <f>AVERAGE($C$38:$G$38)</f>
        <v>87.4</v>
      </c>
      <c r="I38" s="369">
        <f t="shared" ref="I38:L38" si="56">AVERAGE($C$38:$G$38)</f>
        <v>87.4</v>
      </c>
      <c r="J38" s="368">
        <f t="shared" si="56"/>
        <v>87.4</v>
      </c>
      <c r="K38" s="369">
        <f t="shared" si="56"/>
        <v>87.4</v>
      </c>
      <c r="L38" s="368">
        <f t="shared" si="56"/>
        <v>87.4</v>
      </c>
      <c r="M38" s="1"/>
      <c r="N38" s="1"/>
    </row>
    <row r="39" spans="2:14" ht="30" thickBot="1" x14ac:dyDescent="0.3">
      <c r="B39" s="258" t="s">
        <v>14</v>
      </c>
      <c r="C39" s="375">
        <f>C37-C38</f>
        <v>10058</v>
      </c>
      <c r="D39" s="259">
        <v>15326</v>
      </c>
      <c r="E39" s="376">
        <f>E37-E38</f>
        <v>9750</v>
      </c>
      <c r="F39" s="259">
        <f>F37-F38</f>
        <v>3897</v>
      </c>
      <c r="G39" s="260">
        <f>G37-G38</f>
        <v>13027</v>
      </c>
      <c r="H39" s="261">
        <f t="shared" ref="H39:L39" si="57">H37-H38</f>
        <v>11539.489052436093</v>
      </c>
      <c r="I39" s="260">
        <f t="shared" si="57"/>
        <v>12124.728499338935</v>
      </c>
      <c r="J39" s="261">
        <f t="shared" si="57"/>
        <v>12743.81765298589</v>
      </c>
      <c r="K39" s="260">
        <f t="shared" si="57"/>
        <v>13387.326751541677</v>
      </c>
      <c r="L39" s="261">
        <f t="shared" si="57"/>
        <v>14061.185148852803</v>
      </c>
      <c r="M39" s="1"/>
      <c r="N39" s="1"/>
    </row>
    <row r="40" spans="2:14" ht="15.75" thickTop="1" x14ac:dyDescent="0.25">
      <c r="B40" s="262" t="s">
        <v>160</v>
      </c>
      <c r="C40" s="225">
        <f>C32</f>
        <v>12919</v>
      </c>
      <c r="D40" s="226">
        <f t="shared" ref="D40:L40" si="58">D32</f>
        <v>13257</v>
      </c>
      <c r="E40" s="225">
        <f t="shared" si="58"/>
        <v>13326</v>
      </c>
      <c r="F40" s="226">
        <f t="shared" si="58"/>
        <v>6069</v>
      </c>
      <c r="G40" s="227">
        <f t="shared" si="58"/>
        <v>15834</v>
      </c>
      <c r="H40" s="226">
        <f t="shared" si="58"/>
        <v>15580.406377250029</v>
      </c>
      <c r="I40" s="227">
        <f t="shared" si="58"/>
        <v>16364.646114089423</v>
      </c>
      <c r="J40" s="226">
        <f t="shared" si="58"/>
        <v>17194.245549851337</v>
      </c>
      <c r="K40" s="227">
        <f t="shared" si="58"/>
        <v>18056.56849950194</v>
      </c>
      <c r="L40" s="226">
        <f t="shared" si="58"/>
        <v>18959.560488457919</v>
      </c>
      <c r="M40" s="1"/>
      <c r="N40" s="1"/>
    </row>
    <row r="41" spans="2:14" ht="15" x14ac:dyDescent="0.25">
      <c r="B41" s="262" t="s">
        <v>161</v>
      </c>
      <c r="C41" s="225">
        <f>C94</f>
        <v>3078</v>
      </c>
      <c r="D41" s="226">
        <f t="shared" ref="D41:L41" si="59">D94</f>
        <v>2820</v>
      </c>
      <c r="E41" s="225">
        <f t="shared" si="59"/>
        <v>2834</v>
      </c>
      <c r="F41" s="226">
        <f t="shared" si="59"/>
        <v>2824</v>
      </c>
      <c r="G41" s="227">
        <f t="shared" si="59"/>
        <v>3013</v>
      </c>
      <c r="H41" s="226">
        <f t="shared" si="59"/>
        <v>3102.5815827966726</v>
      </c>
      <c r="I41" s="226">
        <f t="shared" si="59"/>
        <v>3194.2027117547755</v>
      </c>
      <c r="J41" s="226">
        <f t="shared" si="59"/>
        <v>3299.5055667185406</v>
      </c>
      <c r="K41" s="225">
        <f t="shared" si="59"/>
        <v>3417.8701108640998</v>
      </c>
      <c r="L41" s="225">
        <f t="shared" si="59"/>
        <v>3548.8321859654784</v>
      </c>
      <c r="M41" s="1"/>
      <c r="N41" s="1"/>
    </row>
    <row r="42" spans="2:14" ht="15" thickBot="1" x14ac:dyDescent="0.25">
      <c r="B42" s="264" t="s">
        <v>162</v>
      </c>
      <c r="C42" s="265">
        <f>SUM(C40:C41)</f>
        <v>15997</v>
      </c>
      <c r="D42" s="266">
        <f t="shared" ref="D42:G42" si="60">SUM(D40:D41)</f>
        <v>16077</v>
      </c>
      <c r="E42" s="265">
        <f t="shared" si="60"/>
        <v>16160</v>
      </c>
      <c r="F42" s="266">
        <f t="shared" si="60"/>
        <v>8893</v>
      </c>
      <c r="G42" s="267">
        <f t="shared" si="60"/>
        <v>18847</v>
      </c>
      <c r="H42" s="266">
        <f t="shared" ref="H42" si="61">SUM(H40:H41)</f>
        <v>18682.987960046703</v>
      </c>
      <c r="I42" s="267">
        <f t="shared" ref="I42" si="62">SUM(I40:I41)</f>
        <v>19558.848825844198</v>
      </c>
      <c r="J42" s="266">
        <f t="shared" ref="J42" si="63">SUM(J40:J41)</f>
        <v>20493.751116569878</v>
      </c>
      <c r="K42" s="267">
        <f t="shared" ref="K42" si="64">SUM(K40:K41)</f>
        <v>21474.43861036604</v>
      </c>
      <c r="L42" s="266">
        <f t="shared" ref="L42" si="65">SUM(L40:L41)</f>
        <v>22508.392674423398</v>
      </c>
      <c r="M42" s="1"/>
      <c r="N42" s="1"/>
    </row>
    <row r="43" spans="2:14" ht="14.25" x14ac:dyDescent="0.2">
      <c r="B43" s="262" t="s">
        <v>233</v>
      </c>
      <c r="C43" s="483">
        <f>-C29/(C70+C72)</f>
        <v>1.8922805412118437E-2</v>
      </c>
      <c r="D43" s="483">
        <f t="shared" ref="D43:L43" si="66">-D29/(D70+D72)</f>
        <v>1.4718916181311725E-2</v>
      </c>
      <c r="E43" s="483">
        <f t="shared" si="66"/>
        <v>1.6173368279741737E-2</v>
      </c>
      <c r="F43" s="483">
        <f t="shared" si="66"/>
        <v>1.691479462980194E-2</v>
      </c>
      <c r="G43" s="483">
        <f t="shared" si="66"/>
        <v>1.3392857142857142E-2</v>
      </c>
      <c r="H43" s="483">
        <f t="shared" si="66"/>
        <v>1.5733913650212428E-2</v>
      </c>
      <c r="I43" s="483">
        <f t="shared" si="66"/>
        <v>1.5733913650212428E-2</v>
      </c>
      <c r="J43" s="483">
        <f t="shared" si="66"/>
        <v>1.5733913650212428E-2</v>
      </c>
      <c r="K43" s="483">
        <f t="shared" si="66"/>
        <v>1.5733913650212428E-2</v>
      </c>
      <c r="L43" s="483">
        <f t="shared" si="66"/>
        <v>1.5733913650212428E-2</v>
      </c>
      <c r="M43" s="1"/>
      <c r="N43" s="1"/>
    </row>
    <row r="44" spans="2:14" ht="18.75" x14ac:dyDescent="0.3">
      <c r="B44" s="199" t="s">
        <v>121</v>
      </c>
      <c r="C44" s="268"/>
      <c r="D44" s="269"/>
      <c r="E44" s="268"/>
      <c r="F44" s="268"/>
      <c r="G44" s="268"/>
      <c r="H44" s="268"/>
      <c r="I44" s="268"/>
      <c r="J44" s="268"/>
      <c r="K44" s="268"/>
      <c r="L44" s="268"/>
      <c r="M44" s="1"/>
      <c r="N44" s="1"/>
    </row>
    <row r="45" spans="2:14" ht="15" x14ac:dyDescent="0.25">
      <c r="B45" s="365" t="s">
        <v>106</v>
      </c>
      <c r="C45" s="270"/>
      <c r="D45" s="271"/>
      <c r="E45" s="272"/>
      <c r="F45" s="273"/>
      <c r="G45" s="273"/>
      <c r="H45" s="274"/>
      <c r="I45" s="275"/>
      <c r="J45" s="276"/>
      <c r="K45" s="275"/>
      <c r="L45" s="276"/>
      <c r="M45" s="1"/>
      <c r="N45" s="1"/>
    </row>
    <row r="46" spans="2:14" ht="15" x14ac:dyDescent="0.25">
      <c r="B46" s="262" t="s">
        <v>54</v>
      </c>
      <c r="C46" s="277"/>
      <c r="D46" s="271"/>
      <c r="E46" s="278"/>
      <c r="F46" s="271"/>
      <c r="G46" s="271"/>
      <c r="H46" s="211"/>
      <c r="I46" s="252"/>
      <c r="J46" s="210"/>
      <c r="K46" s="252"/>
      <c r="L46" s="210"/>
      <c r="M46" s="1"/>
      <c r="N46" s="1"/>
    </row>
    <row r="47" spans="2:14" ht="15" x14ac:dyDescent="0.25">
      <c r="B47" s="279" t="s">
        <v>53</v>
      </c>
      <c r="C47" s="225">
        <f>'Balance Sheet'!B7</f>
        <v>7102</v>
      </c>
      <c r="D47" s="226">
        <f>'Balance Sheet'!C7</f>
        <v>5569</v>
      </c>
      <c r="E47" s="227">
        <f>'Balance Sheet'!D7</f>
        <v>2569</v>
      </c>
      <c r="F47" s="226">
        <f>'Balance Sheet'!E7</f>
        <v>4239</v>
      </c>
      <c r="G47" s="226">
        <f>'Balance Sheet'!F7</f>
        <v>16181</v>
      </c>
      <c r="H47" s="379">
        <f>H130</f>
        <v>16143.692990411624</v>
      </c>
      <c r="I47" s="369">
        <f t="shared" ref="I47:L47" si="67">I130</f>
        <v>18192.973413450105</v>
      </c>
      <c r="J47" s="368">
        <f t="shared" si="67"/>
        <v>21242.061926851853</v>
      </c>
      <c r="K47" s="369">
        <f t="shared" si="67"/>
        <v>25805.530322465263</v>
      </c>
      <c r="L47" s="368">
        <f t="shared" si="67"/>
        <v>31059.249322790914</v>
      </c>
      <c r="M47" s="1"/>
      <c r="N47" s="1"/>
    </row>
    <row r="48" spans="2:14" ht="15" x14ac:dyDescent="0.25">
      <c r="B48" s="279" t="s">
        <v>52</v>
      </c>
      <c r="C48" s="225">
        <f>'Balance Sheet'!B8</f>
        <v>6246</v>
      </c>
      <c r="D48" s="226">
        <f>'Balance Sheet'!C8</f>
        <v>9568</v>
      </c>
      <c r="E48" s="227">
        <f>'Balance Sheet'!D8</f>
        <v>9281</v>
      </c>
      <c r="F48" s="226">
        <f>'Balance Sheet'!E8</f>
        <v>6048</v>
      </c>
      <c r="G48" s="226">
        <f>'Balance Sheet'!F8</f>
        <v>0</v>
      </c>
      <c r="H48" s="225">
        <f>AVERAGE($C$48:$G$48)</f>
        <v>6228.6</v>
      </c>
      <c r="I48" s="227">
        <f t="shared" ref="I48:L48" si="68">AVERAGE($C$48:$G$48)</f>
        <v>6228.6</v>
      </c>
      <c r="J48" s="226">
        <f t="shared" si="68"/>
        <v>6228.6</v>
      </c>
      <c r="K48" s="227">
        <f t="shared" si="68"/>
        <v>6228.6</v>
      </c>
      <c r="L48" s="226">
        <f t="shared" si="68"/>
        <v>6228.6</v>
      </c>
      <c r="M48" s="1">
        <f>D48-E48</f>
        <v>287</v>
      </c>
      <c r="N48" s="1"/>
    </row>
    <row r="49" spans="2:14" ht="15" x14ac:dyDescent="0.25">
      <c r="B49" s="279" t="s">
        <v>51</v>
      </c>
      <c r="C49" s="225">
        <f>'Balance Sheet'!B9</f>
        <v>4373</v>
      </c>
      <c r="D49" s="226">
        <f>'Balance Sheet'!C9</f>
        <v>4594</v>
      </c>
      <c r="E49" s="227">
        <f>'Balance Sheet'!D9</f>
        <v>4686</v>
      </c>
      <c r="F49" s="226">
        <f>'Balance Sheet'!E9</f>
        <v>4951</v>
      </c>
      <c r="G49" s="226">
        <f>'Balance Sheet'!F9</f>
        <v>4178</v>
      </c>
      <c r="H49" s="379">
        <f>H19/365*H12</f>
        <v>5061.8694441617536</v>
      </c>
      <c r="I49" s="369">
        <f>I19/365*I12</f>
        <v>5330.2627451605858</v>
      </c>
      <c r="J49" s="368">
        <f>J19/365*J12</f>
        <v>5556.1775703613439</v>
      </c>
      <c r="K49" s="369">
        <f>K19/365*K12</f>
        <v>5791.4186761160172</v>
      </c>
      <c r="L49" s="368">
        <f>L19/365*L12</f>
        <v>5972.431821159872</v>
      </c>
      <c r="M49" s="1"/>
      <c r="N49" s="1"/>
    </row>
    <row r="50" spans="2:14" ht="15" x14ac:dyDescent="0.25">
      <c r="B50" s="282" t="s">
        <v>103</v>
      </c>
      <c r="C50" s="225"/>
      <c r="D50" s="226"/>
      <c r="E50" s="227"/>
      <c r="F50" s="226"/>
      <c r="G50" s="226"/>
      <c r="H50" s="379"/>
      <c r="I50" s="369"/>
      <c r="J50" s="368"/>
      <c r="K50" s="369"/>
      <c r="L50" s="368"/>
      <c r="M50" s="1"/>
      <c r="N50" s="1">
        <f>D48-E48</f>
        <v>287</v>
      </c>
    </row>
    <row r="51" spans="2:14" ht="15" x14ac:dyDescent="0.25">
      <c r="B51" s="283" t="s">
        <v>50</v>
      </c>
      <c r="C51" s="225">
        <f>'Balance Sheet'!B11</f>
        <v>1188</v>
      </c>
      <c r="D51" s="226">
        <f>'Balance Sheet'!C11</f>
        <v>1308</v>
      </c>
      <c r="E51" s="227">
        <f>'Balance Sheet'!D11</f>
        <v>1335</v>
      </c>
      <c r="F51" s="226">
        <f>'Balance Sheet'!E11</f>
        <v>1289</v>
      </c>
      <c r="G51" s="226">
        <f>'Balance Sheet'!F11</f>
        <v>1414</v>
      </c>
      <c r="H51" s="379"/>
      <c r="I51" s="369"/>
      <c r="J51" s="368"/>
      <c r="K51" s="369"/>
      <c r="L51" s="368"/>
      <c r="M51" s="1"/>
      <c r="N51" s="1"/>
    </row>
    <row r="52" spans="2:14" ht="15" x14ac:dyDescent="0.25">
      <c r="B52" s="283" t="s">
        <v>49</v>
      </c>
      <c r="C52" s="225">
        <f>'Balance Sheet'!B12</f>
        <v>563</v>
      </c>
      <c r="D52" s="226">
        <f>'Balance Sheet'!C12</f>
        <v>529</v>
      </c>
      <c r="E52" s="227">
        <f>'Balance Sheet'!D12</f>
        <v>588</v>
      </c>
      <c r="F52" s="226">
        <f>'Balance Sheet'!E12</f>
        <v>612</v>
      </c>
      <c r="G52" s="226">
        <f>'Balance Sheet'!F12</f>
        <v>674</v>
      </c>
      <c r="H52" s="379"/>
      <c r="I52" s="369"/>
      <c r="J52" s="368"/>
      <c r="K52" s="369"/>
      <c r="L52" s="368"/>
      <c r="M52" s="1"/>
      <c r="N52" s="1"/>
    </row>
    <row r="53" spans="2:14" ht="15" x14ac:dyDescent="0.25">
      <c r="B53" s="284" t="s">
        <v>48</v>
      </c>
      <c r="C53" s="225">
        <f>'Balance Sheet'!B13</f>
        <v>2965</v>
      </c>
      <c r="D53" s="226">
        <f>'Balance Sheet'!C13</f>
        <v>2787</v>
      </c>
      <c r="E53" s="227">
        <f>'Balance Sheet'!D13</f>
        <v>2815</v>
      </c>
      <c r="F53" s="226">
        <f>'Balance Sheet'!E13</f>
        <v>3116</v>
      </c>
      <c r="G53" s="226">
        <f>'Balance Sheet'!F13</f>
        <v>3410</v>
      </c>
      <c r="H53" s="379"/>
      <c r="I53" s="369"/>
      <c r="J53" s="368"/>
      <c r="K53" s="369"/>
      <c r="L53" s="368"/>
      <c r="M53" s="1"/>
      <c r="N53" s="1"/>
    </row>
    <row r="54" spans="2:14" ht="15" x14ac:dyDescent="0.25">
      <c r="B54" s="279" t="s">
        <v>47</v>
      </c>
      <c r="C54" s="380">
        <f>SUM(C51:C53)</f>
        <v>4716</v>
      </c>
      <c r="D54" s="381">
        <f t="shared" ref="D54:G54" si="69">SUM(D51:D53)</f>
        <v>4624</v>
      </c>
      <c r="E54" s="382">
        <f t="shared" si="69"/>
        <v>4738</v>
      </c>
      <c r="F54" s="381">
        <f t="shared" si="69"/>
        <v>5017</v>
      </c>
      <c r="G54" s="381">
        <f t="shared" si="69"/>
        <v>5498</v>
      </c>
      <c r="H54" s="379">
        <f>H21/365*H13</f>
        <v>5452.285890129021</v>
      </c>
      <c r="I54" s="369">
        <f>I21/365*I13</f>
        <v>5736.6683200838106</v>
      </c>
      <c r="J54" s="368">
        <f>J21/365*J13</f>
        <v>6048.1305619376735</v>
      </c>
      <c r="K54" s="369">
        <f>K21/365*K13</f>
        <v>6415.2286168063956</v>
      </c>
      <c r="L54" s="368">
        <f>L21/365*L13</f>
        <v>6762.2443644819268</v>
      </c>
      <c r="M54" s="1"/>
      <c r="N54" s="1"/>
    </row>
    <row r="55" spans="2:14" ht="15" x14ac:dyDescent="0.25">
      <c r="B55" s="279" t="s">
        <v>119</v>
      </c>
      <c r="C55" s="225">
        <f>'Balance Sheet'!B15</f>
        <v>1507</v>
      </c>
      <c r="D55" s="226">
        <f>'Balance Sheet'!C15</f>
        <v>0</v>
      </c>
      <c r="E55" s="227">
        <f>'Balance Sheet'!D15</f>
        <v>0</v>
      </c>
      <c r="F55" s="226">
        <f>'Balance Sheet'!E15</f>
        <v>0</v>
      </c>
      <c r="G55" s="226">
        <f>'Balance Sheet'!F15</f>
        <v>0</v>
      </c>
      <c r="H55" s="225">
        <f>'Balance Sheet'!G15</f>
        <v>0</v>
      </c>
      <c r="I55" s="227">
        <f>'Balance Sheet'!H15</f>
        <v>0</v>
      </c>
      <c r="J55" s="226">
        <f>'Balance Sheet'!I15</f>
        <v>0</v>
      </c>
      <c r="K55" s="227">
        <f>'Balance Sheet'!J15</f>
        <v>0</v>
      </c>
      <c r="L55" s="226">
        <f>'Balance Sheet'!K15</f>
        <v>0</v>
      </c>
      <c r="M55" s="1"/>
      <c r="N55" s="1"/>
    </row>
    <row r="56" spans="2:14" ht="15" x14ac:dyDescent="0.25">
      <c r="B56" s="279" t="s">
        <v>117</v>
      </c>
      <c r="C56" s="225">
        <f>'Balance Sheet'!B16</f>
        <v>7185</v>
      </c>
      <c r="D56" s="226">
        <f>'Balance Sheet'!C16</f>
        <v>0</v>
      </c>
      <c r="E56" s="227">
        <f>'Balance Sheet'!D16</f>
        <v>0</v>
      </c>
      <c r="F56" s="226">
        <f>'Balance Sheet'!E16</f>
        <v>0</v>
      </c>
      <c r="G56" s="226">
        <f>'Balance Sheet'!F16</f>
        <v>0</v>
      </c>
      <c r="H56" s="225">
        <f>'Balance Sheet'!G16</f>
        <v>0</v>
      </c>
      <c r="I56" s="227">
        <f>'Balance Sheet'!H16</f>
        <v>0</v>
      </c>
      <c r="J56" s="226">
        <f>'Balance Sheet'!I16</f>
        <v>0</v>
      </c>
      <c r="K56" s="227">
        <f>'Balance Sheet'!J16</f>
        <v>0</v>
      </c>
      <c r="L56" s="226">
        <f>'Balance Sheet'!K16</f>
        <v>0</v>
      </c>
      <c r="M56" s="1"/>
      <c r="N56" s="1"/>
    </row>
    <row r="57" spans="2:14" ht="15" x14ac:dyDescent="0.25">
      <c r="B57" s="285" t="s">
        <v>45</v>
      </c>
      <c r="C57" s="225">
        <f>'Balance Sheet'!B17</f>
        <v>2653</v>
      </c>
      <c r="D57" s="226">
        <f>'Balance Sheet'!C17</f>
        <v>2139</v>
      </c>
      <c r="E57" s="227">
        <f>'Balance Sheet'!D17</f>
        <v>2046</v>
      </c>
      <c r="F57" s="226">
        <f>'Balance Sheet'!E17</f>
        <v>2218</v>
      </c>
      <c r="G57" s="226">
        <f>'Balance Sheet'!F17</f>
        <v>2130</v>
      </c>
      <c r="H57" s="379">
        <f>AVERAGE($C$57:$G$57)</f>
        <v>2237.1999999999998</v>
      </c>
      <c r="I57" s="369">
        <f t="shared" ref="I57:L57" si="70">AVERAGE($C$57:$G$57)</f>
        <v>2237.1999999999998</v>
      </c>
      <c r="J57" s="368">
        <f t="shared" si="70"/>
        <v>2237.1999999999998</v>
      </c>
      <c r="K57" s="369">
        <f t="shared" si="70"/>
        <v>2237.1999999999998</v>
      </c>
      <c r="L57" s="368">
        <f t="shared" si="70"/>
        <v>2237.1999999999998</v>
      </c>
      <c r="M57" s="1"/>
      <c r="N57" s="1"/>
    </row>
    <row r="58" spans="2:14" ht="14.25" x14ac:dyDescent="0.2">
      <c r="B58" s="286" t="s">
        <v>44</v>
      </c>
      <c r="C58" s="383">
        <f>SUM(C47:C49,C54:C57)</f>
        <v>33782</v>
      </c>
      <c r="D58" s="384">
        <f>SUM(D47:D49,D54:D57)</f>
        <v>26494</v>
      </c>
      <c r="E58" s="385">
        <f t="shared" ref="E58:F58" si="71">SUM(E47:E49,E54:E57)</f>
        <v>23320</v>
      </c>
      <c r="F58" s="384">
        <f t="shared" si="71"/>
        <v>22473</v>
      </c>
      <c r="G58" s="384">
        <f>SUM(G47:G49,G54:G57)</f>
        <v>27987</v>
      </c>
      <c r="H58" s="383">
        <f>SUM(H47:H49,H54:H57)</f>
        <v>35123.648324702401</v>
      </c>
      <c r="I58" s="385">
        <f t="shared" ref="I58" si="72">SUM(I47:I49,I54:I57)</f>
        <v>37725.704478694497</v>
      </c>
      <c r="J58" s="384">
        <f t="shared" ref="J58" si="73">SUM(J47:J49,J54:J57)</f>
        <v>41312.170059150871</v>
      </c>
      <c r="K58" s="385">
        <f t="shared" ref="K58" si="74">SUM(K47:K49,K54:K57)</f>
        <v>46477.977615387674</v>
      </c>
      <c r="L58" s="384">
        <f t="shared" ref="L58" si="75">SUM(L47:L49,L54:L57)</f>
        <v>52259.725508432712</v>
      </c>
      <c r="M58" s="1"/>
      <c r="N58" s="1"/>
    </row>
    <row r="59" spans="2:14" s="1" customFormat="1" ht="15" x14ac:dyDescent="0.25">
      <c r="B59" s="252" t="s">
        <v>178</v>
      </c>
      <c r="C59" s="225">
        <f>'Balance Sheet'!B19</f>
        <v>19385</v>
      </c>
      <c r="D59" s="226">
        <f>'Balance Sheet'!C19</f>
        <v>19893</v>
      </c>
      <c r="E59" s="227">
        <f>'Balance Sheet'!D19</f>
        <v>20600</v>
      </c>
      <c r="F59" s="226">
        <f>'Balance Sheet'!E19</f>
        <v>21271</v>
      </c>
      <c r="G59" s="226">
        <f>'Balance Sheet'!F19</f>
        <v>20692</v>
      </c>
      <c r="H59" s="386">
        <f>G144</f>
        <v>21651</v>
      </c>
      <c r="I59" s="387">
        <f t="shared" ref="I59:L59" si="76">H144</f>
        <v>22290.367252764965</v>
      </c>
      <c r="J59" s="317">
        <f t="shared" si="76"/>
        <v>23025.210818349908</v>
      </c>
      <c r="K59" s="387">
        <f t="shared" si="76"/>
        <v>23851.203842838073</v>
      </c>
      <c r="L59" s="317">
        <f t="shared" si="76"/>
        <v>24765.107252741014</v>
      </c>
    </row>
    <row r="60" spans="2:14" s="1" customFormat="1" ht="15" x14ac:dyDescent="0.25">
      <c r="B60" s="252" t="s">
        <v>179</v>
      </c>
      <c r="C60" s="225">
        <f>'Balance Sheet'!B20</f>
        <v>44350</v>
      </c>
      <c r="D60" s="226">
        <f>'Balance Sheet'!C20</f>
        <v>44699</v>
      </c>
      <c r="E60" s="227">
        <f>'Balance Sheet'!D20</f>
        <v>45175</v>
      </c>
      <c r="F60" s="226">
        <f>'Balance Sheet'!E20</f>
        <v>40273</v>
      </c>
      <c r="G60" s="226">
        <f>'Balance Sheet'!F20</f>
        <v>39901</v>
      </c>
      <c r="H60" s="379">
        <f>G60</f>
        <v>39901</v>
      </c>
      <c r="I60" s="369">
        <f t="shared" ref="I60:L60" si="77">H60</f>
        <v>39901</v>
      </c>
      <c r="J60" s="368">
        <f t="shared" si="77"/>
        <v>39901</v>
      </c>
      <c r="K60" s="369">
        <f t="shared" si="77"/>
        <v>39901</v>
      </c>
      <c r="L60" s="368">
        <f t="shared" si="77"/>
        <v>39901</v>
      </c>
    </row>
    <row r="61" spans="2:14" s="1" customFormat="1" ht="15" x14ac:dyDescent="0.25">
      <c r="B61" s="252" t="s">
        <v>180</v>
      </c>
      <c r="C61" s="225">
        <f>'Balance Sheet'!B21</f>
        <v>24527</v>
      </c>
      <c r="D61" s="226">
        <f>'Balance Sheet'!C21</f>
        <v>24187</v>
      </c>
      <c r="E61" s="227">
        <f>'Balance Sheet'!D21</f>
        <v>23902</v>
      </c>
      <c r="F61" s="226">
        <f>'Balance Sheet'!E21</f>
        <v>24215</v>
      </c>
      <c r="G61" s="226">
        <f>'Balance Sheet'!F21</f>
        <v>23792</v>
      </c>
      <c r="H61" s="379">
        <f>G61</f>
        <v>23792</v>
      </c>
      <c r="I61" s="369">
        <f t="shared" ref="I61:L61" si="78">H61</f>
        <v>23792</v>
      </c>
      <c r="J61" s="368">
        <f t="shared" si="78"/>
        <v>23792</v>
      </c>
      <c r="K61" s="369">
        <f t="shared" si="78"/>
        <v>23792</v>
      </c>
      <c r="L61" s="368">
        <f t="shared" si="78"/>
        <v>23792</v>
      </c>
    </row>
    <row r="62" spans="2:14" s="1" customFormat="1" ht="15" x14ac:dyDescent="0.25">
      <c r="B62" s="366" t="s">
        <v>181</v>
      </c>
      <c r="C62" s="225">
        <v>5092</v>
      </c>
      <c r="D62" s="226">
        <f>'Balance Sheet'!C22</f>
        <v>5133</v>
      </c>
      <c r="E62" s="227">
        <f>'Balance Sheet'!D22</f>
        <v>5313</v>
      </c>
      <c r="F62" s="226">
        <f>'Balance Sheet'!E22</f>
        <v>6863</v>
      </c>
      <c r="G62" s="226">
        <f>'Balance Sheet'!F22</f>
        <v>8328</v>
      </c>
      <c r="H62" s="379">
        <f>G62</f>
        <v>8328</v>
      </c>
      <c r="I62" s="369">
        <f t="shared" ref="I62:L62" si="79">H62</f>
        <v>8328</v>
      </c>
      <c r="J62" s="368">
        <f t="shared" si="79"/>
        <v>8328</v>
      </c>
      <c r="K62" s="369">
        <f t="shared" si="79"/>
        <v>8328</v>
      </c>
      <c r="L62" s="368">
        <f t="shared" si="79"/>
        <v>8328</v>
      </c>
    </row>
    <row r="63" spans="2:14" ht="15" thickBot="1" x14ac:dyDescent="0.25">
      <c r="B63" s="287" t="s">
        <v>39</v>
      </c>
      <c r="C63" s="388">
        <f>C58+SUM(C59:C62)</f>
        <v>127136</v>
      </c>
      <c r="D63" s="389">
        <f>D58+SUM(D59:D62)</f>
        <v>120406</v>
      </c>
      <c r="E63" s="390">
        <f t="shared" ref="E63:G63" si="80">E58+SUM(E59:E62)</f>
        <v>118310</v>
      </c>
      <c r="F63" s="389">
        <f t="shared" si="80"/>
        <v>115095</v>
      </c>
      <c r="G63" s="389">
        <f t="shared" si="80"/>
        <v>120700</v>
      </c>
      <c r="H63" s="388">
        <f t="shared" ref="H63" si="81">H58+SUM(H59:H62)</f>
        <v>128795.6483247024</v>
      </c>
      <c r="I63" s="390">
        <f t="shared" ref="I63" si="82">I58+SUM(I59:I62)</f>
        <v>132037.07173145947</v>
      </c>
      <c r="J63" s="389">
        <f t="shared" ref="J63" si="83">J58+SUM(J59:J62)</f>
        <v>136358.38087750078</v>
      </c>
      <c r="K63" s="390">
        <f t="shared" ref="K63" si="84">K58+SUM(K59:K62)</f>
        <v>142350.18145822576</v>
      </c>
      <c r="L63" s="389">
        <f t="shared" ref="L63" si="85">L58+SUM(L59:L62)</f>
        <v>149045.83276117372</v>
      </c>
      <c r="M63" s="1"/>
      <c r="N63" s="1"/>
    </row>
    <row r="64" spans="2:14" ht="15.75" thickTop="1" x14ac:dyDescent="0.25">
      <c r="B64" s="288"/>
      <c r="C64" s="289"/>
      <c r="D64" s="290"/>
      <c r="E64" s="291"/>
      <c r="F64" s="291"/>
      <c r="G64" s="288"/>
      <c r="H64" s="292"/>
      <c r="I64" s="293"/>
      <c r="J64" s="292"/>
      <c r="K64" s="292"/>
      <c r="L64" s="292"/>
    </row>
    <row r="65" spans="2:14" ht="15" x14ac:dyDescent="0.25">
      <c r="B65" s="363" t="s">
        <v>107</v>
      </c>
      <c r="C65" s="294"/>
      <c r="D65" s="290"/>
      <c r="E65" s="271"/>
      <c r="F65" s="210" t="s">
        <v>1</v>
      </c>
      <c r="G65" s="288"/>
      <c r="H65" s="210"/>
      <c r="I65" s="252"/>
      <c r="J65" s="210"/>
      <c r="K65" s="210"/>
      <c r="L65" s="210"/>
    </row>
    <row r="66" spans="2:14" ht="15" x14ac:dyDescent="0.25">
      <c r="B66" s="364" t="s">
        <v>38</v>
      </c>
      <c r="C66" s="277"/>
      <c r="D66" s="290"/>
      <c r="E66" s="271"/>
      <c r="F66" s="210" t="s">
        <v>1</v>
      </c>
      <c r="G66" s="288"/>
      <c r="H66" s="210"/>
      <c r="I66" s="252"/>
      <c r="J66" s="210"/>
      <c r="K66" s="210"/>
      <c r="L66" s="210"/>
    </row>
    <row r="67" spans="2:14" ht="15" x14ac:dyDescent="0.25">
      <c r="B67" s="296" t="s">
        <v>37</v>
      </c>
      <c r="C67" s="379">
        <f>'Balance Sheet'!B27</f>
        <v>9325</v>
      </c>
      <c r="D67" s="379">
        <f>'Balance Sheet'!C27</f>
        <v>9632</v>
      </c>
      <c r="E67" s="368">
        <f>'Balance Sheet'!D27</f>
        <v>10344</v>
      </c>
      <c r="F67" s="368">
        <f>'Balance Sheet'!E27</f>
        <v>11260</v>
      </c>
      <c r="G67" s="393">
        <f>'Balance Sheet'!F27</f>
        <v>12071</v>
      </c>
      <c r="H67" s="368">
        <f>H21/365*H14</f>
        <v>11654.97652503127</v>
      </c>
      <c r="I67" s="369">
        <f>I21/365*I14</f>
        <v>12444.557745269387</v>
      </c>
      <c r="J67" s="368">
        <f>J21/365*J14</f>
        <v>13222.00069722803</v>
      </c>
      <c r="K67" s="368">
        <f>K21/365*K14</f>
        <v>14028.057311826104</v>
      </c>
      <c r="L67" s="236">
        <f>L21/365*L14</f>
        <v>14710.666946858255</v>
      </c>
    </row>
    <row r="68" spans="2:14" ht="15" x14ac:dyDescent="0.25">
      <c r="B68" s="296" t="s">
        <v>118</v>
      </c>
      <c r="C68" s="379">
        <f>'Balance Sheet'!B28</f>
        <v>2343</v>
      </c>
      <c r="D68" s="379">
        <f>'Balance Sheet'!C28</f>
        <v>0</v>
      </c>
      <c r="E68" s="368">
        <f>'Balance Sheet'!D28</f>
        <v>0</v>
      </c>
      <c r="F68" s="368">
        <f>'Balance Sheet'!E28</f>
        <v>0</v>
      </c>
      <c r="G68" s="393">
        <f>'Balance Sheet'!F28</f>
        <v>0</v>
      </c>
      <c r="H68" s="368">
        <f>AVERAGE($C$68:$G$68)</f>
        <v>468.6</v>
      </c>
      <c r="I68" s="369">
        <f t="shared" ref="I68:L68" si="86">AVERAGE($C$68:$G$68)</f>
        <v>468.6</v>
      </c>
      <c r="J68" s="368">
        <f t="shared" si="86"/>
        <v>468.6</v>
      </c>
      <c r="K68" s="368">
        <f t="shared" si="86"/>
        <v>468.6</v>
      </c>
      <c r="L68" s="297">
        <f t="shared" si="86"/>
        <v>468.6</v>
      </c>
    </row>
    <row r="69" spans="2:14" ht="15" x14ac:dyDescent="0.25">
      <c r="B69" s="296" t="s">
        <v>36</v>
      </c>
      <c r="C69" s="379">
        <f>'Balance Sheet'!B29</f>
        <v>7449</v>
      </c>
      <c r="D69" s="379">
        <f>'Balance Sheet'!C29</f>
        <v>7024</v>
      </c>
      <c r="E69" s="368">
        <f>'Balance Sheet'!D29</f>
        <v>7470</v>
      </c>
      <c r="F69" s="368">
        <f>'Balance Sheet'!E29</f>
        <v>9054</v>
      </c>
      <c r="G69" s="393">
        <f>'Balance Sheet'!F29</f>
        <v>9722</v>
      </c>
      <c r="H69" s="368">
        <f>AVERAGE($C$69:$G$69)</f>
        <v>8143.8</v>
      </c>
      <c r="I69" s="369">
        <f t="shared" ref="I69:L69" si="87">AVERAGE($C$69:$G$69)</f>
        <v>8143.8</v>
      </c>
      <c r="J69" s="368">
        <f t="shared" si="87"/>
        <v>8143.8</v>
      </c>
      <c r="K69" s="368">
        <f t="shared" si="87"/>
        <v>8143.8</v>
      </c>
      <c r="L69" s="297">
        <f t="shared" si="87"/>
        <v>8143.8</v>
      </c>
    </row>
    <row r="70" spans="2:14" ht="15" x14ac:dyDescent="0.25">
      <c r="B70" s="296" t="s">
        <v>35</v>
      </c>
      <c r="C70" s="379">
        <f>'Balance Sheet'!B30</f>
        <v>11653</v>
      </c>
      <c r="D70" s="379">
        <f>'Balance Sheet'!C30</f>
        <v>13554</v>
      </c>
      <c r="E70" s="368">
        <f>'Balance Sheet'!D30</f>
        <v>10423</v>
      </c>
      <c r="F70" s="368">
        <f>'Balance Sheet'!E30</f>
        <v>9697</v>
      </c>
      <c r="G70" s="393">
        <f>'Balance Sheet'!F30</f>
        <v>11183</v>
      </c>
      <c r="H70" s="368">
        <f>AVERAGE(C70:G70)</f>
        <v>11302</v>
      </c>
      <c r="I70" s="369">
        <f t="shared" ref="I70:L70" si="88">AVERAGE(D70:H70)</f>
        <v>11231.8</v>
      </c>
      <c r="J70" s="368">
        <f t="shared" si="88"/>
        <v>10767.36</v>
      </c>
      <c r="K70" s="368">
        <f t="shared" si="88"/>
        <v>10836.232</v>
      </c>
      <c r="L70" s="297">
        <f t="shared" si="88"/>
        <v>11064.078400000002</v>
      </c>
      <c r="M70" s="187">
        <f>C69+C70</f>
        <v>19102</v>
      </c>
      <c r="N70" s="187">
        <f>D69+D70</f>
        <v>20578</v>
      </c>
    </row>
    <row r="71" spans="2:14" ht="15" x14ac:dyDescent="0.25">
      <c r="B71" s="286" t="s">
        <v>34</v>
      </c>
      <c r="C71" s="394">
        <f>SUM(C67:C70)</f>
        <v>30770</v>
      </c>
      <c r="D71" s="394">
        <f t="shared" ref="D71:G71" si="89">SUM(D67:D70)</f>
        <v>30210</v>
      </c>
      <c r="E71" s="395">
        <f t="shared" si="89"/>
        <v>28237</v>
      </c>
      <c r="F71" s="395">
        <f t="shared" si="89"/>
        <v>30011</v>
      </c>
      <c r="G71" s="396">
        <f t="shared" si="89"/>
        <v>32976</v>
      </c>
      <c r="H71" s="395">
        <f t="shared" ref="H71" si="90">SUM(H67:H70)</f>
        <v>31569.376525031272</v>
      </c>
      <c r="I71" s="396">
        <f t="shared" ref="I71" si="91">SUM(I67:I70)</f>
        <v>32288.757745269388</v>
      </c>
      <c r="J71" s="395">
        <f t="shared" ref="J71" si="92">SUM(J67:J70)</f>
        <v>32601.76069722803</v>
      </c>
      <c r="K71" s="395">
        <f t="shared" ref="K71" si="93">SUM(K67:K70)</f>
        <v>33476.689311826107</v>
      </c>
      <c r="L71" s="299">
        <f t="shared" ref="L71" si="94">SUM(L67:L70)</f>
        <v>34387.145346858262</v>
      </c>
      <c r="M71" s="187"/>
      <c r="N71" s="187">
        <f>N70-M70</f>
        <v>1476</v>
      </c>
    </row>
    <row r="72" spans="2:14" ht="15" x14ac:dyDescent="0.25">
      <c r="B72" s="295" t="s">
        <v>33</v>
      </c>
      <c r="C72" s="379">
        <f>'Balance Sheet'!B32</f>
        <v>18945</v>
      </c>
      <c r="D72" s="379">
        <f>'Balance Sheet'!C32</f>
        <v>18038</v>
      </c>
      <c r="E72" s="368">
        <f>'Balance Sheet'!D32</f>
        <v>20863</v>
      </c>
      <c r="F72" s="368">
        <f>'Balance Sheet'!E32</f>
        <v>20395</v>
      </c>
      <c r="G72" s="393">
        <f>'Balance Sheet'!F32</f>
        <v>23537</v>
      </c>
      <c r="H72" s="368">
        <f>AVERAGE($C$72:$G$72)</f>
        <v>20355.599999999999</v>
      </c>
      <c r="I72" s="369">
        <f t="shared" ref="I72:L72" si="95">AVERAGE($C$72:$G$72)</f>
        <v>20355.599999999999</v>
      </c>
      <c r="J72" s="368">
        <f t="shared" si="95"/>
        <v>20355.599999999999</v>
      </c>
      <c r="K72" s="368">
        <f t="shared" si="95"/>
        <v>20355.599999999999</v>
      </c>
      <c r="L72" s="300">
        <f t="shared" si="95"/>
        <v>20355.599999999999</v>
      </c>
      <c r="M72" s="186"/>
      <c r="N72" s="186"/>
    </row>
    <row r="73" spans="2:14" ht="15" x14ac:dyDescent="0.25">
      <c r="B73" s="295" t="s">
        <v>32</v>
      </c>
      <c r="C73" s="379">
        <f>'Balance Sheet'!B33</f>
        <v>9113</v>
      </c>
      <c r="D73" s="379">
        <f>'Balance Sheet'!C33</f>
        <v>8126</v>
      </c>
      <c r="E73" s="368">
        <f>'Balance Sheet'!D33</f>
        <v>6163</v>
      </c>
      <c r="F73" s="368">
        <f>'Balance Sheet'!E33</f>
        <v>6899</v>
      </c>
      <c r="G73" s="393">
        <f>'Balance Sheet'!F33</f>
        <v>6199</v>
      </c>
      <c r="H73" s="368">
        <f>AVERAGE($C$73:$G$73)</f>
        <v>7300</v>
      </c>
      <c r="I73" s="369">
        <f t="shared" ref="I73:L73" si="96">AVERAGE($C$73:$G$73)</f>
        <v>7300</v>
      </c>
      <c r="J73" s="368">
        <f t="shared" si="96"/>
        <v>7300</v>
      </c>
      <c r="K73" s="368">
        <f t="shared" si="96"/>
        <v>7300</v>
      </c>
      <c r="L73" s="300">
        <f t="shared" si="96"/>
        <v>7300</v>
      </c>
      <c r="N73" s="186"/>
    </row>
    <row r="74" spans="2:14" ht="15" x14ac:dyDescent="0.25">
      <c r="B74" s="295" t="s">
        <v>31</v>
      </c>
      <c r="C74" s="379">
        <f>'Balance Sheet'!B34</f>
        <v>10325</v>
      </c>
      <c r="D74" s="379">
        <f>'Balance Sheet'!C34</f>
        <v>8254</v>
      </c>
      <c r="E74" s="368">
        <f>'Balance Sheet'!D34</f>
        <v>10164</v>
      </c>
      <c r="F74" s="368">
        <f>'Balance Sheet'!E34</f>
        <v>10211</v>
      </c>
      <c r="G74" s="393">
        <f>'Balance Sheet'!F34</f>
        <v>11110</v>
      </c>
      <c r="H74" s="368">
        <f>AVERAGE($C$74:$G$74)</f>
        <v>10012.799999999999</v>
      </c>
      <c r="I74" s="369">
        <f t="shared" ref="I74:L74" si="97">AVERAGE($C$74:$G$74)</f>
        <v>10012.799999999999</v>
      </c>
      <c r="J74" s="368">
        <f t="shared" si="97"/>
        <v>10012.799999999999</v>
      </c>
      <c r="K74" s="368">
        <f t="shared" si="97"/>
        <v>10012.799999999999</v>
      </c>
      <c r="L74" s="300">
        <f t="shared" si="97"/>
        <v>10012.799999999999</v>
      </c>
    </row>
    <row r="75" spans="2:14" ht="14.25" x14ac:dyDescent="0.2">
      <c r="B75" s="286" t="s">
        <v>30</v>
      </c>
      <c r="C75" s="397">
        <f>C71+SUM(C72:C74)</f>
        <v>69153</v>
      </c>
      <c r="D75" s="397">
        <f t="shared" ref="D75:G75" si="98">D71+SUM(D72:D74)</f>
        <v>64628</v>
      </c>
      <c r="E75" s="398">
        <f t="shared" si="98"/>
        <v>65427</v>
      </c>
      <c r="F75" s="398">
        <f t="shared" si="98"/>
        <v>67516</v>
      </c>
      <c r="G75" s="399">
        <f t="shared" si="98"/>
        <v>73822</v>
      </c>
      <c r="H75" s="398">
        <f t="shared" ref="H75" si="99">H71+SUM(H72:H74)</f>
        <v>69237.776525031266</v>
      </c>
      <c r="I75" s="399">
        <f t="shared" ref="I75" si="100">I71+SUM(I72:I74)</f>
        <v>69957.157745269389</v>
      </c>
      <c r="J75" s="398">
        <f t="shared" ref="J75" si="101">J71+SUM(J72:J74)</f>
        <v>70270.160697228028</v>
      </c>
      <c r="K75" s="398">
        <f t="shared" ref="K75" si="102">K71+SUM(K72:K74)</f>
        <v>71145.089311826101</v>
      </c>
      <c r="L75" s="301">
        <f t="shared" ref="L75" si="103">L71+SUM(L72:L74)</f>
        <v>72055.545346858256</v>
      </c>
    </row>
    <row r="76" spans="2:14" ht="15" x14ac:dyDescent="0.25">
      <c r="B76" s="364" t="s">
        <v>29</v>
      </c>
      <c r="C76" s="378"/>
      <c r="D76" s="391"/>
      <c r="E76" s="377"/>
      <c r="F76" s="377"/>
      <c r="G76" s="392"/>
      <c r="H76" s="368"/>
      <c r="I76" s="369"/>
      <c r="J76" s="368"/>
      <c r="K76" s="368"/>
      <c r="L76" s="210"/>
    </row>
    <row r="77" spans="2:14" ht="30" x14ac:dyDescent="0.25">
      <c r="B77" s="296" t="s">
        <v>28</v>
      </c>
      <c r="C77" s="379">
        <f>'Balance Sheet'!B37</f>
        <v>1038</v>
      </c>
      <c r="D77" s="379">
        <f>'Balance Sheet'!C37</f>
        <v>1006</v>
      </c>
      <c r="E77" s="368">
        <f>'Balance Sheet'!D37</f>
        <v>967</v>
      </c>
      <c r="F77" s="368">
        <f>'Balance Sheet'!E37</f>
        <v>928</v>
      </c>
      <c r="G77" s="393">
        <f>'Balance Sheet'!F37</f>
        <v>897</v>
      </c>
      <c r="H77" s="368">
        <f>G77</f>
        <v>897</v>
      </c>
      <c r="I77" s="369">
        <f t="shared" ref="I77:L77" si="104">H77</f>
        <v>897</v>
      </c>
      <c r="J77" s="368">
        <f t="shared" si="104"/>
        <v>897</v>
      </c>
      <c r="K77" s="368">
        <f t="shared" si="104"/>
        <v>897</v>
      </c>
      <c r="L77" s="300">
        <f t="shared" si="104"/>
        <v>897</v>
      </c>
    </row>
    <row r="78" spans="2:14" ht="30" x14ac:dyDescent="0.25">
      <c r="B78" s="296" t="s">
        <v>27</v>
      </c>
      <c r="C78" s="379">
        <f>'Balance Sheet'!B38</f>
        <v>0</v>
      </c>
      <c r="D78" s="379">
        <f>'Balance Sheet'!C38</f>
        <v>0</v>
      </c>
      <c r="E78" s="368">
        <f>'Balance Sheet'!D38</f>
        <v>0</v>
      </c>
      <c r="F78" s="368">
        <f>'Balance Sheet'!E38</f>
        <v>0</v>
      </c>
      <c r="G78" s="393">
        <f>'Balance Sheet'!F38</f>
        <v>0</v>
      </c>
      <c r="H78" s="368">
        <f>'Balance Sheet'!G38</f>
        <v>0</v>
      </c>
      <c r="I78" s="393">
        <f>'Balance Sheet'!H38</f>
        <v>0</v>
      </c>
      <c r="J78" s="368">
        <f>'Balance Sheet'!I38</f>
        <v>0</v>
      </c>
      <c r="K78" s="368">
        <f>'Balance Sheet'!J38</f>
        <v>0</v>
      </c>
      <c r="L78" s="300">
        <f>'Balance Sheet'!K38</f>
        <v>0</v>
      </c>
    </row>
    <row r="79" spans="2:14" ht="45" x14ac:dyDescent="0.25">
      <c r="B79" s="296" t="s">
        <v>111</v>
      </c>
      <c r="C79" s="379">
        <f>'Balance Sheet'!B39</f>
        <v>4009</v>
      </c>
      <c r="D79" s="379">
        <f>'Balance Sheet'!C39</f>
        <v>4009</v>
      </c>
      <c r="E79" s="368">
        <f>'Balance Sheet'!D39</f>
        <v>4009</v>
      </c>
      <c r="F79" s="368">
        <f>'Balance Sheet'!E39</f>
        <v>4009</v>
      </c>
      <c r="G79" s="393">
        <f>'Balance Sheet'!F39</f>
        <v>4009</v>
      </c>
      <c r="H79" s="368">
        <f>G79</f>
        <v>4009</v>
      </c>
      <c r="I79" s="369">
        <f t="shared" ref="I79:L79" si="105">H79</f>
        <v>4009</v>
      </c>
      <c r="J79" s="368">
        <f t="shared" si="105"/>
        <v>4009</v>
      </c>
      <c r="K79" s="368">
        <f t="shared" si="105"/>
        <v>4009</v>
      </c>
      <c r="L79" s="300">
        <f t="shared" si="105"/>
        <v>4009</v>
      </c>
    </row>
    <row r="80" spans="2:14" ht="15" x14ac:dyDescent="0.25">
      <c r="B80" s="296" t="s">
        <v>26</v>
      </c>
      <c r="C80" s="379">
        <f>'Balance Sheet'!B40</f>
        <v>63714</v>
      </c>
      <c r="D80" s="379">
        <f>'Balance Sheet'!C40</f>
        <v>63641</v>
      </c>
      <c r="E80" s="368">
        <f>'Balance Sheet'!D40</f>
        <v>63846</v>
      </c>
      <c r="F80" s="368">
        <f>'Balance Sheet'!E40</f>
        <v>63827</v>
      </c>
      <c r="G80" s="393">
        <f>'Balance Sheet'!F40</f>
        <v>64194</v>
      </c>
      <c r="H80" s="368">
        <f>G80</f>
        <v>64194</v>
      </c>
      <c r="I80" s="369">
        <f t="shared" ref="I80:L80" si="106">H80</f>
        <v>64194</v>
      </c>
      <c r="J80" s="368">
        <f t="shared" si="106"/>
        <v>64194</v>
      </c>
      <c r="K80" s="368">
        <f t="shared" si="106"/>
        <v>64194</v>
      </c>
      <c r="L80" s="300">
        <f t="shared" si="106"/>
        <v>64194</v>
      </c>
    </row>
    <row r="81" spans="2:12" ht="15" x14ac:dyDescent="0.25">
      <c r="B81" s="296" t="s">
        <v>25</v>
      </c>
      <c r="C81" s="379">
        <f>'Balance Sheet'!B41</f>
        <v>-1290</v>
      </c>
      <c r="D81" s="379">
        <f>'Balance Sheet'!C41</f>
        <v>-1249</v>
      </c>
      <c r="E81" s="368">
        <f>'Balance Sheet'!D41</f>
        <v>-1204</v>
      </c>
      <c r="F81" s="368">
        <f>'Balance Sheet'!E41</f>
        <v>-1146</v>
      </c>
      <c r="G81" s="393">
        <f>'Balance Sheet'!F41</f>
        <v>-1080</v>
      </c>
      <c r="H81" s="368">
        <f>G81</f>
        <v>-1080</v>
      </c>
      <c r="I81" s="369">
        <f t="shared" ref="I81:L81" si="107">H81</f>
        <v>-1080</v>
      </c>
      <c r="J81" s="368">
        <f t="shared" si="107"/>
        <v>-1080</v>
      </c>
      <c r="K81" s="368">
        <f t="shared" si="107"/>
        <v>-1080</v>
      </c>
      <c r="L81" s="300">
        <f t="shared" si="107"/>
        <v>-1080</v>
      </c>
    </row>
    <row r="82" spans="2:12" ht="15" x14ac:dyDescent="0.25">
      <c r="B82" s="296" t="s">
        <v>24</v>
      </c>
      <c r="C82" s="379">
        <f>'Balance Sheet'!B42</f>
        <v>-15907</v>
      </c>
      <c r="D82" s="379">
        <f>'Balance Sheet'!C42</f>
        <v>-14632</v>
      </c>
      <c r="E82" s="368">
        <f>'Balance Sheet'!D42</f>
        <v>-14749</v>
      </c>
      <c r="F82" s="368">
        <f>'Balance Sheet'!E42</f>
        <v>-14936</v>
      </c>
      <c r="G82" s="393">
        <f>'Balance Sheet'!F42</f>
        <v>-16165</v>
      </c>
      <c r="H82" s="368">
        <v>-15038.617252764961</v>
      </c>
      <c r="I82" s="369">
        <v>-24641.303565584938</v>
      </c>
      <c r="J82" s="368">
        <v>-33376.815024488169</v>
      </c>
      <c r="K82" s="368">
        <v>-41647.269809902908</v>
      </c>
      <c r="L82" s="300">
        <v>-49923.259690839914</v>
      </c>
    </row>
    <row r="83" spans="2:12" ht="30" x14ac:dyDescent="0.25">
      <c r="B83" s="296" t="s">
        <v>112</v>
      </c>
      <c r="C83" s="379">
        <f>'Balance Sheet'!B43</f>
        <v>-82176</v>
      </c>
      <c r="D83" s="379">
        <f>'Balance Sheet'!C43</f>
        <v>-93715</v>
      </c>
      <c r="E83" s="368">
        <f>'Balance Sheet'!D43</f>
        <v>-99217</v>
      </c>
      <c r="F83" s="368">
        <f>'Balance Sheet'!E43</f>
        <v>-100406</v>
      </c>
      <c r="G83" s="393">
        <f>'Balance Sheet'!F43</f>
        <v>-105573</v>
      </c>
      <c r="H83" s="368">
        <f t="shared" ref="H83:L83" si="108">G83</f>
        <v>-105573</v>
      </c>
      <c r="I83" s="369">
        <f t="shared" si="108"/>
        <v>-105573</v>
      </c>
      <c r="J83" s="368">
        <f t="shared" si="108"/>
        <v>-105573</v>
      </c>
      <c r="K83" s="368">
        <f t="shared" si="108"/>
        <v>-105573</v>
      </c>
      <c r="L83" s="300">
        <f t="shared" si="108"/>
        <v>-105573</v>
      </c>
    </row>
    <row r="84" spans="2:12" ht="15" x14ac:dyDescent="0.25">
      <c r="B84" s="296" t="s">
        <v>23</v>
      </c>
      <c r="C84" s="379">
        <f>'Balance Sheet'!B44</f>
        <v>87953</v>
      </c>
      <c r="D84" s="379">
        <f>'Balance Sheet'!C44</f>
        <v>96124</v>
      </c>
      <c r="E84" s="368">
        <f>'Balance Sheet'!D44</f>
        <v>98641</v>
      </c>
      <c r="F84" s="368">
        <f>'Balance Sheet'!E44</f>
        <v>94918</v>
      </c>
      <c r="G84" s="393">
        <f>'Balance Sheet'!F44</f>
        <v>100239</v>
      </c>
      <c r="H84" s="368">
        <f>G84+H39</f>
        <v>111778.4890524361</v>
      </c>
      <c r="I84" s="369">
        <f t="shared" ref="I84:L84" si="109">H84+I39</f>
        <v>123903.21755177503</v>
      </c>
      <c r="J84" s="368">
        <f t="shared" si="109"/>
        <v>136647.0352047609</v>
      </c>
      <c r="K84" s="368">
        <f t="shared" si="109"/>
        <v>150034.36195630257</v>
      </c>
      <c r="L84" s="236">
        <f t="shared" si="109"/>
        <v>164095.54710515536</v>
      </c>
    </row>
    <row r="85" spans="2:12" ht="15" x14ac:dyDescent="0.25">
      <c r="B85" s="296" t="s">
        <v>22</v>
      </c>
      <c r="C85" s="379">
        <f>'Balance Sheet'!B45</f>
        <v>642</v>
      </c>
      <c r="D85" s="379">
        <f>'Balance Sheet'!C45</f>
        <v>594</v>
      </c>
      <c r="E85" s="368">
        <f>'Balance Sheet'!D45</f>
        <v>590</v>
      </c>
      <c r="F85" s="368">
        <f>'Balance Sheet'!E45</f>
        <v>385</v>
      </c>
      <c r="G85" s="393">
        <f>'Balance Sheet'!F45</f>
        <v>357</v>
      </c>
      <c r="H85" s="368">
        <f>AVERAGE($F$85:$G$85)</f>
        <v>371</v>
      </c>
      <c r="I85" s="369">
        <f t="shared" ref="I85:L85" si="110">AVERAGE($F$85:$G$85)</f>
        <v>371</v>
      </c>
      <c r="J85" s="368">
        <f t="shared" si="110"/>
        <v>371</v>
      </c>
      <c r="K85" s="368">
        <f t="shared" si="110"/>
        <v>371</v>
      </c>
      <c r="L85" s="300">
        <f t="shared" si="110"/>
        <v>371</v>
      </c>
    </row>
    <row r="86" spans="2:12" s="10" customFormat="1" ht="14.25" x14ac:dyDescent="0.2">
      <c r="B86" s="286" t="s">
        <v>21</v>
      </c>
      <c r="C86" s="397">
        <f>SUM(C77:C85)</f>
        <v>57983</v>
      </c>
      <c r="D86" s="397">
        <f>SUM(D77:D85)</f>
        <v>55778</v>
      </c>
      <c r="E86" s="398">
        <f t="shared" ref="E86:G86" si="111">SUM(E77:E85)</f>
        <v>52883</v>
      </c>
      <c r="F86" s="398">
        <f t="shared" si="111"/>
        <v>47579</v>
      </c>
      <c r="G86" s="399">
        <f t="shared" si="111"/>
        <v>46878</v>
      </c>
      <c r="H86" s="398">
        <f t="shared" ref="H86" si="112">SUM(H77:H85)</f>
        <v>59557.871799671135</v>
      </c>
      <c r="I86" s="399">
        <f t="shared" ref="I86" si="113">SUM(I77:I85)</f>
        <v>62079.913986190091</v>
      </c>
      <c r="J86" s="398">
        <f t="shared" ref="J86" si="114">SUM(J77:J85)</f>
        <v>66088.220180272736</v>
      </c>
      <c r="K86" s="398">
        <f t="shared" ref="K86" si="115">SUM(K77:K85)</f>
        <v>71205.092146399664</v>
      </c>
      <c r="L86" s="301">
        <f t="shared" ref="L86" si="116">SUM(L77:L85)</f>
        <v>76990.287414315448</v>
      </c>
    </row>
    <row r="87" spans="2:12" s="10" customFormat="1" ht="29.25" thickBot="1" x14ac:dyDescent="0.25">
      <c r="B87" s="287" t="s">
        <v>20</v>
      </c>
      <c r="C87" s="400">
        <f>C75+C86</f>
        <v>127136</v>
      </c>
      <c r="D87" s="400">
        <f t="shared" ref="D87:G87" si="117">D75+D86</f>
        <v>120406</v>
      </c>
      <c r="E87" s="401">
        <f t="shared" si="117"/>
        <v>118310</v>
      </c>
      <c r="F87" s="401">
        <f t="shared" si="117"/>
        <v>115095</v>
      </c>
      <c r="G87" s="402">
        <f t="shared" si="117"/>
        <v>120700</v>
      </c>
      <c r="H87" s="401">
        <f t="shared" ref="H87" si="118">H75+H86</f>
        <v>128795.6483247024</v>
      </c>
      <c r="I87" s="402">
        <f t="shared" ref="I87" si="119">I75+I86</f>
        <v>132037.07173145947</v>
      </c>
      <c r="J87" s="401">
        <f t="shared" ref="J87" si="120">J75+J86</f>
        <v>136358.38087750075</v>
      </c>
      <c r="K87" s="401">
        <f t="shared" ref="K87" si="121">K75+K86</f>
        <v>142350.18145822576</v>
      </c>
      <c r="L87" s="367">
        <f t="shared" ref="L87" si="122">L75+L86</f>
        <v>149045.83276117372</v>
      </c>
    </row>
    <row r="88" spans="2:12" ht="15.75" thickTop="1" x14ac:dyDescent="0.25">
      <c r="B88" s="302" t="s">
        <v>152</v>
      </c>
      <c r="C88" s="303">
        <f>C63-C87</f>
        <v>0</v>
      </c>
      <c r="D88" s="303">
        <f t="shared" ref="D88:L88" si="123">D63-D87</f>
        <v>0</v>
      </c>
      <c r="E88" s="303">
        <f t="shared" si="123"/>
        <v>0</v>
      </c>
      <c r="F88" s="303">
        <f t="shared" si="123"/>
        <v>0</v>
      </c>
      <c r="G88" s="303">
        <f t="shared" si="123"/>
        <v>0</v>
      </c>
      <c r="H88" s="303">
        <f t="shared" si="123"/>
        <v>0</v>
      </c>
      <c r="I88" s="303">
        <f t="shared" si="123"/>
        <v>0</v>
      </c>
      <c r="J88" s="303">
        <f t="shared" si="123"/>
        <v>0</v>
      </c>
      <c r="K88" s="303">
        <f t="shared" si="123"/>
        <v>0</v>
      </c>
      <c r="L88" s="303">
        <f t="shared" si="123"/>
        <v>0</v>
      </c>
    </row>
    <row r="89" spans="2:12" ht="15" x14ac:dyDescent="0.25">
      <c r="B89" s="262"/>
      <c r="C89" s="298"/>
      <c r="D89" s="304"/>
      <c r="E89" s="305"/>
      <c r="F89" s="306"/>
      <c r="G89" s="307"/>
      <c r="H89" s="308"/>
      <c r="I89" s="308"/>
      <c r="J89" s="308"/>
      <c r="K89" s="308"/>
      <c r="L89" s="308"/>
    </row>
    <row r="90" spans="2:12" ht="18.75" x14ac:dyDescent="0.3">
      <c r="B90" s="189" t="s">
        <v>177</v>
      </c>
      <c r="C90" s="309"/>
      <c r="D90" s="310"/>
      <c r="E90" s="310"/>
      <c r="F90" s="310"/>
      <c r="G90" s="310"/>
      <c r="H90" s="310"/>
      <c r="I90" s="310"/>
      <c r="J90" s="310"/>
      <c r="K90" s="310"/>
      <c r="L90" s="310"/>
    </row>
    <row r="91" spans="2:12" ht="15" x14ac:dyDescent="0.25">
      <c r="B91" s="295" t="s">
        <v>182</v>
      </c>
      <c r="C91" s="225">
        <f>CashFlow!B5</f>
        <v>6836</v>
      </c>
      <c r="D91" s="380">
        <f>C47</f>
        <v>7102</v>
      </c>
      <c r="E91" s="380">
        <f t="shared" ref="E91:L91" si="124">D47</f>
        <v>5569</v>
      </c>
      <c r="F91" s="380">
        <f t="shared" si="124"/>
        <v>2569</v>
      </c>
      <c r="G91" s="380">
        <f t="shared" si="124"/>
        <v>4239</v>
      </c>
      <c r="H91" s="381">
        <f t="shared" si="124"/>
        <v>16181</v>
      </c>
      <c r="I91" s="380">
        <f t="shared" si="124"/>
        <v>16143.692990411624</v>
      </c>
      <c r="J91" s="382">
        <f t="shared" si="124"/>
        <v>18192.973413450105</v>
      </c>
      <c r="K91" s="380">
        <f t="shared" si="124"/>
        <v>21242.061926851853</v>
      </c>
      <c r="L91" s="311">
        <f t="shared" si="124"/>
        <v>25805.530322465263</v>
      </c>
    </row>
    <row r="92" spans="2:12" ht="15" x14ac:dyDescent="0.25">
      <c r="B92" s="312" t="s">
        <v>92</v>
      </c>
      <c r="C92" s="404"/>
      <c r="D92" s="404"/>
      <c r="E92" s="404"/>
      <c r="F92" s="404"/>
      <c r="G92" s="404"/>
      <c r="H92" s="405"/>
      <c r="I92" s="406"/>
      <c r="J92" s="407"/>
      <c r="K92" s="406"/>
      <c r="L92" s="313"/>
    </row>
    <row r="93" spans="2:12" ht="15" x14ac:dyDescent="0.25">
      <c r="B93" s="296" t="s">
        <v>56</v>
      </c>
      <c r="C93" s="225">
        <f>C37</f>
        <v>10154</v>
      </c>
      <c r="D93" s="225">
        <f t="shared" ref="D93:L93" si="125">D37</f>
        <v>15411</v>
      </c>
      <c r="E93" s="225">
        <f t="shared" si="125"/>
        <v>9861</v>
      </c>
      <c r="F93" s="225">
        <f t="shared" si="125"/>
        <v>3966</v>
      </c>
      <c r="G93" s="225">
        <f t="shared" si="125"/>
        <v>13103</v>
      </c>
      <c r="H93" s="226">
        <f t="shared" si="125"/>
        <v>11626.889052436092</v>
      </c>
      <c r="I93" s="225">
        <f t="shared" si="125"/>
        <v>12212.128499338934</v>
      </c>
      <c r="J93" s="227">
        <f t="shared" si="125"/>
        <v>12831.21765298589</v>
      </c>
      <c r="K93" s="225">
        <f t="shared" si="125"/>
        <v>13474.726751541677</v>
      </c>
      <c r="L93" s="263">
        <f t="shared" si="125"/>
        <v>14148.585148852802</v>
      </c>
    </row>
    <row r="94" spans="2:12" ht="15" x14ac:dyDescent="0.25">
      <c r="B94" s="296" t="s">
        <v>91</v>
      </c>
      <c r="C94" s="225">
        <f>CashFlow!B8</f>
        <v>3078</v>
      </c>
      <c r="D94" s="225">
        <f>CashFlow!C8</f>
        <v>2820</v>
      </c>
      <c r="E94" s="225">
        <f>CashFlow!D8</f>
        <v>2834</v>
      </c>
      <c r="F94" s="225">
        <f>CashFlow!E8</f>
        <v>2824</v>
      </c>
      <c r="G94" s="225">
        <f>CashFlow!F8</f>
        <v>3013</v>
      </c>
      <c r="H94" s="370">
        <f>H59*H17</f>
        <v>3102.5815827966726</v>
      </c>
      <c r="I94" s="408">
        <f>I59*I17</f>
        <v>3194.2027117547755</v>
      </c>
      <c r="J94" s="371">
        <f>J59*J17</f>
        <v>3299.5055667185406</v>
      </c>
      <c r="K94" s="408">
        <f>K59*K17</f>
        <v>3417.8701108640998</v>
      </c>
      <c r="L94" s="314">
        <f>L59*L17</f>
        <v>3548.8321859654784</v>
      </c>
    </row>
    <row r="95" spans="2:12" ht="15" x14ac:dyDescent="0.25">
      <c r="B95" s="296" t="s">
        <v>90</v>
      </c>
      <c r="C95" s="225">
        <f>CashFlow!B9</f>
        <v>0</v>
      </c>
      <c r="D95" s="225">
        <f>CashFlow!C9</f>
        <v>543</v>
      </c>
      <c r="E95" s="225">
        <f>CashFlow!D9</f>
        <v>346</v>
      </c>
      <c r="F95" s="225">
        <f>CashFlow!E9</f>
        <v>0</v>
      </c>
      <c r="G95" s="225">
        <f>CashFlow!F9</f>
        <v>0</v>
      </c>
      <c r="H95" s="226">
        <f>CashFlow!G9</f>
        <v>0</v>
      </c>
      <c r="I95" s="225">
        <f>CashFlow!H9</f>
        <v>0</v>
      </c>
      <c r="J95" s="227">
        <f>CashFlow!I9</f>
        <v>0</v>
      </c>
      <c r="K95" s="225">
        <f>CashFlow!J9</f>
        <v>0</v>
      </c>
      <c r="L95" s="257">
        <f>CashFlow!K9</f>
        <v>0</v>
      </c>
    </row>
    <row r="96" spans="2:12" ht="15" x14ac:dyDescent="0.25">
      <c r="B96" s="296" t="s">
        <v>89</v>
      </c>
      <c r="C96" s="225">
        <f>CashFlow!B10</f>
        <v>335</v>
      </c>
      <c r="D96" s="225">
        <f>CashFlow!C10</f>
        <v>351</v>
      </c>
      <c r="E96" s="225">
        <f>CashFlow!D10</f>
        <v>395</v>
      </c>
      <c r="F96" s="225">
        <f>CashFlow!E10</f>
        <v>515</v>
      </c>
      <c r="G96" s="225">
        <f>CashFlow!F10</f>
        <v>558</v>
      </c>
      <c r="H96" s="368">
        <f>AVERAGE($C$96:$E$96,$F$96:$G$96)</f>
        <v>430.8</v>
      </c>
      <c r="I96" s="379">
        <f t="shared" ref="I96:L96" si="126">AVERAGE($C$96:$E$96,$F$96:$G$96)</f>
        <v>430.8</v>
      </c>
      <c r="J96" s="369">
        <f t="shared" si="126"/>
        <v>430.8</v>
      </c>
      <c r="K96" s="379">
        <f t="shared" si="126"/>
        <v>430.8</v>
      </c>
      <c r="L96" s="280">
        <f t="shared" si="126"/>
        <v>430.8</v>
      </c>
    </row>
    <row r="97" spans="2:12" ht="15" x14ac:dyDescent="0.25">
      <c r="B97" s="296" t="s">
        <v>46</v>
      </c>
      <c r="C97" s="225">
        <f>CashFlow!B11</f>
        <v>-815</v>
      </c>
      <c r="D97" s="225">
        <f>CashFlow!C11</f>
        <v>-601</v>
      </c>
      <c r="E97" s="225">
        <f>CashFlow!D11</f>
        <v>-1844</v>
      </c>
      <c r="F97" s="225">
        <f>CashFlow!E11</f>
        <v>-411</v>
      </c>
      <c r="G97" s="225">
        <f>CashFlow!F11</f>
        <v>-596</v>
      </c>
      <c r="H97" s="368">
        <f>AVERAGE($C$97:$D$97,$F$97:$G$97)</f>
        <v>-605.75</v>
      </c>
      <c r="I97" s="379">
        <f t="shared" ref="I97:L97" si="127">AVERAGE($C$97:$D$97,$F$97:$G$97)</f>
        <v>-605.75</v>
      </c>
      <c r="J97" s="369">
        <f t="shared" si="127"/>
        <v>-605.75</v>
      </c>
      <c r="K97" s="379">
        <f t="shared" si="127"/>
        <v>-605.75</v>
      </c>
      <c r="L97" s="280">
        <f t="shared" si="127"/>
        <v>-605.75</v>
      </c>
    </row>
    <row r="98" spans="2:12" ht="15" x14ac:dyDescent="0.25">
      <c r="B98" s="296" t="s">
        <v>88</v>
      </c>
      <c r="C98" s="225">
        <f>CashFlow!B12</f>
        <v>-41</v>
      </c>
      <c r="D98" s="225">
        <f>CashFlow!C12</f>
        <v>-5490</v>
      </c>
      <c r="E98" s="225">
        <f>CashFlow!D12</f>
        <v>-176</v>
      </c>
      <c r="F98" s="225">
        <f>CashFlow!E12</f>
        <v>-678</v>
      </c>
      <c r="G98" s="225">
        <f>CashFlow!F12</f>
        <v>7</v>
      </c>
      <c r="H98" s="226">
        <v>7</v>
      </c>
      <c r="I98" s="225">
        <v>7</v>
      </c>
      <c r="J98" s="227">
        <v>7</v>
      </c>
      <c r="K98" s="225">
        <v>7</v>
      </c>
      <c r="L98" s="257">
        <v>7</v>
      </c>
    </row>
    <row r="99" spans="2:12" ht="15" x14ac:dyDescent="0.25">
      <c r="B99" s="296" t="s">
        <v>115</v>
      </c>
      <c r="C99" s="225">
        <f>C27</f>
        <v>450</v>
      </c>
      <c r="D99" s="225">
        <f t="shared" ref="D99:L99" si="128">D27</f>
        <v>0</v>
      </c>
      <c r="E99" s="225">
        <f t="shared" si="128"/>
        <v>0</v>
      </c>
      <c r="F99" s="225">
        <f t="shared" si="128"/>
        <v>8345</v>
      </c>
      <c r="G99" s="225">
        <f t="shared" si="128"/>
        <v>0</v>
      </c>
      <c r="H99" s="226">
        <f t="shared" si="128"/>
        <v>0</v>
      </c>
      <c r="I99" s="225">
        <f t="shared" si="128"/>
        <v>0</v>
      </c>
      <c r="J99" s="227">
        <f t="shared" si="128"/>
        <v>0</v>
      </c>
      <c r="K99" s="225">
        <f t="shared" si="128"/>
        <v>0</v>
      </c>
      <c r="L99" s="315">
        <f t="shared" si="128"/>
        <v>0</v>
      </c>
    </row>
    <row r="100" spans="2:12" ht="15" x14ac:dyDescent="0.25">
      <c r="B100" s="296" t="s">
        <v>87</v>
      </c>
      <c r="C100" s="225">
        <f>CashFlow!B14</f>
        <v>35</v>
      </c>
      <c r="D100" s="225">
        <f>C49-D49</f>
        <v>-221</v>
      </c>
      <c r="E100" s="225">
        <f t="shared" ref="E100:L100" si="129">D49-E49</f>
        <v>-92</v>
      </c>
      <c r="F100" s="225">
        <f t="shared" si="129"/>
        <v>-265</v>
      </c>
      <c r="G100" s="225">
        <f t="shared" si="129"/>
        <v>773</v>
      </c>
      <c r="H100" s="226">
        <f t="shared" si="129"/>
        <v>-883.86944416175356</v>
      </c>
      <c r="I100" s="225">
        <f t="shared" si="129"/>
        <v>-268.39330099883227</v>
      </c>
      <c r="J100" s="227">
        <f t="shared" si="129"/>
        <v>-225.91482520075806</v>
      </c>
      <c r="K100" s="225">
        <f t="shared" si="129"/>
        <v>-235.2411057546733</v>
      </c>
      <c r="L100" s="263">
        <f t="shared" si="129"/>
        <v>-181.01314504385482</v>
      </c>
    </row>
    <row r="101" spans="2:12" ht="15" x14ac:dyDescent="0.25">
      <c r="B101" s="296" t="s">
        <v>86</v>
      </c>
      <c r="C101" s="225">
        <f>CashFlow!B15</f>
        <v>116</v>
      </c>
      <c r="D101" s="225">
        <f>C54-D54</f>
        <v>92</v>
      </c>
      <c r="E101" s="225">
        <f t="shared" ref="E101:L101" si="130">D54-E54</f>
        <v>-114</v>
      </c>
      <c r="F101" s="225">
        <f t="shared" si="130"/>
        <v>-279</v>
      </c>
      <c r="G101" s="225">
        <f t="shared" si="130"/>
        <v>-481</v>
      </c>
      <c r="H101" s="226">
        <f t="shared" si="130"/>
        <v>45.714109870978973</v>
      </c>
      <c r="I101" s="225">
        <f t="shared" si="130"/>
        <v>-284.38242995478959</v>
      </c>
      <c r="J101" s="227">
        <f t="shared" si="130"/>
        <v>-311.46224185386291</v>
      </c>
      <c r="K101" s="225">
        <f t="shared" si="130"/>
        <v>-367.0980548687221</v>
      </c>
      <c r="L101" s="263">
        <f t="shared" si="130"/>
        <v>-347.0157476755312</v>
      </c>
    </row>
    <row r="102" spans="2:12" ht="17.25" customHeight="1" x14ac:dyDescent="0.25">
      <c r="B102" s="296" t="s">
        <v>85</v>
      </c>
      <c r="C102" s="225">
        <f>CashFlow!B16</f>
        <v>1285</v>
      </c>
      <c r="D102" s="225">
        <f>D67-C67</f>
        <v>307</v>
      </c>
      <c r="E102" s="225">
        <f t="shared" ref="E102:L102" si="131">E67-D67</f>
        <v>712</v>
      </c>
      <c r="F102" s="225">
        <f t="shared" si="131"/>
        <v>916</v>
      </c>
      <c r="G102" s="225">
        <f t="shared" si="131"/>
        <v>811</v>
      </c>
      <c r="H102" s="317">
        <f t="shared" si="131"/>
        <v>-416.02347496872972</v>
      </c>
      <c r="I102" s="225">
        <f t="shared" si="131"/>
        <v>789.58122023811666</v>
      </c>
      <c r="J102" s="227">
        <f t="shared" si="131"/>
        <v>777.44295195864288</v>
      </c>
      <c r="K102" s="225">
        <f t="shared" si="131"/>
        <v>806.05661459807379</v>
      </c>
      <c r="L102" s="316">
        <f t="shared" si="131"/>
        <v>682.60963503215135</v>
      </c>
    </row>
    <row r="103" spans="2:12" ht="15" x14ac:dyDescent="0.25">
      <c r="B103" s="296" t="s">
        <v>84</v>
      </c>
      <c r="C103" s="225">
        <f>CashFlow!B17</f>
        <v>204</v>
      </c>
      <c r="D103" s="225">
        <f>CashFlow!C17</f>
        <v>-43</v>
      </c>
      <c r="E103" s="225">
        <f>CashFlow!D17</f>
        <v>2000</v>
      </c>
      <c r="F103" s="225">
        <f>CashFlow!E17</f>
        <v>-973</v>
      </c>
      <c r="G103" s="225">
        <f>CashFlow!F17</f>
        <v>-710</v>
      </c>
      <c r="H103" s="368">
        <f>AVERAGE($C$103:$D$103,$F$103:$G$103)</f>
        <v>-380.5</v>
      </c>
      <c r="I103" s="379">
        <f t="shared" ref="I103:L103" si="132">AVERAGE($C$103:$D$103,$F$103:$G$103)</f>
        <v>-380.5</v>
      </c>
      <c r="J103" s="369">
        <f t="shared" si="132"/>
        <v>-380.5</v>
      </c>
      <c r="K103" s="379">
        <f t="shared" si="132"/>
        <v>-380.5</v>
      </c>
      <c r="L103" s="280">
        <f t="shared" si="132"/>
        <v>-380.5</v>
      </c>
    </row>
    <row r="104" spans="2:12" ht="15" x14ac:dyDescent="0.25">
      <c r="B104" s="296" t="s">
        <v>83</v>
      </c>
      <c r="C104" s="225">
        <f>CashFlow!B18</f>
        <v>184</v>
      </c>
      <c r="D104" s="225">
        <f>CashFlow!C18</f>
        <v>162</v>
      </c>
      <c r="E104" s="225">
        <f>CashFlow!D18</f>
        <v>431</v>
      </c>
      <c r="F104" s="225">
        <f>CashFlow!E18</f>
        <v>313</v>
      </c>
      <c r="G104" s="409">
        <f>CashFlow!F18</f>
        <v>108</v>
      </c>
      <c r="H104" s="368">
        <f>AVERAGE($C$104:$G$104)</f>
        <v>239.6</v>
      </c>
      <c r="I104" s="379">
        <f t="shared" ref="I104:L104" si="133">AVERAGE($C$104:$G$104)</f>
        <v>239.6</v>
      </c>
      <c r="J104" s="379">
        <f t="shared" si="133"/>
        <v>239.6</v>
      </c>
      <c r="K104" s="379">
        <f t="shared" si="133"/>
        <v>239.6</v>
      </c>
      <c r="L104" s="280">
        <f t="shared" si="133"/>
        <v>239.6</v>
      </c>
    </row>
    <row r="105" spans="2:12" ht="15" x14ac:dyDescent="0.25">
      <c r="B105" s="318" t="s">
        <v>82</v>
      </c>
      <c r="C105" s="372">
        <f>SUM(C93:C104)</f>
        <v>14985</v>
      </c>
      <c r="D105" s="372">
        <f t="shared" ref="D105:L105" si="134">SUM(D93:D104)</f>
        <v>13331</v>
      </c>
      <c r="E105" s="372">
        <f t="shared" si="134"/>
        <v>14353</v>
      </c>
      <c r="F105" s="372">
        <f t="shared" si="134"/>
        <v>14273</v>
      </c>
      <c r="G105" s="372">
        <f t="shared" si="134"/>
        <v>16586</v>
      </c>
      <c r="H105" s="373">
        <f t="shared" si="134"/>
        <v>13166.441825973261</v>
      </c>
      <c r="I105" s="372">
        <f t="shared" si="134"/>
        <v>15334.286700378203</v>
      </c>
      <c r="J105" s="372">
        <f t="shared" si="134"/>
        <v>16061.939104608453</v>
      </c>
      <c r="K105" s="372">
        <f t="shared" si="134"/>
        <v>16787.464316380454</v>
      </c>
      <c r="L105" s="319">
        <f t="shared" si="134"/>
        <v>17543.148077131045</v>
      </c>
    </row>
    <row r="106" spans="2:12" ht="15" x14ac:dyDescent="0.25">
      <c r="B106" s="312" t="s">
        <v>81</v>
      </c>
      <c r="C106" s="404"/>
      <c r="D106" s="404"/>
      <c r="E106" s="410"/>
      <c r="F106" s="406" t="s">
        <v>1</v>
      </c>
      <c r="G106" s="406" t="s">
        <v>1</v>
      </c>
      <c r="H106" s="406"/>
      <c r="I106" s="406"/>
      <c r="J106" s="406"/>
      <c r="K106" s="406"/>
      <c r="L106" s="313"/>
    </row>
    <row r="107" spans="2:12" ht="15" x14ac:dyDescent="0.25">
      <c r="B107" s="296" t="s">
        <v>80</v>
      </c>
      <c r="C107" s="225">
        <f>CashFlow!B21</f>
        <v>-3314</v>
      </c>
      <c r="D107" s="225">
        <f>CashFlow!C21</f>
        <v>-3384</v>
      </c>
      <c r="E107" s="225">
        <f>CashFlow!D21</f>
        <v>-3717</v>
      </c>
      <c r="F107" s="225">
        <f>CashFlow!E21</f>
        <v>-3347</v>
      </c>
      <c r="G107" s="225">
        <f>CashFlow!F21</f>
        <v>-3073</v>
      </c>
      <c r="H107" s="379">
        <f>H16*H19</f>
        <v>-3741.9488355616372</v>
      </c>
      <c r="I107" s="379">
        <f>I16*I19</f>
        <v>-3929.0462773397189</v>
      </c>
      <c r="J107" s="379">
        <f>J16*J19</f>
        <v>-4125.498591206705</v>
      </c>
      <c r="K107" s="379">
        <f>K16*K19</f>
        <v>-4331.7735207670412</v>
      </c>
      <c r="L107" s="281">
        <f>L16*L19</f>
        <v>-4548.3621968053931</v>
      </c>
    </row>
    <row r="108" spans="2:12" ht="15" x14ac:dyDescent="0.25">
      <c r="B108" s="296" t="s">
        <v>79</v>
      </c>
      <c r="C108" s="225">
        <f>CashFlow!B22</f>
        <v>432</v>
      </c>
      <c r="D108" s="225">
        <f>CashFlow!C22</f>
        <v>571</v>
      </c>
      <c r="E108" s="225">
        <f>CashFlow!D22</f>
        <v>269</v>
      </c>
      <c r="F108" s="225">
        <f>CashFlow!E22</f>
        <v>394</v>
      </c>
      <c r="G108" s="225">
        <f>CashFlow!F22</f>
        <v>30</v>
      </c>
      <c r="H108" s="379">
        <f>AVERAGE(C108:G108)</f>
        <v>339.2</v>
      </c>
      <c r="I108" s="379">
        <f t="shared" ref="I108:L116" si="135">AVERAGE(D108:H108)</f>
        <v>320.64</v>
      </c>
      <c r="J108" s="379">
        <f t="shared" si="135"/>
        <v>270.56800000000004</v>
      </c>
      <c r="K108" s="379">
        <f t="shared" si="135"/>
        <v>270.88160000000005</v>
      </c>
      <c r="L108" s="280">
        <f t="shared" si="135"/>
        <v>246.25792000000001</v>
      </c>
    </row>
    <row r="109" spans="2:12" ht="15" x14ac:dyDescent="0.25">
      <c r="B109" s="296" t="s">
        <v>78</v>
      </c>
      <c r="C109" s="225">
        <f>CashFlow!B23</f>
        <v>-186</v>
      </c>
      <c r="D109" s="225">
        <f>CashFlow!C23</f>
        <v>-16</v>
      </c>
      <c r="E109" s="225">
        <f>CashFlow!D23</f>
        <v>-109</v>
      </c>
      <c r="F109" s="225">
        <f>CashFlow!E23</f>
        <v>-3945</v>
      </c>
      <c r="G109" s="225">
        <f>CashFlow!F23</f>
        <v>-58</v>
      </c>
      <c r="H109" s="379">
        <f t="shared" ref="H109:H116" si="136">AVERAGE(C109:G109)</f>
        <v>-862.8</v>
      </c>
      <c r="I109" s="379">
        <f t="shared" si="135"/>
        <v>-998.16000000000008</v>
      </c>
      <c r="J109" s="379">
        <f t="shared" si="135"/>
        <v>-1194.5920000000001</v>
      </c>
      <c r="K109" s="379">
        <f t="shared" si="135"/>
        <v>-1411.7103999999999</v>
      </c>
      <c r="L109" s="280">
        <f t="shared" si="135"/>
        <v>-905.05247999999995</v>
      </c>
    </row>
    <row r="110" spans="2:12" ht="15" x14ac:dyDescent="0.25">
      <c r="B110" s="296" t="s">
        <v>77</v>
      </c>
      <c r="C110" s="225">
        <f>CashFlow!B24</f>
        <v>-2815</v>
      </c>
      <c r="D110" s="225">
        <f>CashFlow!C24</f>
        <v>-4843</v>
      </c>
      <c r="E110" s="225">
        <f>CashFlow!D24</f>
        <v>-3909</v>
      </c>
      <c r="F110" s="225">
        <f>CashFlow!E24</f>
        <v>-158</v>
      </c>
      <c r="G110" s="225">
        <f>CashFlow!F24</f>
        <v>0</v>
      </c>
      <c r="H110" s="379">
        <f t="shared" si="136"/>
        <v>-2345</v>
      </c>
      <c r="I110" s="379">
        <f t="shared" si="135"/>
        <v>-2251</v>
      </c>
      <c r="J110" s="379">
        <f t="shared" si="135"/>
        <v>-1732.6</v>
      </c>
      <c r="K110" s="379">
        <f t="shared" si="135"/>
        <v>-1297.3200000000002</v>
      </c>
      <c r="L110" s="280">
        <f t="shared" si="135"/>
        <v>-1525.184</v>
      </c>
    </row>
    <row r="111" spans="2:12" ht="30" x14ac:dyDescent="0.25">
      <c r="B111" s="296" t="s">
        <v>76</v>
      </c>
      <c r="C111" s="225">
        <f>CashFlow!B25</f>
        <v>1354</v>
      </c>
      <c r="D111" s="225">
        <f>CashFlow!C25</f>
        <v>1488</v>
      </c>
      <c r="E111" s="225">
        <f>CashFlow!D25</f>
        <v>3928</v>
      </c>
      <c r="F111" s="225">
        <f>CashFlow!E25</f>
        <v>3628</v>
      </c>
      <c r="G111" s="225">
        <f>CashFlow!F25</f>
        <v>6151</v>
      </c>
      <c r="H111" s="379">
        <f t="shared" si="136"/>
        <v>3309.8</v>
      </c>
      <c r="I111" s="379">
        <f t="shared" si="135"/>
        <v>3700.96</v>
      </c>
      <c r="J111" s="379">
        <f t="shared" si="135"/>
        <v>4143.5519999999997</v>
      </c>
      <c r="K111" s="379">
        <f t="shared" si="135"/>
        <v>4186.6623999999993</v>
      </c>
      <c r="L111" s="280">
        <f t="shared" si="135"/>
        <v>4298.3948799999998</v>
      </c>
    </row>
    <row r="112" spans="2:12" ht="30" x14ac:dyDescent="0.25">
      <c r="B112" s="296" t="s">
        <v>75</v>
      </c>
      <c r="C112" s="225">
        <f>CashFlow!B26</f>
        <v>-996</v>
      </c>
      <c r="D112" s="225">
        <f>CashFlow!C26</f>
        <v>-874</v>
      </c>
      <c r="E112" s="225">
        <f>CashFlow!D26</f>
        <v>0</v>
      </c>
      <c r="F112" s="225">
        <f>CashFlow!E26</f>
        <v>0</v>
      </c>
      <c r="G112" s="225">
        <f>CashFlow!F26</f>
        <v>0</v>
      </c>
      <c r="H112" s="379">
        <f t="shared" si="136"/>
        <v>-374</v>
      </c>
      <c r="I112" s="379">
        <f t="shared" si="135"/>
        <v>-249.6</v>
      </c>
      <c r="J112" s="379">
        <f t="shared" si="135"/>
        <v>-124.72</v>
      </c>
      <c r="K112" s="379">
        <f t="shared" si="135"/>
        <v>-149.66400000000002</v>
      </c>
      <c r="L112" s="280">
        <f t="shared" si="135"/>
        <v>-179.5968</v>
      </c>
    </row>
    <row r="113" spans="2:14" ht="30" x14ac:dyDescent="0.25">
      <c r="B113" s="296" t="s">
        <v>74</v>
      </c>
      <c r="C113" s="225">
        <f>CashFlow!B27</f>
        <v>0</v>
      </c>
      <c r="D113" s="225">
        <f>CashFlow!C27</f>
        <v>-475</v>
      </c>
      <c r="E113" s="225">
        <f>CashFlow!D27</f>
        <v>0</v>
      </c>
      <c r="F113" s="225">
        <f>CashFlow!E27</f>
        <v>0</v>
      </c>
      <c r="G113" s="225">
        <f>CashFlow!F27</f>
        <v>0</v>
      </c>
      <c r="H113" s="379">
        <f t="shared" si="136"/>
        <v>-95</v>
      </c>
      <c r="I113" s="379">
        <f t="shared" si="135"/>
        <v>-114</v>
      </c>
      <c r="J113" s="379">
        <f t="shared" si="135"/>
        <v>-41.8</v>
      </c>
      <c r="K113" s="379">
        <f t="shared" si="135"/>
        <v>-50.160000000000004</v>
      </c>
      <c r="L113" s="280">
        <f t="shared" si="135"/>
        <v>-60.192000000000007</v>
      </c>
    </row>
    <row r="114" spans="2:14" ht="30" x14ac:dyDescent="0.25">
      <c r="B114" s="296" t="s">
        <v>73</v>
      </c>
      <c r="C114" s="225">
        <f>CashFlow!B28</f>
        <v>0</v>
      </c>
      <c r="D114" s="225">
        <f>CashFlow!C28</f>
        <v>1870</v>
      </c>
      <c r="E114" s="225">
        <f>CashFlow!D28</f>
        <v>0</v>
      </c>
      <c r="F114" s="225">
        <f>CashFlow!E28</f>
        <v>0</v>
      </c>
      <c r="G114" s="225">
        <f>CashFlow!F28</f>
        <v>0</v>
      </c>
      <c r="H114" s="379">
        <f t="shared" si="136"/>
        <v>374</v>
      </c>
      <c r="I114" s="379">
        <f t="shared" si="135"/>
        <v>448.8</v>
      </c>
      <c r="J114" s="379">
        <f t="shared" si="135"/>
        <v>164.56</v>
      </c>
      <c r="K114" s="379">
        <f t="shared" si="135"/>
        <v>197.47199999999998</v>
      </c>
      <c r="L114" s="280">
        <f t="shared" si="135"/>
        <v>236.96639999999996</v>
      </c>
    </row>
    <row r="115" spans="2:14" ht="15" x14ac:dyDescent="0.25">
      <c r="B115" s="296" t="s">
        <v>72</v>
      </c>
      <c r="C115" s="225">
        <f>CashFlow!B29</f>
        <v>-143</v>
      </c>
      <c r="D115" s="225">
        <f>CashFlow!C29</f>
        <v>0</v>
      </c>
      <c r="E115" s="225">
        <f>CashFlow!D29</f>
        <v>0</v>
      </c>
      <c r="F115" s="225">
        <f>CashFlow!E29</f>
        <v>0</v>
      </c>
      <c r="G115" s="225">
        <f>CashFlow!F29</f>
        <v>0</v>
      </c>
      <c r="H115" s="379">
        <f t="shared" si="136"/>
        <v>-28.6</v>
      </c>
      <c r="I115" s="379">
        <f t="shared" si="135"/>
        <v>-5.7200000000000006</v>
      </c>
      <c r="J115" s="379">
        <f t="shared" si="135"/>
        <v>-6.8639999999999999</v>
      </c>
      <c r="K115" s="379">
        <f t="shared" si="135"/>
        <v>-8.2367999999999988</v>
      </c>
      <c r="L115" s="280">
        <f t="shared" si="135"/>
        <v>-9.8841599999999996</v>
      </c>
    </row>
    <row r="116" spans="2:14" ht="15" x14ac:dyDescent="0.25">
      <c r="B116" s="296" t="s">
        <v>71</v>
      </c>
      <c r="C116" s="225">
        <f>CashFlow!B30</f>
        <v>93</v>
      </c>
      <c r="D116" s="225">
        <f>CashFlow!C30</f>
        <v>-26</v>
      </c>
      <c r="E116" s="225">
        <f>CashFlow!D30</f>
        <v>27</v>
      </c>
      <c r="F116" s="225">
        <f>CashFlow!E30</f>
        <v>-62</v>
      </c>
      <c r="G116" s="225">
        <f>CashFlow!F30</f>
        <v>-5</v>
      </c>
      <c r="H116" s="379">
        <f t="shared" si="136"/>
        <v>5.4</v>
      </c>
      <c r="I116" s="379">
        <f t="shared" si="135"/>
        <v>-12.120000000000001</v>
      </c>
      <c r="J116" s="379">
        <f t="shared" si="135"/>
        <v>-9.3439999999999994</v>
      </c>
      <c r="K116" s="379">
        <f t="shared" si="135"/>
        <v>-16.6128</v>
      </c>
      <c r="L116" s="280">
        <f t="shared" si="135"/>
        <v>-7.5353599999999998</v>
      </c>
    </row>
    <row r="117" spans="2:14" ht="15" x14ac:dyDescent="0.25">
      <c r="B117" s="318" t="s">
        <v>70</v>
      </c>
      <c r="C117" s="372">
        <f>SUM(C107:C116)</f>
        <v>-5575</v>
      </c>
      <c r="D117" s="372">
        <f t="shared" ref="D117:L117" si="137">SUM(D107:D116)</f>
        <v>-5689</v>
      </c>
      <c r="E117" s="372">
        <f t="shared" si="137"/>
        <v>-3511</v>
      </c>
      <c r="F117" s="372">
        <f t="shared" si="137"/>
        <v>-3490</v>
      </c>
      <c r="G117" s="372">
        <f t="shared" si="137"/>
        <v>3045</v>
      </c>
      <c r="H117" s="372">
        <f t="shared" si="137"/>
        <v>-3418.9488355616368</v>
      </c>
      <c r="I117" s="372">
        <f t="shared" si="137"/>
        <v>-3089.2462773397183</v>
      </c>
      <c r="J117" s="372">
        <f t="shared" si="137"/>
        <v>-2656.7385912067061</v>
      </c>
      <c r="K117" s="372">
        <f t="shared" si="137"/>
        <v>-2610.4615207670408</v>
      </c>
      <c r="L117" s="319">
        <f t="shared" si="137"/>
        <v>-2454.1877968053936</v>
      </c>
    </row>
    <row r="118" spans="2:14" ht="15" x14ac:dyDescent="0.25">
      <c r="B118" s="312" t="s">
        <v>69</v>
      </c>
      <c r="C118" s="404"/>
      <c r="D118" s="404"/>
      <c r="E118" s="410"/>
      <c r="F118" s="406" t="s">
        <v>1</v>
      </c>
      <c r="G118" s="406" t="s">
        <v>1</v>
      </c>
      <c r="H118" s="406"/>
      <c r="I118" s="406"/>
      <c r="J118" s="406"/>
      <c r="K118" s="406"/>
      <c r="L118" s="313"/>
    </row>
    <row r="119" spans="2:14" ht="15" x14ac:dyDescent="0.25">
      <c r="B119" s="296" t="s">
        <v>68</v>
      </c>
      <c r="C119" s="225">
        <f>CashFlow!B33</f>
        <v>-7436</v>
      </c>
      <c r="D119" s="225">
        <f>CashFlow!C33</f>
        <v>-7236</v>
      </c>
      <c r="E119" s="225">
        <f>CashFlow!D33</f>
        <v>-7310</v>
      </c>
      <c r="F119" s="225">
        <f>CashFlow!E33</f>
        <v>-7498</v>
      </c>
      <c r="G119" s="225">
        <f>CashFlow!F33</f>
        <v>-7789</v>
      </c>
      <c r="H119" s="379">
        <f>AVERAGE(C119:G119)</f>
        <v>-7453.8</v>
      </c>
      <c r="I119" s="379">
        <f t="shared" ref="I119:L119" si="138">AVERAGE(D119:H119)</f>
        <v>-7457.3600000000006</v>
      </c>
      <c r="J119" s="379">
        <f t="shared" si="138"/>
        <v>-7501.6320000000005</v>
      </c>
      <c r="K119" s="379">
        <f t="shared" si="138"/>
        <v>-7539.9584000000004</v>
      </c>
      <c r="L119" s="280">
        <f t="shared" si="138"/>
        <v>-7548.3500800000011</v>
      </c>
    </row>
    <row r="120" spans="2:14" ht="15" x14ac:dyDescent="0.25">
      <c r="B120" s="296" t="s">
        <v>67</v>
      </c>
      <c r="C120" s="225">
        <f>CashFlow!B34</f>
        <v>-418</v>
      </c>
      <c r="D120" s="225">
        <f>CashFlow!C34</f>
        <v>2727</v>
      </c>
      <c r="E120" s="225">
        <f>CashFlow!D34</f>
        <v>-3437</v>
      </c>
      <c r="F120" s="225">
        <f>CashFlow!E34</f>
        <v>-2215</v>
      </c>
      <c r="G120" s="225">
        <f>CashFlow!F34</f>
        <v>2345</v>
      </c>
      <c r="H120" s="379">
        <f>H70-G70</f>
        <v>119</v>
      </c>
      <c r="I120" s="379">
        <f t="shared" ref="I120:L120" si="139">I70-H70</f>
        <v>-70.200000000000728</v>
      </c>
      <c r="J120" s="379">
        <f t="shared" si="139"/>
        <v>-464.43999999999869</v>
      </c>
      <c r="K120" s="379">
        <f t="shared" si="139"/>
        <v>68.871999999999389</v>
      </c>
      <c r="L120" s="280">
        <f t="shared" si="139"/>
        <v>227.84640000000218</v>
      </c>
    </row>
    <row r="121" spans="2:14" ht="15" x14ac:dyDescent="0.25">
      <c r="B121" s="296" t="s">
        <v>66</v>
      </c>
      <c r="C121" s="225">
        <f>CashFlow!B35</f>
        <v>3916</v>
      </c>
      <c r="D121" s="225">
        <f>CashFlow!C35</f>
        <v>3603</v>
      </c>
      <c r="E121" s="225">
        <f>CashFlow!D35</f>
        <v>5072</v>
      </c>
      <c r="F121" s="225">
        <f>CashFlow!E35</f>
        <v>2367</v>
      </c>
      <c r="G121" s="225">
        <f>CashFlow!F35</f>
        <v>4951</v>
      </c>
      <c r="H121" s="379">
        <f>AVERAGE(C121:G121)</f>
        <v>3981.8</v>
      </c>
      <c r="I121" s="379">
        <f t="shared" ref="I121:L123" si="140">AVERAGE(D121:H121)</f>
        <v>3994.96</v>
      </c>
      <c r="J121" s="379">
        <f t="shared" si="140"/>
        <v>4073.3519999999999</v>
      </c>
      <c r="K121" s="379">
        <f t="shared" si="140"/>
        <v>3873.6223999999993</v>
      </c>
      <c r="L121" s="280">
        <f t="shared" si="140"/>
        <v>4174.9468799999995</v>
      </c>
    </row>
    <row r="122" spans="2:14" ht="15" x14ac:dyDescent="0.25">
      <c r="B122" s="296" t="s">
        <v>120</v>
      </c>
      <c r="C122" s="225">
        <f>CashFlow!B36</f>
        <v>-2213</v>
      </c>
      <c r="D122" s="225">
        <f>CashFlow!C36</f>
        <v>-4931</v>
      </c>
      <c r="E122" s="225">
        <f>CashFlow!D36</f>
        <v>-2873</v>
      </c>
      <c r="F122" s="225">
        <f>CashFlow!E36</f>
        <v>-969</v>
      </c>
      <c r="G122" s="225">
        <f>CashFlow!F36</f>
        <v>-2447</v>
      </c>
      <c r="H122" s="379">
        <f t="shared" ref="H122:H125" si="141">AVERAGE(C122:G122)</f>
        <v>-2686.6</v>
      </c>
      <c r="I122" s="379">
        <f t="shared" si="140"/>
        <v>-2781.32</v>
      </c>
      <c r="J122" s="379">
        <f t="shared" si="140"/>
        <v>-2351.384</v>
      </c>
      <c r="K122" s="379">
        <f t="shared" si="140"/>
        <v>-2247.0608000000002</v>
      </c>
      <c r="L122" s="280">
        <f t="shared" si="140"/>
        <v>-2502.6729599999999</v>
      </c>
    </row>
    <row r="123" spans="2:14" ht="15" x14ac:dyDescent="0.25">
      <c r="B123" s="296" t="s">
        <v>65</v>
      </c>
      <c r="C123" s="225">
        <f>CashFlow!B37</f>
        <v>-4004</v>
      </c>
      <c r="D123" s="225">
        <f>CashFlow!C37</f>
        <v>-5204</v>
      </c>
      <c r="E123" s="225">
        <f>CashFlow!D37</f>
        <v>-7004</v>
      </c>
      <c r="F123" s="225">
        <f>CashFlow!E37</f>
        <v>-5003</v>
      </c>
      <c r="G123" s="225">
        <f>CashFlow!F37</f>
        <v>-7405</v>
      </c>
      <c r="H123" s="379">
        <f t="shared" si="141"/>
        <v>-5724</v>
      </c>
      <c r="I123" s="379">
        <f t="shared" si="140"/>
        <v>-6068</v>
      </c>
      <c r="J123" s="379">
        <f t="shared" si="140"/>
        <v>-6240.8</v>
      </c>
      <c r="K123" s="379">
        <f t="shared" si="140"/>
        <v>-6088.16</v>
      </c>
      <c r="L123" s="280">
        <f t="shared" si="140"/>
        <v>-6305.192</v>
      </c>
    </row>
    <row r="124" spans="2:14" ht="30" x14ac:dyDescent="0.25">
      <c r="B124" s="296" t="s">
        <v>102</v>
      </c>
      <c r="C124" s="225">
        <f>CashFlow!B38</f>
        <v>-1730</v>
      </c>
      <c r="D124" s="225">
        <f>CashFlow!C38</f>
        <v>0</v>
      </c>
      <c r="E124" s="225">
        <f>CashFlow!D38</f>
        <v>0</v>
      </c>
      <c r="F124" s="225">
        <f>CashFlow!E38</f>
        <v>0</v>
      </c>
      <c r="G124" s="225">
        <f>CashFlow!F38</f>
        <v>0</v>
      </c>
      <c r="H124" s="379">
        <f>AVERAGE(C124:G124)</f>
        <v>-346</v>
      </c>
      <c r="I124" s="379">
        <f t="shared" ref="I124:L125" si="142">AVERAGE(D124:H124)</f>
        <v>-69.2</v>
      </c>
      <c r="J124" s="379">
        <f t="shared" si="142"/>
        <v>-83.039999999999992</v>
      </c>
      <c r="K124" s="379">
        <f t="shared" si="142"/>
        <v>-99.647999999999996</v>
      </c>
      <c r="L124" s="280">
        <f t="shared" si="142"/>
        <v>-119.5776</v>
      </c>
      <c r="N124" s="94">
        <f>N102+N114+N123</f>
        <v>0</v>
      </c>
    </row>
    <row r="125" spans="2:14" ht="15" x14ac:dyDescent="0.25">
      <c r="B125" s="296" t="s">
        <v>64</v>
      </c>
      <c r="C125" s="225">
        <f>CashFlow!B39</f>
        <v>2672</v>
      </c>
      <c r="D125" s="225">
        <f>CashFlow!C39</f>
        <v>2473</v>
      </c>
      <c r="E125" s="225">
        <f>CashFlow!D39</f>
        <v>1177</v>
      </c>
      <c r="F125" s="225">
        <f>CashFlow!E39</f>
        <v>3324</v>
      </c>
      <c r="G125" s="225">
        <f>CashFlow!F39</f>
        <v>1978</v>
      </c>
      <c r="H125" s="379">
        <f t="shared" si="141"/>
        <v>2324.8000000000002</v>
      </c>
      <c r="I125" s="379">
        <f t="shared" si="142"/>
        <v>2255.3599999999997</v>
      </c>
      <c r="J125" s="379">
        <f t="shared" si="142"/>
        <v>2211.8319999999999</v>
      </c>
      <c r="K125" s="379">
        <f t="shared" si="142"/>
        <v>2418.7984000000001</v>
      </c>
      <c r="L125" s="280">
        <f t="shared" si="142"/>
        <v>2237.7580800000001</v>
      </c>
    </row>
    <row r="126" spans="2:14" ht="15" x14ac:dyDescent="0.25">
      <c r="B126" s="320" t="s">
        <v>63</v>
      </c>
      <c r="C126" s="411">
        <f>SUM(C119:C125)</f>
        <v>-9213</v>
      </c>
      <c r="D126" s="411">
        <f t="shared" ref="D126:L126" si="143">SUM(D119:D125)</f>
        <v>-8568</v>
      </c>
      <c r="E126" s="411">
        <f t="shared" si="143"/>
        <v>-14375</v>
      </c>
      <c r="F126" s="411">
        <f t="shared" si="143"/>
        <v>-9994</v>
      </c>
      <c r="G126" s="411">
        <f t="shared" si="143"/>
        <v>-8367</v>
      </c>
      <c r="H126" s="411">
        <f t="shared" si="143"/>
        <v>-9784.7999999999993</v>
      </c>
      <c r="I126" s="411">
        <f t="shared" si="143"/>
        <v>-10195.760000000002</v>
      </c>
      <c r="J126" s="411">
        <f t="shared" si="143"/>
        <v>-10356.111999999999</v>
      </c>
      <c r="K126" s="411">
        <f t="shared" si="143"/>
        <v>-9613.5344000000023</v>
      </c>
      <c r="L126" s="321">
        <f t="shared" si="143"/>
        <v>-9835.2412800000002</v>
      </c>
    </row>
    <row r="127" spans="2:14" ht="29.25" x14ac:dyDescent="0.25">
      <c r="B127" s="322" t="s">
        <v>62</v>
      </c>
      <c r="C127" s="409">
        <f>CashFlow!B41</f>
        <v>-381</v>
      </c>
      <c r="D127" s="409">
        <f>CashFlow!C41</f>
        <v>-29</v>
      </c>
      <c r="E127" s="409">
        <f>CashFlow!D41</f>
        <v>19</v>
      </c>
      <c r="F127" s="409">
        <f>CashFlow!E41</f>
        <v>-88</v>
      </c>
      <c r="G127" s="409">
        <f>CashFlow!F41</f>
        <v>-139</v>
      </c>
      <c r="H127" s="379">
        <f>AVERAGE($C$127:$D$127,$F$127:$G$127)</f>
        <v>-159.25</v>
      </c>
      <c r="I127" s="379">
        <f t="shared" ref="I127:L127" si="144">AVERAGE($C$127:$D$127,$F$127:$G$127)</f>
        <v>-159.25</v>
      </c>
      <c r="J127" s="379">
        <f t="shared" si="144"/>
        <v>-159.25</v>
      </c>
      <c r="K127" s="379">
        <f t="shared" si="144"/>
        <v>-159.25</v>
      </c>
      <c r="L127" s="280">
        <f t="shared" si="144"/>
        <v>-159.25</v>
      </c>
    </row>
    <row r="128" spans="2:14" ht="15" x14ac:dyDescent="0.25">
      <c r="B128" s="322" t="s">
        <v>167</v>
      </c>
      <c r="C128" s="409">
        <f>C126+C117+C105</f>
        <v>197</v>
      </c>
      <c r="D128" s="409">
        <f t="shared" ref="D128:L128" si="145">D126+D117+D105</f>
        <v>-926</v>
      </c>
      <c r="E128" s="409">
        <f t="shared" si="145"/>
        <v>-3533</v>
      </c>
      <c r="F128" s="409">
        <f t="shared" si="145"/>
        <v>789</v>
      </c>
      <c r="G128" s="409">
        <f t="shared" si="145"/>
        <v>11264</v>
      </c>
      <c r="H128" s="409">
        <f t="shared" si="145"/>
        <v>-37.307009588375877</v>
      </c>
      <c r="I128" s="409">
        <f t="shared" si="145"/>
        <v>2049.2804230384827</v>
      </c>
      <c r="J128" s="409">
        <f t="shared" si="145"/>
        <v>3049.0885134017481</v>
      </c>
      <c r="K128" s="409">
        <f t="shared" si="145"/>
        <v>4563.4683956134104</v>
      </c>
      <c r="L128" s="323">
        <f t="shared" si="145"/>
        <v>5253.719000325651</v>
      </c>
    </row>
    <row r="129" spans="2:12" ht="15" x14ac:dyDescent="0.25">
      <c r="B129" s="295" t="s">
        <v>61</v>
      </c>
      <c r="C129" s="409">
        <f>D91-C91</f>
        <v>266</v>
      </c>
      <c r="D129" s="409">
        <f t="shared" ref="D129:L129" si="146">E91-D91</f>
        <v>-1533</v>
      </c>
      <c r="E129" s="409">
        <f t="shared" si="146"/>
        <v>-3000</v>
      </c>
      <c r="F129" s="409">
        <f t="shared" si="146"/>
        <v>1670</v>
      </c>
      <c r="G129" s="409">
        <f t="shared" si="146"/>
        <v>11942</v>
      </c>
      <c r="H129" s="409">
        <f t="shared" si="146"/>
        <v>-37.307009588375877</v>
      </c>
      <c r="I129" s="409">
        <f t="shared" si="146"/>
        <v>2049.2804230384809</v>
      </c>
      <c r="J129" s="409">
        <f t="shared" si="146"/>
        <v>3049.0885134017481</v>
      </c>
      <c r="K129" s="409">
        <f t="shared" si="146"/>
        <v>4563.4683956134104</v>
      </c>
      <c r="L129" s="323">
        <f t="shared" si="146"/>
        <v>-25805.530322465263</v>
      </c>
    </row>
    <row r="130" spans="2:12" ht="15.75" thickBot="1" x14ac:dyDescent="0.3">
      <c r="B130" s="324" t="s">
        <v>60</v>
      </c>
      <c r="C130" s="409">
        <f>CashFlow!B43</f>
        <v>7102</v>
      </c>
      <c r="D130" s="409">
        <f>CashFlow!C43</f>
        <v>5569</v>
      </c>
      <c r="E130" s="409">
        <f>CashFlow!D43</f>
        <v>2569</v>
      </c>
      <c r="F130" s="409">
        <f>CashFlow!E43</f>
        <v>4239</v>
      </c>
      <c r="G130" s="409">
        <f>CashFlow!F43</f>
        <v>16181</v>
      </c>
      <c r="H130" s="412">
        <f>H91+H128</f>
        <v>16143.692990411624</v>
      </c>
      <c r="I130" s="412">
        <f t="shared" ref="I130:L130" si="147">I91+I128</f>
        <v>18192.973413450105</v>
      </c>
      <c r="J130" s="412">
        <f t="shared" si="147"/>
        <v>21242.061926851853</v>
      </c>
      <c r="K130" s="412">
        <f t="shared" si="147"/>
        <v>25805.530322465263</v>
      </c>
      <c r="L130" s="325">
        <f t="shared" si="147"/>
        <v>31059.249322790914</v>
      </c>
    </row>
    <row r="131" spans="2:12" ht="15.75" thickTop="1" x14ac:dyDescent="0.25">
      <c r="B131" s="326"/>
      <c r="C131" s="413"/>
      <c r="D131" s="413"/>
      <c r="E131" s="413"/>
      <c r="F131" s="413"/>
      <c r="G131" s="413"/>
      <c r="H131" s="413"/>
      <c r="I131" s="413"/>
      <c r="J131" s="413"/>
      <c r="K131" s="413"/>
      <c r="L131" s="326"/>
    </row>
    <row r="132" spans="2:12" ht="18.75" x14ac:dyDescent="0.25">
      <c r="B132" s="347" t="s">
        <v>137</v>
      </c>
      <c r="C132" s="414"/>
      <c r="D132" s="414"/>
      <c r="E132" s="403"/>
      <c r="F132" s="403"/>
      <c r="G132" s="403"/>
      <c r="H132" s="403"/>
      <c r="I132" s="403"/>
      <c r="J132" s="403"/>
      <c r="K132" s="403"/>
      <c r="L132" s="310"/>
    </row>
    <row r="133" spans="2:12" ht="15" x14ac:dyDescent="0.25">
      <c r="B133" s="327" t="s">
        <v>138</v>
      </c>
      <c r="C133" s="415"/>
      <c r="D133" s="416"/>
      <c r="E133" s="417"/>
      <c r="F133" s="418"/>
      <c r="G133" s="419"/>
      <c r="H133" s="417"/>
      <c r="I133" s="419"/>
      <c r="J133" s="417"/>
      <c r="K133" s="419"/>
      <c r="L133" s="329"/>
    </row>
    <row r="134" spans="2:12" ht="15" x14ac:dyDescent="0.25">
      <c r="B134" s="330" t="s">
        <v>139</v>
      </c>
      <c r="C134" s="420">
        <f>C49</f>
        <v>4373</v>
      </c>
      <c r="D134" s="420">
        <f t="shared" ref="D134:G134" si="148">D49</f>
        <v>4594</v>
      </c>
      <c r="E134" s="420">
        <f t="shared" si="148"/>
        <v>4686</v>
      </c>
      <c r="F134" s="421">
        <f t="shared" si="148"/>
        <v>4951</v>
      </c>
      <c r="G134" s="422">
        <f t="shared" si="148"/>
        <v>4178</v>
      </c>
      <c r="H134" s="420">
        <f t="shared" ref="H134:L134" si="149">H49</f>
        <v>5061.8694441617536</v>
      </c>
      <c r="I134" s="422">
        <f t="shared" si="149"/>
        <v>5330.2627451605858</v>
      </c>
      <c r="J134" s="420">
        <f t="shared" si="149"/>
        <v>5556.1775703613439</v>
      </c>
      <c r="K134" s="422">
        <f t="shared" si="149"/>
        <v>5791.4186761160172</v>
      </c>
      <c r="L134" s="331">
        <f t="shared" si="149"/>
        <v>5972.431821159872</v>
      </c>
    </row>
    <row r="135" spans="2:12" ht="15" x14ac:dyDescent="0.25">
      <c r="B135" s="330" t="s">
        <v>140</v>
      </c>
      <c r="C135" s="420">
        <f>C54</f>
        <v>4716</v>
      </c>
      <c r="D135" s="420">
        <f t="shared" ref="D135:G135" si="150">D54</f>
        <v>4624</v>
      </c>
      <c r="E135" s="420">
        <f t="shared" si="150"/>
        <v>4738</v>
      </c>
      <c r="F135" s="421">
        <f t="shared" si="150"/>
        <v>5017</v>
      </c>
      <c r="G135" s="422">
        <f t="shared" si="150"/>
        <v>5498</v>
      </c>
      <c r="H135" s="420">
        <f t="shared" ref="H135:L135" si="151">H54</f>
        <v>5452.285890129021</v>
      </c>
      <c r="I135" s="422">
        <f t="shared" si="151"/>
        <v>5736.6683200838106</v>
      </c>
      <c r="J135" s="420">
        <f t="shared" si="151"/>
        <v>6048.1305619376735</v>
      </c>
      <c r="K135" s="422">
        <f t="shared" si="151"/>
        <v>6415.2286168063956</v>
      </c>
      <c r="L135" s="331">
        <f t="shared" si="151"/>
        <v>6762.2443644819268</v>
      </c>
    </row>
    <row r="136" spans="2:12" ht="15" x14ac:dyDescent="0.25">
      <c r="B136" s="330" t="s">
        <v>141</v>
      </c>
      <c r="C136" s="420">
        <f>C67</f>
        <v>9325</v>
      </c>
      <c r="D136" s="420">
        <f t="shared" ref="D136:G136" si="152">D67</f>
        <v>9632</v>
      </c>
      <c r="E136" s="420">
        <f t="shared" si="152"/>
        <v>10344</v>
      </c>
      <c r="F136" s="421">
        <f t="shared" si="152"/>
        <v>11260</v>
      </c>
      <c r="G136" s="422">
        <f t="shared" si="152"/>
        <v>12071</v>
      </c>
      <c r="H136" s="420">
        <f t="shared" ref="H136:L136" si="153">H67</f>
        <v>11654.97652503127</v>
      </c>
      <c r="I136" s="422">
        <f t="shared" si="153"/>
        <v>12444.557745269387</v>
      </c>
      <c r="J136" s="420">
        <f t="shared" si="153"/>
        <v>13222.00069722803</v>
      </c>
      <c r="K136" s="422">
        <f t="shared" si="153"/>
        <v>14028.057311826104</v>
      </c>
      <c r="L136" s="331">
        <f t="shared" si="153"/>
        <v>14710.666946858255</v>
      </c>
    </row>
    <row r="137" spans="2:12" ht="15" x14ac:dyDescent="0.25">
      <c r="B137" s="332" t="s">
        <v>142</v>
      </c>
      <c r="C137" s="415">
        <f>C134+C135-C136</f>
        <v>-236</v>
      </c>
      <c r="D137" s="415">
        <f t="shared" ref="D137:G137" si="154">D134+D135-D136</f>
        <v>-414</v>
      </c>
      <c r="E137" s="415">
        <f t="shared" si="154"/>
        <v>-920</v>
      </c>
      <c r="F137" s="423">
        <f t="shared" si="154"/>
        <v>-1292</v>
      </c>
      <c r="G137" s="424">
        <f t="shared" si="154"/>
        <v>-2395</v>
      </c>
      <c r="H137" s="415">
        <f t="shared" ref="H137:L137" si="155">H134+H135-H136</f>
        <v>-1140.8211907404948</v>
      </c>
      <c r="I137" s="424">
        <f t="shared" si="155"/>
        <v>-1377.6266800249905</v>
      </c>
      <c r="J137" s="415">
        <f t="shared" si="155"/>
        <v>-1617.6925649290115</v>
      </c>
      <c r="K137" s="424">
        <f t="shared" si="155"/>
        <v>-1821.4100189036908</v>
      </c>
      <c r="L137" s="328">
        <f t="shared" si="155"/>
        <v>-1975.990761216457</v>
      </c>
    </row>
    <row r="138" spans="2:12" ht="15" x14ac:dyDescent="0.25">
      <c r="B138" s="330" t="s">
        <v>143</v>
      </c>
      <c r="C138" s="420"/>
      <c r="D138" s="445">
        <f>D137-C137</f>
        <v>-178</v>
      </c>
      <c r="E138" s="445">
        <f t="shared" ref="E138:G138" si="156">E137-D137</f>
        <v>-506</v>
      </c>
      <c r="F138" s="446">
        <f t="shared" si="156"/>
        <v>-372</v>
      </c>
      <c r="G138" s="447">
        <f t="shared" si="156"/>
        <v>-1103</v>
      </c>
      <c r="H138" s="445">
        <f>H137-G137</f>
        <v>1254.1788092595052</v>
      </c>
      <c r="I138" s="447">
        <f t="shared" ref="I138" si="157">I137-H137</f>
        <v>-236.80548928449571</v>
      </c>
      <c r="J138" s="445">
        <f t="shared" ref="J138" si="158">J137-I137</f>
        <v>-240.065884904021</v>
      </c>
      <c r="K138" s="447">
        <f t="shared" ref="K138" si="159">K137-J137</f>
        <v>-203.7174539746793</v>
      </c>
      <c r="L138" s="444">
        <f t="shared" ref="L138" si="160">L137-K137</f>
        <v>-154.58074231276623</v>
      </c>
    </row>
    <row r="139" spans="2:12" ht="15" x14ac:dyDescent="0.25">
      <c r="B139" s="330"/>
      <c r="C139" s="420"/>
      <c r="D139" s="425"/>
      <c r="E139" s="427"/>
      <c r="F139" s="428"/>
      <c r="G139" s="429"/>
      <c r="H139" s="427"/>
      <c r="I139" s="429"/>
      <c r="J139" s="427"/>
      <c r="K139" s="429"/>
      <c r="L139" s="334"/>
    </row>
    <row r="140" spans="2:12" ht="15" x14ac:dyDescent="0.25">
      <c r="B140" s="335" t="s">
        <v>144</v>
      </c>
      <c r="C140" s="420"/>
      <c r="D140" s="425"/>
      <c r="E140" s="427"/>
      <c r="F140" s="428"/>
      <c r="G140" s="429"/>
      <c r="H140" s="427"/>
      <c r="I140" s="429"/>
      <c r="J140" s="427"/>
      <c r="K140" s="429"/>
      <c r="L140" s="334"/>
    </row>
    <row r="141" spans="2:12" ht="15" x14ac:dyDescent="0.25">
      <c r="B141" s="336" t="s">
        <v>145</v>
      </c>
      <c r="C141" s="420">
        <f>C59</f>
        <v>19385</v>
      </c>
      <c r="D141" s="420">
        <f>C144</f>
        <v>19621</v>
      </c>
      <c r="E141" s="420">
        <f t="shared" ref="E141:L141" si="161">D144</f>
        <v>20185</v>
      </c>
      <c r="F141" s="421">
        <f t="shared" si="161"/>
        <v>21068</v>
      </c>
      <c r="G141" s="430">
        <f t="shared" si="161"/>
        <v>21591</v>
      </c>
      <c r="H141" s="420">
        <f t="shared" si="161"/>
        <v>21651</v>
      </c>
      <c r="I141" s="430">
        <f t="shared" si="161"/>
        <v>22290.367252764965</v>
      </c>
      <c r="J141" s="420">
        <f t="shared" si="161"/>
        <v>23025.210818349908</v>
      </c>
      <c r="K141" s="430">
        <f t="shared" si="161"/>
        <v>23851.203842838073</v>
      </c>
      <c r="L141" s="331">
        <f t="shared" si="161"/>
        <v>24765.107252741014</v>
      </c>
    </row>
    <row r="142" spans="2:12" ht="15" x14ac:dyDescent="0.25">
      <c r="B142" s="336" t="s">
        <v>146</v>
      </c>
      <c r="C142" s="420">
        <f>-C107</f>
        <v>3314</v>
      </c>
      <c r="D142" s="420">
        <f t="shared" ref="D142:L142" si="162">-D107</f>
        <v>3384</v>
      </c>
      <c r="E142" s="420">
        <f t="shared" si="162"/>
        <v>3717</v>
      </c>
      <c r="F142" s="421">
        <f t="shared" si="162"/>
        <v>3347</v>
      </c>
      <c r="G142" s="430">
        <f t="shared" si="162"/>
        <v>3073</v>
      </c>
      <c r="H142" s="420">
        <f t="shared" si="162"/>
        <v>3741.9488355616372</v>
      </c>
      <c r="I142" s="430">
        <f t="shared" si="162"/>
        <v>3929.0462773397189</v>
      </c>
      <c r="J142" s="420">
        <f t="shared" si="162"/>
        <v>4125.498591206705</v>
      </c>
      <c r="K142" s="430">
        <f t="shared" si="162"/>
        <v>4331.7735207670412</v>
      </c>
      <c r="L142" s="331">
        <f t="shared" si="162"/>
        <v>4548.3621968053931</v>
      </c>
    </row>
    <row r="143" spans="2:12" ht="15" x14ac:dyDescent="0.25">
      <c r="B143" s="336" t="s">
        <v>147</v>
      </c>
      <c r="C143" s="420">
        <f>C94</f>
        <v>3078</v>
      </c>
      <c r="D143" s="420">
        <f t="shared" ref="D143:G143" si="163">D94</f>
        <v>2820</v>
      </c>
      <c r="E143" s="420">
        <f t="shared" si="163"/>
        <v>2834</v>
      </c>
      <c r="F143" s="421">
        <f t="shared" si="163"/>
        <v>2824</v>
      </c>
      <c r="G143" s="430">
        <f t="shared" si="163"/>
        <v>3013</v>
      </c>
      <c r="H143" s="420">
        <f t="shared" ref="H143:I143" si="164">H94</f>
        <v>3102.5815827966726</v>
      </c>
      <c r="I143" s="430">
        <f t="shared" si="164"/>
        <v>3194.2027117547755</v>
      </c>
      <c r="J143" s="420">
        <f t="shared" ref="J143:L143" si="165">J94</f>
        <v>3299.5055667185406</v>
      </c>
      <c r="K143" s="430">
        <f t="shared" si="165"/>
        <v>3417.8701108640998</v>
      </c>
      <c r="L143" s="331">
        <f t="shared" si="165"/>
        <v>3548.8321859654784</v>
      </c>
    </row>
    <row r="144" spans="2:12" ht="15" x14ac:dyDescent="0.25">
      <c r="B144" s="332" t="s">
        <v>148</v>
      </c>
      <c r="C144" s="415">
        <f>C141+C142-C143</f>
        <v>19621</v>
      </c>
      <c r="D144" s="415">
        <f t="shared" ref="D144:L144" si="166">D141+D142-D143</f>
        <v>20185</v>
      </c>
      <c r="E144" s="415">
        <f t="shared" si="166"/>
        <v>21068</v>
      </c>
      <c r="F144" s="423">
        <f t="shared" si="166"/>
        <v>21591</v>
      </c>
      <c r="G144" s="424">
        <f t="shared" si="166"/>
        <v>21651</v>
      </c>
      <c r="H144" s="415">
        <f t="shared" si="166"/>
        <v>22290.367252764965</v>
      </c>
      <c r="I144" s="424">
        <f t="shared" si="166"/>
        <v>23025.210818349908</v>
      </c>
      <c r="J144" s="415">
        <f t="shared" si="166"/>
        <v>23851.203842838073</v>
      </c>
      <c r="K144" s="424">
        <f t="shared" si="166"/>
        <v>24765.107252741014</v>
      </c>
      <c r="L144" s="328">
        <f t="shared" si="166"/>
        <v>25764.637263580928</v>
      </c>
    </row>
    <row r="145" spans="2:13" ht="15" x14ac:dyDescent="0.25">
      <c r="B145" s="336"/>
      <c r="C145" s="420"/>
      <c r="D145" s="425"/>
      <c r="E145" s="427"/>
      <c r="F145" s="428"/>
      <c r="G145" s="413"/>
      <c r="H145" s="427"/>
      <c r="I145" s="413"/>
      <c r="J145" s="427"/>
      <c r="K145" s="413"/>
      <c r="L145" s="334"/>
    </row>
    <row r="146" spans="2:13" ht="15" x14ac:dyDescent="0.25">
      <c r="B146" s="337" t="s">
        <v>149</v>
      </c>
      <c r="C146" s="420"/>
      <c r="D146" s="425"/>
      <c r="E146" s="427"/>
      <c r="F146" s="428"/>
      <c r="G146" s="413"/>
      <c r="H146" s="427"/>
      <c r="I146" s="413"/>
      <c r="J146" s="427"/>
      <c r="K146" s="413"/>
      <c r="L146" s="334"/>
    </row>
    <row r="147" spans="2:13" ht="15" x14ac:dyDescent="0.25">
      <c r="B147" s="336" t="s">
        <v>168</v>
      </c>
      <c r="C147" s="420"/>
      <c r="D147" s="425">
        <f>C47</f>
        <v>7102</v>
      </c>
      <c r="E147" s="425">
        <f t="shared" ref="E147:G147" si="167">D47</f>
        <v>5569</v>
      </c>
      <c r="F147" s="426">
        <f t="shared" si="167"/>
        <v>2569</v>
      </c>
      <c r="G147" s="431">
        <f t="shared" si="167"/>
        <v>4239</v>
      </c>
      <c r="H147" s="425">
        <f t="shared" ref="H147:L147" si="168">G47</f>
        <v>16181</v>
      </c>
      <c r="I147" s="431">
        <f t="shared" si="168"/>
        <v>16143.692990411624</v>
      </c>
      <c r="J147" s="425">
        <f t="shared" si="168"/>
        <v>18192.973413450105</v>
      </c>
      <c r="K147" s="431">
        <f t="shared" si="168"/>
        <v>21242.061926851853</v>
      </c>
      <c r="L147" s="333">
        <f t="shared" si="168"/>
        <v>25805.530322465263</v>
      </c>
    </row>
    <row r="148" spans="2:13" ht="15" x14ac:dyDescent="0.25">
      <c r="B148" s="336" t="s">
        <v>169</v>
      </c>
      <c r="C148" s="420">
        <f>C105+C117</f>
        <v>9410</v>
      </c>
      <c r="D148" s="425">
        <f>D105+D117</f>
        <v>7642</v>
      </c>
      <c r="E148" s="425">
        <f t="shared" ref="E148:G148" si="169">E105+E117</f>
        <v>10842</v>
      </c>
      <c r="F148" s="426">
        <f t="shared" si="169"/>
        <v>10783</v>
      </c>
      <c r="G148" s="431">
        <f t="shared" si="169"/>
        <v>19631</v>
      </c>
      <c r="H148" s="425">
        <f t="shared" ref="H148:L148" si="170">H105+H117</f>
        <v>9747.4929904116252</v>
      </c>
      <c r="I148" s="431">
        <f t="shared" si="170"/>
        <v>12245.040423038485</v>
      </c>
      <c r="J148" s="425">
        <f t="shared" si="170"/>
        <v>13405.200513401747</v>
      </c>
      <c r="K148" s="431">
        <f t="shared" si="170"/>
        <v>14177.002795613413</v>
      </c>
      <c r="L148" s="333">
        <f t="shared" si="170"/>
        <v>15088.960280325651</v>
      </c>
    </row>
    <row r="149" spans="2:13" ht="15" x14ac:dyDescent="0.25">
      <c r="B149" s="336" t="s">
        <v>170</v>
      </c>
      <c r="C149" s="420">
        <f>C126</f>
        <v>-9213</v>
      </c>
      <c r="D149" s="420">
        <f t="shared" ref="D149:G149" si="171">D126</f>
        <v>-8568</v>
      </c>
      <c r="E149" s="420">
        <f t="shared" si="171"/>
        <v>-14375</v>
      </c>
      <c r="F149" s="421">
        <f t="shared" si="171"/>
        <v>-9994</v>
      </c>
      <c r="G149" s="430">
        <f t="shared" si="171"/>
        <v>-8367</v>
      </c>
      <c r="H149" s="420">
        <f t="shared" ref="H149:L149" si="172">H126</f>
        <v>-9784.7999999999993</v>
      </c>
      <c r="I149" s="430">
        <f t="shared" si="172"/>
        <v>-10195.760000000002</v>
      </c>
      <c r="J149" s="420">
        <f t="shared" si="172"/>
        <v>-10356.111999999999</v>
      </c>
      <c r="K149" s="430">
        <f t="shared" si="172"/>
        <v>-9613.5344000000023</v>
      </c>
      <c r="L149" s="331">
        <f t="shared" si="172"/>
        <v>-9835.2412800000002</v>
      </c>
    </row>
    <row r="150" spans="2:13" s="1" customFormat="1" ht="15" x14ac:dyDescent="0.25">
      <c r="B150" s="338" t="s">
        <v>171</v>
      </c>
      <c r="C150" s="432">
        <f>SUM(C147:C149)</f>
        <v>197</v>
      </c>
      <c r="D150" s="432">
        <f>SUM(D147:D149)</f>
        <v>6176</v>
      </c>
      <c r="E150" s="432">
        <f>SUM(E147:E149)</f>
        <v>2036</v>
      </c>
      <c r="F150" s="433">
        <f>SUM(F147:F149)</f>
        <v>3358</v>
      </c>
      <c r="G150" s="434">
        <f>SUM(G147:G149)</f>
        <v>15503</v>
      </c>
      <c r="H150" s="432">
        <f t="shared" ref="H150:L150" si="173">SUM(H147:H149)</f>
        <v>16143.692990411626</v>
      </c>
      <c r="I150" s="434">
        <f t="shared" si="173"/>
        <v>18192.973413450105</v>
      </c>
      <c r="J150" s="432">
        <f t="shared" si="173"/>
        <v>21242.061926851849</v>
      </c>
      <c r="K150" s="434">
        <f t="shared" si="173"/>
        <v>25805.53032246526</v>
      </c>
      <c r="L150" s="339">
        <f t="shared" si="173"/>
        <v>31059.249322790914</v>
      </c>
    </row>
    <row r="151" spans="2:13" ht="15" x14ac:dyDescent="0.25">
      <c r="B151" s="340" t="s">
        <v>172</v>
      </c>
      <c r="C151" s="420"/>
      <c r="D151" s="425"/>
      <c r="E151" s="427"/>
      <c r="F151" s="428"/>
      <c r="G151" s="413"/>
      <c r="H151" s="427"/>
      <c r="I151" s="413"/>
      <c r="J151" s="427"/>
      <c r="K151" s="413"/>
      <c r="L151" s="334"/>
    </row>
    <row r="152" spans="2:13" s="1" customFormat="1" ht="15" x14ac:dyDescent="0.25">
      <c r="B152" s="336" t="str">
        <f>B70</f>
        <v>Debt due within one year</v>
      </c>
      <c r="C152" s="420">
        <f t="shared" ref="C152:L152" si="174">C70</f>
        <v>11653</v>
      </c>
      <c r="D152" s="420">
        <f t="shared" si="174"/>
        <v>13554</v>
      </c>
      <c r="E152" s="420">
        <f t="shared" si="174"/>
        <v>10423</v>
      </c>
      <c r="F152" s="421">
        <f t="shared" si="174"/>
        <v>9697</v>
      </c>
      <c r="G152" s="430">
        <f t="shared" si="174"/>
        <v>11183</v>
      </c>
      <c r="H152" s="420">
        <f t="shared" si="174"/>
        <v>11302</v>
      </c>
      <c r="I152" s="430">
        <f t="shared" si="174"/>
        <v>11231.8</v>
      </c>
      <c r="J152" s="420">
        <f t="shared" si="174"/>
        <v>10767.36</v>
      </c>
      <c r="K152" s="430">
        <f t="shared" si="174"/>
        <v>10836.232</v>
      </c>
      <c r="L152" s="331">
        <f t="shared" si="174"/>
        <v>11064.078400000002</v>
      </c>
    </row>
    <row r="153" spans="2:13" ht="15.75" thickBot="1" x14ac:dyDescent="0.3">
      <c r="B153" s="341" t="str">
        <f>B72</f>
        <v>LONG-TERM DEBT</v>
      </c>
      <c r="C153" s="435">
        <f t="shared" ref="C153:L153" si="175">C72</f>
        <v>18945</v>
      </c>
      <c r="D153" s="435">
        <f t="shared" si="175"/>
        <v>18038</v>
      </c>
      <c r="E153" s="435">
        <f t="shared" si="175"/>
        <v>20863</v>
      </c>
      <c r="F153" s="436">
        <f t="shared" si="175"/>
        <v>20395</v>
      </c>
      <c r="G153" s="437">
        <f t="shared" si="175"/>
        <v>23537</v>
      </c>
      <c r="H153" s="435">
        <f t="shared" si="175"/>
        <v>20355.599999999999</v>
      </c>
      <c r="I153" s="437">
        <f t="shared" si="175"/>
        <v>20355.599999999999</v>
      </c>
      <c r="J153" s="435">
        <f t="shared" si="175"/>
        <v>20355.599999999999</v>
      </c>
      <c r="K153" s="437">
        <f t="shared" si="175"/>
        <v>20355.599999999999</v>
      </c>
      <c r="L153" s="342">
        <f t="shared" si="175"/>
        <v>20355.599999999999</v>
      </c>
    </row>
    <row r="154" spans="2:13" s="10" customFormat="1" ht="14.25" x14ac:dyDescent="0.2">
      <c r="B154" s="343" t="s">
        <v>176</v>
      </c>
      <c r="C154" s="438">
        <f>C152+C153</f>
        <v>30598</v>
      </c>
      <c r="D154" s="438">
        <f t="shared" ref="D154:G154" si="176">D152+D153</f>
        <v>31592</v>
      </c>
      <c r="E154" s="438">
        <f t="shared" si="176"/>
        <v>31286</v>
      </c>
      <c r="F154" s="439">
        <f t="shared" si="176"/>
        <v>30092</v>
      </c>
      <c r="G154" s="440">
        <f t="shared" si="176"/>
        <v>34720</v>
      </c>
      <c r="H154" s="438">
        <f t="shared" ref="H154" si="177">H152+H153</f>
        <v>31657.599999999999</v>
      </c>
      <c r="I154" s="440">
        <f t="shared" ref="I154" si="178">I152+I153</f>
        <v>31587.399999999998</v>
      </c>
      <c r="J154" s="438">
        <f t="shared" ref="J154" si="179">J152+J153</f>
        <v>31122.959999999999</v>
      </c>
      <c r="K154" s="440">
        <f t="shared" ref="K154" si="180">K152+K153</f>
        <v>31191.831999999999</v>
      </c>
      <c r="L154" s="344">
        <f t="shared" ref="L154" si="181">L152+L153</f>
        <v>31419.678400000001</v>
      </c>
    </row>
    <row r="155" spans="2:13" ht="15.75" x14ac:dyDescent="0.25">
      <c r="B155" s="330" t="s">
        <v>175</v>
      </c>
      <c r="C155" s="420">
        <f>C122</f>
        <v>-2213</v>
      </c>
      <c r="D155" s="420">
        <f>D122</f>
        <v>-4931</v>
      </c>
      <c r="E155" s="420">
        <f t="shared" ref="E155:M155" si="182">E122</f>
        <v>-2873</v>
      </c>
      <c r="F155" s="421">
        <f t="shared" si="182"/>
        <v>-969</v>
      </c>
      <c r="G155" s="422">
        <f t="shared" si="182"/>
        <v>-2447</v>
      </c>
      <c r="H155" s="420">
        <f t="shared" si="182"/>
        <v>-2686.6</v>
      </c>
      <c r="I155" s="422">
        <f t="shared" si="182"/>
        <v>-2781.32</v>
      </c>
      <c r="J155" s="420">
        <f t="shared" si="182"/>
        <v>-2351.384</v>
      </c>
      <c r="K155" s="422">
        <f t="shared" si="182"/>
        <v>-2247.0608000000002</v>
      </c>
      <c r="L155" s="331">
        <f t="shared" si="182"/>
        <v>-2502.6729599999999</v>
      </c>
      <c r="M155" s="188">
        <f t="shared" si="182"/>
        <v>0</v>
      </c>
    </row>
    <row r="156" spans="2:13" s="10" customFormat="1" ht="15" thickBot="1" x14ac:dyDescent="0.25">
      <c r="B156" s="345" t="s">
        <v>150</v>
      </c>
      <c r="C156" s="441">
        <f>C154-C155</f>
        <v>32811</v>
      </c>
      <c r="D156" s="441">
        <f t="shared" ref="D156:G156" si="183">D154-D155</f>
        <v>36523</v>
      </c>
      <c r="E156" s="441">
        <f t="shared" si="183"/>
        <v>34159</v>
      </c>
      <c r="F156" s="442">
        <f t="shared" si="183"/>
        <v>31061</v>
      </c>
      <c r="G156" s="443">
        <f t="shared" si="183"/>
        <v>37167</v>
      </c>
      <c r="H156" s="441">
        <f t="shared" ref="H156" si="184">H154-H155</f>
        <v>34344.199999999997</v>
      </c>
      <c r="I156" s="443">
        <f t="shared" ref="I156" si="185">I154-I155</f>
        <v>34368.720000000001</v>
      </c>
      <c r="J156" s="441">
        <f t="shared" ref="J156" si="186">J154-J155</f>
        <v>33474.343999999997</v>
      </c>
      <c r="K156" s="443">
        <f t="shared" ref="K156" si="187">K154-K155</f>
        <v>33438.892800000001</v>
      </c>
      <c r="L156" s="346">
        <f t="shared" ref="L156" si="188">L154-L155</f>
        <v>33922.351360000001</v>
      </c>
    </row>
    <row r="157" spans="2:13" ht="16.5" thickTop="1" thickBot="1" x14ac:dyDescent="0.3">
      <c r="B157" s="341" t="s">
        <v>151</v>
      </c>
      <c r="C157" s="435">
        <f>C38</f>
        <v>96</v>
      </c>
      <c r="D157" s="435">
        <f t="shared" ref="D157:L157" si="189">D38</f>
        <v>85</v>
      </c>
      <c r="E157" s="435">
        <f t="shared" si="189"/>
        <v>111</v>
      </c>
      <c r="F157" s="436">
        <f t="shared" si="189"/>
        <v>69</v>
      </c>
      <c r="G157" s="437">
        <f t="shared" si="189"/>
        <v>76</v>
      </c>
      <c r="H157" s="435">
        <f t="shared" si="189"/>
        <v>87.4</v>
      </c>
      <c r="I157" s="437">
        <f t="shared" si="189"/>
        <v>87.4</v>
      </c>
      <c r="J157" s="435">
        <f t="shared" si="189"/>
        <v>87.4</v>
      </c>
      <c r="K157" s="437">
        <f t="shared" si="189"/>
        <v>87.4</v>
      </c>
      <c r="L157" s="342">
        <f t="shared" si="189"/>
        <v>87.4</v>
      </c>
    </row>
  </sheetData>
  <mergeCells count="2">
    <mergeCell ref="C1:G1"/>
    <mergeCell ref="H1:L1"/>
  </mergeCells>
  <pageMargins left="0.7" right="0.7" top="0.75" bottom="0.75" header="0.3" footer="0.3"/>
  <ignoredErrors>
    <ignoredError sqref="C25:G25 C23:G23 H78:M78 D141 H120:L1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C042-1924-48F9-9A74-B5EE334CF479}">
  <dimension ref="A1:N103"/>
  <sheetViews>
    <sheetView tabSelected="1" topLeftCell="A77" workbookViewId="0">
      <selection activeCell="Q17" sqref="Q17"/>
    </sheetView>
  </sheetViews>
  <sheetFormatPr defaultRowHeight="12.75" x14ac:dyDescent="0.2"/>
  <cols>
    <col min="6" max="6" width="13.5" bestFit="1" customWidth="1"/>
    <col min="7" max="7" width="16.83203125" customWidth="1"/>
    <col min="8" max="8" width="9.6640625" bestFit="1" customWidth="1"/>
    <col min="9" max="9" width="12.5" bestFit="1" customWidth="1"/>
    <col min="10" max="10" width="11.33203125" bestFit="1" customWidth="1"/>
    <col min="11" max="11" width="9.33203125" customWidth="1"/>
    <col min="12" max="13" width="9.5" customWidth="1"/>
    <col min="14" max="14" width="10.1640625" bestFit="1" customWidth="1"/>
  </cols>
  <sheetData>
    <row r="1" spans="1:13" ht="22.5" x14ac:dyDescent="0.3">
      <c r="B1" s="449" t="s">
        <v>183</v>
      </c>
    </row>
    <row r="2" spans="1:13" s="450" customFormat="1" ht="14.25" x14ac:dyDescent="0.2">
      <c r="A2"/>
      <c r="B2" s="474" t="s">
        <v>227</v>
      </c>
      <c r="F2" s="475">
        <v>44377</v>
      </c>
    </row>
    <row r="3" spans="1:13" x14ac:dyDescent="0.2">
      <c r="B3" s="468" t="s">
        <v>245</v>
      </c>
      <c r="F3" s="513">
        <v>2479746</v>
      </c>
    </row>
    <row r="4" spans="1:13" ht="15" x14ac:dyDescent="0.25">
      <c r="B4" s="448"/>
      <c r="F4" s="326"/>
    </row>
    <row r="5" spans="1:13" x14ac:dyDescent="0.2">
      <c r="B5" s="448"/>
    </row>
    <row r="6" spans="1:13" ht="15.75" x14ac:dyDescent="0.25">
      <c r="B6" s="456" t="s">
        <v>184</v>
      </c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</row>
    <row r="7" spans="1:13" ht="15.75" x14ac:dyDescent="0.25">
      <c r="B7" s="459"/>
      <c r="C7" s="458"/>
      <c r="D7" s="458"/>
      <c r="E7" s="458"/>
      <c r="F7" s="514"/>
      <c r="G7" s="515" t="s">
        <v>186</v>
      </c>
      <c r="H7" s="514"/>
      <c r="I7" s="516"/>
      <c r="J7" s="517" t="s">
        <v>185</v>
      </c>
      <c r="K7" s="516"/>
      <c r="L7" s="516"/>
      <c r="M7" s="516"/>
    </row>
    <row r="8" spans="1:13" x14ac:dyDescent="0.2">
      <c r="B8" s="458"/>
      <c r="C8" s="458"/>
      <c r="D8" s="458"/>
      <c r="E8" s="458"/>
      <c r="F8" s="514">
        <v>2018</v>
      </c>
      <c r="G8" s="514">
        <v>2019</v>
      </c>
      <c r="H8" s="514">
        <v>2020</v>
      </c>
      <c r="I8" s="516">
        <v>2021</v>
      </c>
      <c r="J8" s="516">
        <v>2022</v>
      </c>
      <c r="K8" s="516">
        <v>2023</v>
      </c>
      <c r="L8" s="516">
        <v>2024</v>
      </c>
      <c r="M8" s="516">
        <v>2025</v>
      </c>
    </row>
    <row r="10" spans="1:13" x14ac:dyDescent="0.2">
      <c r="B10" s="1" t="s">
        <v>187</v>
      </c>
      <c r="F10">
        <f>'P&amp;G 3 Statement Model'!E19</f>
        <v>66832</v>
      </c>
      <c r="G10">
        <f>'P&amp;G 3 Statement Model'!F19</f>
        <v>67684</v>
      </c>
      <c r="H10">
        <f>'P&amp;G 3 Statement Model'!G19</f>
        <v>70950</v>
      </c>
      <c r="I10">
        <f>'P&amp;G 3 Statement Model'!H19</f>
        <v>74497.5</v>
      </c>
      <c r="J10">
        <f>'P&amp;G 3 Statement Model'!I19</f>
        <v>78222.375</v>
      </c>
      <c r="K10">
        <f>'P&amp;G 3 Statement Model'!J19</f>
        <v>82133.493750000009</v>
      </c>
      <c r="L10">
        <f>'P&amp;G 3 Statement Model'!K19</f>
        <v>86240.168437500019</v>
      </c>
      <c r="M10">
        <f>'P&amp;G 3 Statement Model'!L19</f>
        <v>90552.176859375017</v>
      </c>
    </row>
    <row r="11" spans="1:13" x14ac:dyDescent="0.2">
      <c r="B11" s="448" t="s">
        <v>153</v>
      </c>
      <c r="F11" s="452">
        <f>'P&amp;G 3 Statement Model'!E20</f>
        <v>2.7267976267330685E-2</v>
      </c>
      <c r="G11" s="452">
        <f>'P&amp;G 3 Statement Model'!F20</f>
        <v>1.2748384007660984E-2</v>
      </c>
      <c r="H11" s="452">
        <f>'P&amp;G 3 Statement Model'!G20</f>
        <v>4.8253649311506441E-2</v>
      </c>
      <c r="I11" s="453">
        <f>'P&amp;G 3 Statement Model'!H20</f>
        <v>0.05</v>
      </c>
      <c r="J11" s="453">
        <f>'P&amp;G 3 Statement Model'!I20</f>
        <v>0.05</v>
      </c>
      <c r="K11" s="453">
        <f>'P&amp;G 3 Statement Model'!J20</f>
        <v>0.05</v>
      </c>
      <c r="L11" s="453">
        <f>'P&amp;G 3 Statement Model'!K20</f>
        <v>0.05</v>
      </c>
      <c r="M11" s="453">
        <f>'P&amp;G 3 Statement Model'!L20</f>
        <v>0.05</v>
      </c>
    </row>
    <row r="13" spans="1:13" x14ac:dyDescent="0.2">
      <c r="B13" s="1" t="s">
        <v>162</v>
      </c>
      <c r="F13">
        <f>'P&amp;G 3 Statement Model'!E42</f>
        <v>16160</v>
      </c>
      <c r="G13">
        <f>'P&amp;G 3 Statement Model'!F42</f>
        <v>8893</v>
      </c>
      <c r="H13">
        <f>'P&amp;G 3 Statement Model'!G42</f>
        <v>18847</v>
      </c>
      <c r="I13" s="454">
        <f>'P&amp;G 3 Statement Model'!H42</f>
        <v>18682.987960046703</v>
      </c>
      <c r="J13" s="454">
        <f>'P&amp;G 3 Statement Model'!I42</f>
        <v>19558.848825844198</v>
      </c>
      <c r="K13" s="454">
        <f>'P&amp;G 3 Statement Model'!J42</f>
        <v>20493.751116569878</v>
      </c>
      <c r="L13" s="454">
        <f>'P&amp;G 3 Statement Model'!K42</f>
        <v>21474.43861036604</v>
      </c>
      <c r="M13" s="454">
        <f>'P&amp;G 3 Statement Model'!L42</f>
        <v>22508.392674423398</v>
      </c>
    </row>
    <row r="14" spans="1:13" x14ac:dyDescent="0.2">
      <c r="B14" s="448" t="s">
        <v>188</v>
      </c>
      <c r="F14" s="451">
        <f>F13/F10</f>
        <v>0.24180033516878141</v>
      </c>
      <c r="G14" s="451">
        <f t="shared" ref="G14:M14" si="0">G13/G10</f>
        <v>0.13138998877134922</v>
      </c>
      <c r="H14" s="451">
        <f t="shared" si="0"/>
        <v>0.26563777307963354</v>
      </c>
      <c r="I14" s="451">
        <f t="shared" si="0"/>
        <v>0.25078677754349749</v>
      </c>
      <c r="J14" s="451">
        <f t="shared" si="0"/>
        <v>0.25004161310423262</v>
      </c>
      <c r="K14" s="451">
        <f t="shared" si="0"/>
        <v>0.24951758632050003</v>
      </c>
      <c r="L14" s="451">
        <f t="shared" si="0"/>
        <v>0.24900738251606033</v>
      </c>
      <c r="M14" s="451">
        <f t="shared" si="0"/>
        <v>0.24856821177671187</v>
      </c>
    </row>
    <row r="16" spans="1:13" x14ac:dyDescent="0.2">
      <c r="B16" s="1" t="s">
        <v>189</v>
      </c>
      <c r="F16">
        <f>'P&amp;G 3 Statement Model'!E40</f>
        <v>13326</v>
      </c>
      <c r="G16">
        <f>'P&amp;G 3 Statement Model'!F40</f>
        <v>6069</v>
      </c>
      <c r="H16">
        <f>'P&amp;G 3 Statement Model'!G40</f>
        <v>15834</v>
      </c>
      <c r="I16" s="454">
        <f>'P&amp;G 3 Statement Model'!H40</f>
        <v>15580.406377250029</v>
      </c>
      <c r="J16" s="454">
        <f>'P&amp;G 3 Statement Model'!I40</f>
        <v>16364.646114089423</v>
      </c>
      <c r="K16" s="454">
        <f>'P&amp;G 3 Statement Model'!J40</f>
        <v>17194.245549851337</v>
      </c>
      <c r="L16" s="454">
        <f>'P&amp;G 3 Statement Model'!K40</f>
        <v>18056.56849950194</v>
      </c>
      <c r="M16" s="454">
        <f>'P&amp;G 3 Statement Model'!L40</f>
        <v>18959.560488457919</v>
      </c>
    </row>
    <row r="17" spans="2:13" x14ac:dyDescent="0.2">
      <c r="B17" s="448" t="s">
        <v>188</v>
      </c>
      <c r="F17" s="451">
        <f>F16/F10</f>
        <v>0.19939549916207805</v>
      </c>
      <c r="G17" s="451">
        <f t="shared" ref="G17:M17" si="1">G16/G10</f>
        <v>8.9666686366054016E-2</v>
      </c>
      <c r="H17" s="451">
        <f t="shared" si="1"/>
        <v>0.22317124735729388</v>
      </c>
      <c r="I17" s="451">
        <f t="shared" si="1"/>
        <v>0.20913998962716909</v>
      </c>
      <c r="J17" s="451">
        <f t="shared" si="1"/>
        <v>0.20920671501075519</v>
      </c>
      <c r="K17" s="451">
        <f t="shared" si="1"/>
        <v>0.20934511323952215</v>
      </c>
      <c r="L17" s="451">
        <f t="shared" si="1"/>
        <v>0.20937538535291589</v>
      </c>
      <c r="M17" s="451">
        <f t="shared" si="1"/>
        <v>0.20937719164831986</v>
      </c>
    </row>
    <row r="19" spans="2:13" x14ac:dyDescent="0.2">
      <c r="B19" s="448" t="s">
        <v>161</v>
      </c>
      <c r="F19">
        <f>'P&amp;G 3 Statement Model'!E41</f>
        <v>2834</v>
      </c>
      <c r="G19">
        <f>'P&amp;G 3 Statement Model'!F41</f>
        <v>2824</v>
      </c>
      <c r="H19">
        <f>'P&amp;G 3 Statement Model'!G41</f>
        <v>3013</v>
      </c>
      <c r="I19" s="454">
        <f>'P&amp;G 3 Statement Model'!H41</f>
        <v>3102.5815827966726</v>
      </c>
      <c r="J19" s="454">
        <f>'P&amp;G 3 Statement Model'!I41</f>
        <v>3194.2027117547755</v>
      </c>
      <c r="K19" s="454">
        <f>'P&amp;G 3 Statement Model'!J41</f>
        <v>3299.5055667185406</v>
      </c>
      <c r="L19" s="454">
        <f>'P&amp;G 3 Statement Model'!K41</f>
        <v>3417.8701108640998</v>
      </c>
      <c r="M19" s="454">
        <f>'P&amp;G 3 Statement Model'!L41</f>
        <v>3548.8321859654784</v>
      </c>
    </row>
    <row r="20" spans="2:13" x14ac:dyDescent="0.2">
      <c r="B20" s="448" t="s">
        <v>190</v>
      </c>
      <c r="F20" s="455">
        <f>'P&amp;G 3 Statement Model'!E17</f>
        <v>0.1404012880852118</v>
      </c>
      <c r="G20" s="455">
        <f>'P&amp;G 3 Statement Model'!F17</f>
        <v>0.13404214923106134</v>
      </c>
      <c r="H20" s="455">
        <f>'P&amp;G 3 Statement Model'!G17</f>
        <v>0.13954888610995322</v>
      </c>
      <c r="I20" s="455">
        <f>'P&amp;G 3 Statement Model'!H17</f>
        <v>0.14329968975089707</v>
      </c>
      <c r="J20" s="455">
        <f>'P&amp;G 3 Statement Model'!I17</f>
        <v>0.14329968975089707</v>
      </c>
      <c r="K20" s="455">
        <f>'P&amp;G 3 Statement Model'!J17</f>
        <v>0.14329968975089707</v>
      </c>
      <c r="L20" s="455">
        <f>'P&amp;G 3 Statement Model'!K17</f>
        <v>0.14329968975089707</v>
      </c>
      <c r="M20" s="455">
        <f>'P&amp;G 3 Statement Model'!L17</f>
        <v>0.14329968975089707</v>
      </c>
    </row>
    <row r="22" spans="2:13" ht="15.75" x14ac:dyDescent="0.25">
      <c r="B22" s="456" t="s">
        <v>191</v>
      </c>
      <c r="C22" s="457"/>
      <c r="D22" s="457"/>
      <c r="E22" s="457"/>
      <c r="F22" s="457"/>
      <c r="G22" s="457"/>
      <c r="H22" s="457"/>
      <c r="I22" s="457"/>
      <c r="J22" s="457"/>
      <c r="K22" s="457"/>
      <c r="L22" s="457"/>
      <c r="M22" s="457"/>
    </row>
    <row r="23" spans="2:13" ht="15.75" x14ac:dyDescent="0.25">
      <c r="B23" s="459"/>
      <c r="C23" s="458"/>
      <c r="D23" s="458"/>
      <c r="E23" s="458"/>
      <c r="F23" s="514"/>
      <c r="G23" s="515" t="s">
        <v>186</v>
      </c>
      <c r="H23" s="514"/>
      <c r="I23" s="516"/>
      <c r="J23" s="517" t="s">
        <v>185</v>
      </c>
      <c r="K23" s="516"/>
      <c r="L23" s="516"/>
      <c r="M23" s="516"/>
    </row>
    <row r="24" spans="2:13" x14ac:dyDescent="0.2">
      <c r="B24" s="458"/>
      <c r="C24" s="458"/>
      <c r="D24" s="458"/>
      <c r="E24" s="458"/>
      <c r="F24" s="514">
        <v>2018</v>
      </c>
      <c r="G24" s="514">
        <v>2019</v>
      </c>
      <c r="H24" s="514">
        <v>2020</v>
      </c>
      <c r="I24" s="516">
        <v>2021</v>
      </c>
      <c r="J24" s="516">
        <v>2022</v>
      </c>
      <c r="K24" s="516">
        <v>2023</v>
      </c>
      <c r="L24" s="516">
        <v>2024</v>
      </c>
      <c r="M24" s="516">
        <v>2025</v>
      </c>
    </row>
    <row r="26" spans="2:13" x14ac:dyDescent="0.2">
      <c r="B26" s="1" t="s">
        <v>192</v>
      </c>
      <c r="F26">
        <f>'P&amp;G 3 Statement Model'!E47</f>
        <v>2569</v>
      </c>
      <c r="G26">
        <f>'P&amp;G 3 Statement Model'!F47</f>
        <v>4239</v>
      </c>
      <c r="H26">
        <f>'P&amp;G 3 Statement Model'!G47</f>
        <v>16181</v>
      </c>
      <c r="I26" s="454">
        <f>'P&amp;G 3 Statement Model'!H47</f>
        <v>16143.692990411624</v>
      </c>
      <c r="J26" s="454">
        <f>'P&amp;G 3 Statement Model'!I47</f>
        <v>18192.973413450105</v>
      </c>
      <c r="K26" s="454">
        <f>'P&amp;G 3 Statement Model'!J47</f>
        <v>21242.061926851853</v>
      </c>
      <c r="L26" s="454">
        <f>'P&amp;G 3 Statement Model'!K47</f>
        <v>25805.530322465263</v>
      </c>
      <c r="M26" s="454">
        <f>'P&amp;G 3 Statement Model'!L47</f>
        <v>31059.249322790914</v>
      </c>
    </row>
    <row r="27" spans="2:13" x14ac:dyDescent="0.2">
      <c r="B27" s="1" t="s">
        <v>193</v>
      </c>
      <c r="F27">
        <f>'P&amp;G 3 Statement Model'!E49</f>
        <v>4686</v>
      </c>
      <c r="G27">
        <f>'P&amp;G 3 Statement Model'!F49</f>
        <v>4951</v>
      </c>
      <c r="H27">
        <f>'P&amp;G 3 Statement Model'!G49</f>
        <v>4178</v>
      </c>
      <c r="I27" s="454">
        <f>'P&amp;G 3 Statement Model'!H49</f>
        <v>5061.8694441617536</v>
      </c>
      <c r="J27" s="454">
        <f>'P&amp;G 3 Statement Model'!I49</f>
        <v>5330.2627451605858</v>
      </c>
      <c r="K27" s="454">
        <f>'P&amp;G 3 Statement Model'!J49</f>
        <v>5556.1775703613439</v>
      </c>
      <c r="L27" s="454">
        <f>'P&amp;G 3 Statement Model'!K49</f>
        <v>5791.4186761160172</v>
      </c>
      <c r="M27" s="454">
        <f>'P&amp;G 3 Statement Model'!L49</f>
        <v>5972.431821159872</v>
      </c>
    </row>
    <row r="28" spans="2:13" x14ac:dyDescent="0.2">
      <c r="B28" s="448" t="s">
        <v>194</v>
      </c>
      <c r="F28">
        <f>'P&amp;G 3 Statement Model'!E54</f>
        <v>4738</v>
      </c>
      <c r="G28">
        <f>'P&amp;G 3 Statement Model'!F54</f>
        <v>5017</v>
      </c>
      <c r="H28">
        <f>'P&amp;G 3 Statement Model'!G54</f>
        <v>5498</v>
      </c>
      <c r="I28" s="454">
        <f>'P&amp;G 3 Statement Model'!H54</f>
        <v>5452.285890129021</v>
      </c>
      <c r="J28" s="454">
        <f>'P&amp;G 3 Statement Model'!I54</f>
        <v>5736.6683200838106</v>
      </c>
      <c r="K28" s="454">
        <f>'P&amp;G 3 Statement Model'!J54</f>
        <v>6048.1305619376735</v>
      </c>
      <c r="L28" s="454">
        <f>'P&amp;G 3 Statement Model'!K54</f>
        <v>6415.2286168063956</v>
      </c>
      <c r="M28" s="454">
        <f>'P&amp;G 3 Statement Model'!L54</f>
        <v>6762.2443644819268</v>
      </c>
    </row>
    <row r="29" spans="2:13" x14ac:dyDescent="0.2">
      <c r="B29" s="448" t="s">
        <v>195</v>
      </c>
      <c r="F29">
        <f>'P&amp;G 3 Statement Model'!E57</f>
        <v>2046</v>
      </c>
      <c r="G29">
        <f>'P&amp;G 3 Statement Model'!F57</f>
        <v>2218</v>
      </c>
      <c r="H29">
        <f>'P&amp;G 3 Statement Model'!G57</f>
        <v>2130</v>
      </c>
      <c r="I29" s="454">
        <f>'P&amp;G 3 Statement Model'!H57</f>
        <v>2237.1999999999998</v>
      </c>
      <c r="J29" s="454">
        <f>'P&amp;G 3 Statement Model'!I57</f>
        <v>2237.1999999999998</v>
      </c>
      <c r="K29" s="454">
        <f>'P&amp;G 3 Statement Model'!J57</f>
        <v>2237.1999999999998</v>
      </c>
      <c r="L29" s="454">
        <f>'P&amp;G 3 Statement Model'!K57</f>
        <v>2237.1999999999998</v>
      </c>
      <c r="M29" s="454">
        <f>'P&amp;G 3 Statement Model'!L57</f>
        <v>2237.1999999999998</v>
      </c>
    </row>
    <row r="30" spans="2:13" x14ac:dyDescent="0.2">
      <c r="B30" s="450"/>
      <c r="J30" s="454"/>
      <c r="K30" s="454"/>
      <c r="L30" s="454"/>
      <c r="M30" s="454"/>
    </row>
    <row r="31" spans="2:13" x14ac:dyDescent="0.2">
      <c r="B31" s="448" t="s">
        <v>196</v>
      </c>
      <c r="F31">
        <f>'P&amp;G 3 Statement Model'!E67</f>
        <v>10344</v>
      </c>
      <c r="G31">
        <f>'P&amp;G 3 Statement Model'!F67</f>
        <v>11260</v>
      </c>
      <c r="H31">
        <f>'P&amp;G 3 Statement Model'!G67</f>
        <v>12071</v>
      </c>
      <c r="I31" s="454">
        <f>'P&amp;G 3 Statement Model'!H67</f>
        <v>11654.97652503127</v>
      </c>
      <c r="J31" s="454">
        <f>'P&amp;G 3 Statement Model'!I67</f>
        <v>12444.557745269387</v>
      </c>
      <c r="K31" s="454">
        <f>'P&amp;G 3 Statement Model'!J67</f>
        <v>13222.00069722803</v>
      </c>
      <c r="L31" s="454">
        <f>'P&amp;G 3 Statement Model'!K67</f>
        <v>14028.057311826104</v>
      </c>
      <c r="M31" s="454">
        <f>'P&amp;G 3 Statement Model'!L67</f>
        <v>14710.666946858255</v>
      </c>
    </row>
    <row r="32" spans="2:13" x14ac:dyDescent="0.2">
      <c r="B32" s="448" t="s">
        <v>197</v>
      </c>
      <c r="F32">
        <f>'P&amp;G 3 Statement Model'!E69</f>
        <v>7470</v>
      </c>
      <c r="G32">
        <f>'P&amp;G 3 Statement Model'!F69</f>
        <v>9054</v>
      </c>
      <c r="H32">
        <f>'P&amp;G 3 Statement Model'!G69</f>
        <v>9722</v>
      </c>
      <c r="I32" s="454">
        <f>'P&amp;G 3 Statement Model'!H69</f>
        <v>8143.8</v>
      </c>
      <c r="J32" s="454">
        <f>'P&amp;G 3 Statement Model'!I69</f>
        <v>8143.8</v>
      </c>
      <c r="K32" s="454">
        <f>'P&amp;G 3 Statement Model'!J69</f>
        <v>8143.8</v>
      </c>
      <c r="L32" s="454">
        <f>'P&amp;G 3 Statement Model'!K69</f>
        <v>8143.8</v>
      </c>
      <c r="M32" s="454">
        <f>'P&amp;G 3 Statement Model'!L69</f>
        <v>8143.8</v>
      </c>
    </row>
    <row r="33" spans="2:13" x14ac:dyDescent="0.2">
      <c r="J33" s="454"/>
      <c r="K33" s="454"/>
      <c r="L33" s="454"/>
      <c r="M33" s="454"/>
    </row>
    <row r="34" spans="2:13" x14ac:dyDescent="0.2">
      <c r="B34" s="1" t="s">
        <v>172</v>
      </c>
      <c r="F34">
        <f>'P&amp;G 3 Statement Model'!E154</f>
        <v>31286</v>
      </c>
      <c r="G34">
        <f>'P&amp;G 3 Statement Model'!F154</f>
        <v>30092</v>
      </c>
      <c r="H34">
        <f>'P&amp;G 3 Statement Model'!G154</f>
        <v>34720</v>
      </c>
      <c r="I34">
        <f>'P&amp;G 3 Statement Model'!H154</f>
        <v>31657.599999999999</v>
      </c>
      <c r="J34" s="454">
        <f>'P&amp;G 3 Statement Model'!I154</f>
        <v>31587.399999999998</v>
      </c>
      <c r="K34" s="454">
        <f>'P&amp;G 3 Statement Model'!J154</f>
        <v>31122.959999999999</v>
      </c>
      <c r="L34" s="454">
        <f>'P&amp;G 3 Statement Model'!K154</f>
        <v>31191.831999999999</v>
      </c>
      <c r="M34" s="454">
        <f>'P&amp;G 3 Statement Model'!L154</f>
        <v>31419.678400000001</v>
      </c>
    </row>
    <row r="35" spans="2:13" x14ac:dyDescent="0.2">
      <c r="B35" s="1" t="s">
        <v>236</v>
      </c>
      <c r="F35" s="454">
        <f>'P&amp;G 3 Statement Model'!E86</f>
        <v>52883</v>
      </c>
      <c r="G35" s="454">
        <f>'P&amp;G 3 Statement Model'!F86</f>
        <v>47579</v>
      </c>
      <c r="H35" s="454">
        <f>'P&amp;G 3 Statement Model'!G86</f>
        <v>46878</v>
      </c>
      <c r="I35" s="454">
        <f>'P&amp;G 3 Statement Model'!H86</f>
        <v>59557.871799671135</v>
      </c>
      <c r="J35" s="454">
        <f>'P&amp;G 3 Statement Model'!I86</f>
        <v>62079.913986190091</v>
      </c>
      <c r="K35" s="454">
        <f>'P&amp;G 3 Statement Model'!J86</f>
        <v>66088.220180272736</v>
      </c>
      <c r="L35" s="454">
        <f>'P&amp;G 3 Statement Model'!K86</f>
        <v>71205.092146399664</v>
      </c>
      <c r="M35" s="454">
        <f>'P&amp;G 3 Statement Model'!L86</f>
        <v>76990.287414315448</v>
      </c>
    </row>
    <row r="36" spans="2:13" x14ac:dyDescent="0.2">
      <c r="B36" s="1" t="s">
        <v>198</v>
      </c>
      <c r="F36">
        <f>-'P&amp;G 3 Statement Model'!E107</f>
        <v>3717</v>
      </c>
      <c r="G36">
        <f>-'P&amp;G 3 Statement Model'!F107</f>
        <v>3347</v>
      </c>
      <c r="H36">
        <f>-'P&amp;G 3 Statement Model'!G107</f>
        <v>3073</v>
      </c>
      <c r="I36" s="454">
        <f>-'P&amp;G 3 Statement Model'!H107</f>
        <v>3741.9488355616372</v>
      </c>
      <c r="J36" s="454">
        <f>-'P&amp;G 3 Statement Model'!I107</f>
        <v>3929.0462773397189</v>
      </c>
      <c r="K36" s="454">
        <f>-'P&amp;G 3 Statement Model'!J107</f>
        <v>4125.498591206705</v>
      </c>
      <c r="L36" s="454">
        <f>-'P&amp;G 3 Statement Model'!K107</f>
        <v>4331.7735207670412</v>
      </c>
      <c r="M36" s="454">
        <f>-'P&amp;G 3 Statement Model'!L107</f>
        <v>4548.3621968053931</v>
      </c>
    </row>
    <row r="38" spans="2:13" x14ac:dyDescent="0.2">
      <c r="B38" s="448" t="s">
        <v>199</v>
      </c>
      <c r="G38" s="451">
        <f>G27/F27-1</f>
        <v>5.655142979086647E-2</v>
      </c>
      <c r="H38" s="451">
        <f t="shared" ref="H38:M38" si="2">H27/G27-1</f>
        <v>-0.15613007473237728</v>
      </c>
      <c r="I38" s="451">
        <f t="shared" si="2"/>
        <v>0.21155324178117607</v>
      </c>
      <c r="J38" s="451">
        <f t="shared" si="2"/>
        <v>5.3022564876380018E-2</v>
      </c>
      <c r="K38" s="451">
        <f t="shared" si="2"/>
        <v>4.2383431361965984E-2</v>
      </c>
      <c r="L38" s="451">
        <f t="shared" si="2"/>
        <v>4.2338658686780217E-2</v>
      </c>
      <c r="M38" s="451">
        <f t="shared" si="2"/>
        <v>3.1255406519020701E-2</v>
      </c>
    </row>
    <row r="39" spans="2:13" x14ac:dyDescent="0.2">
      <c r="B39" s="448" t="s">
        <v>200</v>
      </c>
      <c r="G39" s="451">
        <f>G28/F28-1</f>
        <v>5.8885605740818914E-2</v>
      </c>
      <c r="H39" s="451">
        <f t="shared" ref="H39:M39" si="3">H28/G28-1</f>
        <v>9.5874028303767123E-2</v>
      </c>
      <c r="I39" s="451">
        <f t="shared" si="3"/>
        <v>-8.3146798601271277E-3</v>
      </c>
      <c r="J39" s="451">
        <f t="shared" si="3"/>
        <v>5.215838561760755E-2</v>
      </c>
      <c r="K39" s="451">
        <f t="shared" si="3"/>
        <v>5.4293228137915595E-2</v>
      </c>
      <c r="L39" s="451">
        <f t="shared" si="3"/>
        <v>6.069611942224884E-2</v>
      </c>
      <c r="M39" s="451">
        <f t="shared" si="3"/>
        <v>5.4092499021224372E-2</v>
      </c>
    </row>
    <row r="40" spans="2:13" x14ac:dyDescent="0.2">
      <c r="B40" s="448" t="s">
        <v>201</v>
      </c>
      <c r="G40" s="451">
        <f>G28/F28-1</f>
        <v>5.8885605740818914E-2</v>
      </c>
      <c r="H40" s="451">
        <f t="shared" ref="H40:M40" si="4">H28/G28-1</f>
        <v>9.5874028303767123E-2</v>
      </c>
      <c r="I40" s="451">
        <f t="shared" si="4"/>
        <v>-8.3146798601271277E-3</v>
      </c>
      <c r="J40" s="451">
        <f t="shared" si="4"/>
        <v>5.215838561760755E-2</v>
      </c>
      <c r="K40" s="451">
        <f t="shared" si="4"/>
        <v>5.4293228137915595E-2</v>
      </c>
      <c r="L40" s="451">
        <f t="shared" si="4"/>
        <v>6.069611942224884E-2</v>
      </c>
      <c r="M40" s="451">
        <f t="shared" si="4"/>
        <v>5.4092499021224372E-2</v>
      </c>
    </row>
    <row r="41" spans="2:13" x14ac:dyDescent="0.2">
      <c r="B41" s="448" t="s">
        <v>202</v>
      </c>
      <c r="G41" s="451">
        <f>G31/F31-1</f>
        <v>8.8553750966744005E-2</v>
      </c>
      <c r="H41" s="451">
        <f t="shared" ref="H41:M41" si="5">H31/G31-1</f>
        <v>7.2024866785080022E-2</v>
      </c>
      <c r="I41" s="451">
        <f t="shared" si="5"/>
        <v>-3.4464706732559858E-2</v>
      </c>
      <c r="J41" s="451">
        <f t="shared" si="5"/>
        <v>6.7746272894015913E-2</v>
      </c>
      <c r="K41" s="451">
        <f t="shared" si="5"/>
        <v>6.2472525570800297E-2</v>
      </c>
      <c r="L41" s="451">
        <f t="shared" si="5"/>
        <v>6.0963286347962553E-2</v>
      </c>
      <c r="M41" s="451">
        <f t="shared" si="5"/>
        <v>4.8660311250417365E-2</v>
      </c>
    </row>
    <row r="42" spans="2:13" x14ac:dyDescent="0.2">
      <c r="B42" s="448" t="s">
        <v>203</v>
      </c>
      <c r="G42" s="451">
        <f>G32/F32-1</f>
        <v>0.21204819277108444</v>
      </c>
      <c r="H42" s="451">
        <f t="shared" ref="H42:M42" si="6">H32/G32-1</f>
        <v>7.3779544952507159E-2</v>
      </c>
      <c r="I42" s="451">
        <f t="shared" si="6"/>
        <v>-0.16233285332236158</v>
      </c>
      <c r="J42" s="451">
        <f t="shared" si="6"/>
        <v>0</v>
      </c>
      <c r="K42" s="451">
        <f t="shared" si="6"/>
        <v>0</v>
      </c>
      <c r="L42" s="451">
        <f t="shared" si="6"/>
        <v>0</v>
      </c>
      <c r="M42" s="451">
        <f t="shared" si="6"/>
        <v>0</v>
      </c>
    </row>
    <row r="43" spans="2:13" x14ac:dyDescent="0.2">
      <c r="B43" s="448" t="s">
        <v>204</v>
      </c>
      <c r="G43" s="451">
        <f>G36/F36-1</f>
        <v>-9.9542641915523311E-2</v>
      </c>
      <c r="H43" s="451">
        <f t="shared" ref="H43:M43" si="7">H36/G36-1</f>
        <v>-8.1864356139826677E-2</v>
      </c>
      <c r="I43" s="451">
        <f t="shared" si="7"/>
        <v>0.21768592110694351</v>
      </c>
      <c r="J43" s="451">
        <f t="shared" si="7"/>
        <v>5.0000000000000044E-2</v>
      </c>
      <c r="K43" s="451">
        <f t="shared" si="7"/>
        <v>5.0000000000000044E-2</v>
      </c>
      <c r="L43" s="451">
        <f t="shared" si="7"/>
        <v>5.0000000000000266E-2</v>
      </c>
      <c r="M43" s="451">
        <f t="shared" si="7"/>
        <v>5.0000000000000044E-2</v>
      </c>
    </row>
    <row r="44" spans="2:13" x14ac:dyDescent="0.2">
      <c r="B44" s="448" t="s">
        <v>234</v>
      </c>
      <c r="G44" s="452">
        <f>'P&amp;G 3 Statement Model'!E43</f>
        <v>1.6173368279741737E-2</v>
      </c>
      <c r="H44" s="452">
        <f>'P&amp;G 3 Statement Model'!F43</f>
        <v>1.691479462980194E-2</v>
      </c>
      <c r="I44" s="452">
        <f>'P&amp;G 3 Statement Model'!G43</f>
        <v>1.3392857142857142E-2</v>
      </c>
      <c r="J44" s="452">
        <f>'P&amp;G 3 Statement Model'!H43</f>
        <v>1.5733913650212428E-2</v>
      </c>
      <c r="K44" s="452">
        <f>'P&amp;G 3 Statement Model'!I43</f>
        <v>1.5733913650212428E-2</v>
      </c>
      <c r="L44" s="452">
        <f>'P&amp;G 3 Statement Model'!J43</f>
        <v>1.5733913650212428E-2</v>
      </c>
      <c r="M44" s="452">
        <f>'P&amp;G 3 Statement Model'!K43</f>
        <v>1.5733913650212428E-2</v>
      </c>
    </row>
    <row r="45" spans="2:13" ht="15.75" x14ac:dyDescent="0.25">
      <c r="B45" s="456" t="s">
        <v>205</v>
      </c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</row>
    <row r="46" spans="2:13" ht="15.75" x14ac:dyDescent="0.25">
      <c r="B46" s="459"/>
      <c r="C46" s="458"/>
      <c r="D46" s="458"/>
      <c r="E46" s="458"/>
      <c r="F46" s="514"/>
      <c r="G46" s="515" t="s">
        <v>186</v>
      </c>
      <c r="H46" s="514"/>
      <c r="I46" s="516"/>
      <c r="J46" s="517" t="s">
        <v>185</v>
      </c>
      <c r="K46" s="516"/>
      <c r="L46" s="516"/>
      <c r="M46" s="516"/>
    </row>
    <row r="47" spans="2:13" x14ac:dyDescent="0.2">
      <c r="B47" s="458"/>
      <c r="C47" s="458"/>
      <c r="D47" s="458"/>
      <c r="E47" s="458"/>
      <c r="F47" s="514">
        <v>2018</v>
      </c>
      <c r="G47" s="514">
        <v>2019</v>
      </c>
      <c r="H47" s="514">
        <v>2020</v>
      </c>
      <c r="I47" s="516">
        <v>2021</v>
      </c>
      <c r="J47" s="516">
        <v>2022</v>
      </c>
      <c r="K47" s="516">
        <v>2023</v>
      </c>
      <c r="L47" s="516">
        <v>2024</v>
      </c>
      <c r="M47" s="516">
        <v>2025</v>
      </c>
    </row>
    <row r="48" spans="2:13" x14ac:dyDescent="0.2">
      <c r="B48" s="1" t="s">
        <v>206</v>
      </c>
      <c r="I48">
        <v>1</v>
      </c>
      <c r="J48">
        <v>2</v>
      </c>
      <c r="K48">
        <v>3</v>
      </c>
      <c r="L48">
        <v>4</v>
      </c>
      <c r="M48">
        <v>5</v>
      </c>
    </row>
    <row r="50" spans="2:13" x14ac:dyDescent="0.2">
      <c r="B50" s="448" t="s">
        <v>207</v>
      </c>
      <c r="I50" s="465">
        <f>I10</f>
        <v>74497.5</v>
      </c>
      <c r="J50" s="465">
        <f t="shared" ref="J50:M50" si="8">J10</f>
        <v>78222.375</v>
      </c>
      <c r="K50" s="465">
        <f t="shared" si="8"/>
        <v>82133.493750000009</v>
      </c>
      <c r="L50" s="465">
        <f t="shared" si="8"/>
        <v>86240.168437500019</v>
      </c>
      <c r="M50" s="465">
        <f t="shared" si="8"/>
        <v>90552.176859375017</v>
      </c>
    </row>
    <row r="51" spans="2:13" x14ac:dyDescent="0.2">
      <c r="B51" s="1" t="s">
        <v>162</v>
      </c>
      <c r="I51" s="466">
        <f>I13</f>
        <v>18682.987960046703</v>
      </c>
      <c r="J51" s="466">
        <f t="shared" ref="J51:M51" si="9">J13</f>
        <v>19558.848825844198</v>
      </c>
      <c r="K51" s="466">
        <f t="shared" si="9"/>
        <v>20493.751116569878</v>
      </c>
      <c r="L51" s="466">
        <f t="shared" si="9"/>
        <v>21474.43861036604</v>
      </c>
      <c r="M51" s="466">
        <f t="shared" si="9"/>
        <v>22508.392674423398</v>
      </c>
    </row>
    <row r="52" spans="2:13" x14ac:dyDescent="0.2">
      <c r="B52" s="1" t="s">
        <v>189</v>
      </c>
      <c r="I52" s="466">
        <f>I16</f>
        <v>15580.406377250029</v>
      </c>
      <c r="J52" s="466">
        <f t="shared" ref="J52:M52" si="10">J16</f>
        <v>16364.646114089423</v>
      </c>
      <c r="K52" s="466">
        <f t="shared" si="10"/>
        <v>17194.245549851337</v>
      </c>
      <c r="L52" s="466">
        <f t="shared" si="10"/>
        <v>18056.56849950194</v>
      </c>
      <c r="M52" s="466">
        <f t="shared" si="10"/>
        <v>18959.560488457919</v>
      </c>
    </row>
    <row r="53" spans="2:13" x14ac:dyDescent="0.2">
      <c r="B53" s="1" t="s">
        <v>208</v>
      </c>
      <c r="I53" s="462">
        <f>'P&amp;G 3 Statement Model'!H34</f>
        <v>0.25374930724443273</v>
      </c>
      <c r="J53" s="462">
        <f>'P&amp;G 3 Statement Model'!I34</f>
        <v>0.25374930724443273</v>
      </c>
      <c r="K53" s="462">
        <f>'P&amp;G 3 Statement Model'!J34</f>
        <v>0.25374930724443273</v>
      </c>
      <c r="L53" s="462">
        <f>'P&amp;G 3 Statement Model'!K34</f>
        <v>0.25374930724443273</v>
      </c>
      <c r="M53" s="462">
        <f>'P&amp;G 3 Statement Model'!L34</f>
        <v>0.25374930724443273</v>
      </c>
    </row>
    <row r="54" spans="2:13" x14ac:dyDescent="0.2">
      <c r="B54" s="463" t="s">
        <v>209</v>
      </c>
      <c r="C54" s="464"/>
      <c r="D54" s="464"/>
      <c r="E54" s="464"/>
      <c r="F54" s="464"/>
      <c r="G54" s="464"/>
      <c r="H54" s="464"/>
      <c r="I54" s="467">
        <f>I52*(1-I53)</f>
        <v>11626.88905243609</v>
      </c>
      <c r="J54" s="467">
        <f t="shared" ref="J54:M54" si="11">J52*(1-J53)</f>
        <v>12212.128499338933</v>
      </c>
      <c r="K54" s="467">
        <f t="shared" si="11"/>
        <v>12831.21765298589</v>
      </c>
      <c r="L54" s="467">
        <f t="shared" si="11"/>
        <v>13474.726751541675</v>
      </c>
      <c r="M54" s="467">
        <f t="shared" si="11"/>
        <v>14148.585148852802</v>
      </c>
    </row>
    <row r="55" spans="2:13" x14ac:dyDescent="0.2">
      <c r="B55" s="448" t="s">
        <v>161</v>
      </c>
      <c r="I55" s="465">
        <f>I19</f>
        <v>3102.5815827966726</v>
      </c>
      <c r="J55" s="465">
        <f t="shared" ref="J55:M55" si="12">J19</f>
        <v>3194.2027117547755</v>
      </c>
      <c r="K55" s="465">
        <f t="shared" si="12"/>
        <v>3299.5055667185406</v>
      </c>
      <c r="L55" s="465">
        <f t="shared" si="12"/>
        <v>3417.8701108640998</v>
      </c>
      <c r="M55" s="465">
        <f t="shared" si="12"/>
        <v>3548.8321859654784</v>
      </c>
    </row>
    <row r="56" spans="2:13" x14ac:dyDescent="0.2">
      <c r="B56" s="1" t="s">
        <v>193</v>
      </c>
      <c r="I56" s="465">
        <f>H27-I27</f>
        <v>-883.86944416175356</v>
      </c>
      <c r="J56" s="465">
        <f t="shared" ref="J56:M56" si="13">I27-J27</f>
        <v>-268.39330099883227</v>
      </c>
      <c r="K56" s="465">
        <f t="shared" si="13"/>
        <v>-225.91482520075806</v>
      </c>
      <c r="L56" s="465">
        <f t="shared" si="13"/>
        <v>-235.2411057546733</v>
      </c>
      <c r="M56" s="465">
        <f t="shared" si="13"/>
        <v>-181.01314504385482</v>
      </c>
    </row>
    <row r="57" spans="2:13" x14ac:dyDescent="0.2">
      <c r="B57" s="448" t="s">
        <v>194</v>
      </c>
      <c r="I57" s="465">
        <f>H28-I28</f>
        <v>45.714109870978973</v>
      </c>
      <c r="J57" s="465">
        <f t="shared" ref="J57:M57" si="14">I28-J28</f>
        <v>-284.38242995478959</v>
      </c>
      <c r="K57" s="465">
        <f t="shared" si="14"/>
        <v>-311.46224185386291</v>
      </c>
      <c r="L57" s="465">
        <f t="shared" si="14"/>
        <v>-367.0980548687221</v>
      </c>
      <c r="M57" s="465">
        <f t="shared" si="14"/>
        <v>-347.0157476755312</v>
      </c>
    </row>
    <row r="58" spans="2:13" x14ac:dyDescent="0.2">
      <c r="B58" s="448" t="s">
        <v>195</v>
      </c>
      <c r="I58" s="465">
        <f>H29-I29</f>
        <v>-107.19999999999982</v>
      </c>
      <c r="J58" s="465">
        <f t="shared" ref="J58:M58" si="15">I29-J29</f>
        <v>0</v>
      </c>
      <c r="K58" s="465">
        <f t="shared" si="15"/>
        <v>0</v>
      </c>
      <c r="L58" s="465">
        <f t="shared" si="15"/>
        <v>0</v>
      </c>
      <c r="M58" s="465">
        <f t="shared" si="15"/>
        <v>0</v>
      </c>
    </row>
    <row r="59" spans="2:13" x14ac:dyDescent="0.2">
      <c r="B59" s="1" t="s">
        <v>196</v>
      </c>
      <c r="I59" s="465">
        <f>I31-H31</f>
        <v>-416.02347496872972</v>
      </c>
      <c r="J59" s="465">
        <f t="shared" ref="J59:M59" si="16">J31-I31</f>
        <v>789.58122023811666</v>
      </c>
      <c r="K59" s="465">
        <f t="shared" si="16"/>
        <v>777.44295195864288</v>
      </c>
      <c r="L59" s="465">
        <f t="shared" si="16"/>
        <v>806.05661459807379</v>
      </c>
      <c r="M59" s="465">
        <f t="shared" si="16"/>
        <v>682.60963503215135</v>
      </c>
    </row>
    <row r="60" spans="2:13" x14ac:dyDescent="0.2">
      <c r="B60" s="448" t="s">
        <v>197</v>
      </c>
      <c r="I60" s="465">
        <f>I32-H32</f>
        <v>-1578.1999999999998</v>
      </c>
      <c r="J60" s="465">
        <f t="shared" ref="J60:M60" si="17">J32-I32</f>
        <v>0</v>
      </c>
      <c r="K60" s="465">
        <f t="shared" si="17"/>
        <v>0</v>
      </c>
      <c r="L60" s="465">
        <f t="shared" si="17"/>
        <v>0</v>
      </c>
      <c r="M60" s="465">
        <f t="shared" si="17"/>
        <v>0</v>
      </c>
    </row>
    <row r="61" spans="2:13" x14ac:dyDescent="0.2">
      <c r="B61" s="448" t="s">
        <v>210</v>
      </c>
      <c r="I61" s="465">
        <f>H36-I36</f>
        <v>-668.94883556163722</v>
      </c>
      <c r="J61" s="465">
        <f t="shared" ref="J61:M61" si="18">I36-J36</f>
        <v>-187.0974417780817</v>
      </c>
      <c r="K61" s="465">
        <f t="shared" si="18"/>
        <v>-196.45231386698606</v>
      </c>
      <c r="L61" s="465">
        <f t="shared" si="18"/>
        <v>-206.2749295603362</v>
      </c>
      <c r="M61" s="465">
        <f t="shared" si="18"/>
        <v>-216.58867603835188</v>
      </c>
    </row>
    <row r="62" spans="2:13" ht="14.25" x14ac:dyDescent="0.2">
      <c r="B62" s="470" t="s">
        <v>211</v>
      </c>
      <c r="C62" s="471"/>
      <c r="D62" s="471"/>
      <c r="E62" s="471"/>
      <c r="F62" s="471"/>
      <c r="G62" s="471"/>
      <c r="H62" s="471"/>
      <c r="I62" s="472">
        <f>SUM(I54:I61)</f>
        <v>11120.942990411619</v>
      </c>
      <c r="J62" s="472">
        <f t="shared" ref="J62:M62" si="19">SUM(J54:J61)</f>
        <v>15456.039258600122</v>
      </c>
      <c r="K62" s="472">
        <f t="shared" si="19"/>
        <v>16174.336790741467</v>
      </c>
      <c r="L62" s="472">
        <f t="shared" si="19"/>
        <v>16890.039386820117</v>
      </c>
      <c r="M62" s="472">
        <f t="shared" si="19"/>
        <v>17635.409401092693</v>
      </c>
    </row>
    <row r="63" spans="2:13" x14ac:dyDescent="0.2">
      <c r="B63" s="448" t="s">
        <v>212</v>
      </c>
    </row>
    <row r="64" spans="2:13" x14ac:dyDescent="0.2">
      <c r="B64" s="448" t="s">
        <v>213</v>
      </c>
      <c r="I64" s="473">
        <f>I62/(1+I63)^I48</f>
        <v>11120.942990411619</v>
      </c>
      <c r="J64" s="473">
        <f t="shared" ref="J64:M64" si="20">J62/(1+J63)^J48</f>
        <v>15456.039258600122</v>
      </c>
      <c r="K64" s="473">
        <f t="shared" si="20"/>
        <v>16174.336790741467</v>
      </c>
      <c r="L64" s="473">
        <f t="shared" si="20"/>
        <v>16890.039386820117</v>
      </c>
      <c r="M64" s="473">
        <f t="shared" si="20"/>
        <v>17635.409401092693</v>
      </c>
    </row>
    <row r="65" spans="2:13" ht="14.25" x14ac:dyDescent="0.2">
      <c r="B65" s="496" t="s">
        <v>214</v>
      </c>
      <c r="C65" s="495"/>
      <c r="D65" s="495"/>
      <c r="E65" s="495"/>
      <c r="F65" s="498">
        <f>SUM(I64:M64)</f>
        <v>77276.767827666015</v>
      </c>
      <c r="G65" s="469" t="s">
        <v>215</v>
      </c>
    </row>
    <row r="67" spans="2:13" ht="15.75" x14ac:dyDescent="0.25">
      <c r="B67" s="456" t="s">
        <v>216</v>
      </c>
      <c r="C67" s="457"/>
      <c r="D67" s="457"/>
      <c r="E67" s="457"/>
      <c r="F67" s="457"/>
      <c r="G67" s="457"/>
      <c r="H67" s="457"/>
      <c r="I67" s="457"/>
      <c r="J67" s="457"/>
      <c r="K67" s="457"/>
      <c r="L67" s="457"/>
      <c r="M67" s="457"/>
    </row>
    <row r="68" spans="2:13" x14ac:dyDescent="0.2">
      <c r="B68" s="468"/>
    </row>
    <row r="69" spans="2:13" x14ac:dyDescent="0.2">
      <c r="B69" s="448" t="s">
        <v>240</v>
      </c>
      <c r="F69" s="499">
        <v>2.5000000000000001E-2</v>
      </c>
    </row>
    <row r="70" spans="2:13" x14ac:dyDescent="0.2">
      <c r="B70" s="1" t="s">
        <v>217</v>
      </c>
      <c r="F70" s="455">
        <f>G94</f>
        <v>2.7300872369123163E-2</v>
      </c>
    </row>
    <row r="71" spans="2:13" x14ac:dyDescent="0.2">
      <c r="B71" s="448" t="s">
        <v>218</v>
      </c>
      <c r="F71" s="473">
        <f>M62*(1+F69)</f>
        <v>18076.294636120008</v>
      </c>
    </row>
    <row r="72" spans="2:13" x14ac:dyDescent="0.2">
      <c r="B72" s="448" t="s">
        <v>216</v>
      </c>
      <c r="F72" s="473">
        <f>F71/(F70-F69)</f>
        <v>7856278.7222346868</v>
      </c>
    </row>
    <row r="73" spans="2:13" ht="14.25" x14ac:dyDescent="0.2">
      <c r="B73" s="496" t="s">
        <v>219</v>
      </c>
      <c r="C73" s="495"/>
      <c r="D73" s="495"/>
      <c r="E73" s="495"/>
      <c r="F73" s="497">
        <f>F72/(1+M63)^M48</f>
        <v>7856278.7222346868</v>
      </c>
      <c r="G73" s="469" t="s">
        <v>237</v>
      </c>
    </row>
    <row r="75" spans="2:13" ht="15.75" x14ac:dyDescent="0.25">
      <c r="B75" s="456" t="s">
        <v>217</v>
      </c>
      <c r="C75" s="457"/>
      <c r="D75" s="457"/>
      <c r="E75" s="457"/>
      <c r="F75" s="457"/>
      <c r="G75" s="457"/>
      <c r="H75" s="457"/>
      <c r="I75" s="457"/>
      <c r="J75" s="457"/>
      <c r="K75" s="457"/>
      <c r="L75" s="457"/>
      <c r="M75" s="457"/>
    </row>
    <row r="76" spans="2:13" ht="15" x14ac:dyDescent="0.25">
      <c r="B76" s="489" t="s">
        <v>228</v>
      </c>
      <c r="C76" s="490"/>
      <c r="D76" s="490"/>
      <c r="E76" s="490"/>
      <c r="F76" s="490"/>
      <c r="G76" s="490"/>
    </row>
    <row r="77" spans="2:13" x14ac:dyDescent="0.2">
      <c r="B77" s="482" t="s">
        <v>229</v>
      </c>
      <c r="G77" s="491">
        <v>1.1900000000000001E-2</v>
      </c>
    </row>
    <row r="78" spans="2:13" x14ac:dyDescent="0.2">
      <c r="B78" s="482" t="s">
        <v>230</v>
      </c>
      <c r="G78" s="492">
        <v>0.06</v>
      </c>
    </row>
    <row r="79" spans="2:13" x14ac:dyDescent="0.2">
      <c r="B79" s="482"/>
      <c r="G79" s="10"/>
    </row>
    <row r="80" spans="2:13" ht="15" x14ac:dyDescent="0.25">
      <c r="B80" s="489" t="s">
        <v>232</v>
      </c>
      <c r="C80" s="490"/>
      <c r="D80" s="490"/>
      <c r="E80" s="490"/>
      <c r="F80" s="490"/>
      <c r="G80" s="512"/>
    </row>
    <row r="81" spans="2:14" ht="15" x14ac:dyDescent="0.25">
      <c r="B81" s="486" t="s">
        <v>235</v>
      </c>
      <c r="G81" s="493">
        <v>0.41</v>
      </c>
    </row>
    <row r="82" spans="2:14" x14ac:dyDescent="0.2">
      <c r="B82" s="448" t="s">
        <v>231</v>
      </c>
      <c r="G82" s="484">
        <f>I44</f>
        <v>1.3392857142857142E-2</v>
      </c>
    </row>
    <row r="83" spans="2:14" x14ac:dyDescent="0.2">
      <c r="B83" s="448" t="s">
        <v>208</v>
      </c>
      <c r="G83" s="455">
        <f>I53</f>
        <v>0.25374930724443273</v>
      </c>
      <c r="N83" s="487"/>
    </row>
    <row r="84" spans="2:14" ht="15" x14ac:dyDescent="0.25">
      <c r="B84" s="448" t="s">
        <v>220</v>
      </c>
      <c r="G84" s="485">
        <f>G82*(1-G83)</f>
        <v>9.994428920833489E-3</v>
      </c>
      <c r="M84" s="486"/>
    </row>
    <row r="85" spans="2:14" ht="14.25" x14ac:dyDescent="0.2">
      <c r="B85" s="494" t="s">
        <v>221</v>
      </c>
      <c r="C85" s="495"/>
      <c r="D85" s="495"/>
      <c r="E85" s="495"/>
      <c r="F85" s="495"/>
      <c r="G85" s="508">
        <f>G77+(G81*G78)</f>
        <v>3.6499999999999998E-2</v>
      </c>
      <c r="M85" s="482"/>
    </row>
    <row r="86" spans="2:14" x14ac:dyDescent="0.2">
      <c r="M86" s="482"/>
    </row>
    <row r="87" spans="2:14" x14ac:dyDescent="0.2">
      <c r="B87" s="448" t="s">
        <v>222</v>
      </c>
      <c r="G87" s="454">
        <f>I34</f>
        <v>31657.599999999999</v>
      </c>
    </row>
    <row r="88" spans="2:14" x14ac:dyDescent="0.2">
      <c r="B88" s="448" t="s">
        <v>223</v>
      </c>
      <c r="G88" s="454">
        <f>I35</f>
        <v>59557.871799671135</v>
      </c>
    </row>
    <row r="89" spans="2:14" x14ac:dyDescent="0.2">
      <c r="B89" s="468" t="s">
        <v>224</v>
      </c>
      <c r="G89" s="488">
        <f>SUM(G87:G88)</f>
        <v>91215.471799671126</v>
      </c>
    </row>
    <row r="90" spans="2:14" x14ac:dyDescent="0.2">
      <c r="B90" s="450"/>
    </row>
    <row r="91" spans="2:14" x14ac:dyDescent="0.2">
      <c r="B91" s="448" t="s">
        <v>225</v>
      </c>
      <c r="G91" s="451">
        <f>G87/G89</f>
        <v>0.34706392868884045</v>
      </c>
    </row>
    <row r="92" spans="2:14" x14ac:dyDescent="0.2">
      <c r="B92" s="448" t="s">
        <v>226</v>
      </c>
      <c r="G92" s="451">
        <f>G88/G89</f>
        <v>0.6529360713111596</v>
      </c>
    </row>
    <row r="94" spans="2:14" x14ac:dyDescent="0.2">
      <c r="B94" s="509" t="s">
        <v>217</v>
      </c>
      <c r="C94" s="510"/>
      <c r="D94" s="510"/>
      <c r="E94" s="510"/>
      <c r="F94" s="510"/>
      <c r="G94" s="511">
        <f>(G91*G84)+(G85*G92)</f>
        <v>2.7300872369123163E-2</v>
      </c>
    </row>
    <row r="96" spans="2:14" ht="15.75" x14ac:dyDescent="0.25">
      <c r="B96" s="456" t="s">
        <v>238</v>
      </c>
      <c r="C96" s="457"/>
      <c r="D96" s="457"/>
      <c r="E96" s="457"/>
      <c r="F96" s="457"/>
      <c r="G96" s="457"/>
      <c r="H96" s="457"/>
      <c r="I96" s="457"/>
      <c r="J96" s="457"/>
      <c r="K96" s="457"/>
      <c r="L96" s="457"/>
      <c r="M96" s="457"/>
    </row>
    <row r="98" spans="2:7" ht="15.75" x14ac:dyDescent="0.25">
      <c r="B98" s="503" t="s">
        <v>239</v>
      </c>
      <c r="C98" s="501"/>
      <c r="D98" s="501"/>
      <c r="E98" s="501"/>
      <c r="F98" s="501"/>
      <c r="G98" s="504">
        <f>F65+F73</f>
        <v>7933555.4900623532</v>
      </c>
    </row>
    <row r="99" spans="2:7" x14ac:dyDescent="0.2">
      <c r="B99" s="448" t="s">
        <v>241</v>
      </c>
      <c r="G99" s="454">
        <f>I34-I26</f>
        <v>15513.907009588374</v>
      </c>
    </row>
    <row r="100" spans="2:7" ht="15.75" x14ac:dyDescent="0.25">
      <c r="B100" s="505" t="s">
        <v>242</v>
      </c>
      <c r="C100" s="506"/>
      <c r="D100" s="506"/>
      <c r="E100" s="506"/>
      <c r="F100" s="506"/>
      <c r="G100" s="507">
        <f>G98-G99</f>
        <v>7918041.5830527646</v>
      </c>
    </row>
    <row r="101" spans="2:7" x14ac:dyDescent="0.2">
      <c r="B101" s="448" t="s">
        <v>243</v>
      </c>
      <c r="G101" s="186">
        <f>F3</f>
        <v>2479746</v>
      </c>
    </row>
    <row r="103" spans="2:7" ht="15.75" x14ac:dyDescent="0.25">
      <c r="B103" s="500" t="s">
        <v>244</v>
      </c>
      <c r="C103" s="501"/>
      <c r="D103" s="501"/>
      <c r="E103" s="501"/>
      <c r="F103" s="501"/>
      <c r="G103" s="502">
        <f>G100/G101</f>
        <v>3.1930857366249463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CashFlow</vt:lpstr>
      <vt:lpstr>P&amp;G 3 Statement Model</vt:lpstr>
      <vt:lpstr>DCF</vt:lpstr>
    </vt:vector>
  </TitlesOfParts>
  <Company>Workiva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FY1617 10-K Workbook</dc:title>
  <dc:creator>Workiva - Patty Hardy</dc:creator>
  <cp:lastModifiedBy>Abdul Majid</cp:lastModifiedBy>
  <cp:lastPrinted>2018-08-17T15:27:53Z</cp:lastPrinted>
  <dcterms:created xsi:type="dcterms:W3CDTF">2017-08-07T14:15:26Z</dcterms:created>
  <dcterms:modified xsi:type="dcterms:W3CDTF">2021-02-06T18:19:25Z</dcterms:modified>
</cp:coreProperties>
</file>