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filterPrivacy="1"/>
  <xr:revisionPtr revIDLastSave="2" documentId="13_ncr:1_{ECBB1B49-7D15-40A8-8F57-AE7988434356}" xr6:coauthVersionLast="47" xr6:coauthVersionMax="47" xr10:uidLastSave="{AA96D13F-B5C3-4DA2-851F-1ABCB4AB624B}"/>
  <bookViews>
    <workbookView xWindow="-108" yWindow="-108" windowWidth="23256" windowHeight="13896" activeTab="6" xr2:uid="{00000000-000D-0000-FFFF-FFFF00000000}"/>
  </bookViews>
  <sheets>
    <sheet name="Cover" sheetId="9" r:id="rId1"/>
    <sheet name="Formulas" sheetId="5" r:id="rId2"/>
    <sheet name="Criteria" sheetId="4" r:id="rId3"/>
    <sheet name="Tribs" sheetId="7" r:id="rId4"/>
    <sheet name="Pipes" sheetId="6" r:id="rId5"/>
    <sheet name="Inverts" sheetId="8" r:id="rId6"/>
    <sheet name="UTH" sheetId="2" r:id="rId7"/>
  </sheets>
  <definedNames>
    <definedName name="B_1">UTH!$H$4</definedName>
    <definedName name="B_2">UTH!$H$5</definedName>
    <definedName name="B_3">UTH!$H$6</definedName>
    <definedName name="B_4">UTH!$H$7</definedName>
    <definedName name="B_5">UTH!$H$8</definedName>
    <definedName name="B_6">UTH!$H$9</definedName>
    <definedName name="B_7">UTH!$H$10</definedName>
    <definedName name="B_8">UTH!$H$11</definedName>
    <definedName name="B_9">UTH!$H$12</definedName>
    <definedName name="d_D">Criteria!$B$17</definedName>
    <definedName name="DashYes">UTH!$AA$17:$AA$18</definedName>
    <definedName name="dD_options">UTH!$O$8:$O$18</definedName>
    <definedName name="I_1">UTH!$F$4</definedName>
    <definedName name="I_10">UTH!$F$13</definedName>
    <definedName name="I_2">UTH!$F$5</definedName>
    <definedName name="I_3">UTH!$F$6</definedName>
    <definedName name="I_4">UTH!$F$7</definedName>
    <definedName name="I_5">UTH!$F$8</definedName>
    <definedName name="I_6">UTH!$F$9</definedName>
    <definedName name="I_7">UTH!$F$10</definedName>
    <definedName name="I_8">UTH!$F$11</definedName>
    <definedName name="I_9">UTH!$F$12</definedName>
    <definedName name="KQ">UTH!$P$29</definedName>
    <definedName name="KQ_full">UTH!$P$28</definedName>
    <definedName name="KV">UTH!$P$27</definedName>
    <definedName name="KV_full">UTH!$P$26</definedName>
    <definedName name="Land_uses">Criteria!$A$22:$A$29</definedName>
    <definedName name="M_1">UTH!$G$4</definedName>
    <definedName name="M_2">UTH!$G$5</definedName>
    <definedName name="M_3">UTH!$G$6</definedName>
    <definedName name="M_4">UTH!$G$7</definedName>
    <definedName name="M_5">UTH!$G$8</definedName>
    <definedName name="M_6">UTH!$G$9</definedName>
    <definedName name="M_7">UTH!$G$10</definedName>
    <definedName name="M_8">UTH!$G$11</definedName>
    <definedName name="M_9">UTH!$G$12</definedName>
    <definedName name="MinCover">UTH!$C$4</definedName>
    <definedName name="MinDiameter">UTH!$C$7</definedName>
    <definedName name="MinDrop">UTH!$C$5</definedName>
    <definedName name="MinDrop_2">UTH!$C$6</definedName>
    <definedName name="n">Criteria!$B$13</definedName>
    <definedName name="PipeSizes">UTH!$J$3:$J$20</definedName>
    <definedName name="_xlnm.Print_Area" localSheetId="0">Cover!$A$1:$F$42</definedName>
    <definedName name="_xlnm.Print_Area" localSheetId="2">Criteria!$A$1:$F$30</definedName>
    <definedName name="_xlnm.Print_Area" localSheetId="1">Formulas!$A$1:$F$42</definedName>
    <definedName name="QQ_full">Criteria!$B$19</definedName>
    <definedName name="RI">Criteria!$B$11</definedName>
    <definedName name="S_T">UTH!$AA$4:$AA$6</definedName>
    <definedName name="T_1">UTH!$E$4</definedName>
    <definedName name="T_10">UTH!$E$13</definedName>
    <definedName name="T_2">UTH!$E$5</definedName>
    <definedName name="T_3">UTH!$E$6</definedName>
    <definedName name="T_4">UTH!$E$7</definedName>
    <definedName name="T_5">UTH!$E$8</definedName>
    <definedName name="T_6">UTH!$E$9</definedName>
    <definedName name="T_7">UTH!$E$10</definedName>
    <definedName name="T_8">UTH!$E$11</definedName>
    <definedName name="T_9">UTH!$E$12</definedName>
    <definedName name="UpDown">UTH!$AA$8:$AA$10</definedName>
    <definedName name="UpDownstream">UTH!$AA$12:$AA$14</definedName>
    <definedName name="V_gutter">Criteria!$B$14</definedName>
    <definedName name="Vmax">Criteria!$B$16</definedName>
    <definedName name="Vmin">Criteria!$B$15</definedName>
    <definedName name="VV_full">Criteria!$B$18</definedName>
    <definedName name="Y_N">UTH!$AA$1:$AA$2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99" i="8" l="1"/>
  <c r="L500" i="8"/>
  <c r="L501" i="8"/>
  <c r="L502" i="8"/>
  <c r="L503" i="8"/>
  <c r="L494" i="8"/>
  <c r="L495" i="8"/>
  <c r="L496" i="8"/>
  <c r="L497" i="8"/>
  <c r="L498" i="8"/>
  <c r="L489" i="8"/>
  <c r="L490" i="8"/>
  <c r="L491" i="8"/>
  <c r="L492" i="8"/>
  <c r="L493" i="8"/>
  <c r="L484" i="8"/>
  <c r="L485" i="8"/>
  <c r="L486" i="8"/>
  <c r="L487" i="8"/>
  <c r="L488" i="8"/>
  <c r="L479" i="8"/>
  <c r="L480" i="8"/>
  <c r="L481" i="8"/>
  <c r="L482" i="8"/>
  <c r="L483" i="8"/>
  <c r="L474" i="8"/>
  <c r="L475" i="8"/>
  <c r="L476" i="8"/>
  <c r="L477" i="8"/>
  <c r="L478" i="8"/>
  <c r="L469" i="8"/>
  <c r="L470" i="8"/>
  <c r="L471" i="8"/>
  <c r="L472" i="8"/>
  <c r="L473" i="8"/>
  <c r="L464" i="8"/>
  <c r="L465" i="8"/>
  <c r="L466" i="8"/>
  <c r="L467" i="8"/>
  <c r="L468" i="8"/>
  <c r="L459" i="8"/>
  <c r="L460" i="8"/>
  <c r="L461" i="8"/>
  <c r="L462" i="8"/>
  <c r="L463" i="8"/>
  <c r="L454" i="8"/>
  <c r="L455" i="8"/>
  <c r="L456" i="8"/>
  <c r="L457" i="8"/>
  <c r="L458" i="8"/>
  <c r="L449" i="8"/>
  <c r="L450" i="8"/>
  <c r="L451" i="8"/>
  <c r="L452" i="8"/>
  <c r="L453" i="8"/>
  <c r="L444" i="8"/>
  <c r="L445" i="8"/>
  <c r="L446" i="8"/>
  <c r="L447" i="8"/>
  <c r="L448" i="8"/>
  <c r="L439" i="8"/>
  <c r="L440" i="8"/>
  <c r="L441" i="8"/>
  <c r="L442" i="8"/>
  <c r="L443" i="8"/>
  <c r="L434" i="8"/>
  <c r="L435" i="8"/>
  <c r="L436" i="8"/>
  <c r="L437" i="8"/>
  <c r="L438" i="8"/>
  <c r="L429" i="8"/>
  <c r="L430" i="8"/>
  <c r="L431" i="8"/>
  <c r="L432" i="8"/>
  <c r="L433" i="8"/>
  <c r="L424" i="8"/>
  <c r="L425" i="8"/>
  <c r="L426" i="8"/>
  <c r="L427" i="8"/>
  <c r="L428" i="8"/>
  <c r="L419" i="8"/>
  <c r="L420" i="8"/>
  <c r="L421" i="8"/>
  <c r="L422" i="8"/>
  <c r="L423" i="8"/>
  <c r="L414" i="8"/>
  <c r="L415" i="8"/>
  <c r="L416" i="8"/>
  <c r="L417" i="8"/>
  <c r="L418" i="8"/>
  <c r="L409" i="8"/>
  <c r="L410" i="8"/>
  <c r="L411" i="8"/>
  <c r="L412" i="8"/>
  <c r="L413" i="8"/>
  <c r="L404" i="8"/>
  <c r="L405" i="8"/>
  <c r="L406" i="8"/>
  <c r="L407" i="8"/>
  <c r="L408" i="8"/>
  <c r="L399" i="8"/>
  <c r="L400" i="8"/>
  <c r="L401" i="8"/>
  <c r="L402" i="8"/>
  <c r="L403" i="8"/>
  <c r="L394" i="8"/>
  <c r="L395" i="8"/>
  <c r="L396" i="8"/>
  <c r="L397" i="8"/>
  <c r="L398" i="8"/>
  <c r="L389" i="8"/>
  <c r="L390" i="8"/>
  <c r="L391" i="8"/>
  <c r="L392" i="8"/>
  <c r="L393" i="8"/>
  <c r="L384" i="8"/>
  <c r="L385" i="8"/>
  <c r="L386" i="8"/>
  <c r="L387" i="8"/>
  <c r="L388" i="8"/>
  <c r="L379" i="8"/>
  <c r="L380" i="8"/>
  <c r="L381" i="8"/>
  <c r="L382" i="8"/>
  <c r="L383" i="8"/>
  <c r="L374" i="8"/>
  <c r="L375" i="8"/>
  <c r="L376" i="8"/>
  <c r="L377" i="8"/>
  <c r="L378" i="8"/>
  <c r="L369" i="8"/>
  <c r="L370" i="8"/>
  <c r="L371" i="8"/>
  <c r="L372" i="8"/>
  <c r="L373" i="8"/>
  <c r="L364" i="8"/>
  <c r="L365" i="8"/>
  <c r="L366" i="8"/>
  <c r="L367" i="8"/>
  <c r="L368" i="8"/>
  <c r="L359" i="8"/>
  <c r="L360" i="8"/>
  <c r="L361" i="8"/>
  <c r="L362" i="8"/>
  <c r="L363" i="8"/>
  <c r="L354" i="8"/>
  <c r="L355" i="8"/>
  <c r="L356" i="8"/>
  <c r="L357" i="8"/>
  <c r="L358" i="8"/>
  <c r="L349" i="8"/>
  <c r="L350" i="8"/>
  <c r="L351" i="8"/>
  <c r="L352" i="8"/>
  <c r="L353" i="8"/>
  <c r="L344" i="8"/>
  <c r="L345" i="8"/>
  <c r="L346" i="8"/>
  <c r="L347" i="8"/>
  <c r="L348" i="8"/>
  <c r="L339" i="8"/>
  <c r="L340" i="8"/>
  <c r="L341" i="8"/>
  <c r="L342" i="8"/>
  <c r="L343" i="8"/>
  <c r="L334" i="8"/>
  <c r="L335" i="8"/>
  <c r="L336" i="8"/>
  <c r="L337" i="8"/>
  <c r="L338" i="8"/>
  <c r="L329" i="8"/>
  <c r="L330" i="8"/>
  <c r="L331" i="8"/>
  <c r="L332" i="8"/>
  <c r="L333" i="8"/>
  <c r="L324" i="8"/>
  <c r="L325" i="8"/>
  <c r="L326" i="8"/>
  <c r="L327" i="8"/>
  <c r="L328" i="8"/>
  <c r="L319" i="8"/>
  <c r="L320" i="8"/>
  <c r="L321" i="8"/>
  <c r="L322" i="8"/>
  <c r="L323" i="8"/>
  <c r="L314" i="8"/>
  <c r="L315" i="8"/>
  <c r="L316" i="8"/>
  <c r="L317" i="8"/>
  <c r="L318" i="8"/>
  <c r="L309" i="8"/>
  <c r="L310" i="8"/>
  <c r="L311" i="8"/>
  <c r="L312" i="8"/>
  <c r="L313" i="8"/>
  <c r="L304" i="8"/>
  <c r="L305" i="8"/>
  <c r="L306" i="8"/>
  <c r="L307" i="8"/>
  <c r="L308" i="8"/>
  <c r="L299" i="8"/>
  <c r="L300" i="8"/>
  <c r="L301" i="8"/>
  <c r="L302" i="8"/>
  <c r="L303" i="8"/>
  <c r="L294" i="8"/>
  <c r="L295" i="8"/>
  <c r="L296" i="8"/>
  <c r="L297" i="8"/>
  <c r="L298" i="8"/>
  <c r="L289" i="8"/>
  <c r="L290" i="8"/>
  <c r="L291" i="8"/>
  <c r="L292" i="8"/>
  <c r="L293" i="8"/>
  <c r="L284" i="8"/>
  <c r="L285" i="8"/>
  <c r="L286" i="8"/>
  <c r="L287" i="8"/>
  <c r="L288" i="8"/>
  <c r="L279" i="8"/>
  <c r="L280" i="8"/>
  <c r="L281" i="8"/>
  <c r="L282" i="8"/>
  <c r="L283" i="8"/>
  <c r="L274" i="8"/>
  <c r="L275" i="8"/>
  <c r="L276" i="8"/>
  <c r="L277" i="8"/>
  <c r="L278" i="8"/>
  <c r="L269" i="8"/>
  <c r="L270" i="8"/>
  <c r="L271" i="8"/>
  <c r="L272" i="8"/>
  <c r="L273" i="8"/>
  <c r="L264" i="8"/>
  <c r="L265" i="8"/>
  <c r="L266" i="8"/>
  <c r="L267" i="8"/>
  <c r="L268" i="8"/>
  <c r="L259" i="8"/>
  <c r="L260" i="8"/>
  <c r="L261" i="8"/>
  <c r="L262" i="8"/>
  <c r="L263" i="8"/>
  <c r="L254" i="8"/>
  <c r="L255" i="8"/>
  <c r="L256" i="8"/>
  <c r="L257" i="8"/>
  <c r="L258" i="8"/>
  <c r="L249" i="8"/>
  <c r="L250" i="8"/>
  <c r="L251" i="8"/>
  <c r="L252" i="8"/>
  <c r="L253" i="8"/>
  <c r="L244" i="8"/>
  <c r="L245" i="8"/>
  <c r="L246" i="8"/>
  <c r="L247" i="8"/>
  <c r="L248" i="8"/>
  <c r="L239" i="8"/>
  <c r="L240" i="8"/>
  <c r="L241" i="8"/>
  <c r="L242" i="8"/>
  <c r="L243" i="8"/>
  <c r="L234" i="8"/>
  <c r="L235" i="8"/>
  <c r="L236" i="8"/>
  <c r="L237" i="8"/>
  <c r="L238" i="8"/>
  <c r="L229" i="8"/>
  <c r="L230" i="8"/>
  <c r="L231" i="8"/>
  <c r="L232" i="8"/>
  <c r="L233" i="8"/>
  <c r="L224" i="8"/>
  <c r="L225" i="8"/>
  <c r="L226" i="8"/>
  <c r="L227" i="8"/>
  <c r="L228" i="8"/>
  <c r="L219" i="8"/>
  <c r="L220" i="8"/>
  <c r="L221" i="8"/>
  <c r="L222" i="8"/>
  <c r="L223" i="8"/>
  <c r="L214" i="8"/>
  <c r="L215" i="8"/>
  <c r="L216" i="8"/>
  <c r="L217" i="8"/>
  <c r="L218" i="8"/>
  <c r="L209" i="8"/>
  <c r="L210" i="8"/>
  <c r="L211" i="8"/>
  <c r="L212" i="8"/>
  <c r="L213" i="8"/>
  <c r="L204" i="8"/>
  <c r="L205" i="8"/>
  <c r="L206" i="8"/>
  <c r="L207" i="8"/>
  <c r="L208" i="8"/>
  <c r="L199" i="8"/>
  <c r="L200" i="8"/>
  <c r="L201" i="8"/>
  <c r="L202" i="8"/>
  <c r="L203" i="8"/>
  <c r="L194" i="8"/>
  <c r="L195" i="8"/>
  <c r="L196" i="8"/>
  <c r="L197" i="8"/>
  <c r="L198" i="8"/>
  <c r="L189" i="8"/>
  <c r="L190" i="8"/>
  <c r="L191" i="8"/>
  <c r="L192" i="8"/>
  <c r="L193" i="8"/>
  <c r="L184" i="8"/>
  <c r="L185" i="8"/>
  <c r="L186" i="8"/>
  <c r="L187" i="8"/>
  <c r="L188" i="8"/>
  <c r="L179" i="8"/>
  <c r="L180" i="8"/>
  <c r="L181" i="8"/>
  <c r="L182" i="8"/>
  <c r="L183" i="8"/>
  <c r="L174" i="8"/>
  <c r="L175" i="8"/>
  <c r="L176" i="8"/>
  <c r="L177" i="8"/>
  <c r="L178" i="8"/>
  <c r="L169" i="8"/>
  <c r="L170" i="8"/>
  <c r="L171" i="8"/>
  <c r="L172" i="8"/>
  <c r="L173" i="8"/>
  <c r="L164" i="8"/>
  <c r="L165" i="8"/>
  <c r="L166" i="8"/>
  <c r="L167" i="8"/>
  <c r="L168" i="8"/>
  <c r="L159" i="8"/>
  <c r="L160" i="8"/>
  <c r="L161" i="8"/>
  <c r="L162" i="8"/>
  <c r="L163" i="8"/>
  <c r="L154" i="8"/>
  <c r="L155" i="8"/>
  <c r="L156" i="8"/>
  <c r="L157" i="8"/>
  <c r="L158" i="8"/>
  <c r="L149" i="8"/>
  <c r="L150" i="8"/>
  <c r="L151" i="8"/>
  <c r="L152" i="8"/>
  <c r="L153" i="8"/>
  <c r="L144" i="8"/>
  <c r="L145" i="8"/>
  <c r="L146" i="8"/>
  <c r="L147" i="8"/>
  <c r="L148" i="8"/>
  <c r="L139" i="8"/>
  <c r="L140" i="8"/>
  <c r="L141" i="8"/>
  <c r="L142" i="8"/>
  <c r="L143" i="8"/>
  <c r="L134" i="8"/>
  <c r="L135" i="8"/>
  <c r="L136" i="8"/>
  <c r="L137" i="8"/>
  <c r="L138" i="8"/>
  <c r="L129" i="8"/>
  <c r="L130" i="8"/>
  <c r="L131" i="8"/>
  <c r="L132" i="8"/>
  <c r="L133" i="8"/>
  <c r="L124" i="8"/>
  <c r="L125" i="8"/>
  <c r="L126" i="8"/>
  <c r="L127" i="8"/>
  <c r="L128" i="8"/>
  <c r="L119" i="8"/>
  <c r="L120" i="8"/>
  <c r="L121" i="8"/>
  <c r="L122" i="8"/>
  <c r="L123" i="8"/>
  <c r="L114" i="8"/>
  <c r="L115" i="8"/>
  <c r="L116" i="8"/>
  <c r="L117" i="8"/>
  <c r="L118" i="8"/>
  <c r="L109" i="8"/>
  <c r="L110" i="8"/>
  <c r="L111" i="8"/>
  <c r="L112" i="8"/>
  <c r="L113" i="8"/>
  <c r="L104" i="8"/>
  <c r="L105" i="8"/>
  <c r="L106" i="8"/>
  <c r="L107" i="8"/>
  <c r="L108" i="8"/>
  <c r="L99" i="8"/>
  <c r="L100" i="8"/>
  <c r="L101" i="8"/>
  <c r="L102" i="8"/>
  <c r="L103" i="8"/>
  <c r="L94" i="8"/>
  <c r="L95" i="8"/>
  <c r="L96" i="8"/>
  <c r="L97" i="8"/>
  <c r="L98" i="8"/>
  <c r="L89" i="8"/>
  <c r="L90" i="8"/>
  <c r="L91" i="8"/>
  <c r="L92" i="8"/>
  <c r="L93" i="8"/>
  <c r="L84" i="8"/>
  <c r="L85" i="8"/>
  <c r="L86" i="8"/>
  <c r="L87" i="8"/>
  <c r="L88" i="8"/>
  <c r="L79" i="8"/>
  <c r="L80" i="8"/>
  <c r="L81" i="8"/>
  <c r="L82" i="8"/>
  <c r="L83" i="8"/>
  <c r="L74" i="8"/>
  <c r="L75" i="8"/>
  <c r="L76" i="8"/>
  <c r="L77" i="8"/>
  <c r="L78" i="8"/>
  <c r="L69" i="8"/>
  <c r="L70" i="8"/>
  <c r="L71" i="8"/>
  <c r="L72" i="8"/>
  <c r="L73" i="8"/>
  <c r="L64" i="8"/>
  <c r="L65" i="8"/>
  <c r="L66" i="8"/>
  <c r="L67" i="8"/>
  <c r="L68" i="8"/>
  <c r="L59" i="8"/>
  <c r="L60" i="8"/>
  <c r="L61" i="8"/>
  <c r="L62" i="8"/>
  <c r="L63" i="8"/>
  <c r="L54" i="8"/>
  <c r="L55" i="8"/>
  <c r="L56" i="8"/>
  <c r="L57" i="8"/>
  <c r="L58" i="8"/>
  <c r="L49" i="8"/>
  <c r="L50" i="8"/>
  <c r="L51" i="8"/>
  <c r="L52" i="8"/>
  <c r="L53" i="8"/>
  <c r="L44" i="8"/>
  <c r="L45" i="8"/>
  <c r="L46" i="8"/>
  <c r="L47" i="8"/>
  <c r="L48" i="8"/>
  <c r="L39" i="8"/>
  <c r="L40" i="8"/>
  <c r="L41" i="8"/>
  <c r="L42" i="8"/>
  <c r="L43" i="8"/>
  <c r="L34" i="8"/>
  <c r="L35" i="8"/>
  <c r="L36" i="8"/>
  <c r="L37" i="8"/>
  <c r="L38" i="8"/>
  <c r="L29" i="8"/>
  <c r="L30" i="8"/>
  <c r="L31" i="8"/>
  <c r="L32" i="8"/>
  <c r="L33" i="8"/>
  <c r="L24" i="8"/>
  <c r="L25" i="8"/>
  <c r="L26" i="8"/>
  <c r="L27" i="8"/>
  <c r="L28" i="8"/>
  <c r="L19" i="8"/>
  <c r="L20" i="8"/>
  <c r="L21" i="8"/>
  <c r="L22" i="8"/>
  <c r="L23" i="8"/>
  <c r="L14" i="8"/>
  <c r="L15" i="8"/>
  <c r="L16" i="8"/>
  <c r="L17" i="8"/>
  <c r="L18" i="8"/>
  <c r="L9" i="8"/>
  <c r="L10" i="8"/>
  <c r="L11" i="8"/>
  <c r="L12" i="8"/>
  <c r="L13" i="8"/>
  <c r="N503" i="8"/>
  <c r="Q503" i="8" s="1"/>
  <c r="R503" i="8" s="1"/>
  <c r="T503" i="8"/>
  <c r="N502" i="8"/>
  <c r="Q502" i="8" s="1"/>
  <c r="R502" i="8" s="1"/>
  <c r="T502" i="8"/>
  <c r="N501" i="8"/>
  <c r="N500" i="8"/>
  <c r="T500" i="8" s="1"/>
  <c r="M499" i="8"/>
  <c r="T499" i="8" s="1"/>
  <c r="N498" i="8"/>
  <c r="T498" i="8" s="1"/>
  <c r="N497" i="8"/>
  <c r="N496" i="8"/>
  <c r="T496" i="8"/>
  <c r="N495" i="8"/>
  <c r="T495" i="8"/>
  <c r="M494" i="8"/>
  <c r="M495" i="8" s="1"/>
  <c r="M496" i="8" s="1"/>
  <c r="M497" i="8" s="1"/>
  <c r="N493" i="8"/>
  <c r="Q493" i="8" s="1"/>
  <c r="R493" i="8" s="1"/>
  <c r="T493" i="8"/>
  <c r="N492" i="8"/>
  <c r="Q492" i="8" s="1"/>
  <c r="R492" i="8" s="1"/>
  <c r="T492" i="8"/>
  <c r="N491" i="8"/>
  <c r="N490" i="8"/>
  <c r="T490" i="8" s="1"/>
  <c r="M489" i="8"/>
  <c r="T489" i="8" s="1"/>
  <c r="N488" i="8"/>
  <c r="N487" i="8"/>
  <c r="N486" i="8"/>
  <c r="T486" i="8"/>
  <c r="N485" i="8"/>
  <c r="T485" i="8"/>
  <c r="M484" i="8"/>
  <c r="N483" i="8"/>
  <c r="Q483" i="8" s="1"/>
  <c r="T483" i="8"/>
  <c r="N482" i="8"/>
  <c r="Q482" i="8" s="1"/>
  <c r="N481" i="8"/>
  <c r="N480" i="8"/>
  <c r="T480" i="8" s="1"/>
  <c r="M479" i="8"/>
  <c r="T479" i="8" s="1"/>
  <c r="N478" i="8"/>
  <c r="N477" i="8"/>
  <c r="O474" i="8" s="1"/>
  <c r="T477" i="8"/>
  <c r="N476" i="8"/>
  <c r="T476" i="8"/>
  <c r="N475" i="8"/>
  <c r="T475" i="8"/>
  <c r="M474" i="8"/>
  <c r="T474" i="8" s="1"/>
  <c r="N473" i="8"/>
  <c r="N472" i="8"/>
  <c r="N471" i="8"/>
  <c r="N470" i="8"/>
  <c r="T470" i="8" s="1"/>
  <c r="M469" i="8"/>
  <c r="T469" i="8" s="1"/>
  <c r="N468" i="8"/>
  <c r="N467" i="8"/>
  <c r="O464" i="8" s="1"/>
  <c r="T467" i="8"/>
  <c r="N466" i="8"/>
  <c r="T466" i="8"/>
  <c r="N465" i="8"/>
  <c r="T465" i="8"/>
  <c r="M464" i="8"/>
  <c r="M465" i="8" s="1"/>
  <c r="M466" i="8" s="1"/>
  <c r="M467" i="8" s="1"/>
  <c r="M468" i="8" s="1"/>
  <c r="T464" i="8"/>
  <c r="N463" i="8"/>
  <c r="N462" i="8"/>
  <c r="Q462" i="8" s="1"/>
  <c r="N461" i="8"/>
  <c r="N460" i="8"/>
  <c r="T460" i="8" s="1"/>
  <c r="M459" i="8"/>
  <c r="T459" i="8" s="1"/>
  <c r="N458" i="8"/>
  <c r="T458" i="8" s="1"/>
  <c r="N457" i="8"/>
  <c r="T457" i="8"/>
  <c r="N456" i="8"/>
  <c r="T456" i="8"/>
  <c r="N455" i="8"/>
  <c r="T455" i="8"/>
  <c r="M454" i="8"/>
  <c r="N453" i="8"/>
  <c r="T453" i="8" s="1"/>
  <c r="N452" i="8"/>
  <c r="T452" i="8"/>
  <c r="N451" i="8"/>
  <c r="N450" i="8"/>
  <c r="T450" i="8" s="1"/>
  <c r="M449" i="8"/>
  <c r="T449" i="8" s="1"/>
  <c r="N448" i="8"/>
  <c r="T448" i="8" s="1"/>
  <c r="N447" i="8"/>
  <c r="N446" i="8"/>
  <c r="T446" i="8"/>
  <c r="N445" i="8"/>
  <c r="T445" i="8"/>
  <c r="M444" i="8"/>
  <c r="T444" i="8" s="1"/>
  <c r="N443" i="8"/>
  <c r="T443" i="8"/>
  <c r="N442" i="8"/>
  <c r="T442" i="8"/>
  <c r="N441" i="8"/>
  <c r="N440" i="8"/>
  <c r="T440" i="8" s="1"/>
  <c r="M439" i="8"/>
  <c r="T439" i="8" s="1"/>
  <c r="N438" i="8"/>
  <c r="N437" i="8"/>
  <c r="N436" i="8"/>
  <c r="T436" i="8"/>
  <c r="N435" i="8"/>
  <c r="T435" i="8"/>
  <c r="M434" i="8"/>
  <c r="N433" i="8"/>
  <c r="T433" i="8"/>
  <c r="N432" i="8"/>
  <c r="T432" i="8" s="1"/>
  <c r="N431" i="8"/>
  <c r="T431" i="8" s="1"/>
  <c r="N430" i="8"/>
  <c r="T430" i="8" s="1"/>
  <c r="M429" i="8"/>
  <c r="T429" i="8" s="1"/>
  <c r="U429" i="8" s="1"/>
  <c r="N428" i="8"/>
  <c r="N427" i="8"/>
  <c r="T427" i="8" s="1"/>
  <c r="N426" i="8"/>
  <c r="T426" i="8"/>
  <c r="N425" i="8"/>
  <c r="T425" i="8"/>
  <c r="M424" i="8"/>
  <c r="T424" i="8" s="1"/>
  <c r="N423" i="8"/>
  <c r="N422" i="8"/>
  <c r="N421" i="8"/>
  <c r="T421" i="8" s="1"/>
  <c r="N420" i="8"/>
  <c r="T420" i="8" s="1"/>
  <c r="M419" i="8"/>
  <c r="T419" i="8" s="1"/>
  <c r="N418" i="8"/>
  <c r="T418" i="8" s="1"/>
  <c r="N417" i="8"/>
  <c r="T417" i="8"/>
  <c r="N416" i="8"/>
  <c r="T416" i="8"/>
  <c r="N415" i="8"/>
  <c r="T415" i="8"/>
  <c r="M414" i="8"/>
  <c r="N413" i="8"/>
  <c r="T413" i="8" s="1"/>
  <c r="N412" i="8"/>
  <c r="Q412" i="8" s="1"/>
  <c r="N411" i="8"/>
  <c r="N410" i="8"/>
  <c r="T410" i="8" s="1"/>
  <c r="M409" i="8"/>
  <c r="T409" i="8" s="1"/>
  <c r="N408" i="8"/>
  <c r="T408" i="8" s="1"/>
  <c r="N407" i="8"/>
  <c r="T407" i="8"/>
  <c r="N406" i="8"/>
  <c r="T406" i="8"/>
  <c r="N405" i="8"/>
  <c r="T405" i="8"/>
  <c r="M404" i="8"/>
  <c r="M405" i="8" s="1"/>
  <c r="M406" i="8" s="1"/>
  <c r="M407" i="8" s="1"/>
  <c r="M408" i="8" s="1"/>
  <c r="T404" i="8"/>
  <c r="N403" i="8"/>
  <c r="T403" i="8"/>
  <c r="N402" i="8"/>
  <c r="Q402" i="8" s="1"/>
  <c r="R402" i="8" s="1"/>
  <c r="T402" i="8"/>
  <c r="N401" i="8"/>
  <c r="N400" i="8"/>
  <c r="T400" i="8" s="1"/>
  <c r="M399" i="8"/>
  <c r="T399" i="8" s="1"/>
  <c r="N398" i="8"/>
  <c r="T398" i="8" s="1"/>
  <c r="N397" i="8"/>
  <c r="N396" i="8"/>
  <c r="T396" i="8"/>
  <c r="N395" i="8"/>
  <c r="T395" i="8"/>
  <c r="M394" i="8"/>
  <c r="T394" i="8"/>
  <c r="N393" i="8"/>
  <c r="T393" i="8"/>
  <c r="N392" i="8"/>
  <c r="Q392" i="8" s="1"/>
  <c r="R392" i="8" s="1"/>
  <c r="N391" i="8"/>
  <c r="N390" i="8"/>
  <c r="T390" i="8" s="1"/>
  <c r="M389" i="8"/>
  <c r="T389" i="8" s="1"/>
  <c r="N388" i="8"/>
  <c r="N387" i="8"/>
  <c r="N386" i="8"/>
  <c r="T386" i="8"/>
  <c r="N385" i="8"/>
  <c r="T385" i="8"/>
  <c r="M384" i="8"/>
  <c r="N383" i="8"/>
  <c r="T383" i="8"/>
  <c r="N382" i="8"/>
  <c r="T382" i="8" s="1"/>
  <c r="N381" i="8"/>
  <c r="N380" i="8"/>
  <c r="T380" i="8" s="1"/>
  <c r="M379" i="8"/>
  <c r="T379" i="8" s="1"/>
  <c r="N378" i="8"/>
  <c r="T378" i="8" s="1"/>
  <c r="N377" i="8"/>
  <c r="T377" i="8"/>
  <c r="N376" i="8"/>
  <c r="T376" i="8"/>
  <c r="N375" i="8"/>
  <c r="T375" i="8"/>
  <c r="M374" i="8"/>
  <c r="T374" i="8" s="1"/>
  <c r="U374" i="8" s="1"/>
  <c r="N373" i="8"/>
  <c r="N372" i="8"/>
  <c r="N371" i="8"/>
  <c r="N370" i="8"/>
  <c r="T370" i="8" s="1"/>
  <c r="M369" i="8"/>
  <c r="T369" i="8" s="1"/>
  <c r="N368" i="8"/>
  <c r="T368" i="8" s="1"/>
  <c r="N367" i="8"/>
  <c r="T367" i="8"/>
  <c r="N366" i="8"/>
  <c r="T366" i="8"/>
  <c r="N365" i="8"/>
  <c r="T365" i="8"/>
  <c r="M364" i="8"/>
  <c r="T364" i="8"/>
  <c r="U364" i="8" s="1"/>
  <c r="N363" i="8"/>
  <c r="N362" i="8"/>
  <c r="T362" i="8" s="1"/>
  <c r="N361" i="8"/>
  <c r="N360" i="8"/>
  <c r="T360" i="8" s="1"/>
  <c r="M359" i="8"/>
  <c r="T359" i="8" s="1"/>
  <c r="N358" i="8"/>
  <c r="T358" i="8" s="1"/>
  <c r="N357" i="8"/>
  <c r="T357" i="8"/>
  <c r="N356" i="8"/>
  <c r="T356" i="8"/>
  <c r="N355" i="8"/>
  <c r="T355" i="8"/>
  <c r="U354" i="8" s="1"/>
  <c r="M354" i="8"/>
  <c r="T354" i="8"/>
  <c r="N353" i="8"/>
  <c r="T353" i="8"/>
  <c r="N352" i="8"/>
  <c r="N351" i="8"/>
  <c r="N350" i="8"/>
  <c r="T350" i="8" s="1"/>
  <c r="M349" i="8"/>
  <c r="T349" i="8" s="1"/>
  <c r="N348" i="8"/>
  <c r="T348" i="8" s="1"/>
  <c r="N347" i="8"/>
  <c r="N346" i="8"/>
  <c r="T346" i="8"/>
  <c r="N345" i="8"/>
  <c r="T345" i="8"/>
  <c r="M344" i="8"/>
  <c r="T344" i="8" s="1"/>
  <c r="N343" i="8"/>
  <c r="T343" i="8"/>
  <c r="N342" i="8"/>
  <c r="T342" i="8"/>
  <c r="N341" i="8"/>
  <c r="N340" i="8"/>
  <c r="T340" i="8" s="1"/>
  <c r="M339" i="8"/>
  <c r="T339" i="8" s="1"/>
  <c r="N338" i="8"/>
  <c r="N337" i="8"/>
  <c r="N336" i="8"/>
  <c r="T336" i="8"/>
  <c r="N335" i="8"/>
  <c r="T335" i="8"/>
  <c r="M334" i="8"/>
  <c r="T334" i="8" s="1"/>
  <c r="N333" i="8"/>
  <c r="T333" i="8"/>
  <c r="N332" i="8"/>
  <c r="T332" i="8" s="1"/>
  <c r="N331" i="8"/>
  <c r="T331" i="8" s="1"/>
  <c r="N330" i="8"/>
  <c r="T330" i="8" s="1"/>
  <c r="M329" i="8"/>
  <c r="T329" i="8" s="1"/>
  <c r="U329" i="8" s="1"/>
  <c r="N328" i="8"/>
  <c r="T328" i="8" s="1"/>
  <c r="N327" i="8"/>
  <c r="O324" i="8" s="1"/>
  <c r="N326" i="8"/>
  <c r="T326" i="8"/>
  <c r="N325" i="8"/>
  <c r="T325" i="8"/>
  <c r="M324" i="8"/>
  <c r="T324" i="8" s="1"/>
  <c r="N323" i="8"/>
  <c r="T323" i="8" s="1"/>
  <c r="N322" i="8"/>
  <c r="T322" i="8" s="1"/>
  <c r="N321" i="8"/>
  <c r="T321" i="8" s="1"/>
  <c r="N320" i="8"/>
  <c r="T320" i="8" s="1"/>
  <c r="U319" i="8" s="1"/>
  <c r="M319" i="8"/>
  <c r="T319" i="8" s="1"/>
  <c r="N318" i="8"/>
  <c r="T318" i="8" s="1"/>
  <c r="N317" i="8"/>
  <c r="T317" i="8"/>
  <c r="N316" i="8"/>
  <c r="T316" i="8"/>
  <c r="N315" i="8"/>
  <c r="T315" i="8"/>
  <c r="U314" i="8" s="1"/>
  <c r="M314" i="8"/>
  <c r="T314" i="8"/>
  <c r="N313" i="8"/>
  <c r="N312" i="8"/>
  <c r="T312" i="8" s="1"/>
  <c r="N311" i="8"/>
  <c r="N310" i="8"/>
  <c r="T310" i="8" s="1"/>
  <c r="M309" i="8"/>
  <c r="T309" i="8" s="1"/>
  <c r="N308" i="8"/>
  <c r="T308" i="8" s="1"/>
  <c r="N307" i="8"/>
  <c r="T307" i="8"/>
  <c r="N306" i="8"/>
  <c r="T306" i="8"/>
  <c r="N305" i="8"/>
  <c r="T305" i="8"/>
  <c r="M304" i="8"/>
  <c r="M305" i="8" s="1"/>
  <c r="M306" i="8" s="1"/>
  <c r="M307" i="8" s="1"/>
  <c r="M308" i="8" s="1"/>
  <c r="N303" i="8"/>
  <c r="Q303" i="8" s="1"/>
  <c r="R303" i="8" s="1"/>
  <c r="T303" i="8"/>
  <c r="N302" i="8"/>
  <c r="Q302" i="8" s="1"/>
  <c r="R302" i="8" s="1"/>
  <c r="T302" i="8"/>
  <c r="N301" i="8"/>
  <c r="N300" i="8"/>
  <c r="T300" i="8" s="1"/>
  <c r="M299" i="8"/>
  <c r="T299" i="8" s="1"/>
  <c r="N298" i="8"/>
  <c r="T298" i="8" s="1"/>
  <c r="N297" i="8"/>
  <c r="T297" i="8" s="1"/>
  <c r="N296" i="8"/>
  <c r="T296" i="8"/>
  <c r="N295" i="8"/>
  <c r="T295" i="8"/>
  <c r="M294" i="8"/>
  <c r="T294" i="8"/>
  <c r="N293" i="8"/>
  <c r="T293" i="8"/>
  <c r="N292" i="8"/>
  <c r="T292" i="8"/>
  <c r="N291" i="8"/>
  <c r="N290" i="8"/>
  <c r="T290" i="8" s="1"/>
  <c r="M289" i="8"/>
  <c r="T289" i="8" s="1"/>
  <c r="N288" i="8"/>
  <c r="N287" i="8"/>
  <c r="N286" i="8"/>
  <c r="T286" i="8"/>
  <c r="N285" i="8"/>
  <c r="T285" i="8"/>
  <c r="M284" i="8"/>
  <c r="T284" i="8" s="1"/>
  <c r="N283" i="8"/>
  <c r="T283" i="8"/>
  <c r="N282" i="8"/>
  <c r="T282" i="8" s="1"/>
  <c r="N281" i="8"/>
  <c r="N280" i="8"/>
  <c r="T280" i="8" s="1"/>
  <c r="M279" i="8"/>
  <c r="T279" i="8" s="1"/>
  <c r="N278" i="8"/>
  <c r="T278" i="8" s="1"/>
  <c r="N277" i="8"/>
  <c r="T277" i="8"/>
  <c r="N276" i="8"/>
  <c r="T276" i="8"/>
  <c r="N275" i="8"/>
  <c r="T275" i="8"/>
  <c r="M274" i="8"/>
  <c r="T274" i="8" s="1"/>
  <c r="U274" i="8" s="1"/>
  <c r="N273" i="8"/>
  <c r="T273" i="8" s="1"/>
  <c r="N272" i="8"/>
  <c r="T272" i="8" s="1"/>
  <c r="N271" i="8"/>
  <c r="N270" i="8"/>
  <c r="T270" i="8" s="1"/>
  <c r="M269" i="8"/>
  <c r="T269" i="8" s="1"/>
  <c r="N268" i="8"/>
  <c r="T268" i="8" s="1"/>
  <c r="N267" i="8"/>
  <c r="T267" i="8"/>
  <c r="N266" i="8"/>
  <c r="T266" i="8"/>
  <c r="N265" i="8"/>
  <c r="T265" i="8"/>
  <c r="M264" i="8"/>
  <c r="N263" i="8"/>
  <c r="N262" i="8"/>
  <c r="T262" i="8" s="1"/>
  <c r="N261" i="8"/>
  <c r="N260" i="8"/>
  <c r="T260" i="8" s="1"/>
  <c r="M259" i="8"/>
  <c r="T259" i="8" s="1"/>
  <c r="N258" i="8"/>
  <c r="T258" i="8" s="1"/>
  <c r="N257" i="8"/>
  <c r="T257" i="8"/>
  <c r="N256" i="8"/>
  <c r="T256" i="8"/>
  <c r="N255" i="8"/>
  <c r="T255" i="8"/>
  <c r="M254" i="8"/>
  <c r="T254" i="8" s="1"/>
  <c r="U254" i="8" s="1"/>
  <c r="N253" i="8"/>
  <c r="T253" i="8"/>
  <c r="N252" i="8"/>
  <c r="T252" i="8"/>
  <c r="N251" i="8"/>
  <c r="N250" i="8"/>
  <c r="T250" i="8" s="1"/>
  <c r="M249" i="8"/>
  <c r="T249" i="8"/>
  <c r="N248" i="8"/>
  <c r="T248" i="8" s="1"/>
  <c r="N247" i="8"/>
  <c r="T247" i="8"/>
  <c r="N246" i="8"/>
  <c r="T246" i="8"/>
  <c r="N245" i="8"/>
  <c r="T245" i="8"/>
  <c r="M244" i="8"/>
  <c r="T244" i="8" s="1"/>
  <c r="N243" i="8"/>
  <c r="N242" i="8"/>
  <c r="T242" i="8" s="1"/>
  <c r="N241" i="8"/>
  <c r="T241" i="8" s="1"/>
  <c r="N240" i="8"/>
  <c r="T240" i="8" s="1"/>
  <c r="M239" i="8"/>
  <c r="T239" i="8"/>
  <c r="N238" i="8"/>
  <c r="T238" i="8" s="1"/>
  <c r="N237" i="8"/>
  <c r="O234" i="8" s="1"/>
  <c r="N236" i="8"/>
  <c r="T236" i="8"/>
  <c r="N235" i="8"/>
  <c r="T235" i="8"/>
  <c r="M234" i="8"/>
  <c r="T234" i="8"/>
  <c r="N233" i="8"/>
  <c r="T233" i="8"/>
  <c r="N232" i="8"/>
  <c r="T232" i="8"/>
  <c r="N231" i="8"/>
  <c r="N230" i="8"/>
  <c r="T230" i="8" s="1"/>
  <c r="M229" i="8"/>
  <c r="T229" i="8"/>
  <c r="N228" i="8"/>
  <c r="T228" i="8" s="1"/>
  <c r="N227" i="8"/>
  <c r="N226" i="8"/>
  <c r="T226" i="8"/>
  <c r="N225" i="8"/>
  <c r="T225" i="8"/>
  <c r="M224" i="8"/>
  <c r="T224" i="8"/>
  <c r="N223" i="8"/>
  <c r="T223" i="8"/>
  <c r="N222" i="8"/>
  <c r="N221" i="8"/>
  <c r="T221" i="8" s="1"/>
  <c r="N220" i="8"/>
  <c r="T220" i="8" s="1"/>
  <c r="M219" i="8"/>
  <c r="T219" i="8"/>
  <c r="N218" i="8"/>
  <c r="N217" i="8"/>
  <c r="T217" i="8" s="1"/>
  <c r="N216" i="8"/>
  <c r="T216" i="8"/>
  <c r="N215" i="8"/>
  <c r="T215" i="8"/>
  <c r="M214" i="8"/>
  <c r="T214" i="8" s="1"/>
  <c r="N213" i="8"/>
  <c r="N212" i="8"/>
  <c r="T212" i="8" s="1"/>
  <c r="N211" i="8"/>
  <c r="T211" i="8" s="1"/>
  <c r="N210" i="8"/>
  <c r="T210" i="8" s="1"/>
  <c r="M209" i="8"/>
  <c r="T209" i="8"/>
  <c r="N208" i="8"/>
  <c r="T208" i="8" s="1"/>
  <c r="N207" i="8"/>
  <c r="O204" i="8" s="1"/>
  <c r="T207" i="8"/>
  <c r="N206" i="8"/>
  <c r="T206" i="8"/>
  <c r="N205" i="8"/>
  <c r="T205" i="8"/>
  <c r="M204" i="8"/>
  <c r="T204" i="8" s="1"/>
  <c r="N203" i="8"/>
  <c r="T203" i="8"/>
  <c r="N202" i="8"/>
  <c r="T202" i="8"/>
  <c r="N201" i="8"/>
  <c r="T201" i="8" s="1"/>
  <c r="N200" i="8"/>
  <c r="T200" i="8" s="1"/>
  <c r="U199" i="8" s="1"/>
  <c r="M199" i="8"/>
  <c r="T199" i="8"/>
  <c r="N198" i="8"/>
  <c r="N197" i="8"/>
  <c r="T197" i="8" s="1"/>
  <c r="N196" i="8"/>
  <c r="T196" i="8"/>
  <c r="N195" i="8"/>
  <c r="T195" i="8"/>
  <c r="M194" i="8"/>
  <c r="T194" i="8" s="1"/>
  <c r="N193" i="8"/>
  <c r="T193" i="8"/>
  <c r="N192" i="8"/>
  <c r="N191" i="8"/>
  <c r="T191" i="8" s="1"/>
  <c r="N190" i="8"/>
  <c r="T190" i="8" s="1"/>
  <c r="M189" i="8"/>
  <c r="T189" i="8"/>
  <c r="N188" i="8"/>
  <c r="N187" i="8"/>
  <c r="T187" i="8"/>
  <c r="N186" i="8"/>
  <c r="T186" i="8"/>
  <c r="N185" i="8"/>
  <c r="T185" i="8"/>
  <c r="M184" i="8"/>
  <c r="T184" i="8"/>
  <c r="N183" i="8"/>
  <c r="T183" i="8" s="1"/>
  <c r="N182" i="8"/>
  <c r="T182" i="8" s="1"/>
  <c r="N181" i="8"/>
  <c r="N180" i="8"/>
  <c r="T180" i="8" s="1"/>
  <c r="M179" i="8"/>
  <c r="T179" i="8"/>
  <c r="N178" i="8"/>
  <c r="T178" i="8" s="1"/>
  <c r="N177" i="8"/>
  <c r="N176" i="8"/>
  <c r="T176" i="8"/>
  <c r="N175" i="8"/>
  <c r="T175" i="8"/>
  <c r="M174" i="8"/>
  <c r="T174" i="8" s="1"/>
  <c r="N173" i="8"/>
  <c r="T173" i="8"/>
  <c r="N172" i="8"/>
  <c r="T172" i="8"/>
  <c r="N171" i="8"/>
  <c r="N170" i="8"/>
  <c r="T170" i="8" s="1"/>
  <c r="M169" i="8"/>
  <c r="T169" i="8"/>
  <c r="N168" i="8"/>
  <c r="T168" i="8" s="1"/>
  <c r="N167" i="8"/>
  <c r="T167" i="8"/>
  <c r="N166" i="8"/>
  <c r="T166" i="8"/>
  <c r="N165" i="8"/>
  <c r="T165" i="8"/>
  <c r="M164" i="8"/>
  <c r="T164" i="8"/>
  <c r="N163" i="8"/>
  <c r="T163" i="8" s="1"/>
  <c r="N162" i="8"/>
  <c r="T162" i="8" s="1"/>
  <c r="N161" i="8"/>
  <c r="N160" i="8"/>
  <c r="T160" i="8" s="1"/>
  <c r="M159" i="8"/>
  <c r="T159" i="8" s="1"/>
  <c r="N158" i="8"/>
  <c r="T158" i="8" s="1"/>
  <c r="N157" i="8"/>
  <c r="O154" i="8" s="1"/>
  <c r="N156" i="8"/>
  <c r="T156" i="8"/>
  <c r="N155" i="8"/>
  <c r="T155" i="8"/>
  <c r="M154" i="8"/>
  <c r="T154" i="8"/>
  <c r="N153" i="8"/>
  <c r="T153" i="8"/>
  <c r="N152" i="8"/>
  <c r="T152" i="8"/>
  <c r="N151" i="8"/>
  <c r="N150" i="8"/>
  <c r="T150" i="8" s="1"/>
  <c r="M149" i="8"/>
  <c r="T149" i="8" s="1"/>
  <c r="N148" i="8"/>
  <c r="T148" i="8" s="1"/>
  <c r="N147" i="8"/>
  <c r="T147" i="8"/>
  <c r="U144" i="8" s="1"/>
  <c r="N146" i="8"/>
  <c r="T146" i="8"/>
  <c r="N145" i="8"/>
  <c r="T145" i="8"/>
  <c r="M144" i="8"/>
  <c r="T144" i="8"/>
  <c r="N143" i="8"/>
  <c r="T143" i="8" s="1"/>
  <c r="N142" i="8"/>
  <c r="T142" i="8"/>
  <c r="N141" i="8"/>
  <c r="T141" i="8" s="1"/>
  <c r="N140" i="8"/>
  <c r="T140" i="8" s="1"/>
  <c r="M139" i="8"/>
  <c r="T139" i="8"/>
  <c r="N138" i="8"/>
  <c r="T138" i="8" s="1"/>
  <c r="N137" i="8"/>
  <c r="T137" i="8" s="1"/>
  <c r="N136" i="8"/>
  <c r="T136" i="8"/>
  <c r="N135" i="8"/>
  <c r="T135" i="8"/>
  <c r="M134" i="8"/>
  <c r="N133" i="8"/>
  <c r="T133" i="8"/>
  <c r="N132" i="8"/>
  <c r="N131" i="8"/>
  <c r="T131" i="8" s="1"/>
  <c r="N130" i="8"/>
  <c r="T130" i="8" s="1"/>
  <c r="M129" i="8"/>
  <c r="T129" i="8"/>
  <c r="N128" i="8"/>
  <c r="T128" i="8" s="1"/>
  <c r="N127" i="8"/>
  <c r="T127" i="8"/>
  <c r="N126" i="8"/>
  <c r="T126" i="8"/>
  <c r="N125" i="8"/>
  <c r="T125" i="8"/>
  <c r="M124" i="8"/>
  <c r="T124" i="8"/>
  <c r="N123" i="8"/>
  <c r="Q123" i="8" s="1"/>
  <c r="R123" i="8" s="1"/>
  <c r="T123" i="8"/>
  <c r="N122" i="8"/>
  <c r="N121" i="8"/>
  <c r="N120" i="8"/>
  <c r="T120" i="8" s="1"/>
  <c r="M119" i="8"/>
  <c r="T119" i="8" s="1"/>
  <c r="N118" i="8"/>
  <c r="T118" i="8" s="1"/>
  <c r="N117" i="8"/>
  <c r="T117" i="8"/>
  <c r="N116" i="8"/>
  <c r="T116" i="8"/>
  <c r="N115" i="8"/>
  <c r="T115" i="8"/>
  <c r="M114" i="8"/>
  <c r="T114" i="8" s="1"/>
  <c r="N113" i="8"/>
  <c r="T113" i="8" s="1"/>
  <c r="N112" i="8"/>
  <c r="T112" i="8"/>
  <c r="N111" i="8"/>
  <c r="N110" i="8"/>
  <c r="T110" i="8" s="1"/>
  <c r="M109" i="8"/>
  <c r="T109" i="8"/>
  <c r="N108" i="8"/>
  <c r="N107" i="8"/>
  <c r="N106" i="8"/>
  <c r="T106" i="8"/>
  <c r="N105" i="8"/>
  <c r="T105" i="8"/>
  <c r="M104" i="8"/>
  <c r="T104" i="8" s="1"/>
  <c r="N103" i="8"/>
  <c r="T103" i="8"/>
  <c r="N102" i="8"/>
  <c r="T102" i="8" s="1"/>
  <c r="N101" i="8"/>
  <c r="T101" i="8" s="1"/>
  <c r="N100" i="8"/>
  <c r="T100" i="8" s="1"/>
  <c r="M99" i="8"/>
  <c r="T99" i="8"/>
  <c r="N98" i="8"/>
  <c r="T98" i="8" s="1"/>
  <c r="N97" i="8"/>
  <c r="N96" i="8"/>
  <c r="T96" i="8"/>
  <c r="N95" i="8"/>
  <c r="T95" i="8"/>
  <c r="M94" i="8"/>
  <c r="T94" i="8"/>
  <c r="N93" i="8"/>
  <c r="T93" i="8"/>
  <c r="N92" i="8"/>
  <c r="T92" i="8"/>
  <c r="N91" i="8"/>
  <c r="T91" i="8" s="1"/>
  <c r="N90" i="8"/>
  <c r="T90" i="8" s="1"/>
  <c r="M89" i="8"/>
  <c r="T89" i="8" s="1"/>
  <c r="N88" i="8"/>
  <c r="T88" i="8" s="1"/>
  <c r="N87" i="8"/>
  <c r="T87" i="8" s="1"/>
  <c r="N86" i="8"/>
  <c r="T86" i="8"/>
  <c r="N85" i="8"/>
  <c r="T85" i="8"/>
  <c r="M84" i="8"/>
  <c r="T84" i="8"/>
  <c r="U84" i="8" s="1"/>
  <c r="N83" i="8"/>
  <c r="T83" i="8" s="1"/>
  <c r="N82" i="8"/>
  <c r="T82" i="8"/>
  <c r="N81" i="8"/>
  <c r="N80" i="8"/>
  <c r="T80" i="8" s="1"/>
  <c r="M79" i="8"/>
  <c r="T79" i="8" s="1"/>
  <c r="N78" i="8"/>
  <c r="T78" i="8" s="1"/>
  <c r="N77" i="8"/>
  <c r="N76" i="8"/>
  <c r="T76" i="8"/>
  <c r="N75" i="8"/>
  <c r="T75" i="8"/>
  <c r="M74" i="8"/>
  <c r="T74" i="8" s="1"/>
  <c r="N73" i="8"/>
  <c r="T73" i="8"/>
  <c r="N72" i="8"/>
  <c r="T72" i="8" s="1"/>
  <c r="N71" i="8"/>
  <c r="N70" i="8"/>
  <c r="T70" i="8" s="1"/>
  <c r="M69" i="8"/>
  <c r="T69" i="8" s="1"/>
  <c r="N68" i="8"/>
  <c r="T68" i="8" s="1"/>
  <c r="U64" i="8" s="1"/>
  <c r="N67" i="8"/>
  <c r="T67" i="8"/>
  <c r="N66" i="8"/>
  <c r="T66" i="8"/>
  <c r="N65" i="8"/>
  <c r="T65" i="8"/>
  <c r="M64" i="8"/>
  <c r="T64" i="8" s="1"/>
  <c r="N63" i="8"/>
  <c r="T63" i="8"/>
  <c r="N62" i="8"/>
  <c r="T62" i="8" s="1"/>
  <c r="N61" i="8"/>
  <c r="N60" i="8"/>
  <c r="T60" i="8" s="1"/>
  <c r="M59" i="8"/>
  <c r="T59" i="8" s="1"/>
  <c r="N58" i="8"/>
  <c r="T58" i="8" s="1"/>
  <c r="N57" i="8"/>
  <c r="T57" i="8" s="1"/>
  <c r="N56" i="8"/>
  <c r="T56" i="8"/>
  <c r="N55" i="8"/>
  <c r="T55" i="8"/>
  <c r="U54" i="8" s="1"/>
  <c r="M54" i="8"/>
  <c r="T54" i="8"/>
  <c r="N53" i="8"/>
  <c r="N52" i="8"/>
  <c r="T52" i="8" s="1"/>
  <c r="N51" i="8"/>
  <c r="N50" i="8"/>
  <c r="T50" i="8" s="1"/>
  <c r="M49" i="8"/>
  <c r="T49" i="8"/>
  <c r="N48" i="8"/>
  <c r="T48" i="8" s="1"/>
  <c r="N47" i="8"/>
  <c r="T47" i="8" s="1"/>
  <c r="N46" i="8"/>
  <c r="T46" i="8"/>
  <c r="N45" i="8"/>
  <c r="T45" i="8"/>
  <c r="M44" i="8"/>
  <c r="T44" i="8" s="1"/>
  <c r="N43" i="8"/>
  <c r="T43" i="8" s="1"/>
  <c r="N42" i="8"/>
  <c r="T42" i="8"/>
  <c r="N41" i="8"/>
  <c r="T41" i="8" s="1"/>
  <c r="N40" i="8"/>
  <c r="T40" i="8" s="1"/>
  <c r="M39" i="8"/>
  <c r="T39" i="8"/>
  <c r="N38" i="8"/>
  <c r="T38" i="8" s="1"/>
  <c r="N37" i="8"/>
  <c r="O34" i="8" s="1"/>
  <c r="T37" i="8"/>
  <c r="U34" i="8" s="1"/>
  <c r="N36" i="8"/>
  <c r="T36" i="8"/>
  <c r="N35" i="8"/>
  <c r="T35" i="8"/>
  <c r="M34" i="8"/>
  <c r="T34" i="8" s="1"/>
  <c r="N33" i="8"/>
  <c r="T33" i="8"/>
  <c r="N32" i="8"/>
  <c r="T32" i="8"/>
  <c r="N31" i="8"/>
  <c r="T31" i="8" s="1"/>
  <c r="N30" i="8"/>
  <c r="T30" i="8" s="1"/>
  <c r="M29" i="8"/>
  <c r="T29" i="8" s="1"/>
  <c r="N28" i="8"/>
  <c r="T28" i="8" s="1"/>
  <c r="N27" i="8"/>
  <c r="T27" i="8" s="1"/>
  <c r="N26" i="8"/>
  <c r="T26" i="8"/>
  <c r="B25" i="8"/>
  <c r="Z14" i="8"/>
  <c r="X14" i="6"/>
  <c r="J14" i="8"/>
  <c r="K14" i="8"/>
  <c r="B20" i="8"/>
  <c r="N20" i="8"/>
  <c r="L5" i="6"/>
  <c r="N5" i="6" s="1"/>
  <c r="M5" i="6"/>
  <c r="L6" i="6"/>
  <c r="N6" i="6" s="1"/>
  <c r="M6" i="6"/>
  <c r="L7" i="6"/>
  <c r="M7" i="6"/>
  <c r="N7" i="6"/>
  <c r="L8" i="6"/>
  <c r="N8" i="6" s="1"/>
  <c r="M8" i="6"/>
  <c r="J4" i="6"/>
  <c r="K4" i="6"/>
  <c r="D3" i="7"/>
  <c r="I4" i="6"/>
  <c r="N4" i="6"/>
  <c r="O4" i="6"/>
  <c r="L15" i="6"/>
  <c r="N15" i="6" s="1"/>
  <c r="O14" i="6" s="1"/>
  <c r="G5" i="6"/>
  <c r="G6" i="6"/>
  <c r="G7" i="6"/>
  <c r="G8" i="6"/>
  <c r="F3" i="7"/>
  <c r="E4" i="6"/>
  <c r="C3" i="7"/>
  <c r="C4" i="6"/>
  <c r="F4" i="6"/>
  <c r="H4" i="6"/>
  <c r="P4" i="6"/>
  <c r="Q4" i="6" s="1"/>
  <c r="C4" i="8" s="1"/>
  <c r="S4" i="6"/>
  <c r="F4" i="8" s="1"/>
  <c r="T4" i="6"/>
  <c r="U4" i="6"/>
  <c r="W4" i="6"/>
  <c r="G4" i="8"/>
  <c r="X4" i="6"/>
  <c r="J4" i="8" s="1"/>
  <c r="M15" i="6"/>
  <c r="L10" i="6"/>
  <c r="N10" i="6" s="1"/>
  <c r="M10" i="6"/>
  <c r="L11" i="6"/>
  <c r="M11" i="6"/>
  <c r="N11" i="6"/>
  <c r="L12" i="6"/>
  <c r="N12" i="6" s="1"/>
  <c r="M12" i="6"/>
  <c r="L13" i="6"/>
  <c r="M13" i="6"/>
  <c r="N13" i="6" s="1"/>
  <c r="J9" i="6"/>
  <c r="K9" i="6"/>
  <c r="D4" i="7"/>
  <c r="I9" i="6"/>
  <c r="N9" i="6"/>
  <c r="O9" i="6"/>
  <c r="L16" i="6"/>
  <c r="G10" i="6"/>
  <c r="G11" i="6"/>
  <c r="G12" i="6"/>
  <c r="G13" i="6"/>
  <c r="F4" i="7"/>
  <c r="E9" i="6"/>
  <c r="C4" i="7"/>
  <c r="C9" i="6"/>
  <c r="F9" i="6"/>
  <c r="H9" i="6"/>
  <c r="P9" i="6"/>
  <c r="Q9" i="6"/>
  <c r="R9" i="6" s="1"/>
  <c r="S9" i="6"/>
  <c r="W9" i="6"/>
  <c r="G9" i="8" s="1"/>
  <c r="X9" i="6"/>
  <c r="M16" i="6"/>
  <c r="N16" i="6" s="1"/>
  <c r="L17" i="6"/>
  <c r="N17" i="6" s="1"/>
  <c r="M17" i="6"/>
  <c r="L18" i="6"/>
  <c r="M18" i="6"/>
  <c r="N18" i="6"/>
  <c r="J14" i="6"/>
  <c r="K14" i="6"/>
  <c r="D5" i="7"/>
  <c r="I14" i="6"/>
  <c r="N14" i="6"/>
  <c r="L20" i="6"/>
  <c r="N20" i="6" s="1"/>
  <c r="S14" i="6"/>
  <c r="M20" i="6"/>
  <c r="L21" i="6"/>
  <c r="M21" i="6"/>
  <c r="N21" i="6"/>
  <c r="L22" i="6"/>
  <c r="M22" i="6"/>
  <c r="N22" i="6" s="1"/>
  <c r="L23" i="6"/>
  <c r="M23" i="6"/>
  <c r="N23" i="6" s="1"/>
  <c r="J19" i="6"/>
  <c r="K19" i="6"/>
  <c r="D6" i="7"/>
  <c r="I19" i="6"/>
  <c r="N19" i="6"/>
  <c r="G15" i="6"/>
  <c r="G16" i="6"/>
  <c r="G17" i="6"/>
  <c r="G18" i="6"/>
  <c r="F5" i="7"/>
  <c r="E14" i="6"/>
  <c r="C5" i="7"/>
  <c r="C14" i="6"/>
  <c r="F14" i="6"/>
  <c r="H14" i="6"/>
  <c r="G20" i="6"/>
  <c r="G21" i="6"/>
  <c r="G22" i="6"/>
  <c r="G23" i="6"/>
  <c r="F6" i="7"/>
  <c r="E19" i="6"/>
  <c r="C6" i="7"/>
  <c r="C19" i="6"/>
  <c r="F19" i="6"/>
  <c r="H19" i="6"/>
  <c r="P19" i="6"/>
  <c r="Q19" i="6" s="1"/>
  <c r="S19" i="6"/>
  <c r="F19" i="8" s="1"/>
  <c r="F20" i="8" s="1"/>
  <c r="F14" i="8"/>
  <c r="P20" i="8"/>
  <c r="Q20" i="8"/>
  <c r="T20" i="8"/>
  <c r="N21" i="8"/>
  <c r="T21" i="8"/>
  <c r="N22" i="8"/>
  <c r="T22" i="8"/>
  <c r="N23" i="8"/>
  <c r="T23" i="8" s="1"/>
  <c r="M19" i="8"/>
  <c r="T19" i="8"/>
  <c r="U19" i="8" s="1"/>
  <c r="Z19" i="8"/>
  <c r="AC19" i="8" s="1"/>
  <c r="P14" i="6"/>
  <c r="Q14" i="6" s="1"/>
  <c r="T19" i="6"/>
  <c r="U19" i="6"/>
  <c r="X19" i="6"/>
  <c r="J19" i="8"/>
  <c r="K19" i="8"/>
  <c r="N25" i="8"/>
  <c r="L25" i="6"/>
  <c r="M25" i="6"/>
  <c r="L26" i="6"/>
  <c r="N26" i="6" s="1"/>
  <c r="M26" i="6"/>
  <c r="L27" i="6"/>
  <c r="M27" i="6"/>
  <c r="L28" i="6"/>
  <c r="M28" i="6"/>
  <c r="J24" i="6"/>
  <c r="K24" i="6"/>
  <c r="D7" i="7"/>
  <c r="I24" i="6"/>
  <c r="N24" i="6"/>
  <c r="G25" i="6"/>
  <c r="G26" i="6"/>
  <c r="G27" i="6"/>
  <c r="G28" i="6"/>
  <c r="F7" i="7"/>
  <c r="E24" i="6"/>
  <c r="C7" i="7"/>
  <c r="C24" i="6"/>
  <c r="F24" i="6"/>
  <c r="H24" i="6"/>
  <c r="P24" i="6"/>
  <c r="Q24" i="6"/>
  <c r="S24" i="6"/>
  <c r="F24" i="8" s="1"/>
  <c r="F25" i="8" s="1"/>
  <c r="P25" i="8"/>
  <c r="Q25" i="8"/>
  <c r="R25" i="8" s="1"/>
  <c r="M24" i="8"/>
  <c r="T24" i="8" s="1"/>
  <c r="Z4" i="6"/>
  <c r="V4" i="6"/>
  <c r="Z9" i="6"/>
  <c r="V9" i="6"/>
  <c r="Z14" i="6"/>
  <c r="V14" i="6"/>
  <c r="N18" i="8"/>
  <c r="T18" i="8"/>
  <c r="B17" i="8"/>
  <c r="N17" i="8"/>
  <c r="T17" i="8" s="1"/>
  <c r="B16" i="8"/>
  <c r="N10" i="8"/>
  <c r="T10" i="8" s="1"/>
  <c r="N11" i="8"/>
  <c r="T11" i="8" s="1"/>
  <c r="N12" i="8"/>
  <c r="T12" i="8"/>
  <c r="N13" i="8"/>
  <c r="T13" i="8" s="1"/>
  <c r="M9" i="8"/>
  <c r="T9" i="8" s="1"/>
  <c r="U9" i="8" s="1"/>
  <c r="Z9" i="8"/>
  <c r="J9" i="8"/>
  <c r="K9" i="8"/>
  <c r="AC9" i="8"/>
  <c r="N16" i="8"/>
  <c r="F15" i="8"/>
  <c r="F16" i="8"/>
  <c r="P16" i="8"/>
  <c r="Q16" i="8"/>
  <c r="T16" i="8"/>
  <c r="B15" i="8"/>
  <c r="N5" i="8"/>
  <c r="T5" i="8"/>
  <c r="N6" i="8"/>
  <c r="T6" i="8" s="1"/>
  <c r="N7" i="8"/>
  <c r="T7" i="8" s="1"/>
  <c r="N8" i="8"/>
  <c r="T8" i="8" s="1"/>
  <c r="L4" i="8"/>
  <c r="M4" i="8"/>
  <c r="T4" i="8" s="1"/>
  <c r="U4" i="8"/>
  <c r="Z4" i="8"/>
  <c r="K4" i="8"/>
  <c r="N15" i="8"/>
  <c r="P15" i="8"/>
  <c r="Q15" i="8"/>
  <c r="M14" i="8"/>
  <c r="T14" i="8" s="1"/>
  <c r="O454" i="8"/>
  <c r="O429" i="8"/>
  <c r="O414" i="8"/>
  <c r="O404" i="8"/>
  <c r="O389" i="8"/>
  <c r="O354" i="8"/>
  <c r="O329" i="8"/>
  <c r="O319" i="8"/>
  <c r="O314" i="8"/>
  <c r="O309" i="8"/>
  <c r="O304" i="8"/>
  <c r="O294" i="8"/>
  <c r="O254" i="8"/>
  <c r="O244" i="8"/>
  <c r="O209" i="8"/>
  <c r="O199" i="8"/>
  <c r="O139" i="8"/>
  <c r="O114" i="8"/>
  <c r="O99" i="8"/>
  <c r="O89" i="8"/>
  <c r="O84" i="8"/>
  <c r="O54" i="8"/>
  <c r="O44" i="8"/>
  <c r="O39" i="8"/>
  <c r="O29" i="8"/>
  <c r="O19" i="8"/>
  <c r="P503" i="8"/>
  <c r="M500" i="8"/>
  <c r="M501" i="8" s="1"/>
  <c r="M502" i="8" s="1"/>
  <c r="M503" i="8" s="1"/>
  <c r="S499" i="6"/>
  <c r="F499" i="8" s="1"/>
  <c r="F500" i="8" s="1"/>
  <c r="F501" i="8"/>
  <c r="F502" i="8" s="1"/>
  <c r="F503" i="8" s="1"/>
  <c r="P502" i="8"/>
  <c r="P501" i="8"/>
  <c r="Q500" i="8"/>
  <c r="R500" i="8"/>
  <c r="P500" i="8"/>
  <c r="Z499" i="8"/>
  <c r="X499" i="6"/>
  <c r="J499" i="8"/>
  <c r="K499" i="8"/>
  <c r="AB499" i="8"/>
  <c r="W499" i="6"/>
  <c r="G499" i="8" s="1"/>
  <c r="G500" i="6"/>
  <c r="G501" i="6"/>
  <c r="G502" i="6"/>
  <c r="G503" i="6"/>
  <c r="C499" i="6"/>
  <c r="F102" i="7"/>
  <c r="E499" i="6"/>
  <c r="F499" i="6"/>
  <c r="H499" i="6"/>
  <c r="P499" i="6"/>
  <c r="Q499" i="6" s="1"/>
  <c r="C499" i="8" s="1"/>
  <c r="Q498" i="8"/>
  <c r="R498" i="8" s="1"/>
  <c r="P498" i="8"/>
  <c r="M498" i="8"/>
  <c r="S494" i="6"/>
  <c r="W494" i="6" s="1"/>
  <c r="G494" i="8" s="1"/>
  <c r="F494" i="8"/>
  <c r="F495" i="8" s="1"/>
  <c r="F496" i="8" s="1"/>
  <c r="F497" i="8" s="1"/>
  <c r="F498" i="8" s="1"/>
  <c r="P497" i="8"/>
  <c r="Q496" i="8"/>
  <c r="R496" i="8" s="1"/>
  <c r="P496" i="8"/>
  <c r="Q495" i="8"/>
  <c r="R495" i="8" s="1"/>
  <c r="P495" i="8"/>
  <c r="Z494" i="8"/>
  <c r="X494" i="6"/>
  <c r="J494" i="8" s="1"/>
  <c r="AC494" i="8" s="1"/>
  <c r="K494" i="8"/>
  <c r="AB494" i="8"/>
  <c r="G495" i="6"/>
  <c r="G496" i="6"/>
  <c r="G497" i="6"/>
  <c r="G498" i="6"/>
  <c r="C494" i="6"/>
  <c r="F101" i="7"/>
  <c r="E494" i="6"/>
  <c r="F494" i="6"/>
  <c r="H494" i="6"/>
  <c r="P494" i="6"/>
  <c r="Q494" i="6"/>
  <c r="C494" i="8" s="1"/>
  <c r="P493" i="8"/>
  <c r="M490" i="8"/>
  <c r="M491" i="8"/>
  <c r="M492" i="8" s="1"/>
  <c r="M493" i="8" s="1"/>
  <c r="S489" i="6"/>
  <c r="F489" i="8" s="1"/>
  <c r="F490" i="8" s="1"/>
  <c r="F491" i="8"/>
  <c r="F492" i="8" s="1"/>
  <c r="F493" i="8" s="1"/>
  <c r="P492" i="8"/>
  <c r="P491" i="8"/>
  <c r="Q490" i="8"/>
  <c r="R490" i="8" s="1"/>
  <c r="P490" i="8"/>
  <c r="Z489" i="8"/>
  <c r="X489" i="6"/>
  <c r="J489" i="8"/>
  <c r="K489" i="8"/>
  <c r="AB489" i="8"/>
  <c r="W489" i="6"/>
  <c r="G489" i="8"/>
  <c r="G490" i="6"/>
  <c r="G491" i="6"/>
  <c r="G492" i="6"/>
  <c r="G493" i="6"/>
  <c r="C489" i="6"/>
  <c r="F100" i="7"/>
  <c r="E489" i="6"/>
  <c r="F489" i="6"/>
  <c r="H489" i="6"/>
  <c r="P489" i="6"/>
  <c r="Q489" i="6"/>
  <c r="C489" i="8" s="1"/>
  <c r="P488" i="8"/>
  <c r="S484" i="6"/>
  <c r="W484" i="6" s="1"/>
  <c r="G484" i="8" s="1"/>
  <c r="F484" i="8"/>
  <c r="AA484" i="8" s="1"/>
  <c r="P487" i="8"/>
  <c r="Q486" i="8"/>
  <c r="R486" i="8"/>
  <c r="P486" i="8"/>
  <c r="Q485" i="8"/>
  <c r="R485" i="8"/>
  <c r="P485" i="8"/>
  <c r="Z484" i="8"/>
  <c r="X484" i="6"/>
  <c r="J484" i="8" s="1"/>
  <c r="K484" i="8"/>
  <c r="AC484" i="8"/>
  <c r="AB484" i="8"/>
  <c r="G485" i="6"/>
  <c r="G486" i="6"/>
  <c r="G487" i="6"/>
  <c r="G488" i="6"/>
  <c r="C484" i="6"/>
  <c r="F99" i="7"/>
  <c r="E484" i="6"/>
  <c r="F484" i="6"/>
  <c r="H484" i="6"/>
  <c r="P484" i="6"/>
  <c r="Q484" i="6" s="1"/>
  <c r="C484" i="8"/>
  <c r="R483" i="8"/>
  <c r="P483" i="8"/>
  <c r="M480" i="8"/>
  <c r="M481" i="8" s="1"/>
  <c r="M482" i="8" s="1"/>
  <c r="M483" i="8" s="1"/>
  <c r="S479" i="6"/>
  <c r="W479" i="6" s="1"/>
  <c r="G479" i="8" s="1"/>
  <c r="F479" i="8"/>
  <c r="F480" i="8" s="1"/>
  <c r="F481" i="8" s="1"/>
  <c r="F482" i="8" s="1"/>
  <c r="F483" i="8" s="1"/>
  <c r="R482" i="8"/>
  <c r="P482" i="8"/>
  <c r="Q481" i="8"/>
  <c r="R481" i="8"/>
  <c r="P481" i="8"/>
  <c r="Q480" i="8"/>
  <c r="R480" i="8" s="1"/>
  <c r="P480" i="8"/>
  <c r="Z479" i="8"/>
  <c r="X479" i="6"/>
  <c r="J479" i="8"/>
  <c r="K479" i="8"/>
  <c r="AB479" i="8"/>
  <c r="G480" i="6"/>
  <c r="G481" i="6"/>
  <c r="G482" i="6"/>
  <c r="G483" i="6"/>
  <c r="C479" i="6"/>
  <c r="F98" i="7"/>
  <c r="E479" i="6"/>
  <c r="F479" i="6"/>
  <c r="H479" i="6"/>
  <c r="P479" i="6"/>
  <c r="Q479" i="6"/>
  <c r="C479" i="8"/>
  <c r="P478" i="8"/>
  <c r="M475" i="8"/>
  <c r="M476" i="8"/>
  <c r="M477" i="8" s="1"/>
  <c r="M478" i="8" s="1"/>
  <c r="S474" i="6"/>
  <c r="F474" i="8" s="1"/>
  <c r="F475" i="8" s="1"/>
  <c r="F476" i="8" s="1"/>
  <c r="F477" i="8" s="1"/>
  <c r="F478" i="8" s="1"/>
  <c r="Q477" i="8"/>
  <c r="R477" i="8" s="1"/>
  <c r="P477" i="8"/>
  <c r="Q476" i="8"/>
  <c r="R476" i="8" s="1"/>
  <c r="P476" i="8"/>
  <c r="Q475" i="8"/>
  <c r="R475" i="8"/>
  <c r="P475" i="8"/>
  <c r="Z474" i="8"/>
  <c r="AA474" i="8" s="1"/>
  <c r="X474" i="6"/>
  <c r="J474" i="8"/>
  <c r="K474" i="8"/>
  <c r="AC474" i="8"/>
  <c r="AB474" i="8"/>
  <c r="G475" i="6"/>
  <c r="G476" i="6"/>
  <c r="G477" i="6"/>
  <c r="G478" i="6"/>
  <c r="C474" i="6"/>
  <c r="F97" i="7"/>
  <c r="E474" i="6"/>
  <c r="F474" i="6"/>
  <c r="H474" i="6"/>
  <c r="P474" i="6"/>
  <c r="Q474" i="6" s="1"/>
  <c r="C474" i="8" s="1"/>
  <c r="P473" i="8"/>
  <c r="M470" i="8"/>
  <c r="M471" i="8" s="1"/>
  <c r="M472" i="8" s="1"/>
  <c r="M473" i="8"/>
  <c r="S469" i="6"/>
  <c r="F469" i="8"/>
  <c r="P472" i="8"/>
  <c r="Q471" i="8"/>
  <c r="R471" i="8"/>
  <c r="P471" i="8"/>
  <c r="Q470" i="8"/>
  <c r="R470" i="8"/>
  <c r="P470" i="8"/>
  <c r="Z469" i="8"/>
  <c r="X469" i="6"/>
  <c r="J469" i="8" s="1"/>
  <c r="K469" i="8"/>
  <c r="AB469" i="8"/>
  <c r="W469" i="6"/>
  <c r="G469" i="8"/>
  <c r="G470" i="6"/>
  <c r="G471" i="6"/>
  <c r="G472" i="6"/>
  <c r="G473" i="6"/>
  <c r="C469" i="6"/>
  <c r="F96" i="7"/>
  <c r="E469" i="6"/>
  <c r="F469" i="6"/>
  <c r="H469" i="6"/>
  <c r="P469" i="6"/>
  <c r="Q469" i="6"/>
  <c r="P468" i="8"/>
  <c r="S464" i="6"/>
  <c r="F464" i="8"/>
  <c r="F465" i="8" s="1"/>
  <c r="F466" i="8" s="1"/>
  <c r="F467" i="8" s="1"/>
  <c r="F468" i="8" s="1"/>
  <c r="Q467" i="8"/>
  <c r="R467" i="8" s="1"/>
  <c r="P467" i="8"/>
  <c r="Q466" i="8"/>
  <c r="R466" i="8" s="1"/>
  <c r="P466" i="8"/>
  <c r="Q465" i="8"/>
  <c r="R465" i="8" s="1"/>
  <c r="P465" i="8"/>
  <c r="Z464" i="8"/>
  <c r="X464" i="6"/>
  <c r="J464" i="8"/>
  <c r="K464" i="8"/>
  <c r="AB464" i="8"/>
  <c r="W464" i="6"/>
  <c r="G464" i="8"/>
  <c r="G465" i="6"/>
  <c r="G466" i="6"/>
  <c r="G467" i="6"/>
  <c r="G468" i="6"/>
  <c r="C464" i="6"/>
  <c r="F95" i="7"/>
  <c r="E464" i="6"/>
  <c r="F464" i="6"/>
  <c r="H464" i="6"/>
  <c r="P464" i="6"/>
  <c r="Q464" i="6" s="1"/>
  <c r="C464" i="8" s="1"/>
  <c r="P463" i="8"/>
  <c r="M460" i="8"/>
  <c r="M461" i="8"/>
  <c r="M462" i="8" s="1"/>
  <c r="M463" i="8" s="1"/>
  <c r="S459" i="6"/>
  <c r="F459" i="8"/>
  <c r="R462" i="8"/>
  <c r="P462" i="8"/>
  <c r="P461" i="8"/>
  <c r="Q460" i="8"/>
  <c r="R460" i="8"/>
  <c r="P460" i="8"/>
  <c r="Z459" i="8"/>
  <c r="X459" i="6"/>
  <c r="J459" i="8"/>
  <c r="AC459" i="8" s="1"/>
  <c r="K459" i="8"/>
  <c r="AB459" i="8"/>
  <c r="W459" i="6"/>
  <c r="G459" i="8" s="1"/>
  <c r="G460" i="6"/>
  <c r="G461" i="6"/>
  <c r="G462" i="6"/>
  <c r="G463" i="6"/>
  <c r="C459" i="6"/>
  <c r="F94" i="7"/>
  <c r="E459" i="6"/>
  <c r="F459" i="6"/>
  <c r="H459" i="6"/>
  <c r="P459" i="6"/>
  <c r="Q459" i="6" s="1"/>
  <c r="R459" i="6" s="1"/>
  <c r="Q458" i="8"/>
  <c r="R458" i="8" s="1"/>
  <c r="P458" i="8"/>
  <c r="S454" i="6"/>
  <c r="Q457" i="8"/>
  <c r="R457" i="8"/>
  <c r="P457" i="8"/>
  <c r="Q456" i="8"/>
  <c r="R456" i="8" s="1"/>
  <c r="P456" i="8"/>
  <c r="Q455" i="8"/>
  <c r="R455" i="8"/>
  <c r="P455" i="8"/>
  <c r="Z454" i="8"/>
  <c r="X454" i="6"/>
  <c r="J454" i="8" s="1"/>
  <c r="K454" i="8"/>
  <c r="AB454" i="8"/>
  <c r="G455" i="6"/>
  <c r="G456" i="6"/>
  <c r="G457" i="6"/>
  <c r="G458" i="6"/>
  <c r="C454" i="6"/>
  <c r="F93" i="7"/>
  <c r="E454" i="6"/>
  <c r="F454" i="6"/>
  <c r="H454" i="6"/>
  <c r="P454" i="6"/>
  <c r="Q454" i="6" s="1"/>
  <c r="C454" i="8" s="1"/>
  <c r="Q453" i="8"/>
  <c r="R453" i="8"/>
  <c r="P453" i="8"/>
  <c r="M450" i="8"/>
  <c r="M451" i="8"/>
  <c r="M452" i="8" s="1"/>
  <c r="M453" i="8"/>
  <c r="S449" i="6"/>
  <c r="Q452" i="8"/>
  <c r="R452" i="8" s="1"/>
  <c r="P452" i="8"/>
  <c r="P451" i="8"/>
  <c r="Q450" i="8"/>
  <c r="R450" i="8"/>
  <c r="P450" i="8"/>
  <c r="Z449" i="8"/>
  <c r="X449" i="6"/>
  <c r="J449" i="8"/>
  <c r="K449" i="8"/>
  <c r="AB449" i="8"/>
  <c r="G450" i="6"/>
  <c r="G451" i="6"/>
  <c r="G452" i="6"/>
  <c r="G453" i="6"/>
  <c r="C449" i="6"/>
  <c r="F92" i="7"/>
  <c r="E449" i="6"/>
  <c r="F449" i="6"/>
  <c r="H449" i="6"/>
  <c r="P449" i="6"/>
  <c r="Q449" i="6"/>
  <c r="C449" i="8" s="1"/>
  <c r="Q448" i="8"/>
  <c r="R448" i="8" s="1"/>
  <c r="P448" i="8"/>
  <c r="M445" i="8"/>
  <c r="M446" i="8" s="1"/>
  <c r="M447" i="8" s="1"/>
  <c r="M448" i="8" s="1"/>
  <c r="S444" i="6"/>
  <c r="F444" i="8"/>
  <c r="F445" i="8"/>
  <c r="F446" i="8" s="1"/>
  <c r="F447" i="8" s="1"/>
  <c r="F448" i="8" s="1"/>
  <c r="P447" i="8"/>
  <c r="Q446" i="8"/>
  <c r="R446" i="8"/>
  <c r="P446" i="8"/>
  <c r="Q445" i="8"/>
  <c r="R445" i="8"/>
  <c r="P445" i="8"/>
  <c r="Z444" i="8"/>
  <c r="X444" i="6"/>
  <c r="J444" i="8" s="1"/>
  <c r="K444" i="8"/>
  <c r="AB444" i="8"/>
  <c r="W444" i="6"/>
  <c r="G444" i="8" s="1"/>
  <c r="G445" i="6"/>
  <c r="G446" i="6"/>
  <c r="G447" i="6"/>
  <c r="G448" i="6"/>
  <c r="C444" i="6"/>
  <c r="F91" i="7"/>
  <c r="E444" i="6"/>
  <c r="F444" i="6"/>
  <c r="H444" i="6"/>
  <c r="P444" i="6"/>
  <c r="Q444" i="6"/>
  <c r="C444" i="8" s="1"/>
  <c r="Q443" i="8"/>
  <c r="R443" i="8" s="1"/>
  <c r="P443" i="8"/>
  <c r="M440" i="8"/>
  <c r="M441" i="8"/>
  <c r="M442" i="8" s="1"/>
  <c r="M443" i="8" s="1"/>
  <c r="S439" i="6"/>
  <c r="F439" i="8"/>
  <c r="F440" i="8"/>
  <c r="F441" i="8" s="1"/>
  <c r="F442" i="8" s="1"/>
  <c r="F443" i="8" s="1"/>
  <c r="Q442" i="8"/>
  <c r="R442" i="8" s="1"/>
  <c r="P442" i="8"/>
  <c r="P441" i="8"/>
  <c r="Q440" i="8"/>
  <c r="R440" i="8" s="1"/>
  <c r="P440" i="8"/>
  <c r="Z439" i="8"/>
  <c r="AA439" i="8" s="1"/>
  <c r="X439" i="6"/>
  <c r="J439" i="8" s="1"/>
  <c r="AC439" i="8" s="1"/>
  <c r="K439" i="8"/>
  <c r="AB439" i="8"/>
  <c r="W439" i="6"/>
  <c r="G439" i="8" s="1"/>
  <c r="G440" i="6"/>
  <c r="G441" i="6"/>
  <c r="G442" i="6"/>
  <c r="G443" i="6"/>
  <c r="C439" i="6"/>
  <c r="F90" i="7"/>
  <c r="E439" i="6"/>
  <c r="F439" i="6"/>
  <c r="H439" i="6"/>
  <c r="P439" i="6"/>
  <c r="Q439" i="6" s="1"/>
  <c r="C439" i="8" s="1"/>
  <c r="P438" i="8"/>
  <c r="S434" i="6"/>
  <c r="F434" i="8" s="1"/>
  <c r="F435" i="8" s="1"/>
  <c r="F436" i="8" s="1"/>
  <c r="F437" i="8" s="1"/>
  <c r="F438" i="8" s="1"/>
  <c r="P437" i="8"/>
  <c r="Q436" i="8"/>
  <c r="R436" i="8" s="1"/>
  <c r="P436" i="8"/>
  <c r="Q435" i="8"/>
  <c r="R435" i="8"/>
  <c r="P435" i="8"/>
  <c r="Z434" i="8"/>
  <c r="X434" i="6"/>
  <c r="J434" i="8"/>
  <c r="K434" i="8"/>
  <c r="AB434" i="8"/>
  <c r="G435" i="6"/>
  <c r="G436" i="6"/>
  <c r="G437" i="6"/>
  <c r="G438" i="6"/>
  <c r="C434" i="6"/>
  <c r="F89" i="7"/>
  <c r="E434" i="6"/>
  <c r="F434" i="6"/>
  <c r="H434" i="6"/>
  <c r="P434" i="6"/>
  <c r="Q434" i="6"/>
  <c r="C434" i="8" s="1"/>
  <c r="Q433" i="8"/>
  <c r="R433" i="8" s="1"/>
  <c r="P433" i="8"/>
  <c r="M430" i="8"/>
  <c r="M431" i="8" s="1"/>
  <c r="M432" i="8" s="1"/>
  <c r="M433" i="8" s="1"/>
  <c r="S429" i="6"/>
  <c r="Q432" i="8"/>
  <c r="R432" i="8" s="1"/>
  <c r="P432" i="8"/>
  <c r="Q431" i="8"/>
  <c r="R431" i="8"/>
  <c r="P431" i="8"/>
  <c r="Q430" i="8"/>
  <c r="R430" i="8" s="1"/>
  <c r="P430" i="8"/>
  <c r="Z429" i="8"/>
  <c r="X429" i="6"/>
  <c r="J429" i="8"/>
  <c r="AC429" i="8" s="1"/>
  <c r="K429" i="8"/>
  <c r="AB429" i="8"/>
  <c r="G430" i="6"/>
  <c r="G431" i="6"/>
  <c r="G432" i="6"/>
  <c r="G433" i="6"/>
  <c r="C429" i="6"/>
  <c r="F88" i="7"/>
  <c r="E429" i="6"/>
  <c r="F429" i="6"/>
  <c r="H429" i="6"/>
  <c r="P429" i="6"/>
  <c r="Q429" i="6"/>
  <c r="C429" i="8" s="1"/>
  <c r="P428" i="8"/>
  <c r="M425" i="8"/>
  <c r="M426" i="8" s="1"/>
  <c r="M427" i="8" s="1"/>
  <c r="M428" i="8"/>
  <c r="S424" i="6"/>
  <c r="Q427" i="8"/>
  <c r="R427" i="8" s="1"/>
  <c r="P427" i="8"/>
  <c r="Q426" i="8"/>
  <c r="R426" i="8"/>
  <c r="P426" i="8"/>
  <c r="Q425" i="8"/>
  <c r="R425" i="8" s="1"/>
  <c r="P425" i="8"/>
  <c r="Z424" i="8"/>
  <c r="AC424" i="8" s="1"/>
  <c r="X424" i="6"/>
  <c r="J424" i="8" s="1"/>
  <c r="K424" i="8"/>
  <c r="AB424" i="8"/>
  <c r="G425" i="6"/>
  <c r="G426" i="6"/>
  <c r="G427" i="6"/>
  <c r="G428" i="6"/>
  <c r="C424" i="6"/>
  <c r="F87" i="7"/>
  <c r="E424" i="6"/>
  <c r="F424" i="6"/>
  <c r="H424" i="6"/>
  <c r="P424" i="6"/>
  <c r="Q424" i="6"/>
  <c r="C424" i="8" s="1"/>
  <c r="P423" i="8"/>
  <c r="M420" i="8"/>
  <c r="M421" i="8" s="1"/>
  <c r="M422" i="8" s="1"/>
  <c r="M423" i="8" s="1"/>
  <c r="S419" i="6"/>
  <c r="F419" i="8"/>
  <c r="AA419" i="8" s="1"/>
  <c r="P422" i="8"/>
  <c r="Q421" i="8"/>
  <c r="R421" i="8" s="1"/>
  <c r="P421" i="8"/>
  <c r="Q420" i="8"/>
  <c r="R420" i="8" s="1"/>
  <c r="P420" i="8"/>
  <c r="Z419" i="8"/>
  <c r="X419" i="6"/>
  <c r="J419" i="8" s="1"/>
  <c r="AC419" i="8" s="1"/>
  <c r="K419" i="8"/>
  <c r="AB419" i="8"/>
  <c r="W419" i="6"/>
  <c r="G419" i="8" s="1"/>
  <c r="G420" i="6"/>
  <c r="G421" i="6"/>
  <c r="G422" i="6"/>
  <c r="G423" i="6"/>
  <c r="C419" i="6"/>
  <c r="F86" i="7"/>
  <c r="E419" i="6"/>
  <c r="F419" i="6"/>
  <c r="H419" i="6"/>
  <c r="P419" i="6"/>
  <c r="Q419" i="6"/>
  <c r="C419" i="8"/>
  <c r="Q418" i="8"/>
  <c r="R418" i="8" s="1"/>
  <c r="P418" i="8"/>
  <c r="S414" i="6"/>
  <c r="F414" i="8" s="1"/>
  <c r="F415" i="8" s="1"/>
  <c r="F416" i="8"/>
  <c r="F417" i="8" s="1"/>
  <c r="F418" i="8" s="1"/>
  <c r="Q417" i="8"/>
  <c r="R417" i="8"/>
  <c r="P417" i="8"/>
  <c r="Q416" i="8"/>
  <c r="R416" i="8" s="1"/>
  <c r="P416" i="8"/>
  <c r="Q415" i="8"/>
  <c r="R415" i="8"/>
  <c r="P415" i="8"/>
  <c r="Z414" i="8"/>
  <c r="X414" i="6"/>
  <c r="J414" i="8"/>
  <c r="AC414" i="8" s="1"/>
  <c r="K414" i="8"/>
  <c r="AB414" i="8"/>
  <c r="G415" i="6"/>
  <c r="G416" i="6"/>
  <c r="G417" i="6"/>
  <c r="G418" i="6"/>
  <c r="C414" i="6"/>
  <c r="F85" i="7"/>
  <c r="E414" i="6"/>
  <c r="F414" i="6"/>
  <c r="H414" i="6"/>
  <c r="P414" i="6"/>
  <c r="Q414" i="6"/>
  <c r="C414" i="8" s="1"/>
  <c r="Q413" i="8"/>
  <c r="R413" i="8" s="1"/>
  <c r="P413" i="8"/>
  <c r="M410" i="8"/>
  <c r="M411" i="8" s="1"/>
  <c r="M412" i="8" s="1"/>
  <c r="M413" i="8" s="1"/>
  <c r="S409" i="6"/>
  <c r="F409" i="8"/>
  <c r="F410" i="8"/>
  <c r="F411" i="8" s="1"/>
  <c r="F412" i="8" s="1"/>
  <c r="F413" i="8" s="1"/>
  <c r="R412" i="8"/>
  <c r="P412" i="8"/>
  <c r="P411" i="8"/>
  <c r="Q410" i="8"/>
  <c r="R410" i="8"/>
  <c r="P410" i="8"/>
  <c r="Z409" i="8"/>
  <c r="X409" i="6"/>
  <c r="J409" i="8"/>
  <c r="K409" i="8"/>
  <c r="AB409" i="8"/>
  <c r="W409" i="6"/>
  <c r="G409" i="8" s="1"/>
  <c r="G410" i="6"/>
  <c r="G411" i="6"/>
  <c r="G412" i="6"/>
  <c r="G413" i="6"/>
  <c r="C409" i="6"/>
  <c r="F84" i="7"/>
  <c r="E409" i="6"/>
  <c r="F409" i="6"/>
  <c r="H409" i="6"/>
  <c r="P409" i="6"/>
  <c r="Q409" i="6" s="1"/>
  <c r="Q408" i="8"/>
  <c r="R408" i="8" s="1"/>
  <c r="P408" i="8"/>
  <c r="S404" i="6"/>
  <c r="F404" i="8"/>
  <c r="F405" i="8" s="1"/>
  <c r="F406" i="8"/>
  <c r="F407" i="8" s="1"/>
  <c r="F408" i="8" s="1"/>
  <c r="Q407" i="8"/>
  <c r="R407" i="8"/>
  <c r="P407" i="8"/>
  <c r="Q406" i="8"/>
  <c r="R406" i="8" s="1"/>
  <c r="P406" i="8"/>
  <c r="Q405" i="8"/>
  <c r="R405" i="8"/>
  <c r="P405" i="8"/>
  <c r="Z404" i="8"/>
  <c r="X404" i="6"/>
  <c r="J404" i="8" s="1"/>
  <c r="K404" i="8"/>
  <c r="AB404" i="8"/>
  <c r="W404" i="6"/>
  <c r="G404" i="8"/>
  <c r="G405" i="6"/>
  <c r="G406" i="6"/>
  <c r="G407" i="6"/>
  <c r="G408" i="6"/>
  <c r="C404" i="6"/>
  <c r="F83" i="7"/>
  <c r="E404" i="6"/>
  <c r="F404" i="6"/>
  <c r="H404" i="6"/>
  <c r="P404" i="6"/>
  <c r="Q404" i="6" s="1"/>
  <c r="C404" i="8" s="1"/>
  <c r="Q403" i="8"/>
  <c r="R403" i="8" s="1"/>
  <c r="P403" i="8"/>
  <c r="M400" i="8"/>
  <c r="M401" i="8" s="1"/>
  <c r="M402" i="8" s="1"/>
  <c r="M403" i="8" s="1"/>
  <c r="S399" i="6"/>
  <c r="F399" i="8"/>
  <c r="P402" i="8"/>
  <c r="P401" i="8"/>
  <c r="Q400" i="8"/>
  <c r="R400" i="8"/>
  <c r="P400" i="8"/>
  <c r="Z399" i="8"/>
  <c r="X399" i="6"/>
  <c r="J399" i="8"/>
  <c r="K399" i="8"/>
  <c r="AB399" i="8"/>
  <c r="W399" i="6"/>
  <c r="G399" i="8" s="1"/>
  <c r="G400" i="6"/>
  <c r="G401" i="6"/>
  <c r="G402" i="6"/>
  <c r="G403" i="6"/>
  <c r="C399" i="6"/>
  <c r="F82" i="7"/>
  <c r="E399" i="6"/>
  <c r="F399" i="6"/>
  <c r="H399" i="6"/>
  <c r="P399" i="6"/>
  <c r="Q399" i="6"/>
  <c r="C399" i="8"/>
  <c r="Q398" i="8"/>
  <c r="R398" i="8" s="1"/>
  <c r="P398" i="8"/>
  <c r="M395" i="8"/>
  <c r="M396" i="8"/>
  <c r="M397" i="8"/>
  <c r="M398" i="8" s="1"/>
  <c r="S394" i="6"/>
  <c r="F394" i="8" s="1"/>
  <c r="F395" i="8"/>
  <c r="F396" i="8" s="1"/>
  <c r="F397" i="8" s="1"/>
  <c r="F398" i="8" s="1"/>
  <c r="P397" i="8"/>
  <c r="Q396" i="8"/>
  <c r="R396" i="8"/>
  <c r="P396" i="8"/>
  <c r="Q395" i="8"/>
  <c r="R395" i="8" s="1"/>
  <c r="P395" i="8"/>
  <c r="Z394" i="8"/>
  <c r="X394" i="6"/>
  <c r="J394" i="8"/>
  <c r="K394" i="8"/>
  <c r="AB394" i="8"/>
  <c r="W394" i="6"/>
  <c r="G394" i="8" s="1"/>
  <c r="G395" i="6"/>
  <c r="G396" i="6"/>
  <c r="G397" i="6"/>
  <c r="G398" i="6"/>
  <c r="C394" i="6"/>
  <c r="F81" i="7"/>
  <c r="E394" i="6"/>
  <c r="F394" i="6"/>
  <c r="H394" i="6"/>
  <c r="P394" i="6"/>
  <c r="Q394" i="6" s="1"/>
  <c r="C394" i="8" s="1"/>
  <c r="Q393" i="8"/>
  <c r="R393" i="8"/>
  <c r="P393" i="8"/>
  <c r="M390" i="8"/>
  <c r="M391" i="8" s="1"/>
  <c r="M392" i="8" s="1"/>
  <c r="M393" i="8" s="1"/>
  <c r="S389" i="6"/>
  <c r="F389" i="8"/>
  <c r="F390" i="8"/>
  <c r="F391" i="8" s="1"/>
  <c r="F392" i="8" s="1"/>
  <c r="F393" i="8" s="1"/>
  <c r="P392" i="8"/>
  <c r="P391" i="8"/>
  <c r="Q390" i="8"/>
  <c r="R390" i="8"/>
  <c r="P390" i="8"/>
  <c r="Z389" i="8"/>
  <c r="X389" i="6"/>
  <c r="J389" i="8" s="1"/>
  <c r="K389" i="8"/>
  <c r="AC389" i="8"/>
  <c r="AB389" i="8"/>
  <c r="AA389" i="8"/>
  <c r="W389" i="6"/>
  <c r="G389" i="8" s="1"/>
  <c r="G390" i="6"/>
  <c r="G391" i="6"/>
  <c r="G392" i="6"/>
  <c r="G393" i="6"/>
  <c r="C389" i="6"/>
  <c r="F80" i="7"/>
  <c r="E389" i="6"/>
  <c r="F389" i="6"/>
  <c r="H389" i="6"/>
  <c r="P389" i="6"/>
  <c r="Q389" i="6" s="1"/>
  <c r="C389" i="8"/>
  <c r="P388" i="8"/>
  <c r="S384" i="6"/>
  <c r="W384" i="6" s="1"/>
  <c r="G384" i="8" s="1"/>
  <c r="F384" i="8"/>
  <c r="P387" i="8"/>
  <c r="Q386" i="8"/>
  <c r="R386" i="8"/>
  <c r="P386" i="8"/>
  <c r="Q385" i="8"/>
  <c r="R385" i="8" s="1"/>
  <c r="P385" i="8"/>
  <c r="Z384" i="8"/>
  <c r="X384" i="6"/>
  <c r="J384" i="8"/>
  <c r="K384" i="8"/>
  <c r="AB384" i="8"/>
  <c r="G385" i="6"/>
  <c r="G386" i="6"/>
  <c r="G387" i="6"/>
  <c r="G388" i="6"/>
  <c r="C384" i="6"/>
  <c r="F79" i="7"/>
  <c r="E384" i="6"/>
  <c r="F384" i="6"/>
  <c r="H384" i="6"/>
  <c r="P384" i="6"/>
  <c r="Q384" i="6"/>
  <c r="C384" i="8"/>
  <c r="Q383" i="8"/>
  <c r="R383" i="8" s="1"/>
  <c r="P383" i="8"/>
  <c r="M380" i="8"/>
  <c r="M381" i="8"/>
  <c r="M382" i="8"/>
  <c r="M383" i="8" s="1"/>
  <c r="S379" i="6"/>
  <c r="F379" i="8" s="1"/>
  <c r="F380" i="8" s="1"/>
  <c r="F381" i="8" s="1"/>
  <c r="F382" i="8" s="1"/>
  <c r="F383" i="8" s="1"/>
  <c r="Q382" i="8"/>
  <c r="R382" i="8" s="1"/>
  <c r="P382" i="8"/>
  <c r="Q381" i="8"/>
  <c r="R381" i="8"/>
  <c r="P381" i="8"/>
  <c r="Q380" i="8"/>
  <c r="R380" i="8" s="1"/>
  <c r="P380" i="8"/>
  <c r="Z379" i="8"/>
  <c r="X379" i="6"/>
  <c r="J379" i="8"/>
  <c r="K379" i="8"/>
  <c r="AB379" i="8"/>
  <c r="G380" i="6"/>
  <c r="G381" i="6"/>
  <c r="G382" i="6"/>
  <c r="G383" i="6"/>
  <c r="C379" i="6"/>
  <c r="F78" i="7"/>
  <c r="E379" i="6"/>
  <c r="F379" i="6"/>
  <c r="H379" i="6"/>
  <c r="P379" i="6"/>
  <c r="Q379" i="6" s="1"/>
  <c r="Q378" i="8"/>
  <c r="R378" i="8" s="1"/>
  <c r="P378" i="8"/>
  <c r="M375" i="8"/>
  <c r="M376" i="8"/>
  <c r="M377" i="8" s="1"/>
  <c r="M378" i="8" s="1"/>
  <c r="S374" i="6"/>
  <c r="F374" i="8" s="1"/>
  <c r="F375" i="8"/>
  <c r="F376" i="8" s="1"/>
  <c r="F377" i="8" s="1"/>
  <c r="F378" i="8" s="1"/>
  <c r="P377" i="8"/>
  <c r="Q376" i="8"/>
  <c r="R376" i="8" s="1"/>
  <c r="P376" i="8"/>
  <c r="Q375" i="8"/>
  <c r="R375" i="8"/>
  <c r="P375" i="8"/>
  <c r="Z374" i="8"/>
  <c r="AA374" i="8" s="1"/>
  <c r="X374" i="6"/>
  <c r="J374" i="8"/>
  <c r="K374" i="8"/>
  <c r="AC374" i="8"/>
  <c r="AB374" i="8"/>
  <c r="W374" i="6"/>
  <c r="G374" i="8"/>
  <c r="G375" i="6"/>
  <c r="G376" i="6"/>
  <c r="G377" i="6"/>
  <c r="G378" i="6"/>
  <c r="C374" i="6"/>
  <c r="F77" i="7"/>
  <c r="E374" i="6"/>
  <c r="F374" i="6"/>
  <c r="H374" i="6"/>
  <c r="P374" i="6"/>
  <c r="Q374" i="6"/>
  <c r="C374" i="8" s="1"/>
  <c r="P373" i="8"/>
  <c r="M370" i="8"/>
  <c r="M371" i="8" s="1"/>
  <c r="M372" i="8" s="1"/>
  <c r="M373" i="8" s="1"/>
  <c r="S369" i="6"/>
  <c r="F369" i="8" s="1"/>
  <c r="F370" i="8"/>
  <c r="F371" i="8" s="1"/>
  <c r="F372" i="8" s="1"/>
  <c r="F373" i="8" s="1"/>
  <c r="P372" i="8"/>
  <c r="Q371" i="8"/>
  <c r="R371" i="8"/>
  <c r="P371" i="8"/>
  <c r="Q370" i="8"/>
  <c r="R370" i="8"/>
  <c r="P370" i="8"/>
  <c r="Z369" i="8"/>
  <c r="AA369" i="8" s="1"/>
  <c r="X369" i="6"/>
  <c r="J369" i="8" s="1"/>
  <c r="K369" i="8"/>
  <c r="AB369" i="8"/>
  <c r="W369" i="6"/>
  <c r="G369" i="8"/>
  <c r="G370" i="6"/>
  <c r="G371" i="6"/>
  <c r="G372" i="6"/>
  <c r="G373" i="6"/>
  <c r="C369" i="6"/>
  <c r="F76" i="7"/>
  <c r="E369" i="6"/>
  <c r="F369" i="6"/>
  <c r="H369" i="6"/>
  <c r="P369" i="6"/>
  <c r="Q369" i="6"/>
  <c r="C369" i="8" s="1"/>
  <c r="Q368" i="8"/>
  <c r="R368" i="8"/>
  <c r="P368" i="8"/>
  <c r="M365" i="8"/>
  <c r="M366" i="8" s="1"/>
  <c r="M367" i="8" s="1"/>
  <c r="M368" i="8" s="1"/>
  <c r="S364" i="6"/>
  <c r="F364" i="8"/>
  <c r="F365" i="8"/>
  <c r="F366" i="8" s="1"/>
  <c r="F367" i="8" s="1"/>
  <c r="F368" i="8" s="1"/>
  <c r="Q367" i="8"/>
  <c r="R367" i="8"/>
  <c r="P367" i="8"/>
  <c r="Q366" i="8"/>
  <c r="R366" i="8"/>
  <c r="P366" i="8"/>
  <c r="Q365" i="8"/>
  <c r="R365" i="8" s="1"/>
  <c r="P365" i="8"/>
  <c r="Z364" i="8"/>
  <c r="X364" i="6"/>
  <c r="J364" i="8" s="1"/>
  <c r="K364" i="8"/>
  <c r="AB364" i="8"/>
  <c r="W364" i="6"/>
  <c r="G364" i="8"/>
  <c r="G365" i="6"/>
  <c r="G366" i="6"/>
  <c r="G367" i="6"/>
  <c r="G368" i="6"/>
  <c r="C364" i="6"/>
  <c r="F75" i="7"/>
  <c r="E364" i="6"/>
  <c r="F364" i="6"/>
  <c r="H364" i="6"/>
  <c r="P364" i="6"/>
  <c r="Q364" i="6" s="1"/>
  <c r="R364" i="6" s="1"/>
  <c r="C364" i="8"/>
  <c r="P363" i="8"/>
  <c r="M360" i="8"/>
  <c r="M361" i="8" s="1"/>
  <c r="M362" i="8" s="1"/>
  <c r="M363" i="8" s="1"/>
  <c r="S359" i="6"/>
  <c r="F359" i="8"/>
  <c r="F360" i="8" s="1"/>
  <c r="F361" i="8" s="1"/>
  <c r="F362" i="8" s="1"/>
  <c r="F363" i="8" s="1"/>
  <c r="Q362" i="8"/>
  <c r="R362" i="8" s="1"/>
  <c r="P362" i="8"/>
  <c r="P361" i="8"/>
  <c r="Q360" i="8"/>
  <c r="R360" i="8" s="1"/>
  <c r="P360" i="8"/>
  <c r="Z359" i="8"/>
  <c r="X359" i="6"/>
  <c r="J359" i="8" s="1"/>
  <c r="AC359" i="8" s="1"/>
  <c r="K359" i="8"/>
  <c r="AB359" i="8"/>
  <c r="W359" i="6"/>
  <c r="G359" i="8" s="1"/>
  <c r="G360" i="6"/>
  <c r="G361" i="6"/>
  <c r="G362" i="6"/>
  <c r="G363" i="6"/>
  <c r="C359" i="6"/>
  <c r="F74" i="7"/>
  <c r="E359" i="6"/>
  <c r="F359" i="6"/>
  <c r="H359" i="6"/>
  <c r="P359" i="6"/>
  <c r="Q359" i="6" s="1"/>
  <c r="Q358" i="8"/>
  <c r="R358" i="8" s="1"/>
  <c r="P358" i="8"/>
  <c r="M355" i="8"/>
  <c r="M356" i="8" s="1"/>
  <c r="M357" i="8" s="1"/>
  <c r="M358" i="8"/>
  <c r="S354" i="6"/>
  <c r="F354" i="8" s="1"/>
  <c r="F355" i="8" s="1"/>
  <c r="F356" i="8" s="1"/>
  <c r="F357" i="8" s="1"/>
  <c r="F358" i="8" s="1"/>
  <c r="Q357" i="8"/>
  <c r="R357" i="8" s="1"/>
  <c r="P357" i="8"/>
  <c r="Q356" i="8"/>
  <c r="R356" i="8"/>
  <c r="P356" i="8"/>
  <c r="Q355" i="8"/>
  <c r="R355" i="8" s="1"/>
  <c r="P355" i="8"/>
  <c r="Z354" i="8"/>
  <c r="AA354" i="8" s="1"/>
  <c r="X354" i="6"/>
  <c r="J354" i="8" s="1"/>
  <c r="K354" i="8"/>
  <c r="AB354" i="8"/>
  <c r="G355" i="6"/>
  <c r="G356" i="6"/>
  <c r="G357" i="6"/>
  <c r="G358" i="6"/>
  <c r="C354" i="6"/>
  <c r="F73" i="7"/>
  <c r="E354" i="6"/>
  <c r="F354" i="6"/>
  <c r="H354" i="6"/>
  <c r="P354" i="6"/>
  <c r="Q354" i="6" s="1"/>
  <c r="Q353" i="8"/>
  <c r="R353" i="8"/>
  <c r="P353" i="8"/>
  <c r="M350" i="8"/>
  <c r="M351" i="8"/>
  <c r="M352" i="8"/>
  <c r="M353" i="8" s="1"/>
  <c r="S349" i="6"/>
  <c r="F349" i="8" s="1"/>
  <c r="F350" i="8" s="1"/>
  <c r="F351" i="8" s="1"/>
  <c r="F352" i="8"/>
  <c r="F353" i="8" s="1"/>
  <c r="P352" i="8"/>
  <c r="Q351" i="8"/>
  <c r="R351" i="8"/>
  <c r="P351" i="8"/>
  <c r="Q350" i="8"/>
  <c r="R350" i="8" s="1"/>
  <c r="P350" i="8"/>
  <c r="Z349" i="8"/>
  <c r="AA349" i="8" s="1"/>
  <c r="X349" i="6"/>
  <c r="J349" i="8" s="1"/>
  <c r="AC349" i="8" s="1"/>
  <c r="K349" i="8"/>
  <c r="AB349" i="8"/>
  <c r="W349" i="6"/>
  <c r="G349" i="8" s="1"/>
  <c r="G350" i="6"/>
  <c r="G351" i="6"/>
  <c r="G352" i="6"/>
  <c r="G353" i="6"/>
  <c r="C349" i="6"/>
  <c r="F72" i="7"/>
  <c r="E349" i="6"/>
  <c r="F349" i="6"/>
  <c r="H349" i="6"/>
  <c r="P349" i="6"/>
  <c r="Q349" i="6" s="1"/>
  <c r="R349" i="6" s="1"/>
  <c r="C349" i="8"/>
  <c r="Q348" i="8"/>
  <c r="R348" i="8" s="1"/>
  <c r="P348" i="8"/>
  <c r="M345" i="8"/>
  <c r="M346" i="8" s="1"/>
  <c r="M347" i="8"/>
  <c r="M348" i="8" s="1"/>
  <c r="S344" i="6"/>
  <c r="F344" i="8" s="1"/>
  <c r="F345" i="8" s="1"/>
  <c r="F346" i="8" s="1"/>
  <c r="F347" i="8" s="1"/>
  <c r="F348" i="8" s="1"/>
  <c r="P347" i="8"/>
  <c r="Q346" i="8"/>
  <c r="R346" i="8"/>
  <c r="P346" i="8"/>
  <c r="Q345" i="8"/>
  <c r="R345" i="8"/>
  <c r="P345" i="8"/>
  <c r="Z344" i="8"/>
  <c r="AA344" i="8" s="1"/>
  <c r="X344" i="6"/>
  <c r="J344" i="8" s="1"/>
  <c r="K344" i="8"/>
  <c r="AC344" i="8"/>
  <c r="AB344" i="8"/>
  <c r="W344" i="6"/>
  <c r="G344" i="8" s="1"/>
  <c r="G345" i="6"/>
  <c r="G346" i="6"/>
  <c r="G347" i="6"/>
  <c r="G348" i="6"/>
  <c r="C344" i="6"/>
  <c r="F71" i="7"/>
  <c r="E344" i="6"/>
  <c r="F344" i="6"/>
  <c r="H344" i="6"/>
  <c r="P344" i="6"/>
  <c r="Q344" i="6" s="1"/>
  <c r="Q343" i="8"/>
  <c r="R343" i="8"/>
  <c r="P343" i="8"/>
  <c r="M340" i="8"/>
  <c r="M341" i="8" s="1"/>
  <c r="M342" i="8"/>
  <c r="M343" i="8" s="1"/>
  <c r="S339" i="6"/>
  <c r="F339" i="8" s="1"/>
  <c r="F340" i="8" s="1"/>
  <c r="F341" i="8" s="1"/>
  <c r="F342" i="8" s="1"/>
  <c r="F343" i="8" s="1"/>
  <c r="Q342" i="8"/>
  <c r="R342" i="8"/>
  <c r="P342" i="8"/>
  <c r="Q341" i="8"/>
  <c r="R341" i="8"/>
  <c r="P341" i="8"/>
  <c r="Q340" i="8"/>
  <c r="R340" i="8" s="1"/>
  <c r="P340" i="8"/>
  <c r="Z339" i="8"/>
  <c r="AA339" i="8" s="1"/>
  <c r="X339" i="6"/>
  <c r="J339" i="8" s="1"/>
  <c r="K339" i="8"/>
  <c r="AB339" i="8"/>
  <c r="G340" i="6"/>
  <c r="G341" i="6"/>
  <c r="G342" i="6"/>
  <c r="G343" i="6"/>
  <c r="C339" i="6"/>
  <c r="F70" i="7"/>
  <c r="E339" i="6"/>
  <c r="F339" i="6"/>
  <c r="H339" i="6"/>
  <c r="P339" i="6"/>
  <c r="Q339" i="6"/>
  <c r="R339" i="6" s="1"/>
  <c r="C339" i="8"/>
  <c r="P338" i="8"/>
  <c r="M335" i="8"/>
  <c r="M336" i="8" s="1"/>
  <c r="M337" i="8" s="1"/>
  <c r="M338" i="8" s="1"/>
  <c r="S334" i="6"/>
  <c r="F334" i="8" s="1"/>
  <c r="F335" i="8" s="1"/>
  <c r="F336" i="8" s="1"/>
  <c r="F337" i="8" s="1"/>
  <c r="F338" i="8" s="1"/>
  <c r="Q337" i="8"/>
  <c r="R337" i="8"/>
  <c r="P337" i="8"/>
  <c r="Q336" i="8"/>
  <c r="R336" i="8"/>
  <c r="P336" i="8"/>
  <c r="Q335" i="8"/>
  <c r="R335" i="8" s="1"/>
  <c r="P335" i="8"/>
  <c r="Z334" i="8"/>
  <c r="AA334" i="8" s="1"/>
  <c r="X334" i="6"/>
  <c r="J334" i="8"/>
  <c r="K334" i="8"/>
  <c r="AC334" i="8"/>
  <c r="AB334" i="8"/>
  <c r="G335" i="6"/>
  <c r="G336" i="6"/>
  <c r="G337" i="6"/>
  <c r="G338" i="6"/>
  <c r="C334" i="6"/>
  <c r="F69" i="7"/>
  <c r="E334" i="6"/>
  <c r="F334" i="6"/>
  <c r="H334" i="6"/>
  <c r="P334" i="6"/>
  <c r="Q334" i="6" s="1"/>
  <c r="Q333" i="8"/>
  <c r="R333" i="8"/>
  <c r="P333" i="8"/>
  <c r="M330" i="8"/>
  <c r="M331" i="8" s="1"/>
  <c r="M332" i="8" s="1"/>
  <c r="M333" i="8" s="1"/>
  <c r="S329" i="6"/>
  <c r="Q332" i="8"/>
  <c r="R332" i="8"/>
  <c r="P332" i="8"/>
  <c r="Q331" i="8"/>
  <c r="R331" i="8"/>
  <c r="P331" i="8"/>
  <c r="Q330" i="8"/>
  <c r="R330" i="8" s="1"/>
  <c r="P330" i="8"/>
  <c r="Z329" i="8"/>
  <c r="X329" i="6"/>
  <c r="J329" i="8"/>
  <c r="K329" i="8"/>
  <c r="AB329" i="8"/>
  <c r="G330" i="6"/>
  <c r="G331" i="6"/>
  <c r="G332" i="6"/>
  <c r="G333" i="6"/>
  <c r="C329" i="6"/>
  <c r="F68" i="7"/>
  <c r="E329" i="6"/>
  <c r="F329" i="6"/>
  <c r="H329" i="6"/>
  <c r="P329" i="6"/>
  <c r="Q329" i="6"/>
  <c r="C329" i="8" s="1"/>
  <c r="Q328" i="8"/>
  <c r="R328" i="8"/>
  <c r="P328" i="8"/>
  <c r="M325" i="8"/>
  <c r="M326" i="8" s="1"/>
  <c r="M327" i="8" s="1"/>
  <c r="M328" i="8"/>
  <c r="S324" i="6"/>
  <c r="F324" i="8" s="1"/>
  <c r="F325" i="8" s="1"/>
  <c r="F326" i="8"/>
  <c r="F327" i="8" s="1"/>
  <c r="F328" i="8" s="1"/>
  <c r="Q327" i="8"/>
  <c r="R327" i="8" s="1"/>
  <c r="P327" i="8"/>
  <c r="Q326" i="8"/>
  <c r="R326" i="8" s="1"/>
  <c r="P326" i="8"/>
  <c r="Q325" i="8"/>
  <c r="R325" i="8" s="1"/>
  <c r="P325" i="8"/>
  <c r="Z324" i="8"/>
  <c r="X324" i="6"/>
  <c r="J324" i="8" s="1"/>
  <c r="K324" i="8"/>
  <c r="AB324" i="8"/>
  <c r="W324" i="6"/>
  <c r="G324" i="8" s="1"/>
  <c r="G325" i="6"/>
  <c r="G326" i="6"/>
  <c r="G327" i="6"/>
  <c r="G328" i="6"/>
  <c r="C324" i="6"/>
  <c r="F67" i="7"/>
  <c r="E324" i="6"/>
  <c r="F324" i="6"/>
  <c r="H324" i="6"/>
  <c r="P324" i="6"/>
  <c r="Q324" i="6" s="1"/>
  <c r="R324" i="6" s="1"/>
  <c r="C324" i="8"/>
  <c r="Q323" i="8"/>
  <c r="R323" i="8" s="1"/>
  <c r="P323" i="8"/>
  <c r="M320" i="8"/>
  <c r="M321" i="8" s="1"/>
  <c r="M322" i="8"/>
  <c r="M323" i="8"/>
  <c r="S319" i="6"/>
  <c r="F319" i="8" s="1"/>
  <c r="F320" i="8" s="1"/>
  <c r="F321" i="8"/>
  <c r="F322" i="8" s="1"/>
  <c r="F323" i="8" s="1"/>
  <c r="Q322" i="8"/>
  <c r="R322" i="8" s="1"/>
  <c r="P322" i="8"/>
  <c r="Q321" i="8"/>
  <c r="R321" i="8"/>
  <c r="P321" i="8"/>
  <c r="Q320" i="8"/>
  <c r="R320" i="8" s="1"/>
  <c r="P320" i="8"/>
  <c r="Z319" i="8"/>
  <c r="X319" i="6"/>
  <c r="J319" i="8" s="1"/>
  <c r="K319" i="8"/>
  <c r="AB319" i="8"/>
  <c r="W319" i="6"/>
  <c r="G319" i="8" s="1"/>
  <c r="G320" i="6"/>
  <c r="G321" i="6"/>
  <c r="G322" i="6"/>
  <c r="G323" i="6"/>
  <c r="C319" i="6"/>
  <c r="F66" i="7"/>
  <c r="E319" i="6"/>
  <c r="F319" i="6"/>
  <c r="H319" i="6"/>
  <c r="P319" i="6"/>
  <c r="Q319" i="6"/>
  <c r="C319" i="8" s="1"/>
  <c r="Q318" i="8"/>
  <c r="R318" i="8"/>
  <c r="P318" i="8"/>
  <c r="M315" i="8"/>
  <c r="M316" i="8" s="1"/>
  <c r="M317" i="8" s="1"/>
  <c r="M318" i="8" s="1"/>
  <c r="S314" i="6"/>
  <c r="F314" i="8" s="1"/>
  <c r="F315" i="8" s="1"/>
  <c r="F316" i="8" s="1"/>
  <c r="F317" i="8" s="1"/>
  <c r="F318" i="8" s="1"/>
  <c r="Q317" i="8"/>
  <c r="R317" i="8" s="1"/>
  <c r="P317" i="8"/>
  <c r="Q316" i="8"/>
  <c r="R316" i="8"/>
  <c r="P316" i="8"/>
  <c r="Q315" i="8"/>
  <c r="R315" i="8" s="1"/>
  <c r="P315" i="8"/>
  <c r="Z314" i="8"/>
  <c r="X314" i="6"/>
  <c r="J314" i="8" s="1"/>
  <c r="K314" i="8"/>
  <c r="AB314" i="8"/>
  <c r="G315" i="6"/>
  <c r="G316" i="6"/>
  <c r="G317" i="6"/>
  <c r="G318" i="6"/>
  <c r="C314" i="6"/>
  <c r="F65" i="7"/>
  <c r="E314" i="6"/>
  <c r="F314" i="6"/>
  <c r="H314" i="6"/>
  <c r="P314" i="6"/>
  <c r="Q314" i="6"/>
  <c r="C314" i="8"/>
  <c r="P313" i="8"/>
  <c r="M310" i="8"/>
  <c r="M311" i="8" s="1"/>
  <c r="M312" i="8" s="1"/>
  <c r="M313" i="8"/>
  <c r="S309" i="6"/>
  <c r="Q312" i="8"/>
  <c r="R312" i="8"/>
  <c r="P312" i="8"/>
  <c r="P311" i="8"/>
  <c r="Q310" i="8"/>
  <c r="R310" i="8" s="1"/>
  <c r="P310" i="8"/>
  <c r="Z309" i="8"/>
  <c r="X309" i="6"/>
  <c r="J309" i="8" s="1"/>
  <c r="K309" i="8"/>
  <c r="AB309" i="8"/>
  <c r="G310" i="6"/>
  <c r="G311" i="6"/>
  <c r="G312" i="6"/>
  <c r="G313" i="6"/>
  <c r="C309" i="6"/>
  <c r="F64" i="7"/>
  <c r="E309" i="6"/>
  <c r="F309" i="6"/>
  <c r="H309" i="6"/>
  <c r="P309" i="6"/>
  <c r="Q309" i="6"/>
  <c r="C309" i="8" s="1"/>
  <c r="Q308" i="8"/>
  <c r="R308" i="8" s="1"/>
  <c r="P308" i="8"/>
  <c r="S304" i="6"/>
  <c r="F304" i="8" s="1"/>
  <c r="Q307" i="8"/>
  <c r="R307" i="8"/>
  <c r="P307" i="8"/>
  <c r="Q306" i="8"/>
  <c r="R306" i="8"/>
  <c r="P306" i="8"/>
  <c r="Q305" i="8"/>
  <c r="R305" i="8"/>
  <c r="P305" i="8"/>
  <c r="Z304" i="8"/>
  <c r="X304" i="6"/>
  <c r="J304" i="8" s="1"/>
  <c r="AC304" i="8" s="1"/>
  <c r="K304" i="8"/>
  <c r="AB304" i="8"/>
  <c r="W304" i="6"/>
  <c r="G304" i="8" s="1"/>
  <c r="G305" i="6"/>
  <c r="G306" i="6"/>
  <c r="G307" i="6"/>
  <c r="G308" i="6"/>
  <c r="C304" i="6"/>
  <c r="F63" i="7"/>
  <c r="E304" i="6"/>
  <c r="F304" i="6"/>
  <c r="H304" i="6"/>
  <c r="P304" i="6"/>
  <c r="Q304" i="6" s="1"/>
  <c r="C304" i="8" s="1"/>
  <c r="P303" i="8"/>
  <c r="M300" i="8"/>
  <c r="M301" i="8"/>
  <c r="M302" i="8" s="1"/>
  <c r="M303" i="8" s="1"/>
  <c r="S299" i="6"/>
  <c r="P302" i="8"/>
  <c r="Q301" i="8"/>
  <c r="R301" i="8"/>
  <c r="P301" i="8"/>
  <c r="Q300" i="8"/>
  <c r="R300" i="8" s="1"/>
  <c r="P300" i="8"/>
  <c r="Z299" i="8"/>
  <c r="X299" i="6"/>
  <c r="J299" i="8"/>
  <c r="K299" i="8"/>
  <c r="AC299" i="8"/>
  <c r="AB299" i="8"/>
  <c r="W299" i="6"/>
  <c r="G299" i="8" s="1"/>
  <c r="G300" i="6"/>
  <c r="G301" i="6"/>
  <c r="G302" i="6"/>
  <c r="G303" i="6"/>
  <c r="C299" i="6"/>
  <c r="F62" i="7"/>
  <c r="E299" i="6"/>
  <c r="F299" i="6"/>
  <c r="H299" i="6"/>
  <c r="P299" i="6"/>
  <c r="Q299" i="6" s="1"/>
  <c r="Q298" i="8"/>
  <c r="R298" i="8"/>
  <c r="P298" i="8"/>
  <c r="M295" i="8"/>
  <c r="M296" i="8" s="1"/>
  <c r="M297" i="8"/>
  <c r="M298" i="8"/>
  <c r="S294" i="6"/>
  <c r="F294" i="8" s="1"/>
  <c r="F295" i="8" s="1"/>
  <c r="F296" i="8" s="1"/>
  <c r="F297" i="8" s="1"/>
  <c r="F298" i="8" s="1"/>
  <c r="Q297" i="8"/>
  <c r="R297" i="8" s="1"/>
  <c r="P297" i="8"/>
  <c r="Q296" i="8"/>
  <c r="R296" i="8"/>
  <c r="P296" i="8"/>
  <c r="Q295" i="8"/>
  <c r="R295" i="8" s="1"/>
  <c r="P295" i="8"/>
  <c r="Z294" i="8"/>
  <c r="X294" i="6"/>
  <c r="J294" i="8" s="1"/>
  <c r="AC294" i="8" s="1"/>
  <c r="K294" i="8"/>
  <c r="AB294" i="8"/>
  <c r="U294" i="8"/>
  <c r="W294" i="6"/>
  <c r="G294" i="8" s="1"/>
  <c r="G295" i="6"/>
  <c r="G296" i="6"/>
  <c r="G297" i="6"/>
  <c r="G298" i="6"/>
  <c r="C294" i="6"/>
  <c r="F61" i="7"/>
  <c r="E294" i="6"/>
  <c r="F294" i="6"/>
  <c r="H294" i="6"/>
  <c r="P294" i="6"/>
  <c r="Q294" i="6" s="1"/>
  <c r="C294" i="8" s="1"/>
  <c r="Q293" i="8"/>
  <c r="R293" i="8"/>
  <c r="P293" i="8"/>
  <c r="M290" i="8"/>
  <c r="M291" i="8" s="1"/>
  <c r="M292" i="8"/>
  <c r="M293" i="8" s="1"/>
  <c r="S289" i="6"/>
  <c r="F289" i="8"/>
  <c r="F290" i="8"/>
  <c r="F291" i="8" s="1"/>
  <c r="F292" i="8" s="1"/>
  <c r="F293" i="8" s="1"/>
  <c r="Q292" i="8"/>
  <c r="R292" i="8"/>
  <c r="P292" i="8"/>
  <c r="Q291" i="8"/>
  <c r="R291" i="8"/>
  <c r="P291" i="8"/>
  <c r="Q290" i="8"/>
  <c r="R290" i="8" s="1"/>
  <c r="P290" i="8"/>
  <c r="Z289" i="8"/>
  <c r="X289" i="6"/>
  <c r="J289" i="8" s="1"/>
  <c r="K289" i="8"/>
  <c r="AC289" i="8"/>
  <c r="AB289" i="8"/>
  <c r="AA289" i="8"/>
  <c r="W289" i="6"/>
  <c r="G289" i="8"/>
  <c r="G290" i="6"/>
  <c r="G291" i="6"/>
  <c r="G292" i="6"/>
  <c r="G293" i="6"/>
  <c r="C289" i="6"/>
  <c r="F60" i="7"/>
  <c r="E289" i="6"/>
  <c r="F289" i="6"/>
  <c r="H289" i="6"/>
  <c r="P289" i="6"/>
  <c r="Q289" i="6" s="1"/>
  <c r="C289" i="8" s="1"/>
  <c r="P288" i="8"/>
  <c r="M285" i="8"/>
  <c r="M286" i="8" s="1"/>
  <c r="M287" i="8" s="1"/>
  <c r="M288" i="8" s="1"/>
  <c r="S284" i="6"/>
  <c r="P287" i="8"/>
  <c r="Q286" i="8"/>
  <c r="R286" i="8"/>
  <c r="P286" i="8"/>
  <c r="Q285" i="8"/>
  <c r="R285" i="8" s="1"/>
  <c r="P285" i="8"/>
  <c r="Z284" i="8"/>
  <c r="X284" i="6"/>
  <c r="J284" i="8"/>
  <c r="AC284" i="8" s="1"/>
  <c r="K284" i="8"/>
  <c r="AB284" i="8"/>
  <c r="G285" i="6"/>
  <c r="G286" i="6"/>
  <c r="G287" i="6"/>
  <c r="G288" i="6"/>
  <c r="C284" i="6"/>
  <c r="F59" i="7"/>
  <c r="E284" i="6"/>
  <c r="F284" i="6"/>
  <c r="H284" i="6"/>
  <c r="P284" i="6"/>
  <c r="Q284" i="6"/>
  <c r="R284" i="6" s="1"/>
  <c r="Q283" i="8"/>
  <c r="R283" i="8" s="1"/>
  <c r="P283" i="8"/>
  <c r="M280" i="8"/>
  <c r="M281" i="8" s="1"/>
  <c r="M282" i="8" s="1"/>
  <c r="M283" i="8" s="1"/>
  <c r="S279" i="6"/>
  <c r="F279" i="8" s="1"/>
  <c r="F280" i="8" s="1"/>
  <c r="F281" i="8" s="1"/>
  <c r="F282" i="8" s="1"/>
  <c r="F283" i="8" s="1"/>
  <c r="Q282" i="8"/>
  <c r="R282" i="8"/>
  <c r="P282" i="8"/>
  <c r="Q281" i="8"/>
  <c r="R281" i="8"/>
  <c r="P281" i="8"/>
  <c r="Q280" i="8"/>
  <c r="R280" i="8" s="1"/>
  <c r="P280" i="8"/>
  <c r="Z279" i="8"/>
  <c r="X279" i="6"/>
  <c r="J279" i="8"/>
  <c r="K279" i="8"/>
  <c r="AB279" i="8"/>
  <c r="G280" i="6"/>
  <c r="G281" i="6"/>
  <c r="G282" i="6"/>
  <c r="G283" i="6"/>
  <c r="C279" i="6"/>
  <c r="F58" i="7"/>
  <c r="E279" i="6"/>
  <c r="F279" i="6"/>
  <c r="H279" i="6"/>
  <c r="P279" i="6"/>
  <c r="Q279" i="6"/>
  <c r="R279" i="6" s="1"/>
  <c r="C279" i="8"/>
  <c r="Q278" i="8"/>
  <c r="R278" i="8" s="1"/>
  <c r="P278" i="8"/>
  <c r="M275" i="8"/>
  <c r="M276" i="8"/>
  <c r="M277" i="8" s="1"/>
  <c r="M278" i="8" s="1"/>
  <c r="S274" i="6"/>
  <c r="Q277" i="8"/>
  <c r="R277" i="8" s="1"/>
  <c r="P277" i="8"/>
  <c r="Q276" i="8"/>
  <c r="R276" i="8"/>
  <c r="P276" i="8"/>
  <c r="Q275" i="8"/>
  <c r="R275" i="8"/>
  <c r="P275" i="8"/>
  <c r="Z274" i="8"/>
  <c r="X274" i="6"/>
  <c r="J274" i="8"/>
  <c r="K274" i="8"/>
  <c r="AB274" i="8"/>
  <c r="G275" i="6"/>
  <c r="G276" i="6"/>
  <c r="G277" i="6"/>
  <c r="G278" i="6"/>
  <c r="C274" i="6"/>
  <c r="F57" i="7"/>
  <c r="E274" i="6"/>
  <c r="F274" i="6"/>
  <c r="H274" i="6"/>
  <c r="P274" i="6"/>
  <c r="Q274" i="6"/>
  <c r="C274" i="8" s="1"/>
  <c r="P273" i="8"/>
  <c r="M270" i="8"/>
  <c r="M271" i="8" s="1"/>
  <c r="M272" i="8"/>
  <c r="M273" i="8" s="1"/>
  <c r="S269" i="6"/>
  <c r="F269" i="8" s="1"/>
  <c r="F270" i="8"/>
  <c r="F271" i="8" s="1"/>
  <c r="F272" i="8" s="1"/>
  <c r="F273" i="8" s="1"/>
  <c r="Q272" i="8"/>
  <c r="R272" i="8" s="1"/>
  <c r="P272" i="8"/>
  <c r="Q271" i="8"/>
  <c r="R271" i="8"/>
  <c r="P271" i="8"/>
  <c r="Q270" i="8"/>
  <c r="R270" i="8" s="1"/>
  <c r="P270" i="8"/>
  <c r="Z269" i="8"/>
  <c r="X269" i="6"/>
  <c r="J269" i="8" s="1"/>
  <c r="K269" i="8"/>
  <c r="AB269" i="8"/>
  <c r="W269" i="6"/>
  <c r="G269" i="8" s="1"/>
  <c r="G270" i="6"/>
  <c r="G271" i="6"/>
  <c r="G272" i="6"/>
  <c r="G273" i="6"/>
  <c r="C269" i="6"/>
  <c r="F56" i="7"/>
  <c r="E269" i="6"/>
  <c r="F269" i="6"/>
  <c r="H269" i="6"/>
  <c r="P269" i="6"/>
  <c r="Q269" i="6"/>
  <c r="Q268" i="8"/>
  <c r="R268" i="8"/>
  <c r="P268" i="8"/>
  <c r="S264" i="6"/>
  <c r="F264" i="8" s="1"/>
  <c r="F265" i="8" s="1"/>
  <c r="F266" i="8" s="1"/>
  <c r="F267" i="8" s="1"/>
  <c r="F268" i="8" s="1"/>
  <c r="Q267" i="8"/>
  <c r="R267" i="8"/>
  <c r="P267" i="8"/>
  <c r="Q266" i="8"/>
  <c r="R266" i="8"/>
  <c r="P266" i="8"/>
  <c r="Q265" i="8"/>
  <c r="R265" i="8" s="1"/>
  <c r="P265" i="8"/>
  <c r="Z264" i="8"/>
  <c r="AA264" i="8" s="1"/>
  <c r="X264" i="6"/>
  <c r="J264" i="8" s="1"/>
  <c r="AC264" i="8" s="1"/>
  <c r="K264" i="8"/>
  <c r="AB264" i="8"/>
  <c r="W264" i="6"/>
  <c r="G264" i="8" s="1"/>
  <c r="G265" i="6"/>
  <c r="G266" i="6"/>
  <c r="G267" i="6"/>
  <c r="G268" i="6"/>
  <c r="C264" i="6"/>
  <c r="F55" i="7"/>
  <c r="E264" i="6"/>
  <c r="F264" i="6"/>
  <c r="H264" i="6"/>
  <c r="P264" i="6"/>
  <c r="Q264" i="6"/>
  <c r="R264" i="6" s="1"/>
  <c r="C264" i="8"/>
  <c r="P263" i="8"/>
  <c r="M260" i="8"/>
  <c r="M261" i="8" s="1"/>
  <c r="M262" i="8" s="1"/>
  <c r="M263" i="8"/>
  <c r="S259" i="6"/>
  <c r="F259" i="8" s="1"/>
  <c r="F260" i="8"/>
  <c r="F261" i="8" s="1"/>
  <c r="F262" i="8" s="1"/>
  <c r="F263" i="8" s="1"/>
  <c r="Q262" i="8"/>
  <c r="R262" i="8"/>
  <c r="P262" i="8"/>
  <c r="P261" i="8"/>
  <c r="Q260" i="8"/>
  <c r="R260" i="8" s="1"/>
  <c r="P260" i="8"/>
  <c r="Z259" i="8"/>
  <c r="X259" i="6"/>
  <c r="J259" i="8" s="1"/>
  <c r="AC259" i="8" s="1"/>
  <c r="K259" i="8"/>
  <c r="AB259" i="8"/>
  <c r="W259" i="6"/>
  <c r="G259" i="8" s="1"/>
  <c r="G260" i="6"/>
  <c r="G261" i="6"/>
  <c r="G262" i="6"/>
  <c r="G263" i="6"/>
  <c r="C259" i="6"/>
  <c r="F54" i="7"/>
  <c r="E259" i="6"/>
  <c r="F259" i="6"/>
  <c r="H259" i="6"/>
  <c r="P259" i="6"/>
  <c r="Q259" i="6"/>
  <c r="C259" i="8" s="1"/>
  <c r="Q258" i="8"/>
  <c r="R258" i="8" s="1"/>
  <c r="P258" i="8"/>
  <c r="M255" i="8"/>
  <c r="M256" i="8" s="1"/>
  <c r="M257" i="8" s="1"/>
  <c r="M258" i="8" s="1"/>
  <c r="S254" i="6"/>
  <c r="W254" i="6" s="1"/>
  <c r="G254" i="8" s="1"/>
  <c r="Q257" i="8"/>
  <c r="R257" i="8" s="1"/>
  <c r="P257" i="8"/>
  <c r="Q256" i="8"/>
  <c r="R256" i="8"/>
  <c r="P256" i="8"/>
  <c r="Q255" i="8"/>
  <c r="R255" i="8"/>
  <c r="P255" i="8"/>
  <c r="Z254" i="8"/>
  <c r="X254" i="6"/>
  <c r="J254" i="8" s="1"/>
  <c r="K254" i="8"/>
  <c r="AB254" i="8"/>
  <c r="G255" i="6"/>
  <c r="G256" i="6"/>
  <c r="G257" i="6"/>
  <c r="G258" i="6"/>
  <c r="C254" i="6"/>
  <c r="F53" i="7"/>
  <c r="E254" i="6"/>
  <c r="F254" i="6"/>
  <c r="H254" i="6"/>
  <c r="P254" i="6"/>
  <c r="Q254" i="6"/>
  <c r="R254" i="6" s="1"/>
  <c r="Q253" i="8"/>
  <c r="R253" i="8"/>
  <c r="P253" i="8"/>
  <c r="M250" i="8"/>
  <c r="M251" i="8" s="1"/>
  <c r="M252" i="8" s="1"/>
  <c r="M253" i="8" s="1"/>
  <c r="S249" i="6"/>
  <c r="F249" i="8" s="1"/>
  <c r="F250" i="8"/>
  <c r="F251" i="8"/>
  <c r="F252" i="8" s="1"/>
  <c r="F253" i="8" s="1"/>
  <c r="Q252" i="8"/>
  <c r="R252" i="8"/>
  <c r="P252" i="8"/>
  <c r="Q251" i="8"/>
  <c r="R251" i="8"/>
  <c r="P251" i="8"/>
  <c r="Q250" i="8"/>
  <c r="R250" i="8" s="1"/>
  <c r="P250" i="8"/>
  <c r="Z249" i="8"/>
  <c r="AA249" i="8" s="1"/>
  <c r="X249" i="6"/>
  <c r="J249" i="8" s="1"/>
  <c r="K249" i="8"/>
  <c r="AB249" i="8"/>
  <c r="W249" i="6"/>
  <c r="G249" i="8"/>
  <c r="G250" i="6"/>
  <c r="G251" i="6"/>
  <c r="G252" i="6"/>
  <c r="G253" i="6"/>
  <c r="C249" i="6"/>
  <c r="F52" i="7"/>
  <c r="E249" i="6"/>
  <c r="F249" i="6"/>
  <c r="H249" i="6"/>
  <c r="P249" i="6"/>
  <c r="Q249" i="6" s="1"/>
  <c r="R249" i="6" s="1"/>
  <c r="Q248" i="8"/>
  <c r="R248" i="8"/>
  <c r="P248" i="8"/>
  <c r="M245" i="8"/>
  <c r="M246" i="8" s="1"/>
  <c r="M247" i="8"/>
  <c r="M248" i="8" s="1"/>
  <c r="S244" i="6"/>
  <c r="F244" i="8" s="1"/>
  <c r="F245" i="8"/>
  <c r="F246" i="8"/>
  <c r="F247" i="8"/>
  <c r="F248" i="8"/>
  <c r="Q247" i="8"/>
  <c r="R247" i="8" s="1"/>
  <c r="P247" i="8"/>
  <c r="Q246" i="8"/>
  <c r="R246" i="8"/>
  <c r="P246" i="8"/>
  <c r="Q245" i="8"/>
  <c r="R245" i="8"/>
  <c r="P245" i="8"/>
  <c r="Z244" i="8"/>
  <c r="X244" i="6"/>
  <c r="J244" i="8" s="1"/>
  <c r="K244" i="8"/>
  <c r="AB244" i="8"/>
  <c r="W244" i="6"/>
  <c r="G244" i="8"/>
  <c r="G245" i="6"/>
  <c r="G246" i="6"/>
  <c r="G247" i="6"/>
  <c r="G248" i="6"/>
  <c r="C244" i="6"/>
  <c r="F51" i="7"/>
  <c r="E244" i="6"/>
  <c r="F244" i="6"/>
  <c r="H244" i="6"/>
  <c r="P244" i="6"/>
  <c r="Q244" i="6" s="1"/>
  <c r="P243" i="8"/>
  <c r="M240" i="8"/>
  <c r="M241" i="8" s="1"/>
  <c r="M242" i="8" s="1"/>
  <c r="M243" i="8"/>
  <c r="S239" i="6"/>
  <c r="F239" i="8" s="1"/>
  <c r="F240" i="8" s="1"/>
  <c r="F241" i="8"/>
  <c r="F242" i="8" s="1"/>
  <c r="F243" i="8" s="1"/>
  <c r="Q242" i="8"/>
  <c r="R242" i="8"/>
  <c r="P242" i="8"/>
  <c r="Q241" i="8"/>
  <c r="R241" i="8" s="1"/>
  <c r="P241" i="8"/>
  <c r="Q240" i="8"/>
  <c r="R240" i="8" s="1"/>
  <c r="P240" i="8"/>
  <c r="Z239" i="8"/>
  <c r="AC239" i="8" s="1"/>
  <c r="X239" i="6"/>
  <c r="J239" i="8" s="1"/>
  <c r="K239" i="8"/>
  <c r="AB239" i="8"/>
  <c r="G240" i="6"/>
  <c r="G241" i="6"/>
  <c r="G242" i="6"/>
  <c r="G243" i="6"/>
  <c r="C239" i="6"/>
  <c r="F50" i="7"/>
  <c r="E239" i="6"/>
  <c r="F239" i="6"/>
  <c r="H239" i="6"/>
  <c r="P239" i="6"/>
  <c r="Q239" i="6"/>
  <c r="Q238" i="8"/>
  <c r="R238" i="8"/>
  <c r="P238" i="8"/>
  <c r="M235" i="8"/>
  <c r="M236" i="8" s="1"/>
  <c r="M237" i="8" s="1"/>
  <c r="M238" i="8" s="1"/>
  <c r="S234" i="6"/>
  <c r="F234" i="8"/>
  <c r="F235" i="8"/>
  <c r="F236" i="8"/>
  <c r="F237" i="8" s="1"/>
  <c r="F238" i="8" s="1"/>
  <c r="Q237" i="8"/>
  <c r="R237" i="8" s="1"/>
  <c r="P237" i="8"/>
  <c r="Q236" i="8"/>
  <c r="R236" i="8"/>
  <c r="P236" i="8"/>
  <c r="Q235" i="8"/>
  <c r="R235" i="8" s="1"/>
  <c r="P235" i="8"/>
  <c r="Z234" i="8"/>
  <c r="X234" i="6"/>
  <c r="J234" i="8" s="1"/>
  <c r="AC234" i="8" s="1"/>
  <c r="K234" i="8"/>
  <c r="AB234" i="8"/>
  <c r="W234" i="6"/>
  <c r="G234" i="8" s="1"/>
  <c r="G235" i="6"/>
  <c r="G236" i="6"/>
  <c r="G237" i="6"/>
  <c r="G238" i="6"/>
  <c r="C234" i="6"/>
  <c r="F49" i="7"/>
  <c r="E234" i="6"/>
  <c r="F234" i="6"/>
  <c r="H234" i="6"/>
  <c r="P234" i="6"/>
  <c r="Q234" i="6" s="1"/>
  <c r="Q233" i="8"/>
  <c r="R233" i="8" s="1"/>
  <c r="P233" i="8"/>
  <c r="M230" i="8"/>
  <c r="M231" i="8"/>
  <c r="M232" i="8"/>
  <c r="M233" i="8" s="1"/>
  <c r="S229" i="6"/>
  <c r="U229" i="6" s="1"/>
  <c r="F229" i="8"/>
  <c r="F230" i="8"/>
  <c r="F231" i="8" s="1"/>
  <c r="F232" i="8" s="1"/>
  <c r="F233" i="8" s="1"/>
  <c r="Q232" i="8"/>
  <c r="R232" i="8"/>
  <c r="P232" i="8"/>
  <c r="P231" i="8"/>
  <c r="Q230" i="8"/>
  <c r="R230" i="8" s="1"/>
  <c r="P230" i="8"/>
  <c r="Z229" i="8"/>
  <c r="X229" i="6"/>
  <c r="J229" i="8" s="1"/>
  <c r="K229" i="8"/>
  <c r="AB229" i="8"/>
  <c r="AA229" i="8"/>
  <c r="W229" i="6"/>
  <c r="G229" i="8"/>
  <c r="G230" i="6"/>
  <c r="G231" i="6"/>
  <c r="G232" i="6"/>
  <c r="G233" i="6"/>
  <c r="C229" i="6"/>
  <c r="F48" i="7"/>
  <c r="E229" i="6"/>
  <c r="F229" i="6"/>
  <c r="H229" i="6"/>
  <c r="P229" i="6"/>
  <c r="Q229" i="6"/>
  <c r="C229" i="8"/>
  <c r="Q228" i="8"/>
  <c r="R228" i="8" s="1"/>
  <c r="P228" i="8"/>
  <c r="M225" i="8"/>
  <c r="M226" i="8"/>
  <c r="M227" i="8"/>
  <c r="M228" i="8"/>
  <c r="S224" i="6"/>
  <c r="S225" i="6" s="1"/>
  <c r="S226" i="6" s="1"/>
  <c r="S227" i="6" s="1"/>
  <c r="S228" i="6" s="1"/>
  <c r="F224" i="8"/>
  <c r="P227" i="8"/>
  <c r="Q226" i="8"/>
  <c r="R226" i="8" s="1"/>
  <c r="P226" i="8"/>
  <c r="Q225" i="8"/>
  <c r="R225" i="8"/>
  <c r="P225" i="8"/>
  <c r="Z224" i="8"/>
  <c r="X224" i="6"/>
  <c r="J224" i="8"/>
  <c r="K224" i="8"/>
  <c r="AC224" i="8"/>
  <c r="AB224" i="8"/>
  <c r="G225" i="6"/>
  <c r="G226" i="6"/>
  <c r="G227" i="6"/>
  <c r="G228" i="6"/>
  <c r="C224" i="6"/>
  <c r="F47" i="7"/>
  <c r="E224" i="6"/>
  <c r="F224" i="6"/>
  <c r="H224" i="6"/>
  <c r="P224" i="6"/>
  <c r="Q224" i="6" s="1"/>
  <c r="Q223" i="8"/>
  <c r="R223" i="8" s="1"/>
  <c r="P223" i="8"/>
  <c r="M220" i="8"/>
  <c r="M221" i="8"/>
  <c r="M222" i="8"/>
  <c r="M223" i="8" s="1"/>
  <c r="S219" i="6"/>
  <c r="Q222" i="8"/>
  <c r="R222" i="8"/>
  <c r="P222" i="8"/>
  <c r="Q221" i="8"/>
  <c r="R221" i="8"/>
  <c r="P221" i="8"/>
  <c r="Q220" i="8"/>
  <c r="R220" i="8"/>
  <c r="P220" i="8"/>
  <c r="Z219" i="8"/>
  <c r="X219" i="6"/>
  <c r="J219" i="8"/>
  <c r="K219" i="8"/>
  <c r="AC219" i="8"/>
  <c r="AB219" i="8"/>
  <c r="W219" i="6"/>
  <c r="G219" i="8"/>
  <c r="G220" i="6"/>
  <c r="G221" i="6"/>
  <c r="G222" i="6"/>
  <c r="G223" i="6"/>
  <c r="C219" i="6"/>
  <c r="F46" i="7"/>
  <c r="E219" i="6"/>
  <c r="F219" i="6"/>
  <c r="H219" i="6"/>
  <c r="P219" i="6"/>
  <c r="Q219" i="6"/>
  <c r="C219" i="8" s="1"/>
  <c r="P218" i="8"/>
  <c r="M215" i="8"/>
  <c r="M216" i="8" s="1"/>
  <c r="M217" i="8"/>
  <c r="M218" i="8"/>
  <c r="S214" i="6"/>
  <c r="F214" i="8" s="1"/>
  <c r="Q217" i="8"/>
  <c r="R217" i="8" s="1"/>
  <c r="P217" i="8"/>
  <c r="Q216" i="8"/>
  <c r="R216" i="8" s="1"/>
  <c r="P216" i="8"/>
  <c r="Q215" i="8"/>
  <c r="R215" i="8" s="1"/>
  <c r="P215" i="8"/>
  <c r="Z214" i="8"/>
  <c r="X214" i="6"/>
  <c r="J214" i="8" s="1"/>
  <c r="AC214" i="8" s="1"/>
  <c r="K214" i="8"/>
  <c r="AB214" i="8"/>
  <c r="G215" i="6"/>
  <c r="G216" i="6"/>
  <c r="G217" i="6"/>
  <c r="G218" i="6"/>
  <c r="C214" i="6"/>
  <c r="F45" i="7"/>
  <c r="E214" i="6"/>
  <c r="F214" i="6"/>
  <c r="H214" i="6"/>
  <c r="P214" i="6"/>
  <c r="Q214" i="6"/>
  <c r="C214" i="8" s="1"/>
  <c r="P213" i="8"/>
  <c r="M210" i="8"/>
  <c r="M211" i="8" s="1"/>
  <c r="M212" i="8"/>
  <c r="M213" i="8" s="1"/>
  <c r="S209" i="6"/>
  <c r="W209" i="6" s="1"/>
  <c r="G209" i="8" s="1"/>
  <c r="Q212" i="8"/>
  <c r="R212" i="8"/>
  <c r="P212" i="8"/>
  <c r="Q211" i="8"/>
  <c r="R211" i="8"/>
  <c r="P211" i="8"/>
  <c r="Q210" i="8"/>
  <c r="R210" i="8" s="1"/>
  <c r="P210" i="8"/>
  <c r="Z209" i="8"/>
  <c r="X209" i="6"/>
  <c r="J209" i="8"/>
  <c r="K209" i="8"/>
  <c r="AC209" i="8"/>
  <c r="AB209" i="8"/>
  <c r="G210" i="6"/>
  <c r="G211" i="6"/>
  <c r="G212" i="6"/>
  <c r="G213" i="6"/>
  <c r="C209" i="6"/>
  <c r="F44" i="7"/>
  <c r="E209" i="6"/>
  <c r="F209" i="6"/>
  <c r="H209" i="6"/>
  <c r="P209" i="6"/>
  <c r="Q209" i="6"/>
  <c r="R209" i="6" s="1"/>
  <c r="C209" i="8"/>
  <c r="Q208" i="8"/>
  <c r="R208" i="8" s="1"/>
  <c r="P208" i="8"/>
  <c r="M205" i="8"/>
  <c r="M206" i="8" s="1"/>
  <c r="M207" i="8" s="1"/>
  <c r="M208" i="8" s="1"/>
  <c r="S204" i="6"/>
  <c r="W204" i="6" s="1"/>
  <c r="G204" i="8" s="1"/>
  <c r="F204" i="8"/>
  <c r="F205" i="8" s="1"/>
  <c r="F206" i="8" s="1"/>
  <c r="F207" i="8"/>
  <c r="F208" i="8" s="1"/>
  <c r="Q207" i="8"/>
  <c r="R207" i="8"/>
  <c r="P207" i="8"/>
  <c r="Q206" i="8"/>
  <c r="R206" i="8"/>
  <c r="P206" i="8"/>
  <c r="Q205" i="8"/>
  <c r="R205" i="8"/>
  <c r="P205" i="8"/>
  <c r="Z204" i="8"/>
  <c r="X204" i="6"/>
  <c r="J204" i="8" s="1"/>
  <c r="K204" i="8"/>
  <c r="AB204" i="8"/>
  <c r="U204" i="8"/>
  <c r="G205" i="6"/>
  <c r="G206" i="6"/>
  <c r="G207" i="6"/>
  <c r="G208" i="6"/>
  <c r="C204" i="6"/>
  <c r="F43" i="7"/>
  <c r="E204" i="6"/>
  <c r="F204" i="6"/>
  <c r="H204" i="6"/>
  <c r="P204" i="6"/>
  <c r="Q204" i="6"/>
  <c r="R204" i="6" s="1"/>
  <c r="Q203" i="8"/>
  <c r="R203" i="8"/>
  <c r="P203" i="8"/>
  <c r="M200" i="8"/>
  <c r="M201" i="8"/>
  <c r="M202" i="8"/>
  <c r="M203" i="8" s="1"/>
  <c r="S199" i="6"/>
  <c r="F199" i="8" s="1"/>
  <c r="F200" i="8"/>
  <c r="F201" i="8" s="1"/>
  <c r="F202" i="8" s="1"/>
  <c r="F203" i="8" s="1"/>
  <c r="Q202" i="8"/>
  <c r="R202" i="8"/>
  <c r="P202" i="8"/>
  <c r="Q201" i="8"/>
  <c r="R201" i="8" s="1"/>
  <c r="P201" i="8"/>
  <c r="Q200" i="8"/>
  <c r="R200" i="8" s="1"/>
  <c r="P200" i="8"/>
  <c r="Z199" i="8"/>
  <c r="AA199" i="8" s="1"/>
  <c r="X199" i="6"/>
  <c r="J199" i="8" s="1"/>
  <c r="K199" i="8"/>
  <c r="AC199" i="8"/>
  <c r="AB199" i="8"/>
  <c r="W199" i="6"/>
  <c r="G199" i="8" s="1"/>
  <c r="G200" i="6"/>
  <c r="G201" i="6"/>
  <c r="G202" i="6"/>
  <c r="G203" i="6"/>
  <c r="C199" i="6"/>
  <c r="F42" i="7"/>
  <c r="E199" i="6"/>
  <c r="F199" i="6"/>
  <c r="H199" i="6"/>
  <c r="P199" i="6"/>
  <c r="Q199" i="6"/>
  <c r="R199" i="6" s="1"/>
  <c r="C199" i="8"/>
  <c r="Q198" i="8"/>
  <c r="R198" i="8" s="1"/>
  <c r="P198" i="8"/>
  <c r="M195" i="8"/>
  <c r="M196" i="8" s="1"/>
  <c r="M197" i="8" s="1"/>
  <c r="M198" i="8" s="1"/>
  <c r="S194" i="6"/>
  <c r="S195" i="6" s="1"/>
  <c r="S196" i="6" s="1"/>
  <c r="S197" i="6" s="1"/>
  <c r="S198" i="6" s="1"/>
  <c r="Q197" i="8"/>
  <c r="R197" i="8"/>
  <c r="P197" i="8"/>
  <c r="Q196" i="8"/>
  <c r="R196" i="8"/>
  <c r="P196" i="8"/>
  <c r="Q195" i="8"/>
  <c r="R195" i="8" s="1"/>
  <c r="P195" i="8"/>
  <c r="Z194" i="8"/>
  <c r="X194" i="6"/>
  <c r="J194" i="8" s="1"/>
  <c r="AC194" i="8" s="1"/>
  <c r="K194" i="8"/>
  <c r="AB194" i="8"/>
  <c r="G195" i="6"/>
  <c r="G196" i="6"/>
  <c r="G197" i="6"/>
  <c r="G198" i="6"/>
  <c r="C194" i="6"/>
  <c r="F41" i="7"/>
  <c r="E194" i="6"/>
  <c r="F194" i="6"/>
  <c r="H194" i="6"/>
  <c r="P194" i="6"/>
  <c r="Q194" i="6" s="1"/>
  <c r="Q193" i="8"/>
  <c r="R193" i="8"/>
  <c r="P193" i="8"/>
  <c r="M190" i="8"/>
  <c r="M191" i="8"/>
  <c r="M192" i="8" s="1"/>
  <c r="M193" i="8" s="1"/>
  <c r="S189" i="6"/>
  <c r="F189" i="8" s="1"/>
  <c r="F190" i="8"/>
  <c r="F191" i="8" s="1"/>
  <c r="F192" i="8"/>
  <c r="F193" i="8"/>
  <c r="Q192" i="8"/>
  <c r="R192" i="8" s="1"/>
  <c r="P192" i="8"/>
  <c r="Q191" i="8"/>
  <c r="R191" i="8"/>
  <c r="P191" i="8"/>
  <c r="Q190" i="8"/>
  <c r="R190" i="8" s="1"/>
  <c r="P190" i="8"/>
  <c r="Z189" i="8"/>
  <c r="AA189" i="8" s="1"/>
  <c r="X189" i="6"/>
  <c r="J189" i="8" s="1"/>
  <c r="K189" i="8"/>
  <c r="AB189" i="8"/>
  <c r="W189" i="6"/>
  <c r="G189" i="8" s="1"/>
  <c r="G190" i="6"/>
  <c r="G191" i="6"/>
  <c r="G192" i="6"/>
  <c r="G193" i="6"/>
  <c r="C189" i="6"/>
  <c r="F40" i="7"/>
  <c r="E189" i="6"/>
  <c r="F189" i="6"/>
  <c r="H189" i="6"/>
  <c r="P189" i="6"/>
  <c r="Q189" i="6"/>
  <c r="Q188" i="8"/>
  <c r="R188" i="8"/>
  <c r="P188" i="8"/>
  <c r="M185" i="8"/>
  <c r="M186" i="8"/>
  <c r="M187" i="8" s="1"/>
  <c r="M188" i="8" s="1"/>
  <c r="S184" i="6"/>
  <c r="F184" i="8"/>
  <c r="F185" i="8"/>
  <c r="F186" i="8" s="1"/>
  <c r="F187" i="8" s="1"/>
  <c r="F188" i="8" s="1"/>
  <c r="Q187" i="8"/>
  <c r="R187" i="8"/>
  <c r="P187" i="8"/>
  <c r="Q186" i="8"/>
  <c r="R186" i="8"/>
  <c r="P186" i="8"/>
  <c r="Q185" i="8"/>
  <c r="R185" i="8" s="1"/>
  <c r="P185" i="8"/>
  <c r="Z184" i="8"/>
  <c r="X184" i="6"/>
  <c r="J184" i="8"/>
  <c r="K184" i="8"/>
  <c r="AC184" i="8"/>
  <c r="AB184" i="8"/>
  <c r="AA184" i="8"/>
  <c r="W184" i="6"/>
  <c r="G184" i="8"/>
  <c r="G185" i="6"/>
  <c r="G186" i="6"/>
  <c r="G187" i="6"/>
  <c r="G188" i="6"/>
  <c r="C184" i="6"/>
  <c r="F39" i="7"/>
  <c r="E184" i="6"/>
  <c r="F184" i="6"/>
  <c r="H184" i="6"/>
  <c r="P184" i="6"/>
  <c r="Q184" i="6" s="1"/>
  <c r="Q183" i="8"/>
  <c r="R183" i="8" s="1"/>
  <c r="P183" i="8"/>
  <c r="M180" i="8"/>
  <c r="M181" i="8"/>
  <c r="M182" i="8"/>
  <c r="M183" i="8" s="1"/>
  <c r="S179" i="6"/>
  <c r="U179" i="6" s="1"/>
  <c r="Q182" i="8"/>
  <c r="R182" i="8"/>
  <c r="P182" i="8"/>
  <c r="Q181" i="8"/>
  <c r="R181" i="8" s="1"/>
  <c r="P181" i="8"/>
  <c r="Q180" i="8"/>
  <c r="R180" i="8"/>
  <c r="P180" i="8"/>
  <c r="Z179" i="8"/>
  <c r="X179" i="6"/>
  <c r="J179" i="8" s="1"/>
  <c r="AC179" i="8" s="1"/>
  <c r="K179" i="8"/>
  <c r="AB179" i="8"/>
  <c r="W179" i="6"/>
  <c r="G179" i="8" s="1"/>
  <c r="G180" i="6"/>
  <c r="G181" i="6"/>
  <c r="G182" i="6"/>
  <c r="G183" i="6"/>
  <c r="C179" i="6"/>
  <c r="F38" i="7"/>
  <c r="E179" i="6"/>
  <c r="F179" i="6"/>
  <c r="H179" i="6"/>
  <c r="P179" i="6"/>
  <c r="Q179" i="6" s="1"/>
  <c r="R179" i="6" s="1"/>
  <c r="C179" i="8"/>
  <c r="Q178" i="8"/>
  <c r="R178" i="8"/>
  <c r="P178" i="8"/>
  <c r="M175" i="8"/>
  <c r="M176" i="8"/>
  <c r="M177" i="8"/>
  <c r="M178" i="8" s="1"/>
  <c r="S174" i="6"/>
  <c r="F174" i="8" s="1"/>
  <c r="F175" i="8" s="1"/>
  <c r="F176" i="8" s="1"/>
  <c r="F177" i="8"/>
  <c r="F178" i="8"/>
  <c r="Q177" i="8"/>
  <c r="R177" i="8" s="1"/>
  <c r="P177" i="8"/>
  <c r="Q176" i="8"/>
  <c r="R176" i="8"/>
  <c r="P176" i="8"/>
  <c r="Q175" i="8"/>
  <c r="R175" i="8"/>
  <c r="P175" i="8"/>
  <c r="Z174" i="8"/>
  <c r="X174" i="6"/>
  <c r="J174" i="8"/>
  <c r="K174" i="8"/>
  <c r="AB174" i="8"/>
  <c r="W174" i="6"/>
  <c r="G174" i="8" s="1"/>
  <c r="G175" i="6"/>
  <c r="G176" i="6"/>
  <c r="G177" i="6"/>
  <c r="G178" i="6"/>
  <c r="C174" i="6"/>
  <c r="F37" i="7"/>
  <c r="E174" i="6"/>
  <c r="F174" i="6"/>
  <c r="H174" i="6"/>
  <c r="P174" i="6"/>
  <c r="Q174" i="6" s="1"/>
  <c r="R174" i="6" s="1"/>
  <c r="C174" i="8"/>
  <c r="Q173" i="8"/>
  <c r="R173" i="8" s="1"/>
  <c r="P173" i="8"/>
  <c r="M170" i="8"/>
  <c r="M171" i="8" s="1"/>
  <c r="M172" i="8" s="1"/>
  <c r="M173" i="8" s="1"/>
  <c r="S169" i="6"/>
  <c r="Q172" i="8"/>
  <c r="R172" i="8" s="1"/>
  <c r="P172" i="8"/>
  <c r="Q171" i="8"/>
  <c r="R171" i="8" s="1"/>
  <c r="P171" i="8"/>
  <c r="Q170" i="8"/>
  <c r="R170" i="8"/>
  <c r="P170" i="8"/>
  <c r="Z169" i="8"/>
  <c r="X169" i="6"/>
  <c r="J169" i="8" s="1"/>
  <c r="K169" i="8"/>
  <c r="AC169" i="8"/>
  <c r="AB169" i="8"/>
  <c r="W169" i="6"/>
  <c r="G169" i="8" s="1"/>
  <c r="G170" i="6"/>
  <c r="G171" i="6"/>
  <c r="G172" i="6"/>
  <c r="G173" i="6"/>
  <c r="C169" i="6"/>
  <c r="F36" i="7"/>
  <c r="E169" i="6"/>
  <c r="F169" i="6"/>
  <c r="H169" i="6"/>
  <c r="P169" i="6"/>
  <c r="Q169" i="6" s="1"/>
  <c r="R169" i="6" s="1"/>
  <c r="Q168" i="8"/>
  <c r="R168" i="8"/>
  <c r="P168" i="8"/>
  <c r="M165" i="8"/>
  <c r="M166" i="8"/>
  <c r="M167" i="8" s="1"/>
  <c r="M168" i="8"/>
  <c r="S164" i="6"/>
  <c r="T164" i="6" s="1"/>
  <c r="Q167" i="8"/>
  <c r="R167" i="8" s="1"/>
  <c r="P167" i="8"/>
  <c r="Q166" i="8"/>
  <c r="R166" i="8"/>
  <c r="P166" i="8"/>
  <c r="Q165" i="8"/>
  <c r="R165" i="8" s="1"/>
  <c r="P165" i="8"/>
  <c r="Z164" i="8"/>
  <c r="AC164" i="8" s="1"/>
  <c r="X164" i="6"/>
  <c r="J164" i="8" s="1"/>
  <c r="K164" i="8"/>
  <c r="AB164" i="8"/>
  <c r="U164" i="8"/>
  <c r="G165" i="6"/>
  <c r="G166" i="6"/>
  <c r="G167" i="6"/>
  <c r="G168" i="6"/>
  <c r="C164" i="6"/>
  <c r="F35" i="7"/>
  <c r="E164" i="6"/>
  <c r="F164" i="6"/>
  <c r="H164" i="6"/>
  <c r="P164" i="6"/>
  <c r="Q164" i="6" s="1"/>
  <c r="Q163" i="8"/>
  <c r="R163" i="8" s="1"/>
  <c r="P163" i="8"/>
  <c r="M160" i="8"/>
  <c r="M161" i="8"/>
  <c r="M162" i="8" s="1"/>
  <c r="M163" i="8" s="1"/>
  <c r="S159" i="6"/>
  <c r="Q162" i="8"/>
  <c r="R162" i="8"/>
  <c r="P162" i="8"/>
  <c r="P161" i="8"/>
  <c r="Q160" i="8"/>
  <c r="R160" i="8" s="1"/>
  <c r="P160" i="8"/>
  <c r="Z159" i="8"/>
  <c r="AC159" i="8" s="1"/>
  <c r="X159" i="6"/>
  <c r="J159" i="8"/>
  <c r="K159" i="8"/>
  <c r="AB159" i="8"/>
  <c r="G160" i="6"/>
  <c r="G161" i="6"/>
  <c r="G162" i="6"/>
  <c r="G163" i="6"/>
  <c r="C159" i="6"/>
  <c r="F34" i="7"/>
  <c r="E159" i="6"/>
  <c r="F159" i="6"/>
  <c r="H159" i="6"/>
  <c r="P159" i="6"/>
  <c r="Q159" i="6" s="1"/>
  <c r="Q158" i="8"/>
  <c r="R158" i="8"/>
  <c r="P158" i="8"/>
  <c r="M155" i="8"/>
  <c r="M156" i="8"/>
  <c r="M157" i="8" s="1"/>
  <c r="M158" i="8" s="1"/>
  <c r="S154" i="6"/>
  <c r="F154" i="8"/>
  <c r="F155" i="8" s="1"/>
  <c r="F156" i="8" s="1"/>
  <c r="F157" i="8" s="1"/>
  <c r="F158" i="8" s="1"/>
  <c r="Q157" i="8"/>
  <c r="R157" i="8"/>
  <c r="P157" i="8"/>
  <c r="Q156" i="8"/>
  <c r="R156" i="8" s="1"/>
  <c r="P156" i="8"/>
  <c r="Q155" i="8"/>
  <c r="R155" i="8" s="1"/>
  <c r="P155" i="8"/>
  <c r="Z154" i="8"/>
  <c r="X154" i="6"/>
  <c r="J154" i="8" s="1"/>
  <c r="K154" i="8"/>
  <c r="AB154" i="8"/>
  <c r="W154" i="6"/>
  <c r="G154" i="8" s="1"/>
  <c r="G155" i="6"/>
  <c r="G156" i="6"/>
  <c r="G157" i="6"/>
  <c r="G158" i="6"/>
  <c r="C154" i="6"/>
  <c r="F33" i="7"/>
  <c r="E154" i="6"/>
  <c r="F154" i="6"/>
  <c r="H154" i="6"/>
  <c r="P154" i="6"/>
  <c r="Q154" i="6"/>
  <c r="C154" i="8" s="1"/>
  <c r="Q153" i="8"/>
  <c r="R153" i="8"/>
  <c r="P153" i="8"/>
  <c r="M150" i="8"/>
  <c r="M151" i="8"/>
  <c r="M152" i="8"/>
  <c r="M153" i="8"/>
  <c r="S149" i="6"/>
  <c r="F149" i="8" s="1"/>
  <c r="F150" i="8"/>
  <c r="F151" i="8" s="1"/>
  <c r="F152" i="8"/>
  <c r="F153" i="8" s="1"/>
  <c r="Q152" i="8"/>
  <c r="R152" i="8" s="1"/>
  <c r="P152" i="8"/>
  <c r="Q151" i="8"/>
  <c r="R151" i="8" s="1"/>
  <c r="P151" i="8"/>
  <c r="Q150" i="8"/>
  <c r="R150" i="8"/>
  <c r="P150" i="8"/>
  <c r="Z149" i="8"/>
  <c r="X149" i="6"/>
  <c r="J149" i="8"/>
  <c r="K149" i="8"/>
  <c r="AB149" i="8"/>
  <c r="W149" i="6"/>
  <c r="G149" i="8" s="1"/>
  <c r="G150" i="6"/>
  <c r="G151" i="6"/>
  <c r="G152" i="6"/>
  <c r="G153" i="6"/>
  <c r="C149" i="6"/>
  <c r="F32" i="7"/>
  <c r="E149" i="6"/>
  <c r="F149" i="6"/>
  <c r="H149" i="6"/>
  <c r="P149" i="6"/>
  <c r="Q149" i="6" s="1"/>
  <c r="Q148" i="8"/>
  <c r="R148" i="8"/>
  <c r="P148" i="8"/>
  <c r="M145" i="8"/>
  <c r="M146" i="8" s="1"/>
  <c r="M147" i="8" s="1"/>
  <c r="M148" i="8" s="1"/>
  <c r="S144" i="6"/>
  <c r="F144" i="8"/>
  <c r="AA144" i="8" s="1"/>
  <c r="F145" i="8"/>
  <c r="F146" i="8" s="1"/>
  <c r="F147" i="8" s="1"/>
  <c r="F148" i="8" s="1"/>
  <c r="P147" i="8"/>
  <c r="Q146" i="8"/>
  <c r="R146" i="8"/>
  <c r="P146" i="8"/>
  <c r="Q145" i="8"/>
  <c r="R145" i="8"/>
  <c r="P145" i="8"/>
  <c r="Z144" i="8"/>
  <c r="X144" i="6"/>
  <c r="J144" i="8" s="1"/>
  <c r="AC144" i="8" s="1"/>
  <c r="K144" i="8"/>
  <c r="AB144" i="8"/>
  <c r="W144" i="6"/>
  <c r="G144" i="8" s="1"/>
  <c r="G145" i="6"/>
  <c r="G146" i="6"/>
  <c r="G147" i="6"/>
  <c r="G148" i="6"/>
  <c r="C144" i="6"/>
  <c r="F31" i="7"/>
  <c r="E144" i="6"/>
  <c r="F144" i="6"/>
  <c r="H144" i="6"/>
  <c r="P144" i="6"/>
  <c r="Q144" i="6" s="1"/>
  <c r="Q143" i="8"/>
  <c r="R143" i="8"/>
  <c r="P143" i="8"/>
  <c r="M140" i="8"/>
  <c r="M141" i="8"/>
  <c r="M142" i="8" s="1"/>
  <c r="M143" i="8" s="1"/>
  <c r="S139" i="6"/>
  <c r="F139" i="8"/>
  <c r="F140" i="8" s="1"/>
  <c r="F141" i="8" s="1"/>
  <c r="F142" i="8" s="1"/>
  <c r="F143" i="8" s="1"/>
  <c r="Q142" i="8"/>
  <c r="R142" i="8"/>
  <c r="P142" i="8"/>
  <c r="Q141" i="8"/>
  <c r="R141" i="8"/>
  <c r="P141" i="8"/>
  <c r="Q140" i="8"/>
  <c r="R140" i="8" s="1"/>
  <c r="P140" i="8"/>
  <c r="Z139" i="8"/>
  <c r="AA139" i="8" s="1"/>
  <c r="X139" i="6"/>
  <c r="J139" i="8" s="1"/>
  <c r="K139" i="8"/>
  <c r="AB139" i="8"/>
  <c r="U139" i="8"/>
  <c r="W139" i="6"/>
  <c r="G139" i="8"/>
  <c r="G140" i="6"/>
  <c r="G141" i="6"/>
  <c r="G142" i="6"/>
  <c r="G143" i="6"/>
  <c r="C139" i="6"/>
  <c r="F30" i="7"/>
  <c r="E139" i="6"/>
  <c r="F139" i="6"/>
  <c r="H139" i="6"/>
  <c r="P139" i="6"/>
  <c r="Q139" i="6" s="1"/>
  <c r="Q138" i="8"/>
  <c r="R138" i="8"/>
  <c r="P138" i="8"/>
  <c r="S134" i="6"/>
  <c r="F134" i="8" s="1"/>
  <c r="F135" i="8" s="1"/>
  <c r="F136" i="8" s="1"/>
  <c r="F137" i="8" s="1"/>
  <c r="F138" i="8"/>
  <c r="Q137" i="8"/>
  <c r="R137" i="8"/>
  <c r="P137" i="8"/>
  <c r="Q136" i="8"/>
  <c r="R136" i="8"/>
  <c r="P136" i="8"/>
  <c r="Q135" i="8"/>
  <c r="R135" i="8" s="1"/>
  <c r="P135" i="8"/>
  <c r="Z134" i="8"/>
  <c r="X134" i="6"/>
  <c r="J134" i="8"/>
  <c r="K134" i="8"/>
  <c r="AB134" i="8"/>
  <c r="W134" i="6"/>
  <c r="G134" i="8" s="1"/>
  <c r="G135" i="6"/>
  <c r="G136" i="6"/>
  <c r="G137" i="6"/>
  <c r="G138" i="6"/>
  <c r="C134" i="6"/>
  <c r="F29" i="7"/>
  <c r="E134" i="6"/>
  <c r="F134" i="6"/>
  <c r="H134" i="6"/>
  <c r="P134" i="6"/>
  <c r="Q134" i="6"/>
  <c r="R134" i="6" s="1"/>
  <c r="C134" i="8"/>
  <c r="Q133" i="8"/>
  <c r="R133" i="8"/>
  <c r="P133" i="8"/>
  <c r="M130" i="8"/>
  <c r="M131" i="8" s="1"/>
  <c r="M132" i="8" s="1"/>
  <c r="M133" i="8" s="1"/>
  <c r="S129" i="6"/>
  <c r="U129" i="6" s="1"/>
  <c r="Q132" i="8"/>
  <c r="R132" i="8"/>
  <c r="P132" i="8"/>
  <c r="Q131" i="8"/>
  <c r="R131" i="8" s="1"/>
  <c r="P131" i="8"/>
  <c r="Q130" i="8"/>
  <c r="R130" i="8"/>
  <c r="P130" i="8"/>
  <c r="Z129" i="8"/>
  <c r="X129" i="6"/>
  <c r="J129" i="8" s="1"/>
  <c r="K129" i="8"/>
  <c r="AB129" i="8"/>
  <c r="G130" i="6"/>
  <c r="G131" i="6"/>
  <c r="G132" i="6"/>
  <c r="G133" i="6"/>
  <c r="C129" i="6"/>
  <c r="F28" i="7"/>
  <c r="E129" i="6"/>
  <c r="F129" i="6"/>
  <c r="H129" i="6"/>
  <c r="P129" i="6"/>
  <c r="Q129" i="6" s="1"/>
  <c r="Q128" i="8"/>
  <c r="R128" i="8"/>
  <c r="P128" i="8"/>
  <c r="M125" i="8"/>
  <c r="M126" i="8"/>
  <c r="M127" i="8" s="1"/>
  <c r="M128" i="8" s="1"/>
  <c r="S124" i="6"/>
  <c r="Q127" i="8"/>
  <c r="R127" i="8" s="1"/>
  <c r="P127" i="8"/>
  <c r="Q126" i="8"/>
  <c r="R126" i="8" s="1"/>
  <c r="P126" i="8"/>
  <c r="Q125" i="8"/>
  <c r="R125" i="8"/>
  <c r="P125" i="8"/>
  <c r="Z124" i="8"/>
  <c r="X124" i="6"/>
  <c r="J124" i="8"/>
  <c r="K124" i="8"/>
  <c r="AC124" i="8"/>
  <c r="AB124" i="8"/>
  <c r="U124" i="8"/>
  <c r="G125" i="6"/>
  <c r="G126" i="6"/>
  <c r="G127" i="6"/>
  <c r="G128" i="6"/>
  <c r="C124" i="6"/>
  <c r="F27" i="7"/>
  <c r="E124" i="6"/>
  <c r="F124" i="6"/>
  <c r="H124" i="6"/>
  <c r="P124" i="6"/>
  <c r="Q124" i="6" s="1"/>
  <c r="C124" i="8"/>
  <c r="P123" i="8"/>
  <c r="M120" i="8"/>
  <c r="M121" i="8" s="1"/>
  <c r="M122" i="8"/>
  <c r="M123" i="8"/>
  <c r="S119" i="6"/>
  <c r="F119" i="8"/>
  <c r="F120" i="8"/>
  <c r="F121" i="8"/>
  <c r="F122" i="8"/>
  <c r="F123" i="8" s="1"/>
  <c r="P122" i="8"/>
  <c r="Q121" i="8"/>
  <c r="R121" i="8"/>
  <c r="P121" i="8"/>
  <c r="Q120" i="8"/>
  <c r="R120" i="8" s="1"/>
  <c r="P120" i="8"/>
  <c r="Z119" i="8"/>
  <c r="AA119" i="8" s="1"/>
  <c r="X119" i="6"/>
  <c r="J119" i="8" s="1"/>
  <c r="AC119" i="8" s="1"/>
  <c r="K119" i="8"/>
  <c r="AB119" i="8"/>
  <c r="W119" i="6"/>
  <c r="G119" i="8" s="1"/>
  <c r="G120" i="6"/>
  <c r="G121" i="6"/>
  <c r="G122" i="6"/>
  <c r="G123" i="6"/>
  <c r="C119" i="6"/>
  <c r="F26" i="7"/>
  <c r="E119" i="6"/>
  <c r="F119" i="6"/>
  <c r="H119" i="6"/>
  <c r="P119" i="6"/>
  <c r="Q119" i="6" s="1"/>
  <c r="Q118" i="8"/>
  <c r="R118" i="8"/>
  <c r="P118" i="8"/>
  <c r="M115" i="8"/>
  <c r="M116" i="8" s="1"/>
  <c r="M117" i="8" s="1"/>
  <c r="M118" i="8"/>
  <c r="S114" i="6"/>
  <c r="W114" i="6" s="1"/>
  <c r="G114" i="8" s="1"/>
  <c r="Q117" i="8"/>
  <c r="R117" i="8"/>
  <c r="P117" i="8"/>
  <c r="Q116" i="8"/>
  <c r="R116" i="8"/>
  <c r="P116" i="8"/>
  <c r="Q115" i="8"/>
  <c r="R115" i="8" s="1"/>
  <c r="P115" i="8"/>
  <c r="Z114" i="8"/>
  <c r="X114" i="6"/>
  <c r="J114" i="8"/>
  <c r="K114" i="8"/>
  <c r="AB114" i="8"/>
  <c r="U114" i="8"/>
  <c r="G115" i="6"/>
  <c r="G116" i="6"/>
  <c r="G117" i="6"/>
  <c r="G118" i="6"/>
  <c r="C114" i="6"/>
  <c r="F25" i="7"/>
  <c r="E114" i="6"/>
  <c r="F114" i="6"/>
  <c r="H114" i="6"/>
  <c r="P114" i="6"/>
  <c r="Q114" i="6"/>
  <c r="C114" i="8"/>
  <c r="Q113" i="8"/>
  <c r="R113" i="8" s="1"/>
  <c r="P113" i="8"/>
  <c r="M110" i="8"/>
  <c r="M111" i="8"/>
  <c r="M112" i="8"/>
  <c r="M113" i="8" s="1"/>
  <c r="S109" i="6"/>
  <c r="Q112" i="8"/>
  <c r="R112" i="8"/>
  <c r="P112" i="8"/>
  <c r="Q111" i="8"/>
  <c r="R111" i="8"/>
  <c r="P111" i="8"/>
  <c r="Q110" i="8"/>
  <c r="R110" i="8"/>
  <c r="P110" i="8"/>
  <c r="Z109" i="8"/>
  <c r="X109" i="6"/>
  <c r="J109" i="8"/>
  <c r="AC109" i="8" s="1"/>
  <c r="K109" i="8"/>
  <c r="AB109" i="8"/>
  <c r="G110" i="6"/>
  <c r="G111" i="6"/>
  <c r="G112" i="6"/>
  <c r="G113" i="6"/>
  <c r="C109" i="6"/>
  <c r="F24" i="7"/>
  <c r="E109" i="6"/>
  <c r="F109" i="6"/>
  <c r="H109" i="6"/>
  <c r="P109" i="6"/>
  <c r="Q109" i="6"/>
  <c r="C109" i="8"/>
  <c r="P108" i="8"/>
  <c r="S104" i="6"/>
  <c r="T104" i="6" s="1"/>
  <c r="F104" i="8"/>
  <c r="F105" i="8" s="1"/>
  <c r="F106" i="8" s="1"/>
  <c r="F107" i="8" s="1"/>
  <c r="F108" i="8" s="1"/>
  <c r="Q107" i="8"/>
  <c r="R107" i="8"/>
  <c r="P107" i="8"/>
  <c r="Q106" i="8"/>
  <c r="R106" i="8" s="1"/>
  <c r="P106" i="8"/>
  <c r="Q105" i="8"/>
  <c r="R105" i="8"/>
  <c r="P105" i="8"/>
  <c r="Z104" i="8"/>
  <c r="AC104" i="8" s="1"/>
  <c r="X104" i="6"/>
  <c r="J104" i="8"/>
  <c r="K104" i="8"/>
  <c r="AB104" i="8"/>
  <c r="G105" i="6"/>
  <c r="G106" i="6"/>
  <c r="G107" i="6"/>
  <c r="G108" i="6"/>
  <c r="C104" i="6"/>
  <c r="F23" i="7"/>
  <c r="E104" i="6"/>
  <c r="F104" i="6"/>
  <c r="H104" i="6"/>
  <c r="P104" i="6"/>
  <c r="Q104" i="6"/>
  <c r="C104" i="8" s="1"/>
  <c r="Q103" i="8"/>
  <c r="R103" i="8"/>
  <c r="P103" i="8"/>
  <c r="M100" i="8"/>
  <c r="M101" i="8"/>
  <c r="M102" i="8" s="1"/>
  <c r="M103" i="8" s="1"/>
  <c r="S99" i="6"/>
  <c r="Q102" i="8"/>
  <c r="R102" i="8" s="1"/>
  <c r="P102" i="8"/>
  <c r="Q101" i="8"/>
  <c r="R101" i="8"/>
  <c r="P101" i="8"/>
  <c r="Q100" i="8"/>
  <c r="R100" i="8" s="1"/>
  <c r="P100" i="8"/>
  <c r="Z99" i="8"/>
  <c r="X99" i="6"/>
  <c r="J99" i="8" s="1"/>
  <c r="AC99" i="8" s="1"/>
  <c r="K99" i="8"/>
  <c r="AB99" i="8"/>
  <c r="U99" i="8"/>
  <c r="W99" i="6"/>
  <c r="G99" i="8" s="1"/>
  <c r="G100" i="6"/>
  <c r="G101" i="6"/>
  <c r="G102" i="6"/>
  <c r="G103" i="6"/>
  <c r="C99" i="6"/>
  <c r="F22" i="7"/>
  <c r="E99" i="6"/>
  <c r="F99" i="6"/>
  <c r="H99" i="6"/>
  <c r="P99" i="6"/>
  <c r="Q99" i="6"/>
  <c r="R99" i="6" s="1"/>
  <c r="Q98" i="8"/>
  <c r="R98" i="8"/>
  <c r="P98" i="8"/>
  <c r="M95" i="8"/>
  <c r="M96" i="8" s="1"/>
  <c r="M97" i="8"/>
  <c r="M98" i="8"/>
  <c r="S94" i="6"/>
  <c r="P97" i="8"/>
  <c r="Q96" i="8"/>
  <c r="R96" i="8"/>
  <c r="P96" i="8"/>
  <c r="Q95" i="8"/>
  <c r="R95" i="8" s="1"/>
  <c r="P95" i="8"/>
  <c r="Z94" i="8"/>
  <c r="X94" i="6"/>
  <c r="J94" i="8" s="1"/>
  <c r="AC94" i="8" s="1"/>
  <c r="K94" i="8"/>
  <c r="AB94" i="8"/>
  <c r="G95" i="6"/>
  <c r="G96" i="6"/>
  <c r="G97" i="6"/>
  <c r="G98" i="6"/>
  <c r="C94" i="6"/>
  <c r="F21" i="7"/>
  <c r="E94" i="6"/>
  <c r="F94" i="6"/>
  <c r="H94" i="6"/>
  <c r="P94" i="6"/>
  <c r="Q94" i="6"/>
  <c r="R94" i="6" s="1"/>
  <c r="C94" i="8"/>
  <c r="Q93" i="8"/>
  <c r="R93" i="8"/>
  <c r="P93" i="8"/>
  <c r="M90" i="8"/>
  <c r="M91" i="8"/>
  <c r="M92" i="8" s="1"/>
  <c r="M93" i="8" s="1"/>
  <c r="S89" i="6"/>
  <c r="F89" i="8"/>
  <c r="F90" i="8"/>
  <c r="F91" i="8" s="1"/>
  <c r="F92" i="8" s="1"/>
  <c r="F93" i="8"/>
  <c r="Q92" i="8"/>
  <c r="R92" i="8"/>
  <c r="P92" i="8"/>
  <c r="Q91" i="8"/>
  <c r="R91" i="8" s="1"/>
  <c r="P91" i="8"/>
  <c r="Q90" i="8"/>
  <c r="R90" i="8" s="1"/>
  <c r="P90" i="8"/>
  <c r="Z89" i="8"/>
  <c r="X89" i="6"/>
  <c r="J89" i="8"/>
  <c r="K89" i="8"/>
  <c r="AB89" i="8"/>
  <c r="U89" i="8"/>
  <c r="W89" i="6"/>
  <c r="G89" i="8" s="1"/>
  <c r="G90" i="6"/>
  <c r="G91" i="6"/>
  <c r="G92" i="6"/>
  <c r="G93" i="6"/>
  <c r="C89" i="6"/>
  <c r="F20" i="7"/>
  <c r="E89" i="6"/>
  <c r="F89" i="6"/>
  <c r="H89" i="6"/>
  <c r="P89" i="6"/>
  <c r="Q89" i="6"/>
  <c r="R89" i="6" s="1"/>
  <c r="C89" i="8"/>
  <c r="Q88" i="8"/>
  <c r="R88" i="8"/>
  <c r="P88" i="8"/>
  <c r="M85" i="8"/>
  <c r="M86" i="8"/>
  <c r="M87" i="8" s="1"/>
  <c r="M88" i="8" s="1"/>
  <c r="S84" i="6"/>
  <c r="F84" i="8"/>
  <c r="F85" i="8"/>
  <c r="F86" i="8"/>
  <c r="F87" i="8" s="1"/>
  <c r="F88" i="8" s="1"/>
  <c r="Q87" i="8"/>
  <c r="R87" i="8" s="1"/>
  <c r="P87" i="8"/>
  <c r="Q86" i="8"/>
  <c r="R86" i="8"/>
  <c r="P86" i="8"/>
  <c r="Q85" i="8"/>
  <c r="R85" i="8"/>
  <c r="P85" i="8"/>
  <c r="Z84" i="8"/>
  <c r="X84" i="6"/>
  <c r="J84" i="8"/>
  <c r="K84" i="8"/>
  <c r="AB84" i="8"/>
  <c r="W84" i="6"/>
  <c r="G84" i="8"/>
  <c r="G85" i="6"/>
  <c r="G86" i="6"/>
  <c r="G87" i="6"/>
  <c r="G88" i="6"/>
  <c r="C84" i="6"/>
  <c r="F19" i="7"/>
  <c r="E84" i="6"/>
  <c r="F84" i="6"/>
  <c r="H84" i="6"/>
  <c r="P84" i="6"/>
  <c r="Q84" i="6" s="1"/>
  <c r="Q83" i="8"/>
  <c r="R83" i="8" s="1"/>
  <c r="P83" i="8"/>
  <c r="M80" i="8"/>
  <c r="M81" i="8"/>
  <c r="M82" i="8"/>
  <c r="M83" i="8"/>
  <c r="S79" i="6"/>
  <c r="Q82" i="8"/>
  <c r="R82" i="8"/>
  <c r="P82" i="8"/>
  <c r="Q81" i="8"/>
  <c r="R81" i="8"/>
  <c r="P81" i="8"/>
  <c r="Q80" i="8"/>
  <c r="R80" i="8"/>
  <c r="P80" i="8"/>
  <c r="Z79" i="8"/>
  <c r="AC79" i="8" s="1"/>
  <c r="X79" i="6"/>
  <c r="J79" i="8" s="1"/>
  <c r="K79" i="8"/>
  <c r="AB79" i="8"/>
  <c r="W79" i="6"/>
  <c r="G79" i="8" s="1"/>
  <c r="G80" i="6"/>
  <c r="G81" i="6"/>
  <c r="G82" i="6"/>
  <c r="G83" i="6"/>
  <c r="C79" i="6"/>
  <c r="F18" i="7"/>
  <c r="E79" i="6"/>
  <c r="F79" i="6"/>
  <c r="H79" i="6"/>
  <c r="P79" i="6"/>
  <c r="Q79" i="6"/>
  <c r="Q78" i="8"/>
  <c r="R78" i="8"/>
  <c r="P78" i="8"/>
  <c r="M75" i="8"/>
  <c r="M76" i="8" s="1"/>
  <c r="M77" i="8" s="1"/>
  <c r="M78" i="8" s="1"/>
  <c r="S74" i="6"/>
  <c r="F74" i="8"/>
  <c r="F75" i="8" s="1"/>
  <c r="F76" i="8" s="1"/>
  <c r="F77" i="8" s="1"/>
  <c r="F78" i="8" s="1"/>
  <c r="Q77" i="8"/>
  <c r="R77" i="8"/>
  <c r="P77" i="8"/>
  <c r="Q76" i="8"/>
  <c r="R76" i="8"/>
  <c r="P76" i="8"/>
  <c r="Q75" i="8"/>
  <c r="R75" i="8" s="1"/>
  <c r="P75" i="8"/>
  <c r="Z74" i="8"/>
  <c r="AA74" i="8" s="1"/>
  <c r="X74" i="6"/>
  <c r="J74" i="8" s="1"/>
  <c r="K74" i="8"/>
  <c r="AB74" i="8"/>
  <c r="W74" i="6"/>
  <c r="G74" i="8"/>
  <c r="G75" i="6"/>
  <c r="G76" i="6"/>
  <c r="G77" i="6"/>
  <c r="G78" i="6"/>
  <c r="C74" i="6"/>
  <c r="F17" i="7"/>
  <c r="E74" i="6"/>
  <c r="F74" i="6"/>
  <c r="H74" i="6"/>
  <c r="P74" i="6"/>
  <c r="Q74" i="6" s="1"/>
  <c r="C74" i="8" s="1"/>
  <c r="Q73" i="8"/>
  <c r="R73" i="8"/>
  <c r="P73" i="8"/>
  <c r="M70" i="8"/>
  <c r="M71" i="8" s="1"/>
  <c r="M72" i="8" s="1"/>
  <c r="M73" i="8" s="1"/>
  <c r="S69" i="6"/>
  <c r="U69" i="6" s="1"/>
  <c r="Q72" i="8"/>
  <c r="R72" i="8" s="1"/>
  <c r="P72" i="8"/>
  <c r="Q71" i="8"/>
  <c r="R71" i="8"/>
  <c r="P71" i="8"/>
  <c r="Q70" i="8"/>
  <c r="R70" i="8" s="1"/>
  <c r="P70" i="8"/>
  <c r="Z69" i="8"/>
  <c r="X69" i="6"/>
  <c r="J69" i="8" s="1"/>
  <c r="K69" i="8"/>
  <c r="AB69" i="8"/>
  <c r="G70" i="6"/>
  <c r="G71" i="6"/>
  <c r="G72" i="6"/>
  <c r="G73" i="6"/>
  <c r="C69" i="6"/>
  <c r="F16" i="7"/>
  <c r="E69" i="6"/>
  <c r="F69" i="6"/>
  <c r="H69" i="6"/>
  <c r="P69" i="6"/>
  <c r="Q69" i="6" s="1"/>
  <c r="Q68" i="8"/>
  <c r="R68" i="8" s="1"/>
  <c r="P68" i="8"/>
  <c r="M65" i="8"/>
  <c r="M66" i="8"/>
  <c r="M67" i="8" s="1"/>
  <c r="M68" i="8" s="1"/>
  <c r="S64" i="6"/>
  <c r="F64" i="8"/>
  <c r="F65" i="8"/>
  <c r="F66" i="8" s="1"/>
  <c r="F67" i="8" s="1"/>
  <c r="F68" i="8" s="1"/>
  <c r="Q67" i="8"/>
  <c r="R67" i="8"/>
  <c r="P67" i="8"/>
  <c r="Q66" i="8"/>
  <c r="R66" i="8"/>
  <c r="P66" i="8"/>
  <c r="Q65" i="8"/>
  <c r="R65" i="8"/>
  <c r="P65" i="8"/>
  <c r="Z64" i="8"/>
  <c r="X64" i="6"/>
  <c r="J64" i="8" s="1"/>
  <c r="K64" i="8"/>
  <c r="AB64" i="8"/>
  <c r="W64" i="6"/>
  <c r="G64" i="8" s="1"/>
  <c r="G65" i="6"/>
  <c r="G66" i="6"/>
  <c r="G67" i="6"/>
  <c r="G68" i="6"/>
  <c r="C64" i="6"/>
  <c r="F15" i="7"/>
  <c r="E64" i="6"/>
  <c r="F64" i="6"/>
  <c r="H64" i="6"/>
  <c r="P64" i="6"/>
  <c r="Q64" i="6" s="1"/>
  <c r="R64" i="6" s="1"/>
  <c r="C64" i="8"/>
  <c r="Q63" i="8"/>
  <c r="R63" i="8" s="1"/>
  <c r="P63" i="8"/>
  <c r="M60" i="8"/>
  <c r="M61" i="8" s="1"/>
  <c r="M62" i="8" s="1"/>
  <c r="M63" i="8" s="1"/>
  <c r="S59" i="6"/>
  <c r="F59" i="8" s="1"/>
  <c r="F60" i="8"/>
  <c r="F61" i="8"/>
  <c r="F62" i="8" s="1"/>
  <c r="F63" i="8" s="1"/>
  <c r="P62" i="8"/>
  <c r="Q61" i="8"/>
  <c r="R61" i="8"/>
  <c r="P61" i="8"/>
  <c r="Q60" i="8"/>
  <c r="R60" i="8" s="1"/>
  <c r="P60" i="8"/>
  <c r="Z59" i="8"/>
  <c r="X59" i="6"/>
  <c r="J59" i="8"/>
  <c r="AC59" i="8" s="1"/>
  <c r="K59" i="8"/>
  <c r="AB59" i="8"/>
  <c r="W59" i="6"/>
  <c r="G59" i="8"/>
  <c r="G60" i="6"/>
  <c r="G61" i="6"/>
  <c r="G62" i="6"/>
  <c r="G63" i="6"/>
  <c r="C59" i="6"/>
  <c r="F14" i="7"/>
  <c r="E59" i="6"/>
  <c r="F59" i="6"/>
  <c r="H59" i="6"/>
  <c r="P59" i="6"/>
  <c r="Q59" i="6"/>
  <c r="Q58" i="8"/>
  <c r="R58" i="8"/>
  <c r="P58" i="8"/>
  <c r="M55" i="8"/>
  <c r="M56" i="8" s="1"/>
  <c r="M57" i="8" s="1"/>
  <c r="M58" i="8" s="1"/>
  <c r="S54" i="6"/>
  <c r="Q57" i="8"/>
  <c r="R57" i="8"/>
  <c r="P57" i="8"/>
  <c r="Q56" i="8"/>
  <c r="R56" i="8"/>
  <c r="P56" i="8"/>
  <c r="Q55" i="8"/>
  <c r="R55" i="8" s="1"/>
  <c r="P55" i="8"/>
  <c r="Z54" i="8"/>
  <c r="X54" i="6"/>
  <c r="J54" i="8" s="1"/>
  <c r="AC54" i="8" s="1"/>
  <c r="K54" i="8"/>
  <c r="AB54" i="8"/>
  <c r="G55" i="6"/>
  <c r="G56" i="6"/>
  <c r="G57" i="6"/>
  <c r="G58" i="6"/>
  <c r="C54" i="6"/>
  <c r="F13" i="7"/>
  <c r="E54" i="6"/>
  <c r="F54" i="6"/>
  <c r="H54" i="6"/>
  <c r="P54" i="6"/>
  <c r="Q54" i="6"/>
  <c r="C54" i="8" s="1"/>
  <c r="P53" i="8"/>
  <c r="M50" i="8"/>
  <c r="M51" i="8" s="1"/>
  <c r="M52" i="8"/>
  <c r="M53" i="8" s="1"/>
  <c r="S49" i="6"/>
  <c r="S50" i="6" s="1"/>
  <c r="Q52" i="8"/>
  <c r="R52" i="8"/>
  <c r="P52" i="8"/>
  <c r="P51" i="8"/>
  <c r="Q50" i="8"/>
  <c r="R50" i="8" s="1"/>
  <c r="P50" i="8"/>
  <c r="Z49" i="8"/>
  <c r="X49" i="6"/>
  <c r="J49" i="8" s="1"/>
  <c r="K49" i="8"/>
  <c r="AB49" i="8"/>
  <c r="G50" i="6"/>
  <c r="G51" i="6"/>
  <c r="G52" i="6"/>
  <c r="G53" i="6"/>
  <c r="C49" i="6"/>
  <c r="F12" i="7"/>
  <c r="E49" i="6"/>
  <c r="F49" i="6"/>
  <c r="H49" i="6"/>
  <c r="P49" i="6"/>
  <c r="Q49" i="6" s="1"/>
  <c r="Q48" i="8"/>
  <c r="R48" i="8"/>
  <c r="P48" i="8"/>
  <c r="M45" i="8"/>
  <c r="M46" i="8" s="1"/>
  <c r="M47" i="8" s="1"/>
  <c r="M48" i="8" s="1"/>
  <c r="S44" i="6"/>
  <c r="F44" i="8" s="1"/>
  <c r="Q47" i="8"/>
  <c r="R47" i="8"/>
  <c r="P47" i="8"/>
  <c r="Q46" i="8"/>
  <c r="R46" i="8"/>
  <c r="P46" i="8"/>
  <c r="Q45" i="8"/>
  <c r="R45" i="8" s="1"/>
  <c r="P45" i="8"/>
  <c r="Z44" i="8"/>
  <c r="X44" i="6"/>
  <c r="J44" i="8"/>
  <c r="AC44" i="8" s="1"/>
  <c r="K44" i="8"/>
  <c r="AB44" i="8"/>
  <c r="U44" i="8"/>
  <c r="W44" i="6"/>
  <c r="G44" i="8" s="1"/>
  <c r="G45" i="6"/>
  <c r="G46" i="6"/>
  <c r="G47" i="6"/>
  <c r="G48" i="6"/>
  <c r="C44" i="6"/>
  <c r="F11" i="7"/>
  <c r="E44" i="6"/>
  <c r="F44" i="6"/>
  <c r="H44" i="6"/>
  <c r="P44" i="6"/>
  <c r="Q44" i="6" s="1"/>
  <c r="C44" i="8" s="1"/>
  <c r="Q43" i="8"/>
  <c r="R43" i="8" s="1"/>
  <c r="P43" i="8"/>
  <c r="M40" i="8"/>
  <c r="M41" i="8"/>
  <c r="M42" i="8" s="1"/>
  <c r="M43" i="8" s="1"/>
  <c r="S39" i="6"/>
  <c r="F39" i="8"/>
  <c r="AA39" i="8" s="1"/>
  <c r="Q42" i="8"/>
  <c r="R42" i="8"/>
  <c r="P42" i="8"/>
  <c r="Q41" i="8"/>
  <c r="R41" i="8"/>
  <c r="P41" i="8"/>
  <c r="Q40" i="8"/>
  <c r="R40" i="8" s="1"/>
  <c r="P40" i="8"/>
  <c r="Z39" i="8"/>
  <c r="X39" i="6"/>
  <c r="J39" i="8" s="1"/>
  <c r="AC39" i="8" s="1"/>
  <c r="K39" i="8"/>
  <c r="AB39" i="8"/>
  <c r="U39" i="8"/>
  <c r="W39" i="6"/>
  <c r="G39" i="8" s="1"/>
  <c r="G40" i="6"/>
  <c r="G41" i="6"/>
  <c r="G42" i="6"/>
  <c r="G43" i="6"/>
  <c r="C39" i="6"/>
  <c r="F10" i="7"/>
  <c r="E39" i="6"/>
  <c r="F39" i="6"/>
  <c r="H39" i="6"/>
  <c r="P39" i="6"/>
  <c r="Q39" i="6"/>
  <c r="R39" i="6" s="1"/>
  <c r="C39" i="8"/>
  <c r="Q38" i="8"/>
  <c r="R38" i="8" s="1"/>
  <c r="P38" i="8"/>
  <c r="M35" i="8"/>
  <c r="M36" i="8"/>
  <c r="M37" i="8"/>
  <c r="M38" i="8" s="1"/>
  <c r="S34" i="6"/>
  <c r="F34" i="8" s="1"/>
  <c r="F35" i="8" s="1"/>
  <c r="F36" i="8" s="1"/>
  <c r="F37" i="8"/>
  <c r="F38" i="8" s="1"/>
  <c r="Q37" i="8"/>
  <c r="R37" i="8"/>
  <c r="P37" i="8"/>
  <c r="Q36" i="8"/>
  <c r="R36" i="8" s="1"/>
  <c r="P36" i="8"/>
  <c r="Q35" i="8"/>
  <c r="R35" i="8"/>
  <c r="P35" i="8"/>
  <c r="Z34" i="8"/>
  <c r="X34" i="6"/>
  <c r="J34" i="8" s="1"/>
  <c r="K34" i="8"/>
  <c r="AC34" i="8"/>
  <c r="AB34" i="8"/>
  <c r="W34" i="6"/>
  <c r="G34" i="8"/>
  <c r="G35" i="6"/>
  <c r="G36" i="6"/>
  <c r="G37" i="6"/>
  <c r="G38" i="6"/>
  <c r="C34" i="6"/>
  <c r="F9" i="7"/>
  <c r="E34" i="6"/>
  <c r="F34" i="6"/>
  <c r="H34" i="6"/>
  <c r="P34" i="6"/>
  <c r="Q34" i="6"/>
  <c r="C34" i="8" s="1"/>
  <c r="Q33" i="8"/>
  <c r="R33" i="8" s="1"/>
  <c r="P33" i="8"/>
  <c r="M30" i="8"/>
  <c r="M31" i="8" s="1"/>
  <c r="M32" i="8" s="1"/>
  <c r="M33" i="8" s="1"/>
  <c r="S29" i="6"/>
  <c r="Q32" i="8"/>
  <c r="R32" i="8" s="1"/>
  <c r="P32" i="8"/>
  <c r="Q31" i="8"/>
  <c r="R31" i="8" s="1"/>
  <c r="P31" i="8"/>
  <c r="Q30" i="8"/>
  <c r="R30" i="8"/>
  <c r="P30" i="8"/>
  <c r="Z29" i="8"/>
  <c r="X29" i="6"/>
  <c r="J29" i="8" s="1"/>
  <c r="K29" i="8"/>
  <c r="AC29" i="8"/>
  <c r="AB29" i="8"/>
  <c r="U29" i="8"/>
  <c r="G30" i="6"/>
  <c r="G31" i="6"/>
  <c r="G32" i="6"/>
  <c r="G33" i="6"/>
  <c r="C29" i="6"/>
  <c r="F8" i="7"/>
  <c r="E29" i="6"/>
  <c r="F29" i="6"/>
  <c r="H29" i="6"/>
  <c r="P29" i="6"/>
  <c r="Q29" i="6"/>
  <c r="Q28" i="8"/>
  <c r="R28" i="8"/>
  <c r="P28" i="8"/>
  <c r="M25" i="8"/>
  <c r="M26" i="8" s="1"/>
  <c r="M27" i="8" s="1"/>
  <c r="M28" i="8" s="1"/>
  <c r="F26" i="8"/>
  <c r="F27" i="8"/>
  <c r="F28" i="8" s="1"/>
  <c r="Q27" i="8"/>
  <c r="R27" i="8" s="1"/>
  <c r="P27" i="8"/>
  <c r="Q26" i="8"/>
  <c r="R26" i="8"/>
  <c r="P26" i="8"/>
  <c r="Z24" i="8"/>
  <c r="T24" i="6"/>
  <c r="U24" i="6"/>
  <c r="W24" i="6"/>
  <c r="G24" i="8"/>
  <c r="X24" i="6"/>
  <c r="J24" i="8"/>
  <c r="AC24" i="8" s="1"/>
  <c r="K24" i="8"/>
  <c r="AA24" i="8"/>
  <c r="AB24" i="8"/>
  <c r="Q23" i="8"/>
  <c r="R23" i="8" s="1"/>
  <c r="P23" i="8"/>
  <c r="M20" i="8"/>
  <c r="M21" i="8" s="1"/>
  <c r="M22" i="8" s="1"/>
  <c r="M23" i="8" s="1"/>
  <c r="F21" i="8"/>
  <c r="F22" i="8"/>
  <c r="F23" i="8"/>
  <c r="Q22" i="8"/>
  <c r="R22" i="8" s="1"/>
  <c r="P22" i="8"/>
  <c r="Q21" i="8"/>
  <c r="R21" i="8" s="1"/>
  <c r="P21" i="8"/>
  <c r="R20" i="8"/>
  <c r="Z19" i="6"/>
  <c r="V19" i="6"/>
  <c r="AA19" i="8"/>
  <c r="AB19" i="8"/>
  <c r="Q18" i="8"/>
  <c r="R18" i="8"/>
  <c r="P18" i="8"/>
  <c r="M15" i="8"/>
  <c r="M16" i="8" s="1"/>
  <c r="M17" i="8" s="1"/>
  <c r="M18" i="8" s="1"/>
  <c r="F17" i="8"/>
  <c r="F18" i="8"/>
  <c r="Q17" i="8"/>
  <c r="R17" i="8" s="1"/>
  <c r="P17" i="8"/>
  <c r="R16" i="8"/>
  <c r="R15" i="8"/>
  <c r="AB14" i="8"/>
  <c r="Q13" i="8"/>
  <c r="R13" i="8" s="1"/>
  <c r="P13" i="8"/>
  <c r="M10" i="8"/>
  <c r="M11" i="8" s="1"/>
  <c r="M12" i="8" s="1"/>
  <c r="M13" i="8" s="1"/>
  <c r="Q12" i="8"/>
  <c r="R12" i="8" s="1"/>
  <c r="P12" i="8"/>
  <c r="Q11" i="8"/>
  <c r="R11" i="8"/>
  <c r="P11" i="8"/>
  <c r="Q10" i="8"/>
  <c r="R10" i="8"/>
  <c r="P10" i="8"/>
  <c r="AB9" i="8"/>
  <c r="B11" i="8"/>
  <c r="B10" i="8"/>
  <c r="T499" i="6"/>
  <c r="U499" i="6"/>
  <c r="T494" i="6"/>
  <c r="U494" i="6"/>
  <c r="T489" i="6"/>
  <c r="U489" i="6"/>
  <c r="T484" i="6"/>
  <c r="U484" i="6"/>
  <c r="T479" i="6"/>
  <c r="U479" i="6"/>
  <c r="T474" i="6"/>
  <c r="U474" i="6"/>
  <c r="T469" i="6"/>
  <c r="U469" i="6"/>
  <c r="T464" i="6"/>
  <c r="U464" i="6"/>
  <c r="T459" i="6"/>
  <c r="U459" i="6"/>
  <c r="U454" i="6"/>
  <c r="T449" i="6"/>
  <c r="U449" i="6"/>
  <c r="T444" i="6"/>
  <c r="U444" i="6"/>
  <c r="T439" i="6"/>
  <c r="U439" i="6"/>
  <c r="T434" i="6"/>
  <c r="U434" i="6"/>
  <c r="T424" i="6"/>
  <c r="U424" i="6"/>
  <c r="T419" i="6"/>
  <c r="U419" i="6"/>
  <c r="T414" i="6"/>
  <c r="U414" i="6"/>
  <c r="T409" i="6"/>
  <c r="U409" i="6"/>
  <c r="T404" i="6"/>
  <c r="U404" i="6"/>
  <c r="T399" i="6"/>
  <c r="U399" i="6"/>
  <c r="T394" i="6"/>
  <c r="U394" i="6"/>
  <c r="T389" i="6"/>
  <c r="U389" i="6"/>
  <c r="T384" i="6"/>
  <c r="U384" i="6"/>
  <c r="T379" i="6"/>
  <c r="U379" i="6"/>
  <c r="T374" i="6"/>
  <c r="U374" i="6"/>
  <c r="T369" i="6"/>
  <c r="U369" i="6"/>
  <c r="T364" i="6"/>
  <c r="U364" i="6"/>
  <c r="T359" i="6"/>
  <c r="U359" i="6"/>
  <c r="T354" i="6"/>
  <c r="U354" i="6"/>
  <c r="T349" i="6"/>
  <c r="U349" i="6"/>
  <c r="T344" i="6"/>
  <c r="U344" i="6"/>
  <c r="T339" i="6"/>
  <c r="U339" i="6"/>
  <c r="T334" i="6"/>
  <c r="U334" i="6"/>
  <c r="T329" i="6"/>
  <c r="T324" i="6"/>
  <c r="U324" i="6"/>
  <c r="T319" i="6"/>
  <c r="U319" i="6"/>
  <c r="U309" i="6"/>
  <c r="T304" i="6"/>
  <c r="U304" i="6"/>
  <c r="U299" i="6"/>
  <c r="T294" i="6"/>
  <c r="U294" i="6"/>
  <c r="T289" i="6"/>
  <c r="U289" i="6"/>
  <c r="T284" i="6"/>
  <c r="U284" i="6"/>
  <c r="T279" i="6"/>
  <c r="T274" i="6"/>
  <c r="T269" i="6"/>
  <c r="U269" i="6"/>
  <c r="T264" i="6"/>
  <c r="U264" i="6"/>
  <c r="T259" i="6"/>
  <c r="U259" i="6"/>
  <c r="T254" i="6"/>
  <c r="U254" i="6"/>
  <c r="T249" i="6"/>
  <c r="U249" i="6"/>
  <c r="T244" i="6"/>
  <c r="U244" i="6"/>
  <c r="T239" i="6"/>
  <c r="U239" i="6"/>
  <c r="T234" i="6"/>
  <c r="U234" i="6"/>
  <c r="T229" i="6"/>
  <c r="T224" i="6"/>
  <c r="U224" i="6"/>
  <c r="T209" i="6"/>
  <c r="U209" i="6"/>
  <c r="T204" i="6"/>
  <c r="U204" i="6"/>
  <c r="T199" i="6"/>
  <c r="U199" i="6"/>
  <c r="T189" i="6"/>
  <c r="U189" i="6"/>
  <c r="T184" i="6"/>
  <c r="U184" i="6"/>
  <c r="T179" i="6"/>
  <c r="T174" i="6"/>
  <c r="U174" i="6"/>
  <c r="T169" i="6"/>
  <c r="U159" i="6"/>
  <c r="T154" i="6"/>
  <c r="U154" i="6"/>
  <c r="T149" i="6"/>
  <c r="U149" i="6"/>
  <c r="T144" i="6"/>
  <c r="U144" i="6"/>
  <c r="T139" i="6"/>
  <c r="U139" i="6"/>
  <c r="T134" i="6"/>
  <c r="U134" i="6"/>
  <c r="T129" i="6"/>
  <c r="T124" i="6"/>
  <c r="U124" i="6"/>
  <c r="T119" i="6"/>
  <c r="U119" i="6"/>
  <c r="T114" i="6"/>
  <c r="U114" i="6"/>
  <c r="U104" i="6"/>
  <c r="U99" i="6"/>
  <c r="T89" i="6"/>
  <c r="U89" i="6"/>
  <c r="T84" i="6"/>
  <c r="U84" i="6"/>
  <c r="T79" i="6"/>
  <c r="T74" i="6"/>
  <c r="U74" i="6"/>
  <c r="T69" i="6"/>
  <c r="T64" i="6"/>
  <c r="U64" i="6"/>
  <c r="T59" i="6"/>
  <c r="U59" i="6"/>
  <c r="T49" i="6"/>
  <c r="U49" i="6"/>
  <c r="T39" i="6"/>
  <c r="U39" i="6"/>
  <c r="T34" i="6"/>
  <c r="U34" i="6"/>
  <c r="B5" i="8"/>
  <c r="P5" i="8"/>
  <c r="Q5" i="8"/>
  <c r="R5" i="8" s="1"/>
  <c r="F5" i="8"/>
  <c r="B6" i="8"/>
  <c r="F6" i="8"/>
  <c r="P6" i="8"/>
  <c r="B503" i="8"/>
  <c r="B502" i="8"/>
  <c r="B501" i="8"/>
  <c r="B500" i="8"/>
  <c r="B498" i="8"/>
  <c r="B497" i="8"/>
  <c r="B496" i="8"/>
  <c r="B495" i="8"/>
  <c r="B493" i="8"/>
  <c r="B492" i="8"/>
  <c r="B491" i="8"/>
  <c r="B490" i="8"/>
  <c r="B488" i="8"/>
  <c r="B487" i="8"/>
  <c r="B486" i="8"/>
  <c r="B485" i="8"/>
  <c r="B483" i="8"/>
  <c r="B482" i="8"/>
  <c r="B481" i="8"/>
  <c r="B480" i="8"/>
  <c r="B478" i="8"/>
  <c r="B477" i="8"/>
  <c r="B476" i="8"/>
  <c r="B475" i="8"/>
  <c r="B473" i="8"/>
  <c r="B472" i="8"/>
  <c r="B471" i="8"/>
  <c r="B470" i="8"/>
  <c r="B468" i="8"/>
  <c r="B467" i="8"/>
  <c r="B466" i="8"/>
  <c r="B465" i="8"/>
  <c r="B463" i="8"/>
  <c r="B462" i="8"/>
  <c r="B461" i="8"/>
  <c r="B460" i="8"/>
  <c r="B458" i="8"/>
  <c r="B457" i="8"/>
  <c r="B456" i="8"/>
  <c r="B455" i="8"/>
  <c r="B453" i="8"/>
  <c r="B452" i="8"/>
  <c r="B451" i="8"/>
  <c r="B450" i="8"/>
  <c r="B448" i="8"/>
  <c r="B447" i="8"/>
  <c r="B446" i="8"/>
  <c r="B445" i="8"/>
  <c r="B443" i="8"/>
  <c r="B442" i="8"/>
  <c r="B441" i="8"/>
  <c r="B440" i="8"/>
  <c r="B438" i="8"/>
  <c r="B437" i="8"/>
  <c r="B436" i="8"/>
  <c r="B435" i="8"/>
  <c r="B433" i="8"/>
  <c r="B432" i="8"/>
  <c r="B431" i="8"/>
  <c r="B430" i="8"/>
  <c r="B428" i="8"/>
  <c r="B427" i="8"/>
  <c r="B426" i="8"/>
  <c r="B425" i="8"/>
  <c r="B423" i="8"/>
  <c r="B422" i="8"/>
  <c r="B421" i="8"/>
  <c r="B420" i="8"/>
  <c r="B418" i="8"/>
  <c r="B417" i="8"/>
  <c r="B416" i="8"/>
  <c r="B415" i="8"/>
  <c r="B413" i="8"/>
  <c r="B412" i="8"/>
  <c r="B411" i="8"/>
  <c r="B410" i="8"/>
  <c r="B408" i="8"/>
  <c r="B407" i="8"/>
  <c r="B406" i="8"/>
  <c r="B405" i="8"/>
  <c r="B403" i="8"/>
  <c r="B402" i="8"/>
  <c r="B401" i="8"/>
  <c r="B400" i="8"/>
  <c r="B398" i="8"/>
  <c r="B397" i="8"/>
  <c r="B396" i="8"/>
  <c r="B395" i="8"/>
  <c r="B393" i="8"/>
  <c r="B392" i="8"/>
  <c r="B391" i="8"/>
  <c r="B390" i="8"/>
  <c r="B388" i="8"/>
  <c r="B387" i="8"/>
  <c r="B386" i="8"/>
  <c r="B385" i="8"/>
  <c r="B383" i="8"/>
  <c r="B382" i="8"/>
  <c r="B381" i="8"/>
  <c r="B380" i="8"/>
  <c r="B378" i="8"/>
  <c r="B377" i="8"/>
  <c r="B376" i="8"/>
  <c r="B375" i="8"/>
  <c r="B373" i="8"/>
  <c r="B372" i="8"/>
  <c r="B371" i="8"/>
  <c r="B370" i="8"/>
  <c r="B368" i="8"/>
  <c r="B367" i="8"/>
  <c r="B366" i="8"/>
  <c r="B365" i="8"/>
  <c r="B363" i="8"/>
  <c r="B362" i="8"/>
  <c r="B361" i="8"/>
  <c r="B360" i="8"/>
  <c r="B358" i="8"/>
  <c r="B357" i="8"/>
  <c r="B356" i="8"/>
  <c r="B355" i="8"/>
  <c r="B353" i="8"/>
  <c r="B352" i="8"/>
  <c r="B351" i="8"/>
  <c r="B350" i="8"/>
  <c r="B348" i="8"/>
  <c r="B347" i="8"/>
  <c r="B346" i="8"/>
  <c r="B345" i="8"/>
  <c r="B343" i="8"/>
  <c r="B342" i="8"/>
  <c r="B341" i="8"/>
  <c r="B340" i="8"/>
  <c r="B338" i="8"/>
  <c r="B337" i="8"/>
  <c r="B336" i="8"/>
  <c r="B335" i="8"/>
  <c r="B333" i="8"/>
  <c r="B332" i="8"/>
  <c r="B331" i="8"/>
  <c r="B330" i="8"/>
  <c r="B328" i="8"/>
  <c r="B327" i="8"/>
  <c r="B326" i="8"/>
  <c r="B325" i="8"/>
  <c r="B323" i="8"/>
  <c r="B322" i="8"/>
  <c r="B321" i="8"/>
  <c r="B320" i="8"/>
  <c r="B318" i="8"/>
  <c r="B317" i="8"/>
  <c r="B316" i="8"/>
  <c r="B315" i="8"/>
  <c r="B313" i="8"/>
  <c r="B312" i="8"/>
  <c r="B311" i="8"/>
  <c r="B310" i="8"/>
  <c r="B308" i="8"/>
  <c r="B307" i="8"/>
  <c r="B306" i="8"/>
  <c r="B305" i="8"/>
  <c r="B303" i="8"/>
  <c r="B302" i="8"/>
  <c r="B301" i="8"/>
  <c r="B300" i="8"/>
  <c r="B298" i="8"/>
  <c r="B297" i="8"/>
  <c r="B296" i="8"/>
  <c r="B295" i="8"/>
  <c r="B293" i="8"/>
  <c r="B292" i="8"/>
  <c r="B291" i="8"/>
  <c r="B290" i="8"/>
  <c r="B288" i="8"/>
  <c r="B287" i="8"/>
  <c r="B286" i="8"/>
  <c r="B285" i="8"/>
  <c r="B283" i="8"/>
  <c r="B282" i="8"/>
  <c r="B281" i="8"/>
  <c r="B280" i="8"/>
  <c r="B278" i="8"/>
  <c r="B277" i="8"/>
  <c r="B276" i="8"/>
  <c r="B275" i="8"/>
  <c r="B273" i="8"/>
  <c r="B272" i="8"/>
  <c r="B271" i="8"/>
  <c r="B270" i="8"/>
  <c r="B268" i="8"/>
  <c r="B267" i="8"/>
  <c r="B266" i="8"/>
  <c r="B265" i="8"/>
  <c r="B263" i="8"/>
  <c r="B262" i="8"/>
  <c r="B261" i="8"/>
  <c r="B260" i="8"/>
  <c r="B258" i="8"/>
  <c r="B257" i="8"/>
  <c r="B256" i="8"/>
  <c r="B255" i="8"/>
  <c r="B253" i="8"/>
  <c r="B252" i="8"/>
  <c r="B251" i="8"/>
  <c r="B250" i="8"/>
  <c r="B248" i="8"/>
  <c r="B247" i="8"/>
  <c r="B246" i="8"/>
  <c r="B245" i="8"/>
  <c r="B243" i="8"/>
  <c r="B242" i="8"/>
  <c r="B241" i="8"/>
  <c r="B240" i="8"/>
  <c r="B238" i="8"/>
  <c r="B237" i="8"/>
  <c r="B236" i="8"/>
  <c r="B235" i="8"/>
  <c r="B233" i="8"/>
  <c r="B232" i="8"/>
  <c r="B231" i="8"/>
  <c r="B230" i="8"/>
  <c r="B228" i="8"/>
  <c r="B227" i="8"/>
  <c r="B226" i="8"/>
  <c r="B225" i="8"/>
  <c r="B223" i="8"/>
  <c r="B222" i="8"/>
  <c r="B221" i="8"/>
  <c r="B220" i="8"/>
  <c r="B218" i="8"/>
  <c r="B217" i="8"/>
  <c r="B216" i="8"/>
  <c r="B215" i="8"/>
  <c r="B213" i="8"/>
  <c r="B212" i="8"/>
  <c r="B211" i="8"/>
  <c r="B210" i="8"/>
  <c r="B208" i="8"/>
  <c r="B207" i="8"/>
  <c r="B206" i="8"/>
  <c r="B205" i="8"/>
  <c r="B203" i="8"/>
  <c r="B202" i="8"/>
  <c r="B201" i="8"/>
  <c r="B200" i="8"/>
  <c r="B198" i="8"/>
  <c r="B197" i="8"/>
  <c r="B196" i="8"/>
  <c r="B195" i="8"/>
  <c r="B193" i="8"/>
  <c r="B192" i="8"/>
  <c r="B191" i="8"/>
  <c r="B190" i="8"/>
  <c r="B188" i="8"/>
  <c r="B187" i="8"/>
  <c r="B186" i="8"/>
  <c r="B185" i="8"/>
  <c r="B183" i="8"/>
  <c r="B182" i="8"/>
  <c r="B181" i="8"/>
  <c r="B180" i="8"/>
  <c r="B178" i="8"/>
  <c r="B177" i="8"/>
  <c r="B176" i="8"/>
  <c r="B175" i="8"/>
  <c r="B173" i="8"/>
  <c r="B172" i="8"/>
  <c r="B171" i="8"/>
  <c r="B170" i="8"/>
  <c r="B168" i="8"/>
  <c r="B167" i="8"/>
  <c r="B166" i="8"/>
  <c r="B165" i="8"/>
  <c r="B163" i="8"/>
  <c r="B162" i="8"/>
  <c r="B161" i="8"/>
  <c r="B160" i="8"/>
  <c r="B158" i="8"/>
  <c r="B157" i="8"/>
  <c r="B156" i="8"/>
  <c r="B155" i="8"/>
  <c r="B153" i="8"/>
  <c r="B152" i="8"/>
  <c r="B151" i="8"/>
  <c r="B150" i="8"/>
  <c r="B148" i="8"/>
  <c r="B147" i="8"/>
  <c r="B146" i="8"/>
  <c r="B145" i="8"/>
  <c r="B143" i="8"/>
  <c r="B142" i="8"/>
  <c r="B141" i="8"/>
  <c r="B140" i="8"/>
  <c r="B138" i="8"/>
  <c r="B137" i="8"/>
  <c r="B136" i="8"/>
  <c r="B135" i="8"/>
  <c r="B133" i="8"/>
  <c r="B132" i="8"/>
  <c r="B131" i="8"/>
  <c r="B130" i="8"/>
  <c r="B128" i="8"/>
  <c r="B127" i="8"/>
  <c r="B126" i="8"/>
  <c r="B125" i="8"/>
  <c r="B123" i="8"/>
  <c r="B122" i="8"/>
  <c r="B121" i="8"/>
  <c r="B120" i="8"/>
  <c r="B118" i="8"/>
  <c r="B117" i="8"/>
  <c r="B116" i="8"/>
  <c r="B115" i="8"/>
  <c r="B113" i="8"/>
  <c r="B112" i="8"/>
  <c r="B111" i="8"/>
  <c r="B110" i="8"/>
  <c r="B108" i="8"/>
  <c r="B107" i="8"/>
  <c r="B106" i="8"/>
  <c r="B105" i="8"/>
  <c r="B103" i="8"/>
  <c r="B102" i="8"/>
  <c r="B101" i="8"/>
  <c r="B100" i="8"/>
  <c r="B98" i="8"/>
  <c r="B97" i="8"/>
  <c r="B96" i="8"/>
  <c r="B95" i="8"/>
  <c r="B93" i="8"/>
  <c r="B92" i="8"/>
  <c r="B91" i="8"/>
  <c r="B90" i="8"/>
  <c r="B88" i="8"/>
  <c r="B87" i="8"/>
  <c r="B86" i="8"/>
  <c r="B85" i="8"/>
  <c r="B83" i="8"/>
  <c r="B82" i="8"/>
  <c r="B81" i="8"/>
  <c r="B80" i="8"/>
  <c r="B78" i="8"/>
  <c r="B77" i="8"/>
  <c r="B76" i="8"/>
  <c r="B75" i="8"/>
  <c r="B73" i="8"/>
  <c r="B72" i="8"/>
  <c r="B71" i="8"/>
  <c r="B70" i="8"/>
  <c r="B68" i="8"/>
  <c r="B67" i="8"/>
  <c r="B66" i="8"/>
  <c r="B65" i="8"/>
  <c r="B63" i="8"/>
  <c r="B62" i="8"/>
  <c r="B61" i="8"/>
  <c r="B60" i="8"/>
  <c r="B58" i="8"/>
  <c r="B57" i="8"/>
  <c r="B56" i="8"/>
  <c r="B55" i="8"/>
  <c r="B53" i="8"/>
  <c r="B52" i="8"/>
  <c r="B51" i="8"/>
  <c r="B50" i="8"/>
  <c r="B48" i="8"/>
  <c r="B47" i="8"/>
  <c r="B46" i="8"/>
  <c r="B45" i="8"/>
  <c r="B43" i="8"/>
  <c r="B42" i="8"/>
  <c r="B41" i="8"/>
  <c r="B40" i="8"/>
  <c r="B38" i="8"/>
  <c r="B37" i="8"/>
  <c r="B36" i="8"/>
  <c r="B35" i="8"/>
  <c r="B33" i="8"/>
  <c r="B32" i="8"/>
  <c r="B31" i="8"/>
  <c r="B30" i="8"/>
  <c r="B28" i="8"/>
  <c r="B27" i="8"/>
  <c r="B26" i="8"/>
  <c r="B23" i="8"/>
  <c r="B22" i="8"/>
  <c r="B21" i="8"/>
  <c r="B18" i="8"/>
  <c r="B13" i="8"/>
  <c r="B12" i="8"/>
  <c r="B8" i="8"/>
  <c r="B7" i="8"/>
  <c r="L5" i="8"/>
  <c r="L6" i="8"/>
  <c r="L7" i="8"/>
  <c r="L8" i="8"/>
  <c r="Q8" i="8"/>
  <c r="R8" i="8" s="1"/>
  <c r="Q7" i="8"/>
  <c r="R7" i="8" s="1"/>
  <c r="Q6" i="8"/>
  <c r="R6" i="8"/>
  <c r="L500" i="6"/>
  <c r="N500" i="6" s="1"/>
  <c r="M500" i="6"/>
  <c r="L501" i="6"/>
  <c r="M501" i="6"/>
  <c r="N501" i="6"/>
  <c r="L502" i="6"/>
  <c r="M502" i="6"/>
  <c r="N502" i="6"/>
  <c r="L503" i="6"/>
  <c r="N503" i="6" s="1"/>
  <c r="M503" i="6"/>
  <c r="D102" i="7"/>
  <c r="I499" i="6"/>
  <c r="J499" i="6"/>
  <c r="K499" i="6"/>
  <c r="N499" i="6"/>
  <c r="O499" i="6"/>
  <c r="C102" i="7"/>
  <c r="L495" i="6"/>
  <c r="M495" i="6"/>
  <c r="L496" i="6"/>
  <c r="M496" i="6"/>
  <c r="N496" i="6" s="1"/>
  <c r="L497" i="6"/>
  <c r="M497" i="6"/>
  <c r="L498" i="6"/>
  <c r="N498" i="6" s="1"/>
  <c r="M498" i="6"/>
  <c r="D101" i="7"/>
  <c r="I494" i="6"/>
  <c r="J494" i="6"/>
  <c r="K494" i="6"/>
  <c r="N494" i="6"/>
  <c r="C101" i="7"/>
  <c r="L490" i="6"/>
  <c r="M490" i="6"/>
  <c r="N490" i="6"/>
  <c r="L491" i="6"/>
  <c r="N491" i="6" s="1"/>
  <c r="M491" i="6"/>
  <c r="L492" i="6"/>
  <c r="M492" i="6"/>
  <c r="N492" i="6"/>
  <c r="L493" i="6"/>
  <c r="N493" i="6" s="1"/>
  <c r="O489" i="6" s="1"/>
  <c r="M493" i="6"/>
  <c r="D100" i="7"/>
  <c r="I489" i="6"/>
  <c r="J489" i="6"/>
  <c r="K489" i="6"/>
  <c r="N489" i="6"/>
  <c r="C100" i="7"/>
  <c r="L485" i="6"/>
  <c r="M485" i="6"/>
  <c r="N485" i="6"/>
  <c r="L486" i="6"/>
  <c r="N486" i="6" s="1"/>
  <c r="M486" i="6"/>
  <c r="L487" i="6"/>
  <c r="M487" i="6"/>
  <c r="N487" i="6"/>
  <c r="L488" i="6"/>
  <c r="M488" i="6"/>
  <c r="D99" i="7"/>
  <c r="I484" i="6"/>
  <c r="J484" i="6"/>
  <c r="K484" i="6"/>
  <c r="N484" i="6"/>
  <c r="C99" i="7"/>
  <c r="L480" i="6"/>
  <c r="M480" i="6"/>
  <c r="N480" i="6"/>
  <c r="L481" i="6"/>
  <c r="N481" i="6" s="1"/>
  <c r="M481" i="6"/>
  <c r="L482" i="6"/>
  <c r="N482" i="6" s="1"/>
  <c r="M482" i="6"/>
  <c r="L483" i="6"/>
  <c r="N483" i="6" s="1"/>
  <c r="M483" i="6"/>
  <c r="D98" i="7"/>
  <c r="I479" i="6"/>
  <c r="J479" i="6"/>
  <c r="K479" i="6"/>
  <c r="N479" i="6"/>
  <c r="C98" i="7"/>
  <c r="L475" i="6"/>
  <c r="N475" i="6" s="1"/>
  <c r="M475" i="6"/>
  <c r="L476" i="6"/>
  <c r="M476" i="6"/>
  <c r="N476" i="6"/>
  <c r="L477" i="6"/>
  <c r="M477" i="6"/>
  <c r="L478" i="6"/>
  <c r="M478" i="6"/>
  <c r="N478" i="6"/>
  <c r="D97" i="7"/>
  <c r="I474" i="6"/>
  <c r="J474" i="6"/>
  <c r="K474" i="6"/>
  <c r="N474" i="6"/>
  <c r="C97" i="7"/>
  <c r="L470" i="6"/>
  <c r="M470" i="6"/>
  <c r="N470" i="6"/>
  <c r="L471" i="6"/>
  <c r="M471" i="6"/>
  <c r="N471" i="6"/>
  <c r="L472" i="6"/>
  <c r="N472" i="6" s="1"/>
  <c r="M472" i="6"/>
  <c r="L473" i="6"/>
  <c r="M473" i="6"/>
  <c r="N473" i="6"/>
  <c r="D96" i="7"/>
  <c r="I469" i="6"/>
  <c r="J469" i="6"/>
  <c r="K469" i="6"/>
  <c r="N469" i="6"/>
  <c r="C96" i="7"/>
  <c r="L465" i="6"/>
  <c r="M465" i="6"/>
  <c r="N465" i="6"/>
  <c r="L466" i="6"/>
  <c r="N466" i="6" s="1"/>
  <c r="M466" i="6"/>
  <c r="L467" i="6"/>
  <c r="M467" i="6"/>
  <c r="N467" i="6"/>
  <c r="L468" i="6"/>
  <c r="N468" i="6" s="1"/>
  <c r="M468" i="6"/>
  <c r="D95" i="7"/>
  <c r="I464" i="6"/>
  <c r="J464" i="6"/>
  <c r="K464" i="6"/>
  <c r="N464" i="6"/>
  <c r="C95" i="7"/>
  <c r="L460" i="6"/>
  <c r="N460" i="6" s="1"/>
  <c r="M460" i="6"/>
  <c r="L461" i="6"/>
  <c r="N461" i="6" s="1"/>
  <c r="M461" i="6"/>
  <c r="L462" i="6"/>
  <c r="M462" i="6"/>
  <c r="N462" i="6" s="1"/>
  <c r="O459" i="6" s="1"/>
  <c r="L463" i="6"/>
  <c r="M463" i="6"/>
  <c r="N463" i="6"/>
  <c r="D94" i="7"/>
  <c r="I459" i="6"/>
  <c r="J459" i="6"/>
  <c r="K459" i="6"/>
  <c r="N459" i="6"/>
  <c r="C94" i="7"/>
  <c r="L455" i="6"/>
  <c r="M455" i="6"/>
  <c r="N455" i="6"/>
  <c r="L456" i="6"/>
  <c r="M456" i="6"/>
  <c r="N456" i="6" s="1"/>
  <c r="O454" i="6" s="1"/>
  <c r="L457" i="6"/>
  <c r="M457" i="6"/>
  <c r="N457" i="6"/>
  <c r="L458" i="6"/>
  <c r="M458" i="6"/>
  <c r="N458" i="6"/>
  <c r="D93" i="7"/>
  <c r="I454" i="6"/>
  <c r="J454" i="6"/>
  <c r="K454" i="6"/>
  <c r="N454" i="6"/>
  <c r="C93" i="7"/>
  <c r="L450" i="6"/>
  <c r="M450" i="6"/>
  <c r="N450" i="6"/>
  <c r="L451" i="6"/>
  <c r="M451" i="6"/>
  <c r="N451" i="6"/>
  <c r="L452" i="6"/>
  <c r="N452" i="6" s="1"/>
  <c r="M452" i="6"/>
  <c r="L453" i="6"/>
  <c r="N453" i="6" s="1"/>
  <c r="M453" i="6"/>
  <c r="D92" i="7"/>
  <c r="I449" i="6"/>
  <c r="J449" i="6"/>
  <c r="K449" i="6"/>
  <c r="N449" i="6"/>
  <c r="O449" i="6"/>
  <c r="C92" i="7"/>
  <c r="L445" i="6"/>
  <c r="N445" i="6" s="1"/>
  <c r="M445" i="6"/>
  <c r="L446" i="6"/>
  <c r="M446" i="6"/>
  <c r="L447" i="6"/>
  <c r="N447" i="6" s="1"/>
  <c r="M447" i="6"/>
  <c r="L448" i="6"/>
  <c r="M448" i="6"/>
  <c r="N448" i="6"/>
  <c r="D91" i="7"/>
  <c r="I444" i="6"/>
  <c r="J444" i="6"/>
  <c r="K444" i="6"/>
  <c r="N444" i="6"/>
  <c r="C91" i="7"/>
  <c r="L440" i="6"/>
  <c r="M440" i="6"/>
  <c r="L441" i="6"/>
  <c r="M441" i="6"/>
  <c r="N441" i="6" s="1"/>
  <c r="L442" i="6"/>
  <c r="M442" i="6"/>
  <c r="N442" i="6"/>
  <c r="L443" i="6"/>
  <c r="N443" i="6" s="1"/>
  <c r="M443" i="6"/>
  <c r="D90" i="7"/>
  <c r="I439" i="6"/>
  <c r="J439" i="6"/>
  <c r="K439" i="6"/>
  <c r="N439" i="6"/>
  <c r="C90" i="7"/>
  <c r="L435" i="6"/>
  <c r="M435" i="6"/>
  <c r="N435" i="6"/>
  <c r="L436" i="6"/>
  <c r="M436" i="6"/>
  <c r="N436" i="6"/>
  <c r="L437" i="6"/>
  <c r="N437" i="6" s="1"/>
  <c r="M437" i="6"/>
  <c r="L438" i="6"/>
  <c r="M438" i="6"/>
  <c r="N438" i="6" s="1"/>
  <c r="D89" i="7"/>
  <c r="I434" i="6"/>
  <c r="J434" i="6"/>
  <c r="K434" i="6"/>
  <c r="N434" i="6"/>
  <c r="C89" i="7"/>
  <c r="L430" i="6"/>
  <c r="M430" i="6"/>
  <c r="N430" i="6"/>
  <c r="L431" i="6"/>
  <c r="N431" i="6" s="1"/>
  <c r="M431" i="6"/>
  <c r="L432" i="6"/>
  <c r="M432" i="6"/>
  <c r="N432" i="6"/>
  <c r="L433" i="6"/>
  <c r="M433" i="6"/>
  <c r="N433" i="6"/>
  <c r="D88" i="7"/>
  <c r="I429" i="6"/>
  <c r="J429" i="6"/>
  <c r="K429" i="6"/>
  <c r="N429" i="6"/>
  <c r="C88" i="7"/>
  <c r="L425" i="6"/>
  <c r="M425" i="6"/>
  <c r="N425" i="6"/>
  <c r="L426" i="6"/>
  <c r="M426" i="6"/>
  <c r="L427" i="6"/>
  <c r="N427" i="6" s="1"/>
  <c r="M427" i="6"/>
  <c r="L428" i="6"/>
  <c r="M428" i="6"/>
  <c r="D87" i="7"/>
  <c r="I424" i="6"/>
  <c r="J424" i="6"/>
  <c r="K424" i="6"/>
  <c r="N424" i="6"/>
  <c r="C87" i="7"/>
  <c r="L420" i="6"/>
  <c r="M420" i="6"/>
  <c r="L421" i="6"/>
  <c r="M421" i="6"/>
  <c r="N421" i="6" s="1"/>
  <c r="L422" i="6"/>
  <c r="M422" i="6"/>
  <c r="N422" i="6" s="1"/>
  <c r="L423" i="6"/>
  <c r="N423" i="6" s="1"/>
  <c r="M423" i="6"/>
  <c r="D86" i="7"/>
  <c r="I419" i="6"/>
  <c r="J419" i="6"/>
  <c r="K419" i="6"/>
  <c r="N419" i="6"/>
  <c r="C86" i="7"/>
  <c r="L415" i="6"/>
  <c r="N415" i="6" s="1"/>
  <c r="M415" i="6"/>
  <c r="L416" i="6"/>
  <c r="M416" i="6"/>
  <c r="N416" i="6"/>
  <c r="L417" i="6"/>
  <c r="M417" i="6"/>
  <c r="N417" i="6"/>
  <c r="L418" i="6"/>
  <c r="M418" i="6"/>
  <c r="N418" i="6"/>
  <c r="D85" i="7"/>
  <c r="I414" i="6"/>
  <c r="J414" i="6"/>
  <c r="K414" i="6"/>
  <c r="N414" i="6"/>
  <c r="C85" i="7"/>
  <c r="L410" i="6"/>
  <c r="M410" i="6"/>
  <c r="N410" i="6"/>
  <c r="L411" i="6"/>
  <c r="N411" i="6" s="1"/>
  <c r="M411" i="6"/>
  <c r="L412" i="6"/>
  <c r="M412" i="6"/>
  <c r="L413" i="6"/>
  <c r="N413" i="6" s="1"/>
  <c r="M413" i="6"/>
  <c r="D84" i="7"/>
  <c r="I409" i="6"/>
  <c r="J409" i="6"/>
  <c r="K409" i="6"/>
  <c r="N409" i="6"/>
  <c r="C84" i="7"/>
  <c r="L405" i="6"/>
  <c r="M405" i="6"/>
  <c r="L406" i="6"/>
  <c r="M406" i="6"/>
  <c r="N406" i="6" s="1"/>
  <c r="L407" i="6"/>
  <c r="M407" i="6"/>
  <c r="N407" i="6"/>
  <c r="L408" i="6"/>
  <c r="M408" i="6"/>
  <c r="N408" i="6" s="1"/>
  <c r="D83" i="7"/>
  <c r="I404" i="6"/>
  <c r="J404" i="6"/>
  <c r="K404" i="6"/>
  <c r="N404" i="6"/>
  <c r="C83" i="7"/>
  <c r="L400" i="6"/>
  <c r="M400" i="6"/>
  <c r="N400" i="6" s="1"/>
  <c r="O399" i="6" s="1"/>
  <c r="L401" i="6"/>
  <c r="M401" i="6"/>
  <c r="N401" i="6"/>
  <c r="L402" i="6"/>
  <c r="N402" i="6" s="1"/>
  <c r="M402" i="6"/>
  <c r="L403" i="6"/>
  <c r="N403" i="6" s="1"/>
  <c r="M403" i="6"/>
  <c r="D82" i="7"/>
  <c r="I399" i="6"/>
  <c r="J399" i="6"/>
  <c r="K399" i="6"/>
  <c r="N399" i="6"/>
  <c r="C82" i="7"/>
  <c r="L395" i="6"/>
  <c r="N395" i="6" s="1"/>
  <c r="M395" i="6"/>
  <c r="L396" i="6"/>
  <c r="M396" i="6"/>
  <c r="N396" i="6"/>
  <c r="L397" i="6"/>
  <c r="M397" i="6"/>
  <c r="L398" i="6"/>
  <c r="M398" i="6"/>
  <c r="D81" i="7"/>
  <c r="I394" i="6"/>
  <c r="J394" i="6"/>
  <c r="K394" i="6"/>
  <c r="N394" i="6"/>
  <c r="C81" i="7"/>
  <c r="L390" i="6"/>
  <c r="M390" i="6"/>
  <c r="N390" i="6"/>
  <c r="L391" i="6"/>
  <c r="N391" i="6" s="1"/>
  <c r="M391" i="6"/>
  <c r="L392" i="6"/>
  <c r="M392" i="6"/>
  <c r="N392" i="6" s="1"/>
  <c r="L393" i="6"/>
  <c r="N393" i="6" s="1"/>
  <c r="M393" i="6"/>
  <c r="D80" i="7"/>
  <c r="I389" i="6"/>
  <c r="J389" i="6"/>
  <c r="K389" i="6"/>
  <c r="N389" i="6"/>
  <c r="C80" i="7"/>
  <c r="L385" i="6"/>
  <c r="M385" i="6"/>
  <c r="N385" i="6"/>
  <c r="L386" i="6"/>
  <c r="M386" i="6"/>
  <c r="N386" i="6"/>
  <c r="L387" i="6"/>
  <c r="N387" i="6" s="1"/>
  <c r="M387" i="6"/>
  <c r="L388" i="6"/>
  <c r="M388" i="6"/>
  <c r="D79" i="7"/>
  <c r="I384" i="6"/>
  <c r="J384" i="6"/>
  <c r="K384" i="6"/>
  <c r="N384" i="6"/>
  <c r="C79" i="7"/>
  <c r="L380" i="6"/>
  <c r="M380" i="6"/>
  <c r="L381" i="6"/>
  <c r="N381" i="6" s="1"/>
  <c r="M381" i="6"/>
  <c r="L382" i="6"/>
  <c r="M382" i="6"/>
  <c r="N382" i="6"/>
  <c r="L383" i="6"/>
  <c r="M383" i="6"/>
  <c r="N383" i="6"/>
  <c r="D78" i="7"/>
  <c r="I379" i="6"/>
  <c r="J379" i="6"/>
  <c r="K379" i="6"/>
  <c r="N379" i="6"/>
  <c r="C78" i="7"/>
  <c r="L375" i="6"/>
  <c r="N375" i="6" s="1"/>
  <c r="M375" i="6"/>
  <c r="L376" i="6"/>
  <c r="M376" i="6"/>
  <c r="N376" i="6" s="1"/>
  <c r="L377" i="6"/>
  <c r="M377" i="6"/>
  <c r="N377" i="6"/>
  <c r="L378" i="6"/>
  <c r="M378" i="6"/>
  <c r="N378" i="6"/>
  <c r="D77" i="7"/>
  <c r="I374" i="6"/>
  <c r="J374" i="6"/>
  <c r="K374" i="6"/>
  <c r="N374" i="6"/>
  <c r="C77" i="7"/>
  <c r="L370" i="6"/>
  <c r="M370" i="6"/>
  <c r="N370" i="6" s="1"/>
  <c r="L371" i="6"/>
  <c r="M371" i="6"/>
  <c r="N371" i="6"/>
  <c r="L372" i="6"/>
  <c r="M372" i="6"/>
  <c r="N372" i="6"/>
  <c r="L373" i="6"/>
  <c r="M373" i="6"/>
  <c r="N373" i="6"/>
  <c r="D76" i="7"/>
  <c r="I369" i="6"/>
  <c r="J369" i="6"/>
  <c r="K369" i="6"/>
  <c r="N369" i="6"/>
  <c r="C76" i="7"/>
  <c r="L365" i="6"/>
  <c r="M365" i="6"/>
  <c r="N365" i="6"/>
  <c r="L366" i="6"/>
  <c r="N366" i="6" s="1"/>
  <c r="M366" i="6"/>
  <c r="L367" i="6"/>
  <c r="M367" i="6"/>
  <c r="N367" i="6" s="1"/>
  <c r="L368" i="6"/>
  <c r="M368" i="6"/>
  <c r="N368" i="6"/>
  <c r="D75" i="7"/>
  <c r="I364" i="6"/>
  <c r="J364" i="6"/>
  <c r="K364" i="6"/>
  <c r="N364" i="6"/>
  <c r="C75" i="7"/>
  <c r="L360" i="6"/>
  <c r="N360" i="6" s="1"/>
  <c r="M360" i="6"/>
  <c r="L361" i="6"/>
  <c r="M361" i="6"/>
  <c r="N361" i="6"/>
  <c r="L362" i="6"/>
  <c r="N362" i="6" s="1"/>
  <c r="M362" i="6"/>
  <c r="L363" i="6"/>
  <c r="N363" i="6" s="1"/>
  <c r="M363" i="6"/>
  <c r="D74" i="7"/>
  <c r="I359" i="6"/>
  <c r="J359" i="6"/>
  <c r="K359" i="6"/>
  <c r="N359" i="6"/>
  <c r="C74" i="7"/>
  <c r="L355" i="6"/>
  <c r="M355" i="6"/>
  <c r="N355" i="6"/>
  <c r="L356" i="6"/>
  <c r="M356" i="6"/>
  <c r="N356" i="6"/>
  <c r="L357" i="6"/>
  <c r="M357" i="6"/>
  <c r="L358" i="6"/>
  <c r="N358" i="6" s="1"/>
  <c r="M358" i="6"/>
  <c r="D73" i="7"/>
  <c r="I354" i="6"/>
  <c r="J354" i="6"/>
  <c r="K354" i="6"/>
  <c r="N354" i="6"/>
  <c r="C73" i="7"/>
  <c r="L350" i="6"/>
  <c r="M350" i="6"/>
  <c r="N350" i="6"/>
  <c r="L351" i="6"/>
  <c r="M351" i="6"/>
  <c r="L352" i="6"/>
  <c r="M352" i="6"/>
  <c r="N352" i="6"/>
  <c r="L353" i="6"/>
  <c r="M353" i="6"/>
  <c r="N353" i="6" s="1"/>
  <c r="D72" i="7"/>
  <c r="I349" i="6"/>
  <c r="J349" i="6"/>
  <c r="K349" i="6"/>
  <c r="N349" i="6"/>
  <c r="C72" i="7"/>
  <c r="L345" i="6"/>
  <c r="M345" i="6"/>
  <c r="N345" i="6"/>
  <c r="L346" i="6"/>
  <c r="N346" i="6" s="1"/>
  <c r="M346" i="6"/>
  <c r="L347" i="6"/>
  <c r="M347" i="6"/>
  <c r="N347" i="6"/>
  <c r="L348" i="6"/>
  <c r="M348" i="6"/>
  <c r="N348" i="6"/>
  <c r="D71" i="7"/>
  <c r="I344" i="6"/>
  <c r="J344" i="6"/>
  <c r="K344" i="6"/>
  <c r="N344" i="6"/>
  <c r="C71" i="7"/>
  <c r="L340" i="6"/>
  <c r="N340" i="6" s="1"/>
  <c r="M340" i="6"/>
  <c r="L341" i="6"/>
  <c r="M341" i="6"/>
  <c r="N341" i="6"/>
  <c r="L342" i="6"/>
  <c r="N342" i="6" s="1"/>
  <c r="M342" i="6"/>
  <c r="L343" i="6"/>
  <c r="N343" i="6" s="1"/>
  <c r="M343" i="6"/>
  <c r="D70" i="7"/>
  <c r="I339" i="6"/>
  <c r="J339" i="6"/>
  <c r="K339" i="6"/>
  <c r="N339" i="6"/>
  <c r="C70" i="7"/>
  <c r="L335" i="6"/>
  <c r="M335" i="6"/>
  <c r="N335" i="6"/>
  <c r="L336" i="6"/>
  <c r="M336" i="6"/>
  <c r="N336" i="6"/>
  <c r="L337" i="6"/>
  <c r="M337" i="6"/>
  <c r="N337" i="6" s="1"/>
  <c r="L338" i="6"/>
  <c r="M338" i="6"/>
  <c r="N338" i="6" s="1"/>
  <c r="D69" i="7"/>
  <c r="I334" i="6"/>
  <c r="J334" i="6"/>
  <c r="K334" i="6"/>
  <c r="N334" i="6"/>
  <c r="C69" i="7"/>
  <c r="L330" i="6"/>
  <c r="N330" i="6" s="1"/>
  <c r="M330" i="6"/>
  <c r="L331" i="6"/>
  <c r="N331" i="6" s="1"/>
  <c r="M331" i="6"/>
  <c r="L332" i="6"/>
  <c r="M332" i="6"/>
  <c r="N332" i="6"/>
  <c r="L333" i="6"/>
  <c r="N333" i="6" s="1"/>
  <c r="M333" i="6"/>
  <c r="D68" i="7"/>
  <c r="I329" i="6"/>
  <c r="J329" i="6"/>
  <c r="K329" i="6"/>
  <c r="N329" i="6"/>
  <c r="C68" i="7"/>
  <c r="L325" i="6"/>
  <c r="M325" i="6"/>
  <c r="N325" i="6"/>
  <c r="L326" i="6"/>
  <c r="N326" i="6" s="1"/>
  <c r="M326" i="6"/>
  <c r="L327" i="6"/>
  <c r="M327" i="6"/>
  <c r="N327" i="6"/>
  <c r="L328" i="6"/>
  <c r="M328" i="6"/>
  <c r="N328" i="6"/>
  <c r="D67" i="7"/>
  <c r="I324" i="6"/>
  <c r="J324" i="6"/>
  <c r="K324" i="6"/>
  <c r="N324" i="6"/>
  <c r="C67" i="7"/>
  <c r="L320" i="6"/>
  <c r="N320" i="6" s="1"/>
  <c r="M320" i="6"/>
  <c r="L321" i="6"/>
  <c r="M321" i="6"/>
  <c r="N321" i="6" s="1"/>
  <c r="L322" i="6"/>
  <c r="M322" i="6"/>
  <c r="N322" i="6" s="1"/>
  <c r="L323" i="6"/>
  <c r="M323" i="6"/>
  <c r="N323" i="6"/>
  <c r="D66" i="7"/>
  <c r="I319" i="6"/>
  <c r="J319" i="6"/>
  <c r="K319" i="6"/>
  <c r="N319" i="6"/>
  <c r="C66" i="7"/>
  <c r="L315" i="6"/>
  <c r="M315" i="6"/>
  <c r="N315" i="6" s="1"/>
  <c r="L316" i="6"/>
  <c r="N316" i="6" s="1"/>
  <c r="M316" i="6"/>
  <c r="L317" i="6"/>
  <c r="N317" i="6" s="1"/>
  <c r="M317" i="6"/>
  <c r="L318" i="6"/>
  <c r="M318" i="6"/>
  <c r="N318" i="6"/>
  <c r="D65" i="7"/>
  <c r="I314" i="6"/>
  <c r="J314" i="6"/>
  <c r="K314" i="6"/>
  <c r="N314" i="6"/>
  <c r="O314" i="6"/>
  <c r="C65" i="7"/>
  <c r="L310" i="6"/>
  <c r="N310" i="6" s="1"/>
  <c r="O309" i="6" s="1"/>
  <c r="M310" i="6"/>
  <c r="L311" i="6"/>
  <c r="M311" i="6"/>
  <c r="N311" i="6"/>
  <c r="L312" i="6"/>
  <c r="N312" i="6" s="1"/>
  <c r="M312" i="6"/>
  <c r="L313" i="6"/>
  <c r="N313" i="6" s="1"/>
  <c r="M313" i="6"/>
  <c r="D64" i="7"/>
  <c r="I309" i="6"/>
  <c r="J309" i="6"/>
  <c r="K309" i="6"/>
  <c r="N309" i="6"/>
  <c r="C64" i="7"/>
  <c r="L305" i="6"/>
  <c r="M305" i="6"/>
  <c r="N305" i="6"/>
  <c r="L306" i="6"/>
  <c r="N306" i="6" s="1"/>
  <c r="M306" i="6"/>
  <c r="L307" i="6"/>
  <c r="M307" i="6"/>
  <c r="N307" i="6"/>
  <c r="L308" i="6"/>
  <c r="M308" i="6"/>
  <c r="N308" i="6" s="1"/>
  <c r="D63" i="7"/>
  <c r="I304" i="6"/>
  <c r="J304" i="6"/>
  <c r="K304" i="6"/>
  <c r="N304" i="6"/>
  <c r="C63" i="7"/>
  <c r="L300" i="6"/>
  <c r="N300" i="6" s="1"/>
  <c r="M300" i="6"/>
  <c r="L301" i="6"/>
  <c r="M301" i="6"/>
  <c r="N301" i="6"/>
  <c r="L302" i="6"/>
  <c r="M302" i="6"/>
  <c r="L303" i="6"/>
  <c r="M303" i="6"/>
  <c r="N303" i="6"/>
  <c r="D62" i="7"/>
  <c r="I299" i="6"/>
  <c r="J299" i="6"/>
  <c r="K299" i="6"/>
  <c r="N299" i="6"/>
  <c r="C62" i="7"/>
  <c r="L295" i="6"/>
  <c r="N295" i="6" s="1"/>
  <c r="M295" i="6"/>
  <c r="L296" i="6"/>
  <c r="M296" i="6"/>
  <c r="N296" i="6" s="1"/>
  <c r="L297" i="6"/>
  <c r="M297" i="6"/>
  <c r="N297" i="6"/>
  <c r="L298" i="6"/>
  <c r="M298" i="6"/>
  <c r="D61" i="7"/>
  <c r="I294" i="6"/>
  <c r="J294" i="6"/>
  <c r="K294" i="6"/>
  <c r="N294" i="6"/>
  <c r="C61" i="7"/>
  <c r="L290" i="6"/>
  <c r="M290" i="6"/>
  <c r="N290" i="6"/>
  <c r="L291" i="6"/>
  <c r="N291" i="6" s="1"/>
  <c r="M291" i="6"/>
  <c r="L292" i="6"/>
  <c r="M292" i="6"/>
  <c r="N292" i="6"/>
  <c r="L293" i="6"/>
  <c r="M293" i="6"/>
  <c r="N293" i="6"/>
  <c r="D60" i="7"/>
  <c r="I289" i="6"/>
  <c r="J289" i="6"/>
  <c r="K289" i="6"/>
  <c r="N289" i="6"/>
  <c r="C60" i="7"/>
  <c r="L285" i="6"/>
  <c r="M285" i="6"/>
  <c r="L286" i="6"/>
  <c r="M286" i="6"/>
  <c r="N286" i="6"/>
  <c r="L287" i="6"/>
  <c r="M287" i="6"/>
  <c r="N287" i="6" s="1"/>
  <c r="L288" i="6"/>
  <c r="M288" i="6"/>
  <c r="N288" i="6"/>
  <c r="D59" i="7"/>
  <c r="I284" i="6"/>
  <c r="J284" i="6"/>
  <c r="K284" i="6"/>
  <c r="N284" i="6"/>
  <c r="C59" i="7"/>
  <c r="L280" i="6"/>
  <c r="N280" i="6" s="1"/>
  <c r="M280" i="6"/>
  <c r="L281" i="6"/>
  <c r="M281" i="6"/>
  <c r="N281" i="6" s="1"/>
  <c r="L282" i="6"/>
  <c r="M282" i="6"/>
  <c r="N282" i="6"/>
  <c r="L283" i="6"/>
  <c r="M283" i="6"/>
  <c r="N283" i="6"/>
  <c r="D58" i="7"/>
  <c r="I279" i="6"/>
  <c r="J279" i="6"/>
  <c r="K279" i="6"/>
  <c r="N279" i="6"/>
  <c r="C58" i="7"/>
  <c r="L275" i="6"/>
  <c r="M275" i="6"/>
  <c r="N275" i="6"/>
  <c r="L276" i="6"/>
  <c r="N276" i="6" s="1"/>
  <c r="M276" i="6"/>
  <c r="L277" i="6"/>
  <c r="N277" i="6" s="1"/>
  <c r="M277" i="6"/>
  <c r="L278" i="6"/>
  <c r="M278" i="6"/>
  <c r="N278" i="6" s="1"/>
  <c r="D57" i="7"/>
  <c r="I274" i="6"/>
  <c r="J274" i="6"/>
  <c r="K274" i="6"/>
  <c r="N274" i="6"/>
  <c r="C57" i="7"/>
  <c r="L270" i="6"/>
  <c r="M270" i="6"/>
  <c r="N270" i="6"/>
  <c r="L271" i="6"/>
  <c r="M271" i="6"/>
  <c r="L272" i="6"/>
  <c r="N272" i="6" s="1"/>
  <c r="M272" i="6"/>
  <c r="L273" i="6"/>
  <c r="M273" i="6"/>
  <c r="N273" i="6" s="1"/>
  <c r="D56" i="7"/>
  <c r="I269" i="6"/>
  <c r="J269" i="6"/>
  <c r="K269" i="6"/>
  <c r="N269" i="6"/>
  <c r="C56" i="7"/>
  <c r="L265" i="6"/>
  <c r="M265" i="6"/>
  <c r="N265" i="6"/>
  <c r="L266" i="6"/>
  <c r="M266" i="6"/>
  <c r="N266" i="6" s="1"/>
  <c r="L267" i="6"/>
  <c r="M267" i="6"/>
  <c r="N267" i="6" s="1"/>
  <c r="L268" i="6"/>
  <c r="M268" i="6"/>
  <c r="N268" i="6"/>
  <c r="D55" i="7"/>
  <c r="I264" i="6"/>
  <c r="J264" i="6"/>
  <c r="K264" i="6"/>
  <c r="N264" i="6"/>
  <c r="C55" i="7"/>
  <c r="L260" i="6"/>
  <c r="N260" i="6" s="1"/>
  <c r="M260" i="6"/>
  <c r="L261" i="6"/>
  <c r="M261" i="6"/>
  <c r="N261" i="6" s="1"/>
  <c r="L262" i="6"/>
  <c r="M262" i="6"/>
  <c r="L263" i="6"/>
  <c r="M263" i="6"/>
  <c r="N263" i="6" s="1"/>
  <c r="D54" i="7"/>
  <c r="I259" i="6"/>
  <c r="J259" i="6"/>
  <c r="K259" i="6"/>
  <c r="N259" i="6"/>
  <c r="C54" i="7"/>
  <c r="L255" i="6"/>
  <c r="M255" i="6"/>
  <c r="N255" i="6"/>
  <c r="O254" i="6" s="1"/>
  <c r="L256" i="6"/>
  <c r="M256" i="6"/>
  <c r="N256" i="6"/>
  <c r="L257" i="6"/>
  <c r="N257" i="6" s="1"/>
  <c r="M257" i="6"/>
  <c r="L258" i="6"/>
  <c r="M258" i="6"/>
  <c r="N258" i="6"/>
  <c r="D53" i="7"/>
  <c r="I254" i="6"/>
  <c r="J254" i="6"/>
  <c r="K254" i="6"/>
  <c r="N254" i="6"/>
  <c r="C53" i="7"/>
  <c r="L250" i="6"/>
  <c r="M250" i="6"/>
  <c r="N250" i="6"/>
  <c r="O249" i="6" s="1"/>
  <c r="L251" i="6"/>
  <c r="N251" i="6" s="1"/>
  <c r="M251" i="6"/>
  <c r="L252" i="6"/>
  <c r="M252" i="6"/>
  <c r="N252" i="6"/>
  <c r="L253" i="6"/>
  <c r="M253" i="6"/>
  <c r="N253" i="6"/>
  <c r="D52" i="7"/>
  <c r="I249" i="6"/>
  <c r="J249" i="6"/>
  <c r="K249" i="6"/>
  <c r="N249" i="6"/>
  <c r="C52" i="7"/>
  <c r="L245" i="6"/>
  <c r="M245" i="6"/>
  <c r="N245" i="6"/>
  <c r="L246" i="6"/>
  <c r="M246" i="6"/>
  <c r="L247" i="6"/>
  <c r="M247" i="6"/>
  <c r="N247" i="6"/>
  <c r="L248" i="6"/>
  <c r="M248" i="6"/>
  <c r="D51" i="7"/>
  <c r="I244" i="6"/>
  <c r="J244" i="6"/>
  <c r="K244" i="6"/>
  <c r="N244" i="6"/>
  <c r="C51" i="7"/>
  <c r="L240" i="6"/>
  <c r="M240" i="6"/>
  <c r="L241" i="6"/>
  <c r="M241" i="6"/>
  <c r="N241" i="6"/>
  <c r="L242" i="6"/>
  <c r="N242" i="6" s="1"/>
  <c r="M242" i="6"/>
  <c r="L243" i="6"/>
  <c r="M243" i="6"/>
  <c r="N243" i="6"/>
  <c r="D50" i="7"/>
  <c r="I239" i="6"/>
  <c r="J239" i="6"/>
  <c r="K239" i="6"/>
  <c r="N239" i="6"/>
  <c r="C50" i="7"/>
  <c r="L235" i="6"/>
  <c r="M235" i="6"/>
  <c r="N235" i="6" s="1"/>
  <c r="L236" i="6"/>
  <c r="M236" i="6"/>
  <c r="N236" i="6"/>
  <c r="L237" i="6"/>
  <c r="N237" i="6" s="1"/>
  <c r="M237" i="6"/>
  <c r="L238" i="6"/>
  <c r="M238" i="6"/>
  <c r="N238" i="6"/>
  <c r="D49" i="7"/>
  <c r="I234" i="6"/>
  <c r="J234" i="6"/>
  <c r="K234" i="6"/>
  <c r="N234" i="6"/>
  <c r="O234" i="6"/>
  <c r="C49" i="7"/>
  <c r="L230" i="6"/>
  <c r="M230" i="6"/>
  <c r="N230" i="6" s="1"/>
  <c r="L231" i="6"/>
  <c r="N231" i="6" s="1"/>
  <c r="M231" i="6"/>
  <c r="L232" i="6"/>
  <c r="M232" i="6"/>
  <c r="N232" i="6" s="1"/>
  <c r="L233" i="6"/>
  <c r="M233" i="6"/>
  <c r="N233" i="6"/>
  <c r="D48" i="7"/>
  <c r="I229" i="6"/>
  <c r="J229" i="6"/>
  <c r="K229" i="6"/>
  <c r="N229" i="6"/>
  <c r="O229" i="6"/>
  <c r="C48" i="7"/>
  <c r="L225" i="6"/>
  <c r="M225" i="6"/>
  <c r="N225" i="6"/>
  <c r="L226" i="6"/>
  <c r="M226" i="6"/>
  <c r="L227" i="6"/>
  <c r="N227" i="6" s="1"/>
  <c r="M227" i="6"/>
  <c r="L228" i="6"/>
  <c r="N228" i="6" s="1"/>
  <c r="M228" i="6"/>
  <c r="D47" i="7"/>
  <c r="I224" i="6"/>
  <c r="J224" i="6"/>
  <c r="K224" i="6"/>
  <c r="N224" i="6"/>
  <c r="C47" i="7"/>
  <c r="L220" i="6"/>
  <c r="M220" i="6"/>
  <c r="L221" i="6"/>
  <c r="M221" i="6"/>
  <c r="L222" i="6"/>
  <c r="M222" i="6"/>
  <c r="N222" i="6" s="1"/>
  <c r="L223" i="6"/>
  <c r="N223" i="6" s="1"/>
  <c r="M223" i="6"/>
  <c r="D46" i="7"/>
  <c r="I219" i="6"/>
  <c r="J219" i="6"/>
  <c r="K219" i="6"/>
  <c r="N219" i="6"/>
  <c r="C46" i="7"/>
  <c r="L215" i="6"/>
  <c r="N215" i="6" s="1"/>
  <c r="O214" i="6" s="1"/>
  <c r="M215" i="6"/>
  <c r="L216" i="6"/>
  <c r="M216" i="6"/>
  <c r="N216" i="6"/>
  <c r="L217" i="6"/>
  <c r="M217" i="6"/>
  <c r="N217" i="6"/>
  <c r="L218" i="6"/>
  <c r="M218" i="6"/>
  <c r="N218" i="6" s="1"/>
  <c r="D45" i="7"/>
  <c r="I214" i="6"/>
  <c r="J214" i="6"/>
  <c r="K214" i="6"/>
  <c r="N214" i="6"/>
  <c r="C45" i="7"/>
  <c r="L210" i="6"/>
  <c r="M210" i="6"/>
  <c r="N210" i="6" s="1"/>
  <c r="O209" i="6" s="1"/>
  <c r="L211" i="6"/>
  <c r="M211" i="6"/>
  <c r="N211" i="6"/>
  <c r="L212" i="6"/>
  <c r="N212" i="6" s="1"/>
  <c r="M212" i="6"/>
  <c r="L213" i="6"/>
  <c r="M213" i="6"/>
  <c r="N213" i="6" s="1"/>
  <c r="D44" i="7"/>
  <c r="I209" i="6"/>
  <c r="J209" i="6"/>
  <c r="K209" i="6"/>
  <c r="N209" i="6"/>
  <c r="C44" i="7"/>
  <c r="L205" i="6"/>
  <c r="N205" i="6" s="1"/>
  <c r="M205" i="6"/>
  <c r="L206" i="6"/>
  <c r="M206" i="6"/>
  <c r="N206" i="6"/>
  <c r="L207" i="6"/>
  <c r="M207" i="6"/>
  <c r="N207" i="6" s="1"/>
  <c r="L208" i="6"/>
  <c r="M208" i="6"/>
  <c r="N208" i="6"/>
  <c r="D43" i="7"/>
  <c r="I204" i="6"/>
  <c r="J204" i="6"/>
  <c r="K204" i="6"/>
  <c r="N204" i="6"/>
  <c r="C43" i="7"/>
  <c r="L200" i="6"/>
  <c r="N200" i="6" s="1"/>
  <c r="M200" i="6"/>
  <c r="L201" i="6"/>
  <c r="M201" i="6"/>
  <c r="N201" i="6" s="1"/>
  <c r="L202" i="6"/>
  <c r="M202" i="6"/>
  <c r="N202" i="6"/>
  <c r="L203" i="6"/>
  <c r="N203" i="6" s="1"/>
  <c r="M203" i="6"/>
  <c r="D42" i="7"/>
  <c r="I199" i="6"/>
  <c r="J199" i="6"/>
  <c r="K199" i="6"/>
  <c r="N199" i="6"/>
  <c r="C42" i="7"/>
  <c r="L195" i="6"/>
  <c r="M195" i="6"/>
  <c r="N195" i="6"/>
  <c r="L196" i="6"/>
  <c r="M196" i="6"/>
  <c r="N196" i="6"/>
  <c r="L197" i="6"/>
  <c r="N197" i="6" s="1"/>
  <c r="M197" i="6"/>
  <c r="L198" i="6"/>
  <c r="M198" i="6"/>
  <c r="D41" i="7"/>
  <c r="I194" i="6"/>
  <c r="J194" i="6"/>
  <c r="K194" i="6"/>
  <c r="N194" i="6"/>
  <c r="C41" i="7"/>
  <c r="L190" i="6"/>
  <c r="M190" i="6"/>
  <c r="N190" i="6"/>
  <c r="L191" i="6"/>
  <c r="M191" i="6"/>
  <c r="N191" i="6"/>
  <c r="L192" i="6"/>
  <c r="M192" i="6"/>
  <c r="N192" i="6"/>
  <c r="L193" i="6"/>
  <c r="N193" i="6" s="1"/>
  <c r="M193" i="6"/>
  <c r="D40" i="7"/>
  <c r="I189" i="6"/>
  <c r="J189" i="6"/>
  <c r="K189" i="6"/>
  <c r="N189" i="6"/>
  <c r="C40" i="7"/>
  <c r="L185" i="6"/>
  <c r="N185" i="6" s="1"/>
  <c r="M185" i="6"/>
  <c r="L186" i="6"/>
  <c r="N186" i="6" s="1"/>
  <c r="M186" i="6"/>
  <c r="L187" i="6"/>
  <c r="M187" i="6"/>
  <c r="N187" i="6"/>
  <c r="L188" i="6"/>
  <c r="M188" i="6"/>
  <c r="D39" i="7"/>
  <c r="I184" i="6"/>
  <c r="J184" i="6"/>
  <c r="K184" i="6"/>
  <c r="N184" i="6"/>
  <c r="C39" i="7"/>
  <c r="L180" i="6"/>
  <c r="N180" i="6" s="1"/>
  <c r="M180" i="6"/>
  <c r="L181" i="6"/>
  <c r="M181" i="6"/>
  <c r="N181" i="6" s="1"/>
  <c r="L182" i="6"/>
  <c r="N182" i="6" s="1"/>
  <c r="M182" i="6"/>
  <c r="L183" i="6"/>
  <c r="M183" i="6"/>
  <c r="N183" i="6"/>
  <c r="D38" i="7"/>
  <c r="I179" i="6"/>
  <c r="J179" i="6"/>
  <c r="K179" i="6"/>
  <c r="N179" i="6"/>
  <c r="O179" i="6"/>
  <c r="C38" i="7"/>
  <c r="L175" i="6"/>
  <c r="N175" i="6" s="1"/>
  <c r="O174" i="6" s="1"/>
  <c r="M175" i="6"/>
  <c r="L176" i="6"/>
  <c r="M176" i="6"/>
  <c r="N176" i="6"/>
  <c r="L177" i="6"/>
  <c r="M177" i="6"/>
  <c r="N177" i="6"/>
  <c r="L178" i="6"/>
  <c r="M178" i="6"/>
  <c r="N178" i="6"/>
  <c r="D37" i="7"/>
  <c r="I174" i="6"/>
  <c r="J174" i="6"/>
  <c r="K174" i="6"/>
  <c r="N174" i="6"/>
  <c r="C37" i="7"/>
  <c r="L170" i="6"/>
  <c r="N170" i="6" s="1"/>
  <c r="O169" i="6" s="1"/>
  <c r="M170" i="6"/>
  <c r="L171" i="6"/>
  <c r="N171" i="6" s="1"/>
  <c r="M171" i="6"/>
  <c r="L172" i="6"/>
  <c r="M172" i="6"/>
  <c r="N172" i="6"/>
  <c r="L173" i="6"/>
  <c r="M173" i="6"/>
  <c r="N173" i="6"/>
  <c r="D36" i="7"/>
  <c r="I169" i="6"/>
  <c r="J169" i="6"/>
  <c r="K169" i="6"/>
  <c r="N169" i="6"/>
  <c r="C36" i="7"/>
  <c r="L165" i="6"/>
  <c r="M165" i="6"/>
  <c r="N165" i="6"/>
  <c r="L166" i="6"/>
  <c r="N166" i="6" s="1"/>
  <c r="M166" i="6"/>
  <c r="L167" i="6"/>
  <c r="M167" i="6"/>
  <c r="N167" i="6" s="1"/>
  <c r="L168" i="6"/>
  <c r="M168" i="6"/>
  <c r="D35" i="7"/>
  <c r="I164" i="6"/>
  <c r="J164" i="6"/>
  <c r="K164" i="6"/>
  <c r="N164" i="6"/>
  <c r="C35" i="7"/>
  <c r="L160" i="6"/>
  <c r="M160" i="6"/>
  <c r="N160" i="6"/>
  <c r="L161" i="6"/>
  <c r="M161" i="6"/>
  <c r="N161" i="6"/>
  <c r="L162" i="6"/>
  <c r="N162" i="6" s="1"/>
  <c r="M162" i="6"/>
  <c r="L163" i="6"/>
  <c r="N163" i="6" s="1"/>
  <c r="M163" i="6"/>
  <c r="D34" i="7"/>
  <c r="I159" i="6"/>
  <c r="J159" i="6"/>
  <c r="K159" i="6"/>
  <c r="N159" i="6"/>
  <c r="C34" i="7"/>
  <c r="L155" i="6"/>
  <c r="M155" i="6"/>
  <c r="N155" i="6"/>
  <c r="L156" i="6"/>
  <c r="M156" i="6"/>
  <c r="N156" i="6"/>
  <c r="L157" i="6"/>
  <c r="M157" i="6"/>
  <c r="L158" i="6"/>
  <c r="M158" i="6"/>
  <c r="N158" i="6"/>
  <c r="D33" i="7"/>
  <c r="I154" i="6"/>
  <c r="J154" i="6"/>
  <c r="K154" i="6"/>
  <c r="N154" i="6"/>
  <c r="C33" i="7"/>
  <c r="L150" i="6"/>
  <c r="M150" i="6"/>
  <c r="N150" i="6" s="1"/>
  <c r="L151" i="6"/>
  <c r="M151" i="6"/>
  <c r="N151" i="6" s="1"/>
  <c r="L152" i="6"/>
  <c r="M152" i="6"/>
  <c r="N152" i="6"/>
  <c r="L153" i="6"/>
  <c r="M153" i="6"/>
  <c r="N153" i="6"/>
  <c r="D32" i="7"/>
  <c r="I149" i="6"/>
  <c r="J149" i="6"/>
  <c r="K149" i="6"/>
  <c r="N149" i="6"/>
  <c r="C32" i="7"/>
  <c r="L145" i="6"/>
  <c r="M145" i="6"/>
  <c r="N145" i="6"/>
  <c r="L146" i="6"/>
  <c r="M146" i="6"/>
  <c r="N146" i="6"/>
  <c r="L147" i="6"/>
  <c r="M147" i="6"/>
  <c r="N147" i="6"/>
  <c r="L148" i="6"/>
  <c r="N148" i="6" s="1"/>
  <c r="M148" i="6"/>
  <c r="D31" i="7"/>
  <c r="I144" i="6"/>
  <c r="J144" i="6"/>
  <c r="K144" i="6"/>
  <c r="N144" i="6"/>
  <c r="O144" i="6"/>
  <c r="C31" i="7"/>
  <c r="L140" i="6"/>
  <c r="N140" i="6" s="1"/>
  <c r="M140" i="6"/>
  <c r="L141" i="6"/>
  <c r="M141" i="6"/>
  <c r="N141" i="6" s="1"/>
  <c r="L142" i="6"/>
  <c r="M142" i="6"/>
  <c r="N142" i="6"/>
  <c r="L143" i="6"/>
  <c r="M143" i="6"/>
  <c r="N143" i="6"/>
  <c r="D30" i="7"/>
  <c r="I139" i="6"/>
  <c r="J139" i="6"/>
  <c r="K139" i="6"/>
  <c r="N139" i="6"/>
  <c r="O139" i="6"/>
  <c r="C30" i="7"/>
  <c r="L135" i="6"/>
  <c r="N135" i="6" s="1"/>
  <c r="O134" i="6" s="1"/>
  <c r="M135" i="6"/>
  <c r="L136" i="6"/>
  <c r="M136" i="6"/>
  <c r="N136" i="6"/>
  <c r="L137" i="6"/>
  <c r="N137" i="6" s="1"/>
  <c r="M137" i="6"/>
  <c r="L138" i="6"/>
  <c r="N138" i="6" s="1"/>
  <c r="M138" i="6"/>
  <c r="D29" i="7"/>
  <c r="I134" i="6"/>
  <c r="J134" i="6"/>
  <c r="K134" i="6"/>
  <c r="N134" i="6"/>
  <c r="C29" i="7"/>
  <c r="L130" i="6"/>
  <c r="M130" i="6"/>
  <c r="N130" i="6" s="1"/>
  <c r="O129" i="6" s="1"/>
  <c r="L131" i="6"/>
  <c r="M131" i="6"/>
  <c r="N131" i="6"/>
  <c r="L132" i="6"/>
  <c r="N132" i="6" s="1"/>
  <c r="M132" i="6"/>
  <c r="L133" i="6"/>
  <c r="M133" i="6"/>
  <c r="N133" i="6" s="1"/>
  <c r="D28" i="7"/>
  <c r="I129" i="6"/>
  <c r="J129" i="6"/>
  <c r="K129" i="6"/>
  <c r="N129" i="6"/>
  <c r="C28" i="7"/>
  <c r="L125" i="6"/>
  <c r="N125" i="6" s="1"/>
  <c r="M125" i="6"/>
  <c r="L126" i="6"/>
  <c r="M126" i="6"/>
  <c r="L127" i="6"/>
  <c r="M127" i="6"/>
  <c r="N127" i="6"/>
  <c r="L128" i="6"/>
  <c r="N128" i="6" s="1"/>
  <c r="M128" i="6"/>
  <c r="D27" i="7"/>
  <c r="I124" i="6"/>
  <c r="J124" i="6"/>
  <c r="K124" i="6"/>
  <c r="N124" i="6"/>
  <c r="C27" i="7"/>
  <c r="L120" i="6"/>
  <c r="N120" i="6" s="1"/>
  <c r="O119" i="6" s="1"/>
  <c r="M120" i="6"/>
  <c r="L121" i="6"/>
  <c r="M121" i="6"/>
  <c r="N121" i="6" s="1"/>
  <c r="L122" i="6"/>
  <c r="M122" i="6"/>
  <c r="N122" i="6"/>
  <c r="L123" i="6"/>
  <c r="M123" i="6"/>
  <c r="N123" i="6" s="1"/>
  <c r="D26" i="7"/>
  <c r="I119" i="6"/>
  <c r="J119" i="6"/>
  <c r="K119" i="6"/>
  <c r="N119" i="6"/>
  <c r="C26" i="7"/>
  <c r="L115" i="6"/>
  <c r="M115" i="6"/>
  <c r="N115" i="6" s="1"/>
  <c r="L116" i="6"/>
  <c r="N116" i="6" s="1"/>
  <c r="M116" i="6"/>
  <c r="L117" i="6"/>
  <c r="N117" i="6" s="1"/>
  <c r="M117" i="6"/>
  <c r="L118" i="6"/>
  <c r="M118" i="6"/>
  <c r="N118" i="6"/>
  <c r="D25" i="7"/>
  <c r="I114" i="6"/>
  <c r="J114" i="6"/>
  <c r="K114" i="6"/>
  <c r="N114" i="6"/>
  <c r="C25" i="7"/>
  <c r="L110" i="6"/>
  <c r="M110" i="6"/>
  <c r="N110" i="6" s="1"/>
  <c r="L111" i="6"/>
  <c r="M111" i="6"/>
  <c r="L112" i="6"/>
  <c r="N112" i="6" s="1"/>
  <c r="M112" i="6"/>
  <c r="L113" i="6"/>
  <c r="M113" i="6"/>
  <c r="N113" i="6"/>
  <c r="D24" i="7"/>
  <c r="I109" i="6"/>
  <c r="J109" i="6"/>
  <c r="K109" i="6"/>
  <c r="N109" i="6"/>
  <c r="C24" i="7"/>
  <c r="L105" i="6"/>
  <c r="N105" i="6" s="1"/>
  <c r="M105" i="6"/>
  <c r="L106" i="6"/>
  <c r="M106" i="6"/>
  <c r="N106" i="6"/>
  <c r="O104" i="6" s="1"/>
  <c r="L107" i="6"/>
  <c r="M107" i="6"/>
  <c r="N107" i="6"/>
  <c r="L108" i="6"/>
  <c r="M108" i="6"/>
  <c r="N108" i="6" s="1"/>
  <c r="D23" i="7"/>
  <c r="I104" i="6"/>
  <c r="J104" i="6"/>
  <c r="K104" i="6"/>
  <c r="N104" i="6"/>
  <c r="C23" i="7"/>
  <c r="L100" i="6"/>
  <c r="N100" i="6" s="1"/>
  <c r="M100" i="6"/>
  <c r="L101" i="6"/>
  <c r="M101" i="6"/>
  <c r="N101" i="6"/>
  <c r="L102" i="6"/>
  <c r="N102" i="6" s="1"/>
  <c r="M102" i="6"/>
  <c r="L103" i="6"/>
  <c r="N103" i="6" s="1"/>
  <c r="M103" i="6"/>
  <c r="D22" i="7"/>
  <c r="I99" i="6"/>
  <c r="J99" i="6"/>
  <c r="K99" i="6"/>
  <c r="N99" i="6"/>
  <c r="C22" i="7"/>
  <c r="L95" i="6"/>
  <c r="M95" i="6"/>
  <c r="N95" i="6" s="1"/>
  <c r="L96" i="6"/>
  <c r="M96" i="6"/>
  <c r="N96" i="6"/>
  <c r="L97" i="6"/>
  <c r="M97" i="6"/>
  <c r="N97" i="6" s="1"/>
  <c r="L98" i="6"/>
  <c r="M98" i="6"/>
  <c r="D21" i="7"/>
  <c r="I94" i="6"/>
  <c r="J94" i="6"/>
  <c r="K94" i="6"/>
  <c r="N94" i="6"/>
  <c r="C21" i="7"/>
  <c r="L90" i="6"/>
  <c r="N90" i="6" s="1"/>
  <c r="M90" i="6"/>
  <c r="L91" i="6"/>
  <c r="N91" i="6" s="1"/>
  <c r="M91" i="6"/>
  <c r="L92" i="6"/>
  <c r="M92" i="6"/>
  <c r="N92" i="6" s="1"/>
  <c r="L93" i="6"/>
  <c r="M93" i="6"/>
  <c r="D20" i="7"/>
  <c r="I89" i="6"/>
  <c r="J89" i="6"/>
  <c r="K89" i="6"/>
  <c r="N89" i="6"/>
  <c r="C20" i="7"/>
  <c r="L85" i="6"/>
  <c r="N85" i="6" s="1"/>
  <c r="O84" i="6" s="1"/>
  <c r="M85" i="6"/>
  <c r="L86" i="6"/>
  <c r="N86" i="6" s="1"/>
  <c r="M86" i="6"/>
  <c r="L87" i="6"/>
  <c r="M87" i="6"/>
  <c r="N87" i="6"/>
  <c r="L88" i="6"/>
  <c r="N88" i="6" s="1"/>
  <c r="M88" i="6"/>
  <c r="D19" i="7"/>
  <c r="I84" i="6"/>
  <c r="J84" i="6"/>
  <c r="K84" i="6"/>
  <c r="N84" i="6"/>
  <c r="C19" i="7"/>
  <c r="L80" i="6"/>
  <c r="M80" i="6"/>
  <c r="N80" i="6"/>
  <c r="L81" i="6"/>
  <c r="N81" i="6" s="1"/>
  <c r="M81" i="6"/>
  <c r="L82" i="6"/>
  <c r="N82" i="6" s="1"/>
  <c r="M82" i="6"/>
  <c r="L83" i="6"/>
  <c r="M83" i="6"/>
  <c r="N83" i="6" s="1"/>
  <c r="D18" i="7"/>
  <c r="I79" i="6"/>
  <c r="J79" i="6"/>
  <c r="K79" i="6"/>
  <c r="N79" i="6"/>
  <c r="C18" i="7"/>
  <c r="L75" i="6"/>
  <c r="M75" i="6"/>
  <c r="N75" i="6"/>
  <c r="L76" i="6"/>
  <c r="M76" i="6"/>
  <c r="N76" i="6"/>
  <c r="L77" i="6"/>
  <c r="M77" i="6"/>
  <c r="L78" i="6"/>
  <c r="M78" i="6"/>
  <c r="N78" i="6"/>
  <c r="D17" i="7"/>
  <c r="I74" i="6"/>
  <c r="J74" i="6"/>
  <c r="K74" i="6"/>
  <c r="N74" i="6"/>
  <c r="C17" i="7"/>
  <c r="L70" i="6"/>
  <c r="M70" i="6"/>
  <c r="N70" i="6"/>
  <c r="L71" i="6"/>
  <c r="M71" i="6"/>
  <c r="N71" i="6"/>
  <c r="L72" i="6"/>
  <c r="M72" i="6"/>
  <c r="N72" i="6"/>
  <c r="L73" i="6"/>
  <c r="M73" i="6"/>
  <c r="N73" i="6"/>
  <c r="D16" i="7"/>
  <c r="I69" i="6"/>
  <c r="J69" i="6"/>
  <c r="K69" i="6"/>
  <c r="N69" i="6"/>
  <c r="C16" i="7"/>
  <c r="L65" i="6"/>
  <c r="M65" i="6"/>
  <c r="N65" i="6"/>
  <c r="L66" i="6"/>
  <c r="M66" i="6"/>
  <c r="N66" i="6"/>
  <c r="L67" i="6"/>
  <c r="M67" i="6"/>
  <c r="N67" i="6"/>
  <c r="L68" i="6"/>
  <c r="N68" i="6" s="1"/>
  <c r="M68" i="6"/>
  <c r="D15" i="7"/>
  <c r="I64" i="6"/>
  <c r="J64" i="6"/>
  <c r="K64" i="6"/>
  <c r="N64" i="6"/>
  <c r="C15" i="7"/>
  <c r="L60" i="6"/>
  <c r="M60" i="6"/>
  <c r="L61" i="6"/>
  <c r="N61" i="6" s="1"/>
  <c r="M61" i="6"/>
  <c r="L62" i="6"/>
  <c r="N62" i="6" s="1"/>
  <c r="M62" i="6"/>
  <c r="L63" i="6"/>
  <c r="M63" i="6"/>
  <c r="N63" i="6"/>
  <c r="D14" i="7"/>
  <c r="I59" i="6"/>
  <c r="J59" i="6"/>
  <c r="K59" i="6"/>
  <c r="N59" i="6"/>
  <c r="C14" i="7"/>
  <c r="L55" i="6"/>
  <c r="N55" i="6" s="1"/>
  <c r="M55" i="6"/>
  <c r="L56" i="6"/>
  <c r="M56" i="6"/>
  <c r="N56" i="6" s="1"/>
  <c r="L57" i="6"/>
  <c r="M57" i="6"/>
  <c r="N57" i="6" s="1"/>
  <c r="L58" i="6"/>
  <c r="M58" i="6"/>
  <c r="N58" i="6" s="1"/>
  <c r="D13" i="7"/>
  <c r="I54" i="6"/>
  <c r="J54" i="6"/>
  <c r="K54" i="6"/>
  <c r="N54" i="6"/>
  <c r="C13" i="7"/>
  <c r="L50" i="6"/>
  <c r="M50" i="6"/>
  <c r="N50" i="6" s="1"/>
  <c r="L51" i="6"/>
  <c r="M51" i="6"/>
  <c r="N51" i="6"/>
  <c r="L52" i="6"/>
  <c r="M52" i="6"/>
  <c r="N52" i="6"/>
  <c r="L53" i="6"/>
  <c r="N53" i="6" s="1"/>
  <c r="M53" i="6"/>
  <c r="D12" i="7"/>
  <c r="I49" i="6"/>
  <c r="J49" i="6"/>
  <c r="K49" i="6"/>
  <c r="N49" i="6"/>
  <c r="C12" i="7"/>
  <c r="L45" i="6"/>
  <c r="M45" i="6"/>
  <c r="N45" i="6"/>
  <c r="O44" i="6" s="1"/>
  <c r="L46" i="6"/>
  <c r="N46" i="6" s="1"/>
  <c r="M46" i="6"/>
  <c r="L47" i="6"/>
  <c r="M47" i="6"/>
  <c r="N47" i="6" s="1"/>
  <c r="L48" i="6"/>
  <c r="M48" i="6"/>
  <c r="N48" i="6"/>
  <c r="D11" i="7"/>
  <c r="I44" i="6"/>
  <c r="J44" i="6"/>
  <c r="K44" i="6"/>
  <c r="N44" i="6"/>
  <c r="C11" i="7"/>
  <c r="L40" i="6"/>
  <c r="M40" i="6"/>
  <c r="L41" i="6"/>
  <c r="M41" i="6"/>
  <c r="N41" i="6"/>
  <c r="L42" i="6"/>
  <c r="N42" i="6" s="1"/>
  <c r="M42" i="6"/>
  <c r="L43" i="6"/>
  <c r="N43" i="6" s="1"/>
  <c r="M43" i="6"/>
  <c r="D10" i="7"/>
  <c r="I39" i="6"/>
  <c r="J39" i="6"/>
  <c r="K39" i="6"/>
  <c r="N39" i="6"/>
  <c r="C10" i="7"/>
  <c r="L35" i="6"/>
  <c r="N35" i="6" s="1"/>
  <c r="M35" i="6"/>
  <c r="L36" i="6"/>
  <c r="M36" i="6"/>
  <c r="N36" i="6"/>
  <c r="L37" i="6"/>
  <c r="M37" i="6"/>
  <c r="L38" i="6"/>
  <c r="N38" i="6" s="1"/>
  <c r="M38" i="6"/>
  <c r="D9" i="7"/>
  <c r="I34" i="6"/>
  <c r="J34" i="6"/>
  <c r="K34" i="6"/>
  <c r="N34" i="6"/>
  <c r="C9" i="7"/>
  <c r="L30" i="6"/>
  <c r="M30" i="6"/>
  <c r="N30" i="6"/>
  <c r="L31" i="6"/>
  <c r="N31" i="6" s="1"/>
  <c r="M31" i="6"/>
  <c r="L32" i="6"/>
  <c r="M32" i="6"/>
  <c r="N32" i="6"/>
  <c r="L33" i="6"/>
  <c r="M33" i="6"/>
  <c r="N33" i="6" s="1"/>
  <c r="D8" i="7"/>
  <c r="I29" i="6"/>
  <c r="J29" i="6"/>
  <c r="K29" i="6"/>
  <c r="N29" i="6"/>
  <c r="O29" i="6"/>
  <c r="C8" i="7"/>
  <c r="R499" i="6"/>
  <c r="S500" i="6"/>
  <c r="S501" i="6"/>
  <c r="S502" i="6"/>
  <c r="S503" i="6" s="1"/>
  <c r="Z499" i="6"/>
  <c r="V499" i="6"/>
  <c r="R494" i="6"/>
  <c r="S495" i="6"/>
  <c r="S496" i="6" s="1"/>
  <c r="S497" i="6" s="1"/>
  <c r="S498" i="6" s="1"/>
  <c r="Z494" i="6"/>
  <c r="V494" i="6"/>
  <c r="R489" i="6"/>
  <c r="S490" i="6"/>
  <c r="S491" i="6"/>
  <c r="S492" i="6"/>
  <c r="S493" i="6"/>
  <c r="Z489" i="6"/>
  <c r="V489" i="6"/>
  <c r="R484" i="6"/>
  <c r="S485" i="6"/>
  <c r="S486" i="6" s="1"/>
  <c r="S487" i="6" s="1"/>
  <c r="S488" i="6" s="1"/>
  <c r="Z484" i="6"/>
  <c r="V484" i="6"/>
  <c r="R479" i="6"/>
  <c r="S480" i="6"/>
  <c r="S481" i="6"/>
  <c r="S482" i="6"/>
  <c r="S483" i="6" s="1"/>
  <c r="Z479" i="6"/>
  <c r="V479" i="6"/>
  <c r="R474" i="6"/>
  <c r="S475" i="6"/>
  <c r="S476" i="6" s="1"/>
  <c r="S477" i="6" s="1"/>
  <c r="S478" i="6" s="1"/>
  <c r="Z474" i="6"/>
  <c r="V474" i="6"/>
  <c r="Y474" i="6"/>
  <c r="AA474" i="6"/>
  <c r="S470" i="6"/>
  <c r="S471" i="6"/>
  <c r="S472" i="6" s="1"/>
  <c r="S473" i="6" s="1"/>
  <c r="Z469" i="6"/>
  <c r="V469" i="6"/>
  <c r="R464" i="6"/>
  <c r="S465" i="6"/>
  <c r="S466" i="6"/>
  <c r="S467" i="6" s="1"/>
  <c r="S468" i="6" s="1"/>
  <c r="Z464" i="6"/>
  <c r="V464" i="6"/>
  <c r="S460" i="6"/>
  <c r="S461" i="6"/>
  <c r="S462" i="6"/>
  <c r="S463" i="6"/>
  <c r="Z459" i="6"/>
  <c r="V459" i="6"/>
  <c r="AB459" i="6"/>
  <c r="AC459" i="6" s="1"/>
  <c r="Y459" i="6"/>
  <c r="AA459" i="6" s="1"/>
  <c r="R454" i="6"/>
  <c r="Z454" i="6"/>
  <c r="V454" i="6"/>
  <c r="Y454" i="6"/>
  <c r="AA454" i="6" s="1"/>
  <c r="R449" i="6"/>
  <c r="S450" i="6"/>
  <c r="S451" i="6"/>
  <c r="S452" i="6"/>
  <c r="S453" i="6" s="1"/>
  <c r="Z449" i="6"/>
  <c r="V449" i="6"/>
  <c r="Y449" i="6"/>
  <c r="AA449" i="6" s="1"/>
  <c r="R444" i="6"/>
  <c r="S445" i="6"/>
  <c r="S446" i="6" s="1"/>
  <c r="S447" i="6"/>
  <c r="S448" i="6" s="1"/>
  <c r="Z444" i="6"/>
  <c r="V444" i="6"/>
  <c r="AB444" i="6"/>
  <c r="R439" i="6"/>
  <c r="S440" i="6"/>
  <c r="S441" i="6"/>
  <c r="S442" i="6"/>
  <c r="S443" i="6" s="1"/>
  <c r="Z439" i="6"/>
  <c r="V439" i="6"/>
  <c r="R434" i="6"/>
  <c r="S435" i="6"/>
  <c r="S436" i="6" s="1"/>
  <c r="S437" i="6"/>
  <c r="S438" i="6" s="1"/>
  <c r="Z434" i="6"/>
  <c r="V434" i="6"/>
  <c r="Y434" i="6"/>
  <c r="AA434" i="6" s="1"/>
  <c r="R429" i="6"/>
  <c r="Z429" i="6"/>
  <c r="V429" i="6"/>
  <c r="Y429" i="6"/>
  <c r="AA429" i="6" s="1"/>
  <c r="R424" i="6"/>
  <c r="S425" i="6"/>
  <c r="S426" i="6"/>
  <c r="S427" i="6" s="1"/>
  <c r="S428" i="6" s="1"/>
  <c r="Z424" i="6"/>
  <c r="V424" i="6"/>
  <c r="Y424" i="6"/>
  <c r="AA424" i="6"/>
  <c r="R419" i="6"/>
  <c r="S420" i="6"/>
  <c r="S421" i="6"/>
  <c r="S422" i="6"/>
  <c r="S423" i="6"/>
  <c r="Z419" i="6"/>
  <c r="V419" i="6"/>
  <c r="R414" i="6"/>
  <c r="S415" i="6"/>
  <c r="S416" i="6"/>
  <c r="S417" i="6" s="1"/>
  <c r="S418" i="6"/>
  <c r="Z414" i="6"/>
  <c r="V414" i="6"/>
  <c r="S410" i="6"/>
  <c r="S411" i="6"/>
  <c r="S412" i="6"/>
  <c r="S413" i="6"/>
  <c r="Z409" i="6"/>
  <c r="V409" i="6"/>
  <c r="AB409" i="6"/>
  <c r="AC409" i="6" s="1"/>
  <c r="Y409" i="6"/>
  <c r="AA409" i="6" s="1"/>
  <c r="R404" i="6"/>
  <c r="S405" i="6"/>
  <c r="S406" i="6"/>
  <c r="S407" i="6"/>
  <c r="S408" i="6" s="1"/>
  <c r="Z404" i="6"/>
  <c r="V404" i="6"/>
  <c r="R399" i="6"/>
  <c r="S400" i="6"/>
  <c r="S401" i="6"/>
  <c r="S402" i="6"/>
  <c r="S403" i="6"/>
  <c r="Z399" i="6"/>
  <c r="V399" i="6"/>
  <c r="Y399" i="6"/>
  <c r="AA399" i="6"/>
  <c r="R394" i="6"/>
  <c r="S395" i="6"/>
  <c r="S396" i="6"/>
  <c r="S397" i="6"/>
  <c r="S398" i="6" s="1"/>
  <c r="Z394" i="6"/>
  <c r="V394" i="6"/>
  <c r="R389" i="6"/>
  <c r="S390" i="6"/>
  <c r="S391" i="6"/>
  <c r="S392" i="6"/>
  <c r="S393" i="6" s="1"/>
  <c r="Z389" i="6"/>
  <c r="V389" i="6"/>
  <c r="Y389" i="6"/>
  <c r="AA389" i="6"/>
  <c r="R384" i="6"/>
  <c r="S385" i="6"/>
  <c r="S386" i="6"/>
  <c r="S387" i="6"/>
  <c r="S388" i="6" s="1"/>
  <c r="Z384" i="6"/>
  <c r="V384" i="6"/>
  <c r="S380" i="6"/>
  <c r="S381" i="6"/>
  <c r="S382" i="6"/>
  <c r="S383" i="6" s="1"/>
  <c r="Z379" i="6"/>
  <c r="V379" i="6"/>
  <c r="R374" i="6"/>
  <c r="S375" i="6"/>
  <c r="S376" i="6" s="1"/>
  <c r="S377" i="6" s="1"/>
  <c r="S378" i="6" s="1"/>
  <c r="Z374" i="6"/>
  <c r="V374" i="6"/>
  <c r="R369" i="6"/>
  <c r="S370" i="6"/>
  <c r="S371" i="6"/>
  <c r="S372" i="6"/>
  <c r="S373" i="6"/>
  <c r="Z369" i="6"/>
  <c r="V369" i="6"/>
  <c r="S365" i="6"/>
  <c r="S366" i="6" s="1"/>
  <c r="S367" i="6" s="1"/>
  <c r="S368" i="6" s="1"/>
  <c r="Z364" i="6"/>
  <c r="V364" i="6"/>
  <c r="S360" i="6"/>
  <c r="S361" i="6"/>
  <c r="S362" i="6"/>
  <c r="S363" i="6" s="1"/>
  <c r="Z359" i="6"/>
  <c r="V359" i="6"/>
  <c r="Y359" i="6"/>
  <c r="AA359" i="6"/>
  <c r="S355" i="6"/>
  <c r="S356" i="6"/>
  <c r="S357" i="6" s="1"/>
  <c r="S358" i="6" s="1"/>
  <c r="Z354" i="6"/>
  <c r="V354" i="6"/>
  <c r="S350" i="6"/>
  <c r="S351" i="6"/>
  <c r="S352" i="6"/>
  <c r="S353" i="6"/>
  <c r="Z349" i="6"/>
  <c r="V349" i="6"/>
  <c r="Y349" i="6"/>
  <c r="AA349" i="6"/>
  <c r="S345" i="6"/>
  <c r="S346" i="6"/>
  <c r="S347" i="6"/>
  <c r="S348" i="6"/>
  <c r="Z344" i="6"/>
  <c r="V344" i="6"/>
  <c r="S340" i="6"/>
  <c r="S341" i="6"/>
  <c r="S342" i="6" s="1"/>
  <c r="S343" i="6" s="1"/>
  <c r="Z339" i="6"/>
  <c r="V339" i="6"/>
  <c r="S335" i="6"/>
  <c r="S336" i="6"/>
  <c r="S337" i="6"/>
  <c r="S338" i="6" s="1"/>
  <c r="Z334" i="6"/>
  <c r="V334" i="6"/>
  <c r="Y334" i="6"/>
  <c r="AA334" i="6" s="1"/>
  <c r="R329" i="6"/>
  <c r="Z329" i="6"/>
  <c r="V329" i="6"/>
  <c r="Y329" i="6"/>
  <c r="AA329" i="6"/>
  <c r="S325" i="6"/>
  <c r="S326" i="6"/>
  <c r="S327" i="6"/>
  <c r="S328" i="6" s="1"/>
  <c r="Z324" i="6"/>
  <c r="V324" i="6"/>
  <c r="R319" i="6"/>
  <c r="S320" i="6"/>
  <c r="S321" i="6"/>
  <c r="S322" i="6"/>
  <c r="S323" i="6" s="1"/>
  <c r="Z319" i="6"/>
  <c r="V319" i="6"/>
  <c r="R314" i="6"/>
  <c r="S315" i="6"/>
  <c r="S316" i="6"/>
  <c r="S317" i="6"/>
  <c r="S318" i="6" s="1"/>
  <c r="Z314" i="6"/>
  <c r="V314" i="6"/>
  <c r="Y314" i="6"/>
  <c r="AA314" i="6" s="1"/>
  <c r="R309" i="6"/>
  <c r="Z309" i="6"/>
  <c r="V309" i="6"/>
  <c r="R304" i="6"/>
  <c r="S305" i="6"/>
  <c r="S306" i="6" s="1"/>
  <c r="S307" i="6"/>
  <c r="S308" i="6"/>
  <c r="Z304" i="6"/>
  <c r="V304" i="6"/>
  <c r="Y304" i="6"/>
  <c r="AA304" i="6"/>
  <c r="Z299" i="6"/>
  <c r="V299" i="6"/>
  <c r="R294" i="6"/>
  <c r="S295" i="6"/>
  <c r="S296" i="6"/>
  <c r="S297" i="6" s="1"/>
  <c r="S298" i="6" s="1"/>
  <c r="Z294" i="6"/>
  <c r="V294" i="6"/>
  <c r="R289" i="6"/>
  <c r="S290" i="6"/>
  <c r="S291" i="6"/>
  <c r="S292" i="6"/>
  <c r="S293" i="6" s="1"/>
  <c r="Z289" i="6"/>
  <c r="V289" i="6"/>
  <c r="Y289" i="6"/>
  <c r="AA289" i="6" s="1"/>
  <c r="S285" i="6"/>
  <c r="S286" i="6"/>
  <c r="S287" i="6"/>
  <c r="S288" i="6"/>
  <c r="Z284" i="6"/>
  <c r="V284" i="6"/>
  <c r="S280" i="6"/>
  <c r="S281" i="6"/>
  <c r="S282" i="6"/>
  <c r="S283" i="6"/>
  <c r="Z279" i="6"/>
  <c r="V279" i="6"/>
  <c r="R274" i="6"/>
  <c r="S275" i="6"/>
  <c r="S276" i="6" s="1"/>
  <c r="S277" i="6" s="1"/>
  <c r="S278" i="6"/>
  <c r="Z274" i="6"/>
  <c r="V274" i="6"/>
  <c r="AB274" i="6"/>
  <c r="S270" i="6"/>
  <c r="S271" i="6"/>
  <c r="S272" i="6"/>
  <c r="S273" i="6" s="1"/>
  <c r="Z269" i="6"/>
  <c r="V269" i="6"/>
  <c r="S265" i="6"/>
  <c r="S266" i="6"/>
  <c r="S267" i="6" s="1"/>
  <c r="S268" i="6" s="1"/>
  <c r="Z264" i="6"/>
  <c r="V264" i="6"/>
  <c r="R259" i="6"/>
  <c r="S260" i="6"/>
  <c r="S261" i="6"/>
  <c r="S262" i="6"/>
  <c r="S263" i="6"/>
  <c r="Z259" i="6"/>
  <c r="V259" i="6"/>
  <c r="S255" i="6"/>
  <c r="S256" i="6" s="1"/>
  <c r="S257" i="6" s="1"/>
  <c r="S258" i="6" s="1"/>
  <c r="Z254" i="6"/>
  <c r="V254" i="6"/>
  <c r="S250" i="6"/>
  <c r="S251" i="6"/>
  <c r="S252" i="6" s="1"/>
  <c r="S253" i="6" s="1"/>
  <c r="Z249" i="6"/>
  <c r="V249" i="6"/>
  <c r="Y249" i="6"/>
  <c r="AA249" i="6"/>
  <c r="S245" i="6"/>
  <c r="S246" i="6"/>
  <c r="S247" i="6"/>
  <c r="S248" i="6" s="1"/>
  <c r="Z244" i="6"/>
  <c r="V244" i="6"/>
  <c r="S240" i="6"/>
  <c r="S241" i="6"/>
  <c r="S242" i="6"/>
  <c r="S243" i="6" s="1"/>
  <c r="Z239" i="6"/>
  <c r="V239" i="6"/>
  <c r="S235" i="6"/>
  <c r="S236" i="6"/>
  <c r="S237" i="6" s="1"/>
  <c r="S238" i="6" s="1"/>
  <c r="Z234" i="6"/>
  <c r="V234" i="6"/>
  <c r="R229" i="6"/>
  <c r="S230" i="6"/>
  <c r="S231" i="6"/>
  <c r="S232" i="6" s="1"/>
  <c r="S233" i="6" s="1"/>
  <c r="Z229" i="6"/>
  <c r="V229" i="6"/>
  <c r="Y229" i="6"/>
  <c r="AA229" i="6" s="1"/>
  <c r="Z224" i="6"/>
  <c r="V224" i="6"/>
  <c r="R219" i="6"/>
  <c r="Z219" i="6"/>
  <c r="V219" i="6"/>
  <c r="AB219" i="6"/>
  <c r="AC219" i="6" s="1"/>
  <c r="Y219" i="6"/>
  <c r="AA219" i="6"/>
  <c r="R214" i="6"/>
  <c r="S215" i="6"/>
  <c r="S216" i="6"/>
  <c r="S217" i="6"/>
  <c r="S218" i="6"/>
  <c r="Z214" i="6"/>
  <c r="V214" i="6"/>
  <c r="Z209" i="6"/>
  <c r="V209" i="6"/>
  <c r="S205" i="6"/>
  <c r="S206" i="6"/>
  <c r="S207" i="6"/>
  <c r="S208" i="6"/>
  <c r="Z204" i="6"/>
  <c r="V204" i="6"/>
  <c r="AB204" i="6"/>
  <c r="S200" i="6"/>
  <c r="S201" i="6"/>
  <c r="S202" i="6"/>
  <c r="S203" i="6" s="1"/>
  <c r="Z199" i="6"/>
  <c r="V199" i="6"/>
  <c r="Y199" i="6"/>
  <c r="AA199" i="6" s="1"/>
  <c r="Z194" i="6"/>
  <c r="V194" i="6"/>
  <c r="Y194" i="6"/>
  <c r="AA194" i="6"/>
  <c r="S190" i="6"/>
  <c r="S191" i="6"/>
  <c r="S192" i="6"/>
  <c r="S193" i="6" s="1"/>
  <c r="Z189" i="6"/>
  <c r="V189" i="6"/>
  <c r="S185" i="6"/>
  <c r="S186" i="6" s="1"/>
  <c r="S187" i="6"/>
  <c r="S188" i="6"/>
  <c r="Z184" i="6"/>
  <c r="V184" i="6"/>
  <c r="S180" i="6"/>
  <c r="S181" i="6"/>
  <c r="S182" i="6" s="1"/>
  <c r="S183" i="6" s="1"/>
  <c r="Z179" i="6"/>
  <c r="V179" i="6"/>
  <c r="S175" i="6"/>
  <c r="S176" i="6"/>
  <c r="S177" i="6"/>
  <c r="S178" i="6" s="1"/>
  <c r="Z174" i="6"/>
  <c r="V174" i="6"/>
  <c r="AB174" i="6"/>
  <c r="S170" i="6"/>
  <c r="S171" i="6"/>
  <c r="S172" i="6"/>
  <c r="S173" i="6" s="1"/>
  <c r="Z169" i="6"/>
  <c r="V169" i="6"/>
  <c r="Z164" i="6"/>
  <c r="V164" i="6"/>
  <c r="Z159" i="6"/>
  <c r="V159" i="6"/>
  <c r="R154" i="6"/>
  <c r="S155" i="6"/>
  <c r="S156" i="6"/>
  <c r="S157" i="6" s="1"/>
  <c r="S158" i="6" s="1"/>
  <c r="Z154" i="6"/>
  <c r="V154" i="6"/>
  <c r="S150" i="6"/>
  <c r="S151" i="6"/>
  <c r="S152" i="6" s="1"/>
  <c r="S153" i="6" s="1"/>
  <c r="Z149" i="6"/>
  <c r="V149" i="6"/>
  <c r="Y149" i="6"/>
  <c r="AA149" i="6" s="1"/>
  <c r="S145" i="6"/>
  <c r="S146" i="6" s="1"/>
  <c r="S147" i="6"/>
  <c r="S148" i="6" s="1"/>
  <c r="Z144" i="6"/>
  <c r="V144" i="6"/>
  <c r="S140" i="6"/>
  <c r="S141" i="6"/>
  <c r="S142" i="6"/>
  <c r="S143" i="6" s="1"/>
  <c r="Z139" i="6"/>
  <c r="V139" i="6"/>
  <c r="S135" i="6"/>
  <c r="S136" i="6"/>
  <c r="S137" i="6" s="1"/>
  <c r="S138" i="6"/>
  <c r="Z134" i="6"/>
  <c r="V134" i="6"/>
  <c r="Y134" i="6"/>
  <c r="AA134" i="6"/>
  <c r="Z129" i="6"/>
  <c r="V129" i="6"/>
  <c r="R124" i="6"/>
  <c r="S125" i="6"/>
  <c r="S126" i="6" s="1"/>
  <c r="S127" i="6" s="1"/>
  <c r="S128" i="6" s="1"/>
  <c r="Z124" i="6"/>
  <c r="V124" i="6"/>
  <c r="S120" i="6"/>
  <c r="S121" i="6"/>
  <c r="S122" i="6" s="1"/>
  <c r="S123" i="6"/>
  <c r="Z119" i="6"/>
  <c r="V119" i="6"/>
  <c r="Y119" i="6"/>
  <c r="AA119" i="6"/>
  <c r="R114" i="6"/>
  <c r="S115" i="6"/>
  <c r="S116" i="6"/>
  <c r="S117" i="6" s="1"/>
  <c r="S118" i="6" s="1"/>
  <c r="Z114" i="6"/>
  <c r="V114" i="6"/>
  <c r="R109" i="6"/>
  <c r="Z109" i="6"/>
  <c r="V109" i="6"/>
  <c r="R104" i="6"/>
  <c r="S105" i="6"/>
  <c r="S106" i="6"/>
  <c r="S107" i="6"/>
  <c r="S108" i="6" s="1"/>
  <c r="Z104" i="6"/>
  <c r="V104" i="6"/>
  <c r="Y104" i="6"/>
  <c r="AA104" i="6" s="1"/>
  <c r="Z99" i="6"/>
  <c r="V99" i="6"/>
  <c r="Z94" i="6"/>
  <c r="V94" i="6"/>
  <c r="S90" i="6"/>
  <c r="S91" i="6"/>
  <c r="S92" i="6" s="1"/>
  <c r="S93" i="6" s="1"/>
  <c r="Z89" i="6"/>
  <c r="V89" i="6"/>
  <c r="Y89" i="6"/>
  <c r="AA89" i="6"/>
  <c r="S85" i="6"/>
  <c r="S86" i="6"/>
  <c r="S87" i="6" s="1"/>
  <c r="S88" i="6" s="1"/>
  <c r="Z84" i="6"/>
  <c r="V84" i="6"/>
  <c r="Z79" i="6"/>
  <c r="V79" i="6"/>
  <c r="Y79" i="6"/>
  <c r="AA79" i="6" s="1"/>
  <c r="S75" i="6"/>
  <c r="S76" i="6"/>
  <c r="S77" i="6"/>
  <c r="S78" i="6"/>
  <c r="Z74" i="6"/>
  <c r="V74" i="6"/>
  <c r="Y74" i="6"/>
  <c r="AA74" i="6" s="1"/>
  <c r="Z69" i="6"/>
  <c r="V69" i="6"/>
  <c r="S65" i="6"/>
  <c r="S66" i="6"/>
  <c r="S67" i="6"/>
  <c r="S68" i="6" s="1"/>
  <c r="Z64" i="6"/>
  <c r="V64" i="6"/>
  <c r="S60" i="6"/>
  <c r="S61" i="6"/>
  <c r="S62" i="6"/>
  <c r="S63" i="6"/>
  <c r="Z59" i="6"/>
  <c r="V59" i="6"/>
  <c r="R54" i="6"/>
  <c r="S55" i="6"/>
  <c r="S56" i="6" s="1"/>
  <c r="S57" i="6"/>
  <c r="S58" i="6" s="1"/>
  <c r="Z54" i="6"/>
  <c r="V54" i="6"/>
  <c r="Y54" i="6"/>
  <c r="AA54" i="6" s="1"/>
  <c r="S51" i="6"/>
  <c r="S52" i="6"/>
  <c r="S53" i="6" s="1"/>
  <c r="Z49" i="6"/>
  <c r="V49" i="6"/>
  <c r="R44" i="6"/>
  <c r="Z44" i="6"/>
  <c r="V44" i="6"/>
  <c r="Y44" i="6"/>
  <c r="AA44" i="6"/>
  <c r="S40" i="6"/>
  <c r="S41" i="6"/>
  <c r="S42" i="6" s="1"/>
  <c r="S43" i="6" s="1"/>
  <c r="Z39" i="6"/>
  <c r="V39" i="6"/>
  <c r="R34" i="6"/>
  <c r="S35" i="6"/>
  <c r="S36" i="6"/>
  <c r="S37" i="6"/>
  <c r="S38" i="6"/>
  <c r="Z34" i="6"/>
  <c r="V34" i="6"/>
  <c r="Y34" i="6"/>
  <c r="AA34" i="6"/>
  <c r="Z29" i="6"/>
  <c r="V29" i="6"/>
  <c r="S25" i="6"/>
  <c r="S26" i="6"/>
  <c r="S27" i="6" s="1"/>
  <c r="S28" i="6" s="1"/>
  <c r="Z24" i="6"/>
  <c r="V24" i="6"/>
  <c r="S20" i="6"/>
  <c r="S21" i="6" s="1"/>
  <c r="S22" i="6" s="1"/>
  <c r="S23" i="6"/>
  <c r="S15" i="6"/>
  <c r="S16" i="6" s="1"/>
  <c r="S17" i="6"/>
  <c r="S18" i="6" s="1"/>
  <c r="S10" i="6"/>
  <c r="S11" i="6"/>
  <c r="S12" i="6" s="1"/>
  <c r="S13" i="6" s="1"/>
  <c r="A4" i="8"/>
  <c r="A9" i="8"/>
  <c r="A14" i="8"/>
  <c r="A19" i="8"/>
  <c r="A24" i="8"/>
  <c r="A29" i="8"/>
  <c r="A34" i="8"/>
  <c r="A39" i="8"/>
  <c r="A44" i="8"/>
  <c r="A49" i="8"/>
  <c r="A54" i="8"/>
  <c r="A59" i="8"/>
  <c r="A64" i="8"/>
  <c r="A69" i="8"/>
  <c r="A74" i="8"/>
  <c r="A79" i="8"/>
  <c r="A84" i="8"/>
  <c r="A89" i="8"/>
  <c r="A94" i="8"/>
  <c r="A99" i="8"/>
  <c r="A104" i="8"/>
  <c r="A109" i="8"/>
  <c r="A114" i="8"/>
  <c r="A119" i="8"/>
  <c r="A124" i="8"/>
  <c r="A129" i="8"/>
  <c r="A134" i="8"/>
  <c r="A139" i="8"/>
  <c r="A144" i="8"/>
  <c r="A149" i="8"/>
  <c r="A154" i="8"/>
  <c r="A159" i="8"/>
  <c r="A164" i="8"/>
  <c r="A169" i="8"/>
  <c r="A174" i="8"/>
  <c r="A179" i="8"/>
  <c r="A184" i="8"/>
  <c r="A189" i="8"/>
  <c r="A194" i="8"/>
  <c r="A199" i="8"/>
  <c r="A204" i="8"/>
  <c r="A209" i="8"/>
  <c r="A214" i="8"/>
  <c r="A219" i="8"/>
  <c r="A224" i="8"/>
  <c r="A229" i="8"/>
  <c r="A234" i="8"/>
  <c r="A239" i="8"/>
  <c r="A244" i="8"/>
  <c r="A249" i="8"/>
  <c r="A254" i="8"/>
  <c r="P8" i="8"/>
  <c r="P7" i="8"/>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9" i="4"/>
  <c r="B19" i="4"/>
  <c r="B18" i="4"/>
  <c r="P27" i="2" s="1"/>
  <c r="A4" i="6"/>
  <c r="A9" i="6"/>
  <c r="D4" i="6"/>
  <c r="G12" i="2"/>
  <c r="H12" i="2"/>
  <c r="G11" i="2"/>
  <c r="H11" i="2"/>
  <c r="G10" i="2"/>
  <c r="H10" i="2"/>
  <c r="G9" i="2"/>
  <c r="H9" i="2"/>
  <c r="G8" i="2"/>
  <c r="H8" i="2"/>
  <c r="G7" i="2"/>
  <c r="H7" i="2"/>
  <c r="G6" i="2"/>
  <c r="H6" i="2"/>
  <c r="G5" i="2"/>
  <c r="H5" i="2"/>
  <c r="G4" i="2"/>
  <c r="H4" i="2"/>
  <c r="A14" i="6"/>
  <c r="D9" i="6"/>
  <c r="P26" i="2"/>
  <c r="P28" i="2"/>
  <c r="P29" i="2"/>
  <c r="AB364" i="6" s="1"/>
  <c r="D14" i="6"/>
  <c r="A19" i="6"/>
  <c r="L15" i="2"/>
  <c r="L12" i="2"/>
  <c r="K20" i="2"/>
  <c r="K9" i="2"/>
  <c r="L6" i="2"/>
  <c r="K7" i="2"/>
  <c r="K18" i="2"/>
  <c r="K8" i="2"/>
  <c r="L16" i="2"/>
  <c r="M16" i="2"/>
  <c r="L4" i="2"/>
  <c r="K5" i="2"/>
  <c r="K4" i="2"/>
  <c r="L14" i="2"/>
  <c r="D19" i="6"/>
  <c r="A24" i="6"/>
  <c r="A29" i="6"/>
  <c r="D24" i="6"/>
  <c r="A34" i="6"/>
  <c r="D29" i="6"/>
  <c r="A39" i="6"/>
  <c r="D34" i="6"/>
  <c r="A44" i="6"/>
  <c r="D39" i="6"/>
  <c r="D44" i="6"/>
  <c r="A49" i="6"/>
  <c r="D49" i="6"/>
  <c r="A54" i="6"/>
  <c r="D54" i="6"/>
  <c r="A59" i="6"/>
  <c r="D59" i="6"/>
  <c r="A64" i="6"/>
  <c r="D64" i="6"/>
  <c r="A69" i="6"/>
  <c r="D69" i="6"/>
  <c r="A74" i="6"/>
  <c r="D74" i="6"/>
  <c r="A79" i="6"/>
  <c r="D79" i="6"/>
  <c r="A84" i="6"/>
  <c r="D84" i="6"/>
  <c r="A89" i="6"/>
  <c r="A94" i="6"/>
  <c r="D89" i="6"/>
  <c r="A99" i="6"/>
  <c r="D94" i="6"/>
  <c r="A104" i="6"/>
  <c r="D99" i="6"/>
  <c r="D104" i="6"/>
  <c r="A109" i="6"/>
  <c r="D109" i="6"/>
  <c r="A114" i="6"/>
  <c r="A119" i="6"/>
  <c r="D114" i="6"/>
  <c r="D119" i="6"/>
  <c r="A124" i="6"/>
  <c r="D124" i="6"/>
  <c r="A129" i="6"/>
  <c r="A134" i="6"/>
  <c r="D129" i="6"/>
  <c r="D134" i="6"/>
  <c r="A139" i="6"/>
  <c r="D139" i="6"/>
  <c r="A144" i="6"/>
  <c r="A149" i="6"/>
  <c r="D144" i="6"/>
  <c r="D149" i="6"/>
  <c r="A154" i="6"/>
  <c r="A159" i="6"/>
  <c r="D154" i="6"/>
  <c r="A164" i="6"/>
  <c r="D159" i="6"/>
  <c r="A259" i="8"/>
  <c r="A169" i="6"/>
  <c r="D164" i="6"/>
  <c r="A264" i="8"/>
  <c r="D169" i="6"/>
  <c r="A174" i="6"/>
  <c r="A269" i="8"/>
  <c r="A179" i="6"/>
  <c r="D174" i="6"/>
  <c r="A274" i="8"/>
  <c r="A184" i="6"/>
  <c r="D179" i="6"/>
  <c r="A279" i="8"/>
  <c r="D184" i="6"/>
  <c r="A189" i="6"/>
  <c r="A284" i="8"/>
  <c r="D189" i="6"/>
  <c r="A194" i="6"/>
  <c r="A289" i="8"/>
  <c r="D194" i="6"/>
  <c r="A199" i="6"/>
  <c r="A294" i="8"/>
  <c r="D199" i="6"/>
  <c r="A204" i="6"/>
  <c r="A299" i="8"/>
  <c r="A209" i="6"/>
  <c r="D204" i="6"/>
  <c r="A304" i="8"/>
  <c r="D209" i="6"/>
  <c r="A214" i="6"/>
  <c r="A309" i="8"/>
  <c r="D214" i="6"/>
  <c r="A219" i="6"/>
  <c r="A314" i="8"/>
  <c r="D219" i="6"/>
  <c r="A224" i="6"/>
  <c r="A319" i="8"/>
  <c r="A229" i="6"/>
  <c r="D224" i="6"/>
  <c r="A324" i="8"/>
  <c r="D229" i="6"/>
  <c r="A234" i="6"/>
  <c r="A329" i="8"/>
  <c r="D234" i="6"/>
  <c r="A239" i="6"/>
  <c r="A334" i="8"/>
  <c r="D239" i="6"/>
  <c r="A244" i="6"/>
  <c r="A339" i="8"/>
  <c r="A249" i="6"/>
  <c r="D244" i="6"/>
  <c r="A344" i="8"/>
  <c r="A254" i="6"/>
  <c r="D249" i="6"/>
  <c r="A349" i="8"/>
  <c r="A259" i="6"/>
  <c r="D254" i="6"/>
  <c r="A354" i="8"/>
  <c r="D259" i="6"/>
  <c r="A264" i="6"/>
  <c r="A359" i="8"/>
  <c r="D264" i="6"/>
  <c r="A269" i="6"/>
  <c r="A364" i="8"/>
  <c r="A274" i="6"/>
  <c r="D269" i="6"/>
  <c r="A369" i="8"/>
  <c r="A279" i="6"/>
  <c r="D274" i="6"/>
  <c r="A374" i="8"/>
  <c r="D279" i="6"/>
  <c r="A284" i="6"/>
  <c r="A379" i="8"/>
  <c r="D284" i="6"/>
  <c r="A289" i="6"/>
  <c r="A384" i="8"/>
  <c r="A294" i="6"/>
  <c r="D289" i="6"/>
  <c r="A389" i="8"/>
  <c r="A299" i="6"/>
  <c r="D294" i="6"/>
  <c r="A394" i="8"/>
  <c r="A304" i="6"/>
  <c r="D299" i="6"/>
  <c r="A399" i="8"/>
  <c r="D304" i="6"/>
  <c r="A309" i="6"/>
  <c r="A404" i="8"/>
  <c r="A314" i="6"/>
  <c r="D309" i="6"/>
  <c r="A409" i="8"/>
  <c r="D314" i="6"/>
  <c r="A319" i="6"/>
  <c r="A414" i="8"/>
  <c r="D319" i="6"/>
  <c r="A324" i="6"/>
  <c r="A419" i="8"/>
  <c r="D324" i="6"/>
  <c r="A329" i="6"/>
  <c r="A424" i="8"/>
  <c r="D329" i="6"/>
  <c r="A334" i="6"/>
  <c r="A429" i="8"/>
  <c r="A339" i="6"/>
  <c r="D334" i="6"/>
  <c r="A434" i="8"/>
  <c r="D339" i="6"/>
  <c r="A344" i="6"/>
  <c r="A439" i="8"/>
  <c r="D344" i="6"/>
  <c r="A349" i="6"/>
  <c r="A444" i="8"/>
  <c r="D349" i="6"/>
  <c r="A354" i="6"/>
  <c r="A449" i="8"/>
  <c r="A359" i="6"/>
  <c r="D354" i="6"/>
  <c r="A454" i="8"/>
  <c r="D359" i="6"/>
  <c r="A364" i="6"/>
  <c r="A459" i="8"/>
  <c r="D364" i="6"/>
  <c r="A369" i="6"/>
  <c r="A464" i="8"/>
  <c r="A374" i="6"/>
  <c r="D369" i="6"/>
  <c r="A469" i="8"/>
  <c r="A379" i="6"/>
  <c r="D374" i="6"/>
  <c r="A474" i="8"/>
  <c r="A384" i="6"/>
  <c r="D379" i="6"/>
  <c r="A479" i="8"/>
  <c r="A389" i="6"/>
  <c r="D384" i="6"/>
  <c r="A484" i="8"/>
  <c r="A394" i="6"/>
  <c r="D389" i="6"/>
  <c r="A489" i="8"/>
  <c r="A399" i="6"/>
  <c r="D394" i="6"/>
  <c r="A494" i="8"/>
  <c r="A404" i="6"/>
  <c r="D399" i="6"/>
  <c r="A499" i="8"/>
  <c r="D404" i="6"/>
  <c r="A409" i="6"/>
  <c r="D409" i="6"/>
  <c r="A414" i="6"/>
  <c r="A419" i="6"/>
  <c r="D414" i="6"/>
  <c r="D419" i="6"/>
  <c r="A424" i="6"/>
  <c r="A429" i="6"/>
  <c r="D424" i="6"/>
  <c r="A434" i="6"/>
  <c r="D429" i="6"/>
  <c r="A439" i="6"/>
  <c r="D434" i="6"/>
  <c r="A444" i="6"/>
  <c r="D439" i="6"/>
  <c r="D444" i="6"/>
  <c r="A449" i="6"/>
  <c r="A454" i="6"/>
  <c r="D449" i="6"/>
  <c r="D454" i="6"/>
  <c r="A459" i="6"/>
  <c r="A464" i="6"/>
  <c r="D459" i="6"/>
  <c r="D464" i="6"/>
  <c r="A469" i="6"/>
  <c r="D469" i="6"/>
  <c r="A474" i="6"/>
  <c r="D474" i="6"/>
  <c r="A479" i="6"/>
  <c r="D479" i="6"/>
  <c r="A484" i="6"/>
  <c r="A489" i="6"/>
  <c r="D484" i="6"/>
  <c r="D489" i="6"/>
  <c r="A494" i="6"/>
  <c r="D494" i="6"/>
  <c r="A499" i="6"/>
  <c r="D499" i="6"/>
  <c r="AA4" i="8"/>
  <c r="AB4" i="8"/>
  <c r="S5" i="6"/>
  <c r="S6" i="6" s="1"/>
  <c r="S7" i="6"/>
  <c r="S8" i="6" s="1"/>
  <c r="M5" i="8"/>
  <c r="M6" i="8"/>
  <c r="M7" i="8" s="1"/>
  <c r="M8" i="8"/>
  <c r="F7" i="8"/>
  <c r="F8" i="8" s="1"/>
  <c r="O4" i="8"/>
  <c r="O274" i="6" l="1"/>
  <c r="O114" i="6"/>
  <c r="C84" i="8"/>
  <c r="R84" i="6"/>
  <c r="O34" i="6"/>
  <c r="AC444" i="6"/>
  <c r="O99" i="6"/>
  <c r="R69" i="6"/>
  <c r="C69" i="8"/>
  <c r="AA44" i="8"/>
  <c r="F45" i="8"/>
  <c r="F46" i="8" s="1"/>
  <c r="F47" i="8" s="1"/>
  <c r="F48" i="8" s="1"/>
  <c r="Y9" i="6"/>
  <c r="AA9" i="6" s="1"/>
  <c r="Y19" i="6"/>
  <c r="AA19" i="6" s="1"/>
  <c r="Y14" i="6"/>
  <c r="AA14" i="6" s="1"/>
  <c r="L11" i="2"/>
  <c r="L19" i="2"/>
  <c r="M19" i="2" s="1"/>
  <c r="K16" i="2"/>
  <c r="K10" i="2"/>
  <c r="L5" i="2"/>
  <c r="Y4" i="6"/>
  <c r="AA4" i="6" s="1"/>
  <c r="Y469" i="6"/>
  <c r="AA469" i="6" s="1"/>
  <c r="Y259" i="6"/>
  <c r="AA259" i="6" s="1"/>
  <c r="Y204" i="6"/>
  <c r="AA204" i="6" s="1"/>
  <c r="Y159" i="6"/>
  <c r="AA159" i="6" s="1"/>
  <c r="L18" i="2"/>
  <c r="M18" i="2" s="1"/>
  <c r="K14" i="2"/>
  <c r="Y499" i="6"/>
  <c r="AA499" i="6" s="1"/>
  <c r="Y489" i="6"/>
  <c r="AA489" i="6" s="1"/>
  <c r="Y479" i="6"/>
  <c r="AA479" i="6" s="1"/>
  <c r="Y344" i="6"/>
  <c r="AA344" i="6" s="1"/>
  <c r="Y269" i="6"/>
  <c r="AA269" i="6" s="1"/>
  <c r="Y84" i="6"/>
  <c r="AA84" i="6" s="1"/>
  <c r="Y29" i="6"/>
  <c r="AA29" i="6" s="1"/>
  <c r="K17" i="2"/>
  <c r="Y279" i="6"/>
  <c r="AA279" i="6" s="1"/>
  <c r="Y94" i="6"/>
  <c r="AA94" i="6" s="1"/>
  <c r="L17" i="2"/>
  <c r="L20" i="2"/>
  <c r="M20" i="2" s="1"/>
  <c r="Y354" i="6"/>
  <c r="AA354" i="6" s="1"/>
  <c r="Y214" i="6"/>
  <c r="AA214" i="6" s="1"/>
  <c r="Y169" i="6"/>
  <c r="AA169" i="6" s="1"/>
  <c r="Y39" i="6"/>
  <c r="AA39" i="6" s="1"/>
  <c r="Y364" i="6"/>
  <c r="AA364" i="6" s="1"/>
  <c r="Y234" i="6"/>
  <c r="AA234" i="6" s="1"/>
  <c r="Y179" i="6"/>
  <c r="AA179" i="6" s="1"/>
  <c r="Y114" i="6"/>
  <c r="AA114" i="6" s="1"/>
  <c r="K6" i="2"/>
  <c r="K13" i="2"/>
  <c r="Y374" i="6"/>
  <c r="AA374" i="6" s="1"/>
  <c r="Y309" i="6"/>
  <c r="AA309" i="6" s="1"/>
  <c r="Y124" i="6"/>
  <c r="AA124" i="6" s="1"/>
  <c r="Y59" i="6"/>
  <c r="AA59" i="6" s="1"/>
  <c r="L13" i="2"/>
  <c r="K12" i="2"/>
  <c r="Y404" i="6"/>
  <c r="AA404" i="6" s="1"/>
  <c r="Y394" i="6"/>
  <c r="AA394" i="6" s="1"/>
  <c r="Y384" i="6"/>
  <c r="AA384" i="6" s="1"/>
  <c r="Y319" i="6"/>
  <c r="AA319" i="6" s="1"/>
  <c r="Y244" i="6"/>
  <c r="AA244" i="6" s="1"/>
  <c r="Y189" i="6"/>
  <c r="AA189" i="6" s="1"/>
  <c r="Y69" i="6"/>
  <c r="AA69" i="6" s="1"/>
  <c r="L8" i="2"/>
  <c r="M8" i="2" s="1"/>
  <c r="Y464" i="6"/>
  <c r="AA464" i="6" s="1"/>
  <c r="Y339" i="6"/>
  <c r="AA339" i="6" s="1"/>
  <c r="Y264" i="6"/>
  <c r="AA264" i="6" s="1"/>
  <c r="Y154" i="6"/>
  <c r="AA154" i="6" s="1"/>
  <c r="Y24" i="6"/>
  <c r="AA24" i="6" s="1"/>
  <c r="L9" i="2"/>
  <c r="L7" i="2"/>
  <c r="Y49" i="6"/>
  <c r="AA49" i="6" s="1"/>
  <c r="Y209" i="6"/>
  <c r="AA209" i="6" s="1"/>
  <c r="Y239" i="6"/>
  <c r="AA239" i="6" s="1"/>
  <c r="Y294" i="6"/>
  <c r="AA294" i="6" s="1"/>
  <c r="Y414" i="6"/>
  <c r="AA414" i="6" s="1"/>
  <c r="Y494" i="6"/>
  <c r="AA494" i="6" s="1"/>
  <c r="N220" i="6"/>
  <c r="O324" i="6"/>
  <c r="R29" i="6"/>
  <c r="C29" i="8"/>
  <c r="K19" i="2"/>
  <c r="K11" i="2"/>
  <c r="AB19" i="6"/>
  <c r="AC19" i="6" s="1"/>
  <c r="Y64" i="6"/>
  <c r="AA64" i="6" s="1"/>
  <c r="R74" i="6"/>
  <c r="Y109" i="6"/>
  <c r="AA109" i="6" s="1"/>
  <c r="Y139" i="6"/>
  <c r="AA139" i="6" s="1"/>
  <c r="AB239" i="6"/>
  <c r="AB294" i="6"/>
  <c r="Y379" i="6"/>
  <c r="AA379" i="6" s="1"/>
  <c r="Y439" i="6"/>
  <c r="AA439" i="6" s="1"/>
  <c r="O64" i="6"/>
  <c r="N351" i="6"/>
  <c r="AA84" i="8"/>
  <c r="AC84" i="8"/>
  <c r="T411" i="8"/>
  <c r="Q411" i="8"/>
  <c r="R411" i="8" s="1"/>
  <c r="O409" i="8"/>
  <c r="AC129" i="8"/>
  <c r="T472" i="8"/>
  <c r="Q472" i="8"/>
  <c r="R472" i="8" s="1"/>
  <c r="O389" i="6"/>
  <c r="T428" i="8"/>
  <c r="U424" i="8" s="1"/>
  <c r="Q428" i="8"/>
  <c r="R428" i="8" s="1"/>
  <c r="Q473" i="8"/>
  <c r="R473" i="8" s="1"/>
  <c r="T473" i="8"/>
  <c r="Q487" i="8"/>
  <c r="R487" i="8" s="1"/>
  <c r="T487" i="8"/>
  <c r="O484" i="8"/>
  <c r="M15" i="2"/>
  <c r="AB499" i="6"/>
  <c r="AB489" i="6"/>
  <c r="AC489" i="6" s="1"/>
  <c r="AB479" i="6"/>
  <c r="AC479" i="6" s="1"/>
  <c r="AB344" i="6"/>
  <c r="AC344" i="6" s="1"/>
  <c r="AB269" i="6"/>
  <c r="AC269" i="6" s="1"/>
  <c r="AB84" i="6"/>
  <c r="AB29" i="6"/>
  <c r="AB279" i="6"/>
  <c r="AC279" i="6" s="1"/>
  <c r="AB94" i="6"/>
  <c r="AC94" i="6" s="1"/>
  <c r="AB354" i="6"/>
  <c r="AC354" i="6" s="1"/>
  <c r="AB214" i="6"/>
  <c r="AC214" i="6" s="1"/>
  <c r="AB169" i="6"/>
  <c r="AC169" i="6" s="1"/>
  <c r="AB39" i="6"/>
  <c r="AC39" i="6" s="1"/>
  <c r="AB299" i="6"/>
  <c r="AC299" i="6" s="1"/>
  <c r="AB289" i="6"/>
  <c r="AC289" i="6" s="1"/>
  <c r="AB224" i="6"/>
  <c r="AB104" i="6"/>
  <c r="AC104" i="6" s="1"/>
  <c r="AB49" i="6"/>
  <c r="AC49" i="6" s="1"/>
  <c r="M17" i="2"/>
  <c r="AB374" i="6"/>
  <c r="AC374" i="6" s="1"/>
  <c r="AB309" i="6"/>
  <c r="AC309" i="6" s="1"/>
  <c r="AB124" i="6"/>
  <c r="AC124" i="6" s="1"/>
  <c r="AB59" i="6"/>
  <c r="AB404" i="6"/>
  <c r="AC404" i="6" s="1"/>
  <c r="AB394" i="6"/>
  <c r="AC394" i="6" s="1"/>
  <c r="AB384" i="6"/>
  <c r="AC384" i="6" s="1"/>
  <c r="AB319" i="6"/>
  <c r="AC319" i="6" s="1"/>
  <c r="AB244" i="6"/>
  <c r="AC244" i="6" s="1"/>
  <c r="AB189" i="6"/>
  <c r="AC189" i="6" s="1"/>
  <c r="AB69" i="6"/>
  <c r="AC69" i="6" s="1"/>
  <c r="M5" i="2"/>
  <c r="AB4" i="6"/>
  <c r="AC4" i="6" s="1"/>
  <c r="M13" i="2"/>
  <c r="AB424" i="6"/>
  <c r="AC424" i="6" s="1"/>
  <c r="AB414" i="6"/>
  <c r="AC414" i="6" s="1"/>
  <c r="AB329" i="6"/>
  <c r="AC329" i="6" s="1"/>
  <c r="AB134" i="6"/>
  <c r="AC134" i="6" s="1"/>
  <c r="AB464" i="6"/>
  <c r="AB494" i="6"/>
  <c r="AC494" i="6" s="1"/>
  <c r="AB484" i="6"/>
  <c r="AC484" i="6" s="1"/>
  <c r="AB474" i="6"/>
  <c r="AC474" i="6" s="1"/>
  <c r="AB209" i="6"/>
  <c r="AC209" i="6" s="1"/>
  <c r="AB89" i="6"/>
  <c r="AC89" i="6" s="1"/>
  <c r="M14" i="2"/>
  <c r="AB44" i="6"/>
  <c r="AC44" i="6" s="1"/>
  <c r="AB74" i="6"/>
  <c r="AC74" i="6" s="1"/>
  <c r="O224" i="8"/>
  <c r="T227" i="8"/>
  <c r="U224" i="8" s="1"/>
  <c r="Q227" i="8"/>
  <c r="R227" i="8" s="1"/>
  <c r="T414" i="8"/>
  <c r="U414" i="8" s="1"/>
  <c r="M415" i="8"/>
  <c r="M416" i="8" s="1"/>
  <c r="M417" i="8" s="1"/>
  <c r="M418" i="8" s="1"/>
  <c r="F225" i="8"/>
  <c r="F226" i="8" s="1"/>
  <c r="F227" i="8" s="1"/>
  <c r="F228" i="8" s="1"/>
  <c r="AA224" i="8"/>
  <c r="AB119" i="6"/>
  <c r="AC119" i="6" s="1"/>
  <c r="C244" i="8"/>
  <c r="R244" i="6"/>
  <c r="T134" i="8"/>
  <c r="U134" i="8" s="1"/>
  <c r="M135" i="8"/>
  <c r="M136" i="8" s="1"/>
  <c r="M137" i="8" s="1"/>
  <c r="M138" i="8" s="1"/>
  <c r="R49" i="6"/>
  <c r="C49" i="8"/>
  <c r="AA244" i="8"/>
  <c r="AC244" i="8"/>
  <c r="N248" i="6"/>
  <c r="AC64" i="8"/>
  <c r="AA64" i="8"/>
  <c r="O49" i="6"/>
  <c r="N77" i="6"/>
  <c r="O74" i="6" s="1"/>
  <c r="O334" i="6"/>
  <c r="C184" i="8"/>
  <c r="R184" i="6"/>
  <c r="AB234" i="6"/>
  <c r="AC234" i="6" s="1"/>
  <c r="O199" i="6"/>
  <c r="O469" i="6"/>
  <c r="T488" i="8"/>
  <c r="Q488" i="8"/>
  <c r="R488" i="8" s="1"/>
  <c r="AB359" i="6"/>
  <c r="AC359" i="6" s="1"/>
  <c r="T401" i="8"/>
  <c r="U399" i="8" s="1"/>
  <c r="O399" i="8"/>
  <c r="Q401" i="8"/>
  <c r="R401" i="8" s="1"/>
  <c r="AB9" i="6"/>
  <c r="AB149" i="6"/>
  <c r="AC149" i="6" s="1"/>
  <c r="AB249" i="6"/>
  <c r="AC249" i="6" s="1"/>
  <c r="O414" i="6"/>
  <c r="C409" i="8"/>
  <c r="R409" i="6"/>
  <c r="T161" i="8"/>
  <c r="U159" i="8" s="1"/>
  <c r="O159" i="8"/>
  <c r="Q161" i="8"/>
  <c r="R161" i="8" s="1"/>
  <c r="M7" i="2"/>
  <c r="N246" i="6"/>
  <c r="O244" i="6" s="1"/>
  <c r="C234" i="8"/>
  <c r="R234" i="6"/>
  <c r="AC309" i="8"/>
  <c r="O144" i="8"/>
  <c r="Q147" i="8"/>
  <c r="R147" i="8" s="1"/>
  <c r="Q243" i="8"/>
  <c r="R243" i="8" s="1"/>
  <c r="T243" i="8"/>
  <c r="U239" i="8" s="1"/>
  <c r="O239" i="8"/>
  <c r="T373" i="8"/>
  <c r="Q373" i="8"/>
  <c r="R373" i="8" s="1"/>
  <c r="T387" i="8"/>
  <c r="Q387" i="8"/>
  <c r="R387" i="8" s="1"/>
  <c r="O384" i="8"/>
  <c r="T491" i="8"/>
  <c r="U489" i="8" s="1"/>
  <c r="Q491" i="8"/>
  <c r="R491" i="8" s="1"/>
  <c r="O489" i="8"/>
  <c r="AB334" i="6"/>
  <c r="AC334" i="6" s="1"/>
  <c r="AB449" i="6"/>
  <c r="AC449" i="6" s="1"/>
  <c r="O329" i="6"/>
  <c r="R149" i="6"/>
  <c r="C149" i="8"/>
  <c r="C469" i="8"/>
  <c r="R469" i="6"/>
  <c r="T51" i="8"/>
  <c r="O49" i="8"/>
  <c r="Q51" i="8"/>
  <c r="R51" i="8" s="1"/>
  <c r="Y224" i="6"/>
  <c r="AA224" i="6" s="1"/>
  <c r="AB349" i="6"/>
  <c r="AC349" i="6" s="1"/>
  <c r="O69" i="6"/>
  <c r="O189" i="6"/>
  <c r="N428" i="6"/>
  <c r="AA239" i="8"/>
  <c r="AB64" i="6"/>
  <c r="AB109" i="6"/>
  <c r="O429" i="6"/>
  <c r="AC279" i="8"/>
  <c r="AA279" i="8"/>
  <c r="Y184" i="6"/>
  <c r="AA184" i="6" s="1"/>
  <c r="Y254" i="6"/>
  <c r="AA254" i="6" s="1"/>
  <c r="Y324" i="6"/>
  <c r="AA324" i="6" s="1"/>
  <c r="N405" i="6"/>
  <c r="O404" i="6" s="1"/>
  <c r="O204" i="6"/>
  <c r="T397" i="8"/>
  <c r="U394" i="8" s="1"/>
  <c r="O394" i="8"/>
  <c r="Q397" i="8"/>
  <c r="R397" i="8" s="1"/>
  <c r="O79" i="6"/>
  <c r="O164" i="6"/>
  <c r="F164" i="8"/>
  <c r="W164" i="6"/>
  <c r="G164" i="8" s="1"/>
  <c r="U164" i="6"/>
  <c r="S165" i="6"/>
  <c r="S166" i="6" s="1"/>
  <c r="S167" i="6" s="1"/>
  <c r="S168" i="6" s="1"/>
  <c r="T384" i="8"/>
  <c r="U384" i="8" s="1"/>
  <c r="M385" i="8"/>
  <c r="M386" i="8" s="1"/>
  <c r="M387" i="8" s="1"/>
  <c r="M388" i="8" s="1"/>
  <c r="AB304" i="6"/>
  <c r="AC304" i="6" s="1"/>
  <c r="AB399" i="6"/>
  <c r="AC399" i="6" s="1"/>
  <c r="AB434" i="6"/>
  <c r="AC434" i="6" s="1"/>
  <c r="O279" i="6"/>
  <c r="N440" i="6"/>
  <c r="O439" i="6" s="1"/>
  <c r="N157" i="6"/>
  <c r="O154" i="6" s="1"/>
  <c r="O304" i="6"/>
  <c r="O359" i="6"/>
  <c r="R119" i="6"/>
  <c r="C119" i="8"/>
  <c r="T372" i="8"/>
  <c r="Q372" i="8"/>
  <c r="R372" i="8" s="1"/>
  <c r="AB34" i="6"/>
  <c r="AC34" i="6" s="1"/>
  <c r="AB179" i="6"/>
  <c r="O159" i="6"/>
  <c r="N302" i="6"/>
  <c r="O299" i="6" s="1"/>
  <c r="AC89" i="8"/>
  <c r="AA89" i="8"/>
  <c r="F94" i="8"/>
  <c r="T94" i="6"/>
  <c r="W94" i="6"/>
  <c r="G94" i="8" s="1"/>
  <c r="T109" i="6"/>
  <c r="U109" i="6"/>
  <c r="S110" i="6"/>
  <c r="S111" i="6" s="1"/>
  <c r="S112" i="6" s="1"/>
  <c r="S113" i="6" s="1"/>
  <c r="F109" i="8"/>
  <c r="W109" i="6"/>
  <c r="G109" i="8" s="1"/>
  <c r="R129" i="6"/>
  <c r="C129" i="8"/>
  <c r="R139" i="6"/>
  <c r="C139" i="8"/>
  <c r="T122" i="8"/>
  <c r="Q122" i="8"/>
  <c r="R122" i="8" s="1"/>
  <c r="M6" i="2"/>
  <c r="AB14" i="6"/>
  <c r="AC14" i="6" s="1"/>
  <c r="AB164" i="6"/>
  <c r="AB194" i="6"/>
  <c r="AC194" i="6" s="1"/>
  <c r="AB264" i="6"/>
  <c r="AC264" i="6" s="1"/>
  <c r="AB389" i="6"/>
  <c r="AC389" i="6" s="1"/>
  <c r="N221" i="6"/>
  <c r="O434" i="6"/>
  <c r="U94" i="6"/>
  <c r="T108" i="8"/>
  <c r="Q108" i="8"/>
  <c r="R108" i="8" s="1"/>
  <c r="T388" i="8"/>
  <c r="Q388" i="8"/>
  <c r="R388" i="8" s="1"/>
  <c r="AB139" i="6"/>
  <c r="AB379" i="6"/>
  <c r="AC379" i="6" s="1"/>
  <c r="AB439" i="6"/>
  <c r="AC439" i="6" s="1"/>
  <c r="O349" i="6"/>
  <c r="C159" i="8"/>
  <c r="R159" i="6"/>
  <c r="W224" i="6"/>
  <c r="G224" i="8" s="1"/>
  <c r="F454" i="8"/>
  <c r="F455" i="8" s="1"/>
  <c r="F456" i="8" s="1"/>
  <c r="F457" i="8" s="1"/>
  <c r="F458" i="8" s="1"/>
  <c r="T454" i="6"/>
  <c r="S455" i="6"/>
  <c r="S456" i="6" s="1"/>
  <c r="S457" i="6" s="1"/>
  <c r="S458" i="6" s="1"/>
  <c r="W454" i="6"/>
  <c r="G454" i="8" s="1"/>
  <c r="AB79" i="6"/>
  <c r="AC79" i="6" s="1"/>
  <c r="L10" i="2"/>
  <c r="M10" i="2" s="1"/>
  <c r="AB154" i="6"/>
  <c r="AB184" i="6"/>
  <c r="AC184" i="6" s="1"/>
  <c r="AB254" i="6"/>
  <c r="AC254" i="6" s="1"/>
  <c r="Y284" i="6"/>
  <c r="AA284" i="6" s="1"/>
  <c r="AB324" i="6"/>
  <c r="O149" i="6"/>
  <c r="N426" i="6"/>
  <c r="AB24" i="6"/>
  <c r="S95" i="6"/>
  <c r="S96" i="6" s="1"/>
  <c r="S97" i="6" s="1"/>
  <c r="S98" i="6" s="1"/>
  <c r="AB284" i="6"/>
  <c r="AC284" i="6" s="1"/>
  <c r="O319" i="6"/>
  <c r="O374" i="6"/>
  <c r="O424" i="6"/>
  <c r="AC49" i="8"/>
  <c r="AA49" i="8"/>
  <c r="C204" i="8"/>
  <c r="Y164" i="6"/>
  <c r="AA164" i="6" s="1"/>
  <c r="T461" i="8"/>
  <c r="U459" i="8" s="1"/>
  <c r="Q461" i="8"/>
  <c r="R461" i="8" s="1"/>
  <c r="O459" i="8"/>
  <c r="AB199" i="6"/>
  <c r="AC199" i="6" s="1"/>
  <c r="AB339" i="6"/>
  <c r="AB469" i="6"/>
  <c r="O344" i="6"/>
  <c r="O479" i="6"/>
  <c r="T44" i="6"/>
  <c r="S45" i="6"/>
  <c r="S46" i="6" s="1"/>
  <c r="S47" i="6" s="1"/>
  <c r="S48" i="6" s="1"/>
  <c r="U44" i="6"/>
  <c r="C269" i="8"/>
  <c r="R269" i="6"/>
  <c r="R379" i="6"/>
  <c r="C379" i="8"/>
  <c r="AB54" i="6"/>
  <c r="AC54" i="6" s="1"/>
  <c r="Y129" i="6"/>
  <c r="AA129" i="6" s="1"/>
  <c r="AB229" i="6"/>
  <c r="AC229" i="6" s="1"/>
  <c r="AB314" i="6"/>
  <c r="AC314" i="6" s="1"/>
  <c r="Y369" i="6"/>
  <c r="AA369" i="6" s="1"/>
  <c r="AB429" i="6"/>
  <c r="AC429" i="6" s="1"/>
  <c r="AB454" i="6"/>
  <c r="AC454" i="6" s="1"/>
  <c r="Y484" i="6"/>
  <c r="AA484" i="6" s="1"/>
  <c r="O289" i="6"/>
  <c r="N477" i="6"/>
  <c r="O474" i="6" s="1"/>
  <c r="M105" i="8"/>
  <c r="M106" i="8" s="1"/>
  <c r="M107" i="8" s="1"/>
  <c r="M108" i="8" s="1"/>
  <c r="F194" i="8"/>
  <c r="W194" i="6"/>
  <c r="G194" i="8" s="1"/>
  <c r="U194" i="6"/>
  <c r="T194" i="6"/>
  <c r="M11" i="2"/>
  <c r="Y99" i="6"/>
  <c r="AA99" i="6" s="1"/>
  <c r="AB114" i="6"/>
  <c r="AB129" i="6"/>
  <c r="Y299" i="6"/>
  <c r="AA299" i="6" s="1"/>
  <c r="AB369" i="6"/>
  <c r="Y419" i="6"/>
  <c r="AA419" i="6" s="1"/>
  <c r="N111" i="6"/>
  <c r="O109" i="6" s="1"/>
  <c r="O369" i="6"/>
  <c r="F99" i="8"/>
  <c r="F100" i="8" s="1"/>
  <c r="F101" i="8" s="1"/>
  <c r="F102" i="8" s="1"/>
  <c r="F103" i="8" s="1"/>
  <c r="S100" i="6"/>
  <c r="S101" i="6" s="1"/>
  <c r="S102" i="6" s="1"/>
  <c r="S103" i="6" s="1"/>
  <c r="T99" i="6"/>
  <c r="AA104" i="8"/>
  <c r="C189" i="8"/>
  <c r="R189" i="6"/>
  <c r="M12" i="2"/>
  <c r="K15" i="2"/>
  <c r="M9" i="2"/>
  <c r="AB99" i="6"/>
  <c r="AC99" i="6" s="1"/>
  <c r="Y144" i="6"/>
  <c r="AA144" i="6" s="1"/>
  <c r="AB259" i="6"/>
  <c r="AB419" i="6"/>
  <c r="N198" i="6"/>
  <c r="O194" i="6" s="1"/>
  <c r="N388" i="6"/>
  <c r="F40" i="8"/>
  <c r="F41" i="8" s="1"/>
  <c r="F42" i="8" s="1"/>
  <c r="F43" i="8" s="1"/>
  <c r="C144" i="8"/>
  <c r="R144" i="6"/>
  <c r="T501" i="8"/>
  <c r="U499" i="8" s="1"/>
  <c r="Q501" i="8"/>
  <c r="R501" i="8" s="1"/>
  <c r="O499" i="8"/>
  <c r="M4" i="2"/>
  <c r="AB144" i="6"/>
  <c r="AB159" i="6"/>
  <c r="Y174" i="6"/>
  <c r="AA174" i="6" s="1"/>
  <c r="Y274" i="6"/>
  <c r="AA274" i="6" s="1"/>
  <c r="Y444" i="6"/>
  <c r="AA444" i="6" s="1"/>
  <c r="O54" i="6"/>
  <c r="O339" i="6"/>
  <c r="Q62" i="8"/>
  <c r="R62" i="8" s="1"/>
  <c r="C79" i="8"/>
  <c r="R79" i="6"/>
  <c r="AA214" i="8"/>
  <c r="F215" i="8"/>
  <c r="F216" i="8" s="1"/>
  <c r="F217" i="8" s="1"/>
  <c r="F218" i="8" s="1"/>
  <c r="C249" i="8"/>
  <c r="O384" i="6"/>
  <c r="AC74" i="8"/>
  <c r="AC139" i="8"/>
  <c r="F329" i="8"/>
  <c r="F330" i="8" s="1"/>
  <c r="F331" i="8" s="1"/>
  <c r="F332" i="8" s="1"/>
  <c r="F333" i="8" s="1"/>
  <c r="W329" i="6"/>
  <c r="G329" i="8" s="1"/>
  <c r="U329" i="6"/>
  <c r="S330" i="6"/>
  <c r="S331" i="6" s="1"/>
  <c r="S332" i="6" s="1"/>
  <c r="S333" i="6" s="1"/>
  <c r="AC434" i="8"/>
  <c r="AA434" i="8"/>
  <c r="U214" i="8"/>
  <c r="T231" i="8"/>
  <c r="U229" i="8" s="1"/>
  <c r="Q231" i="8"/>
  <c r="R231" i="8" s="1"/>
  <c r="O229" i="8"/>
  <c r="T287" i="8"/>
  <c r="O284" i="8"/>
  <c r="N188" i="6"/>
  <c r="O184" i="6" s="1"/>
  <c r="F219" i="8"/>
  <c r="F220" i="8" s="1"/>
  <c r="F221" i="8" s="1"/>
  <c r="F222" i="8" s="1"/>
  <c r="F223" i="8" s="1"/>
  <c r="U219" i="6"/>
  <c r="T219" i="6"/>
  <c r="S220" i="6"/>
  <c r="S221" i="6" s="1"/>
  <c r="S222" i="6" s="1"/>
  <c r="S223" i="6" s="1"/>
  <c r="AC229" i="8"/>
  <c r="AC254" i="8"/>
  <c r="F309" i="8"/>
  <c r="F310" i="8" s="1"/>
  <c r="F311" i="8" s="1"/>
  <c r="F312" i="8" s="1"/>
  <c r="F313" i="8" s="1"/>
  <c r="W309" i="6"/>
  <c r="G309" i="8" s="1"/>
  <c r="S310" i="6"/>
  <c r="S311" i="6" s="1"/>
  <c r="S312" i="6" s="1"/>
  <c r="S313" i="6" s="1"/>
  <c r="T309" i="6"/>
  <c r="W429" i="6"/>
  <c r="G429" i="8" s="1"/>
  <c r="F429" i="8"/>
  <c r="U429" i="6"/>
  <c r="T429" i="6"/>
  <c r="S430" i="6"/>
  <c r="S431" i="6" s="1"/>
  <c r="S432" i="6" s="1"/>
  <c r="S433" i="6" s="1"/>
  <c r="F470" i="8"/>
  <c r="F471" i="8" s="1"/>
  <c r="F472" i="8" s="1"/>
  <c r="F473" i="8" s="1"/>
  <c r="AA469" i="8"/>
  <c r="F54" i="8"/>
  <c r="F55" i="8" s="1"/>
  <c r="F56" i="8" s="1"/>
  <c r="F57" i="8" s="1"/>
  <c r="F58" i="8" s="1"/>
  <c r="T54" i="6"/>
  <c r="U54" i="6"/>
  <c r="AC154" i="8"/>
  <c r="AA154" i="8"/>
  <c r="C169" i="8"/>
  <c r="C354" i="8"/>
  <c r="R354" i="6"/>
  <c r="C459" i="8"/>
  <c r="T214" i="6"/>
  <c r="U214" i="6"/>
  <c r="W214" i="6"/>
  <c r="G214" i="8" s="1"/>
  <c r="N93" i="6"/>
  <c r="O89" i="6" s="1"/>
  <c r="N240" i="6"/>
  <c r="O239" i="6" s="1"/>
  <c r="N285" i="6"/>
  <c r="O284" i="6" s="1"/>
  <c r="N412" i="6"/>
  <c r="O409" i="6" s="1"/>
  <c r="O464" i="6"/>
  <c r="F159" i="8"/>
  <c r="W159" i="6"/>
  <c r="G159" i="8" s="1"/>
  <c r="T159" i="6"/>
  <c r="S160" i="6"/>
  <c r="S161" i="6" s="1"/>
  <c r="S162" i="6" s="1"/>
  <c r="S163" i="6" s="1"/>
  <c r="Q273" i="8"/>
  <c r="R273" i="8" s="1"/>
  <c r="C344" i="8"/>
  <c r="R344" i="6"/>
  <c r="T97" i="8"/>
  <c r="U94" i="8" s="1"/>
  <c r="O94" i="8"/>
  <c r="Q97" i="8"/>
  <c r="R97" i="8" s="1"/>
  <c r="C299" i="8"/>
  <c r="R299" i="6"/>
  <c r="N60" i="6"/>
  <c r="O59" i="6" s="1"/>
  <c r="N380" i="6"/>
  <c r="O379" i="6" s="1"/>
  <c r="N420" i="6"/>
  <c r="O419" i="6" s="1"/>
  <c r="N497" i="6"/>
  <c r="W54" i="6"/>
  <c r="G54" i="8" s="1"/>
  <c r="C99" i="8"/>
  <c r="C334" i="8"/>
  <c r="R334" i="6"/>
  <c r="AA459" i="8"/>
  <c r="F460" i="8"/>
  <c r="F461" i="8" s="1"/>
  <c r="F462" i="8" s="1"/>
  <c r="F463" i="8" s="1"/>
  <c r="AA124" i="8"/>
  <c r="C239" i="8"/>
  <c r="R239" i="6"/>
  <c r="AC249" i="8"/>
  <c r="C254" i="8"/>
  <c r="C284" i="8"/>
  <c r="O364" i="6"/>
  <c r="U29" i="6"/>
  <c r="F29" i="8"/>
  <c r="F30" i="8" s="1"/>
  <c r="F31" i="8" s="1"/>
  <c r="F32" i="8" s="1"/>
  <c r="F33" i="8" s="1"/>
  <c r="S30" i="6"/>
  <c r="S31" i="6" s="1"/>
  <c r="S32" i="6" s="1"/>
  <c r="S33" i="6" s="1"/>
  <c r="T29" i="6"/>
  <c r="C59" i="8"/>
  <c r="R59" i="6"/>
  <c r="AA149" i="8"/>
  <c r="AC149" i="8"/>
  <c r="F299" i="8"/>
  <c r="F300" i="8" s="1"/>
  <c r="F301" i="8" s="1"/>
  <c r="F302" i="8" s="1"/>
  <c r="F303" i="8" s="1"/>
  <c r="S300" i="6"/>
  <c r="S301" i="6" s="1"/>
  <c r="S302" i="6" s="1"/>
  <c r="S303" i="6" s="1"/>
  <c r="T299" i="6"/>
  <c r="N37" i="6"/>
  <c r="N226" i="6"/>
  <c r="O224" i="6" s="1"/>
  <c r="N271" i="6"/>
  <c r="O269" i="6" s="1"/>
  <c r="N357" i="6"/>
  <c r="O354" i="6" s="1"/>
  <c r="N488" i="6"/>
  <c r="O484" i="6" s="1"/>
  <c r="W29" i="6"/>
  <c r="G29" i="8" s="1"/>
  <c r="F114" i="8"/>
  <c r="C194" i="8"/>
  <c r="R194" i="6"/>
  <c r="AA204" i="8"/>
  <c r="AC204" i="8"/>
  <c r="C224" i="8"/>
  <c r="R224" i="6"/>
  <c r="C359" i="8"/>
  <c r="R359" i="6"/>
  <c r="F400" i="8"/>
  <c r="F401" i="8" s="1"/>
  <c r="F402" i="8" s="1"/>
  <c r="F403" i="8" s="1"/>
  <c r="AA399" i="8"/>
  <c r="AA404" i="8"/>
  <c r="AC404" i="8"/>
  <c r="AC134" i="8"/>
  <c r="AA134" i="8"/>
  <c r="AA174" i="8"/>
  <c r="AC174" i="8"/>
  <c r="W314" i="6"/>
  <c r="G314" i="8" s="1"/>
  <c r="T314" i="6"/>
  <c r="U314" i="6"/>
  <c r="AA319" i="8"/>
  <c r="AC319" i="8"/>
  <c r="N495" i="6"/>
  <c r="O494" i="6" s="1"/>
  <c r="AC69" i="8"/>
  <c r="AA69" i="8"/>
  <c r="C164" i="8"/>
  <c r="R164" i="6"/>
  <c r="F274" i="8"/>
  <c r="F275" i="8" s="1"/>
  <c r="F276" i="8" s="1"/>
  <c r="F277" i="8" s="1"/>
  <c r="F278" i="8" s="1"/>
  <c r="W274" i="6"/>
  <c r="G274" i="8" s="1"/>
  <c r="U274" i="6"/>
  <c r="Q287" i="8"/>
  <c r="R287" i="8" s="1"/>
  <c r="AA364" i="8"/>
  <c r="AC364" i="8"/>
  <c r="N168" i="6"/>
  <c r="N262" i="6"/>
  <c r="O259" i="6" s="1"/>
  <c r="N446" i="6"/>
  <c r="O444" i="6" s="1"/>
  <c r="N40" i="6"/>
  <c r="O39" i="6" s="1"/>
  <c r="N126" i="6"/>
  <c r="O124" i="6" s="1"/>
  <c r="O264" i="6"/>
  <c r="N298" i="6"/>
  <c r="O294" i="6" s="1"/>
  <c r="N397" i="6"/>
  <c r="O394" i="6" s="1"/>
  <c r="W104" i="6"/>
  <c r="G104" i="8" s="1"/>
  <c r="F284" i="8"/>
  <c r="W284" i="6"/>
  <c r="G284" i="8" s="1"/>
  <c r="F209" i="8"/>
  <c r="AC384" i="8"/>
  <c r="AC14" i="8"/>
  <c r="AA14" i="8"/>
  <c r="T53" i="8"/>
  <c r="Q53" i="8"/>
  <c r="R53" i="8" s="1"/>
  <c r="T218" i="8"/>
  <c r="O214" i="8"/>
  <c r="Q218" i="8"/>
  <c r="R218" i="8" s="1"/>
  <c r="T288" i="8"/>
  <c r="Q288" i="8"/>
  <c r="R288" i="8" s="1"/>
  <c r="AC114" i="8"/>
  <c r="AA274" i="8"/>
  <c r="AC274" i="8"/>
  <c r="AC394" i="8"/>
  <c r="AA394" i="8"/>
  <c r="O24" i="8"/>
  <c r="T25" i="8"/>
  <c r="U24" i="8" s="1"/>
  <c r="T151" i="8"/>
  <c r="U149" i="8" s="1"/>
  <c r="O149" i="8"/>
  <c r="N98" i="6"/>
  <c r="O94" i="6" s="1"/>
  <c r="W49" i="6"/>
  <c r="G49" i="8" s="1"/>
  <c r="F49" i="8"/>
  <c r="F50" i="8" s="1"/>
  <c r="F51" i="8" s="1"/>
  <c r="F52" i="8" s="1"/>
  <c r="F53" i="8" s="1"/>
  <c r="F179" i="8"/>
  <c r="AA259" i="8"/>
  <c r="W69" i="6"/>
  <c r="G69" i="8" s="1"/>
  <c r="AA304" i="8"/>
  <c r="F305" i="8"/>
  <c r="F306" i="8" s="1"/>
  <c r="F307" i="8" s="1"/>
  <c r="F308" i="8" s="1"/>
  <c r="U194" i="8"/>
  <c r="Q422" i="8"/>
  <c r="R422" i="8" s="1"/>
  <c r="T422" i="8"/>
  <c r="O419" i="8"/>
  <c r="AA34" i="8"/>
  <c r="F69" i="8"/>
  <c r="F70" i="8" s="1"/>
  <c r="F71" i="8" s="1"/>
  <c r="F72" i="8" s="1"/>
  <c r="F73" i="8" s="1"/>
  <c r="F129" i="8"/>
  <c r="F130" i="8" s="1"/>
  <c r="F131" i="8" s="1"/>
  <c r="F132" i="8" s="1"/>
  <c r="F133" i="8" s="1"/>
  <c r="AC479" i="8"/>
  <c r="AA479" i="8"/>
  <c r="AA269" i="8"/>
  <c r="AC269" i="8"/>
  <c r="F424" i="8"/>
  <c r="W424" i="6"/>
  <c r="G424" i="8" s="1"/>
  <c r="M265" i="8"/>
  <c r="M266" i="8" s="1"/>
  <c r="M267" i="8" s="1"/>
  <c r="M268" i="8" s="1"/>
  <c r="T264" i="8"/>
  <c r="U264" i="8" s="1"/>
  <c r="U79" i="6"/>
  <c r="F79" i="8"/>
  <c r="F80" i="8" s="1"/>
  <c r="F81" i="8" s="1"/>
  <c r="F82" i="8" s="1"/>
  <c r="F83" i="8" s="1"/>
  <c r="F124" i="8"/>
  <c r="F125" i="8" s="1"/>
  <c r="F126" i="8" s="1"/>
  <c r="F127" i="8" s="1"/>
  <c r="F128" i="8" s="1"/>
  <c r="W124" i="6"/>
  <c r="G124" i="8" s="1"/>
  <c r="F169" i="8"/>
  <c r="U169" i="6"/>
  <c r="AC189" i="8"/>
  <c r="F385" i="8"/>
  <c r="F386" i="8" s="1"/>
  <c r="F387" i="8" s="1"/>
  <c r="F388" i="8" s="1"/>
  <c r="AA384" i="8"/>
  <c r="S70" i="6"/>
  <c r="S71" i="6" s="1"/>
  <c r="S72" i="6" s="1"/>
  <c r="S73" i="6" s="1"/>
  <c r="S80" i="6"/>
  <c r="S81" i="6" s="1"/>
  <c r="S82" i="6" s="1"/>
  <c r="S83" i="6" s="1"/>
  <c r="S130" i="6"/>
  <c r="S131" i="6" s="1"/>
  <c r="S132" i="6" s="1"/>
  <c r="S133" i="6" s="1"/>
  <c r="S210" i="6"/>
  <c r="S211" i="6" s="1"/>
  <c r="S212" i="6" s="1"/>
  <c r="S213" i="6" s="1"/>
  <c r="N398" i="6"/>
  <c r="AA54" i="8"/>
  <c r="W129" i="6"/>
  <c r="G129" i="8" s="1"/>
  <c r="AA379" i="8"/>
  <c r="AC379" i="8"/>
  <c r="AA59" i="8"/>
  <c r="AC314" i="8"/>
  <c r="AA314" i="8"/>
  <c r="T447" i="8"/>
  <c r="U444" i="8" s="1"/>
  <c r="O444" i="8"/>
  <c r="Q447" i="8"/>
  <c r="R447" i="8" s="1"/>
  <c r="T463" i="8"/>
  <c r="Q463" i="8"/>
  <c r="R463" i="8" s="1"/>
  <c r="F449" i="8"/>
  <c r="F450" i="8" s="1"/>
  <c r="F451" i="8" s="1"/>
  <c r="F452" i="8" s="1"/>
  <c r="F453" i="8" s="1"/>
  <c r="W449" i="6"/>
  <c r="G449" i="8" s="1"/>
  <c r="U244" i="8"/>
  <c r="T361" i="8"/>
  <c r="U359" i="8" s="1"/>
  <c r="O359" i="8"/>
  <c r="Q361" i="8"/>
  <c r="R361" i="8" s="1"/>
  <c r="T391" i="8"/>
  <c r="U389" i="8" s="1"/>
  <c r="Q391" i="8"/>
  <c r="R391" i="8" s="1"/>
  <c r="U404" i="8"/>
  <c r="T434" i="8"/>
  <c r="U434" i="8" s="1"/>
  <c r="M435" i="8"/>
  <c r="M436" i="8" s="1"/>
  <c r="M437" i="8" s="1"/>
  <c r="M438" i="8" s="1"/>
  <c r="AA359" i="8"/>
  <c r="F420" i="8"/>
  <c r="F421" i="8" s="1"/>
  <c r="F422" i="8" s="1"/>
  <c r="F423" i="8" s="1"/>
  <c r="T261" i="8"/>
  <c r="O259" i="8"/>
  <c r="Q261" i="8"/>
  <c r="R261" i="8" s="1"/>
  <c r="T291" i="8"/>
  <c r="U289" i="8" s="1"/>
  <c r="O289" i="8"/>
  <c r="T304" i="8"/>
  <c r="U304" i="8" s="1"/>
  <c r="O344" i="8"/>
  <c r="T347" i="8"/>
  <c r="U344" i="8" s="1"/>
  <c r="Q347" i="8"/>
  <c r="R347" i="8" s="1"/>
  <c r="T392" i="8"/>
  <c r="AC454" i="8"/>
  <c r="T222" i="8"/>
  <c r="U219" i="8" s="1"/>
  <c r="O219" i="8"/>
  <c r="T363" i="8"/>
  <c r="Q363" i="8"/>
  <c r="R363" i="8" s="1"/>
  <c r="U279" i="6"/>
  <c r="AA234" i="8"/>
  <c r="AC369" i="8"/>
  <c r="AC444" i="8"/>
  <c r="AA444" i="8"/>
  <c r="O19" i="6"/>
  <c r="F9" i="8"/>
  <c r="T9" i="6"/>
  <c r="U9" i="6"/>
  <c r="T263" i="8"/>
  <c r="Q263" i="8"/>
  <c r="R263" i="8" s="1"/>
  <c r="O374" i="8"/>
  <c r="Q377" i="8"/>
  <c r="R377" i="8" s="1"/>
  <c r="AC329" i="8"/>
  <c r="T15" i="8"/>
  <c r="U14" i="8" s="1"/>
  <c r="O14" i="8"/>
  <c r="O274" i="8"/>
  <c r="F254" i="8"/>
  <c r="F255" i="8" s="1"/>
  <c r="F256" i="8" s="1"/>
  <c r="F257" i="8" s="1"/>
  <c r="F258" i="8" s="1"/>
  <c r="W279" i="6"/>
  <c r="G279" i="8" s="1"/>
  <c r="T251" i="8"/>
  <c r="U249" i="8" s="1"/>
  <c r="O249" i="8"/>
  <c r="T352" i="8"/>
  <c r="Q352" i="8"/>
  <c r="R352" i="8" s="1"/>
  <c r="AC399" i="8"/>
  <c r="AA409" i="8"/>
  <c r="F485" i="8"/>
  <c r="F486" i="8" s="1"/>
  <c r="F487" i="8" s="1"/>
  <c r="F488" i="8" s="1"/>
  <c r="AC4" i="8"/>
  <c r="O74" i="8"/>
  <c r="T77" i="8"/>
  <c r="U74" i="8" s="1"/>
  <c r="T132" i="8"/>
  <c r="U129" i="8" s="1"/>
  <c r="O129" i="8"/>
  <c r="T157" i="8"/>
  <c r="U154" i="8" s="1"/>
  <c r="T171" i="8"/>
  <c r="U169" i="8" s="1"/>
  <c r="O169" i="8"/>
  <c r="O334" i="8"/>
  <c r="T337" i="8"/>
  <c r="U334" i="8" s="1"/>
  <c r="M455" i="8"/>
  <c r="M456" i="8" s="1"/>
  <c r="M457" i="8" s="1"/>
  <c r="M458" i="8" s="1"/>
  <c r="T454" i="8"/>
  <c r="U454" i="8" s="1"/>
  <c r="Q497" i="8"/>
  <c r="R497" i="8" s="1"/>
  <c r="T497" i="8"/>
  <c r="O494" i="8"/>
  <c r="AC354" i="8"/>
  <c r="T198" i="8"/>
  <c r="O194" i="8"/>
  <c r="AA324" i="8"/>
  <c r="AC324" i="8"/>
  <c r="T121" i="8"/>
  <c r="O119" i="8"/>
  <c r="T441" i="8"/>
  <c r="O439" i="8"/>
  <c r="Q441" i="8"/>
  <c r="R441" i="8" s="1"/>
  <c r="AC339" i="8"/>
  <c r="AA494" i="8"/>
  <c r="T107" i="8"/>
  <c r="U104" i="8" s="1"/>
  <c r="O104" i="8"/>
  <c r="T213" i="8"/>
  <c r="U209" i="8" s="1"/>
  <c r="Q213" i="8"/>
  <c r="R213" i="8" s="1"/>
  <c r="C24" i="8"/>
  <c r="R24" i="6"/>
  <c r="T351" i="8"/>
  <c r="O349" i="8"/>
  <c r="AC464" i="8"/>
  <c r="AA464" i="8"/>
  <c r="AC499" i="8"/>
  <c r="AA499" i="8"/>
  <c r="T111" i="8"/>
  <c r="U109" i="8" s="1"/>
  <c r="O109" i="8"/>
  <c r="T188" i="8"/>
  <c r="U184" i="8" s="1"/>
  <c r="O184" i="8"/>
  <c r="T451" i="8"/>
  <c r="U449" i="8" s="1"/>
  <c r="O449" i="8"/>
  <c r="Q451" i="8"/>
  <c r="R451" i="8" s="1"/>
  <c r="T478" i="8"/>
  <c r="U474" i="8" s="1"/>
  <c r="Q478" i="8"/>
  <c r="R478" i="8" s="1"/>
  <c r="AA294" i="8"/>
  <c r="W334" i="6"/>
  <c r="G334" i="8" s="1"/>
  <c r="O174" i="8"/>
  <c r="T177" i="8"/>
  <c r="U174" i="8" s="1"/>
  <c r="T338" i="8"/>
  <c r="Q338" i="8"/>
  <c r="R338" i="8" s="1"/>
  <c r="T423" i="8"/>
  <c r="Q423" i="8"/>
  <c r="R423" i="8" s="1"/>
  <c r="Q437" i="8"/>
  <c r="R437" i="8" s="1"/>
  <c r="O434" i="8"/>
  <c r="T437" i="8"/>
  <c r="W239" i="6"/>
  <c r="G239" i="8" s="1"/>
  <c r="AA299" i="8"/>
  <c r="AA414" i="8"/>
  <c r="T14" i="6"/>
  <c r="U14" i="6"/>
  <c r="W14" i="6"/>
  <c r="G14" i="8" s="1"/>
  <c r="T438" i="8"/>
  <c r="Q438" i="8"/>
  <c r="R438" i="8" s="1"/>
  <c r="W339" i="6"/>
  <c r="G339" i="8" s="1"/>
  <c r="W354" i="6"/>
  <c r="G354" i="8" s="1"/>
  <c r="AC449" i="8"/>
  <c r="T61" i="8"/>
  <c r="U59" i="8" s="1"/>
  <c r="O59" i="8"/>
  <c r="U439" i="8"/>
  <c r="N25" i="6"/>
  <c r="T192" i="8"/>
  <c r="U189" i="8" s="1"/>
  <c r="O189" i="8"/>
  <c r="T311" i="8"/>
  <c r="Q311" i="8"/>
  <c r="R311" i="8" s="1"/>
  <c r="T341" i="8"/>
  <c r="U339" i="8" s="1"/>
  <c r="O339" i="8"/>
  <c r="W379" i="6"/>
  <c r="G379" i="8" s="1"/>
  <c r="R19" i="6"/>
  <c r="C19" i="8"/>
  <c r="T181" i="8"/>
  <c r="U179" i="8" s="1"/>
  <c r="O179" i="8"/>
  <c r="T313" i="8"/>
  <c r="Q313" i="8"/>
  <c r="R313" i="8" s="1"/>
  <c r="T327" i="8"/>
  <c r="U324" i="8" s="1"/>
  <c r="T484" i="8"/>
  <c r="U484" i="8" s="1"/>
  <c r="M485" i="8"/>
  <c r="M486" i="8" s="1"/>
  <c r="M487" i="8" s="1"/>
  <c r="M488" i="8" s="1"/>
  <c r="AC409" i="8"/>
  <c r="AC469" i="8"/>
  <c r="T301" i="8"/>
  <c r="U299" i="8" s="1"/>
  <c r="O299" i="8"/>
  <c r="O424" i="8"/>
  <c r="W434" i="6"/>
  <c r="G434" i="8" s="1"/>
  <c r="C9" i="8"/>
  <c r="O264" i="8"/>
  <c r="T281" i="8"/>
  <c r="U279" i="8" s="1"/>
  <c r="O279" i="8"/>
  <c r="O364" i="8"/>
  <c r="T381" i="8"/>
  <c r="U379" i="8" s="1"/>
  <c r="O379" i="8"/>
  <c r="T481" i="8"/>
  <c r="U479" i="8" s="1"/>
  <c r="O479" i="8"/>
  <c r="R4" i="6"/>
  <c r="Q468" i="8"/>
  <c r="R468" i="8" s="1"/>
  <c r="T468" i="8"/>
  <c r="U464" i="8" s="1"/>
  <c r="T482" i="8"/>
  <c r="T494" i="8"/>
  <c r="U494" i="8" s="1"/>
  <c r="O134" i="8"/>
  <c r="W474" i="6"/>
  <c r="G474" i="8" s="1"/>
  <c r="AC489" i="8"/>
  <c r="AA489" i="8"/>
  <c r="T271" i="8"/>
  <c r="U269" i="8" s="1"/>
  <c r="O269" i="8"/>
  <c r="T371" i="8"/>
  <c r="O369" i="8"/>
  <c r="T471" i="8"/>
  <c r="U469" i="8" s="1"/>
  <c r="O469" i="8"/>
  <c r="R14" i="6"/>
  <c r="C14" i="8"/>
  <c r="O124" i="8"/>
  <c r="N28" i="6"/>
  <c r="O64" i="8"/>
  <c r="T81" i="8"/>
  <c r="U79" i="8" s="1"/>
  <c r="O79" i="8"/>
  <c r="W414" i="6"/>
  <c r="G414" i="8" s="1"/>
  <c r="N27" i="6"/>
  <c r="T237" i="8"/>
  <c r="U234" i="8" s="1"/>
  <c r="T412" i="8"/>
  <c r="T462" i="8"/>
  <c r="O9" i="8"/>
  <c r="T71" i="8"/>
  <c r="U69" i="8" s="1"/>
  <c r="O69" i="8"/>
  <c r="O164" i="8"/>
  <c r="W19" i="6"/>
  <c r="G19" i="8" s="1"/>
  <c r="AC369" i="6" l="1"/>
  <c r="AC109" i="6"/>
  <c r="AC364" i="6"/>
  <c r="AC114" i="6"/>
  <c r="F165" i="8"/>
  <c r="F166" i="8" s="1"/>
  <c r="F167" i="8" s="1"/>
  <c r="F168" i="8" s="1"/>
  <c r="AA164" i="8"/>
  <c r="AC419" i="6"/>
  <c r="AA254" i="8"/>
  <c r="AA454" i="8"/>
  <c r="F115" i="8"/>
  <c r="F116" i="8" s="1"/>
  <c r="F117" i="8" s="1"/>
  <c r="F118" i="8" s="1"/>
  <c r="AA114" i="8"/>
  <c r="AA79" i="8"/>
  <c r="AC29" i="6"/>
  <c r="F160" i="8"/>
  <c r="F161" i="8" s="1"/>
  <c r="F162" i="8" s="1"/>
  <c r="F163" i="8" s="1"/>
  <c r="AA159" i="8"/>
  <c r="AC24" i="6"/>
  <c r="AC9" i="6"/>
  <c r="AC84" i="6"/>
  <c r="O219" i="6"/>
  <c r="U419" i="8"/>
  <c r="U119" i="8"/>
  <c r="U369" i="8"/>
  <c r="F170" i="8"/>
  <c r="F171" i="8" s="1"/>
  <c r="F172" i="8" s="1"/>
  <c r="F173" i="8" s="1"/>
  <c r="AA169" i="8"/>
  <c r="AA99" i="8"/>
  <c r="U284" i="8"/>
  <c r="AC139" i="6"/>
  <c r="AC59" i="6"/>
  <c r="U409" i="8"/>
  <c r="F425" i="8"/>
  <c r="F426" i="8" s="1"/>
  <c r="F427" i="8" s="1"/>
  <c r="F428" i="8" s="1"/>
  <c r="AA424" i="8"/>
  <c r="AC164" i="6"/>
  <c r="AC179" i="6"/>
  <c r="AA219" i="8"/>
  <c r="F195" i="8"/>
  <c r="F196" i="8" s="1"/>
  <c r="F197" i="8" s="1"/>
  <c r="F198" i="8" s="1"/>
  <c r="AA194" i="8"/>
  <c r="F110" i="8"/>
  <c r="F111" i="8" s="1"/>
  <c r="F112" i="8" s="1"/>
  <c r="F113" i="8" s="1"/>
  <c r="AA109" i="8"/>
  <c r="F210" i="8"/>
  <c r="F211" i="8" s="1"/>
  <c r="F212" i="8" s="1"/>
  <c r="F213" i="8" s="1"/>
  <c r="AA209" i="8"/>
  <c r="F285" i="8"/>
  <c r="F286" i="8" s="1"/>
  <c r="F287" i="8" s="1"/>
  <c r="F288" i="8" s="1"/>
  <c r="AA284" i="8"/>
  <c r="AC64" i="6"/>
  <c r="AC129" i="6"/>
  <c r="AC259" i="6"/>
  <c r="U309" i="8"/>
  <c r="F10" i="8"/>
  <c r="F11" i="8" s="1"/>
  <c r="F12" i="8" s="1"/>
  <c r="F13" i="8" s="1"/>
  <c r="AA9" i="8"/>
  <c r="AA129" i="8"/>
  <c r="AC324" i="6"/>
  <c r="U49" i="8"/>
  <c r="F430" i="8"/>
  <c r="F431" i="8" s="1"/>
  <c r="F432" i="8" s="1"/>
  <c r="F433" i="8" s="1"/>
  <c r="AA429" i="8"/>
  <c r="AA29" i="8"/>
  <c r="AC469" i="6"/>
  <c r="AC499" i="6"/>
  <c r="U349" i="8"/>
  <c r="AA179" i="8"/>
  <c r="F180" i="8"/>
  <c r="F181" i="8" s="1"/>
  <c r="F182" i="8" s="1"/>
  <c r="F183" i="8" s="1"/>
  <c r="AC159" i="6"/>
  <c r="AC339" i="6"/>
  <c r="AA309" i="8"/>
  <c r="AC464" i="6"/>
  <c r="O24" i="6"/>
  <c r="AC144" i="6"/>
  <c r="AC154" i="6"/>
  <c r="AA329" i="8"/>
  <c r="U259" i="8"/>
  <c r="AA449" i="8"/>
  <c r="F95" i="8"/>
  <c r="F96" i="8" s="1"/>
  <c r="F97" i="8" s="1"/>
  <c r="F98" i="8" s="1"/>
  <c r="AA94" i="8"/>
  <c r="AC294" i="6"/>
  <c r="AC274" i="6"/>
  <c r="AC204" i="6"/>
  <c r="AC224" i="6"/>
  <c r="AC239" i="6"/>
  <c r="AC174" i="6"/>
</calcChain>
</file>

<file path=xl/sharedStrings.xml><?xml version="1.0" encoding="utf-8"?>
<sst xmlns="http://schemas.openxmlformats.org/spreadsheetml/2006/main" count="1071" uniqueCount="208">
  <si>
    <t>Tributary</t>
  </si>
  <si>
    <t>Number</t>
  </si>
  <si>
    <t>Flow</t>
  </si>
  <si>
    <t>C</t>
  </si>
  <si>
    <t>n</t>
  </si>
  <si>
    <t>d/D</t>
  </si>
  <si>
    <r>
      <t>Q / Q</t>
    </r>
    <r>
      <rPr>
        <vertAlign val="subscript"/>
        <sz val="11"/>
        <color theme="1"/>
        <rFont val="Calibri"/>
        <family val="2"/>
        <scheme val="minor"/>
      </rPr>
      <t>full</t>
    </r>
  </si>
  <si>
    <r>
      <t>V / V</t>
    </r>
    <r>
      <rPr>
        <vertAlign val="subscript"/>
        <sz val="11"/>
        <color theme="1"/>
        <rFont val="Calibri"/>
        <family val="2"/>
        <scheme val="minor"/>
      </rPr>
      <t>full</t>
    </r>
  </si>
  <si>
    <t>KV =</t>
  </si>
  <si>
    <t>KQ =</t>
  </si>
  <si>
    <t>(sf)</t>
  </si>
  <si>
    <t>(ac)</t>
  </si>
  <si>
    <t>C*A</t>
  </si>
  <si>
    <r>
      <t>L</t>
    </r>
    <r>
      <rPr>
        <vertAlign val="subscript"/>
        <sz val="11"/>
        <rFont val="Calibri"/>
        <family val="2"/>
        <scheme val="minor"/>
      </rPr>
      <t>gutter</t>
    </r>
  </si>
  <si>
    <t>(ft)</t>
  </si>
  <si>
    <t>(min)</t>
  </si>
  <si>
    <r>
      <t>T</t>
    </r>
    <r>
      <rPr>
        <vertAlign val="subscript"/>
        <sz val="11"/>
        <color theme="1"/>
        <rFont val="Calibri"/>
        <family val="2"/>
        <scheme val="minor"/>
      </rPr>
      <t>c</t>
    </r>
  </si>
  <si>
    <t>(in/hr)</t>
  </si>
  <si>
    <t>I</t>
  </si>
  <si>
    <t>A</t>
  </si>
  <si>
    <t>(cfs)</t>
  </si>
  <si>
    <t>Q</t>
  </si>
  <si>
    <t>(in)</t>
  </si>
  <si>
    <t>(ft/ft)</t>
  </si>
  <si>
    <t>(fps)</t>
  </si>
  <si>
    <t>Pipe Type</t>
  </si>
  <si>
    <t>Concrete</t>
  </si>
  <si>
    <t>PVC</t>
  </si>
  <si>
    <t>Civil Engineering Reference Manual, 15th Ed., Appendix 19.A</t>
  </si>
  <si>
    <t>Civil Engineering Reference Manual, 15th Ed., Table 19.3</t>
  </si>
  <si>
    <t>D (in)</t>
  </si>
  <si>
    <r>
      <t>S</t>
    </r>
    <r>
      <rPr>
        <vertAlign val="subscript"/>
        <sz val="11"/>
        <color theme="1"/>
        <rFont val="Calibri"/>
        <family val="2"/>
        <scheme val="minor"/>
      </rPr>
      <t>min,v</t>
    </r>
    <r>
      <rPr>
        <sz val="11"/>
        <color theme="1"/>
        <rFont val="Calibri"/>
        <family val="2"/>
        <scheme val="minor"/>
      </rPr>
      <t xml:space="preserve"> (ft/ft)</t>
    </r>
  </si>
  <si>
    <r>
      <t>S</t>
    </r>
    <r>
      <rPr>
        <vertAlign val="subscript"/>
        <sz val="11"/>
        <color theme="1"/>
        <rFont val="Calibri"/>
        <family val="2"/>
        <scheme val="minor"/>
      </rPr>
      <t>max</t>
    </r>
    <r>
      <rPr>
        <sz val="11"/>
        <color theme="1"/>
        <rFont val="Calibri"/>
        <family val="2"/>
        <scheme val="minor"/>
      </rPr>
      <t xml:space="preserve"> (ft/ft)</t>
    </r>
  </si>
  <si>
    <r>
      <t>Q</t>
    </r>
    <r>
      <rPr>
        <vertAlign val="subscript"/>
        <sz val="11"/>
        <color theme="1"/>
        <rFont val="Calibri"/>
        <family val="2"/>
        <scheme val="minor"/>
      </rPr>
      <t xml:space="preserve">max </t>
    </r>
    <r>
      <rPr>
        <sz val="11"/>
        <color theme="1"/>
        <rFont val="Calibri"/>
        <family val="2"/>
        <scheme val="minor"/>
      </rPr>
      <t>(cfs)</t>
    </r>
  </si>
  <si>
    <t>Design Parameters</t>
  </si>
  <si>
    <t>Conversion constant, Kn =</t>
  </si>
  <si>
    <t>Roughness coefficient, n =</t>
  </si>
  <si>
    <r>
      <t>S</t>
    </r>
    <r>
      <rPr>
        <vertAlign val="subscript"/>
        <sz val="11"/>
        <color theme="1"/>
        <rFont val="Calibri"/>
        <family val="2"/>
        <scheme val="minor"/>
      </rPr>
      <t xml:space="preserve">min,q </t>
    </r>
    <r>
      <rPr>
        <sz val="11"/>
        <color theme="1"/>
        <rFont val="Calibri"/>
        <family val="2"/>
        <scheme val="minor"/>
      </rPr>
      <t>=</t>
    </r>
  </si>
  <si>
    <r>
      <t>[Q</t>
    </r>
    <r>
      <rPr>
        <vertAlign val="subscript"/>
        <sz val="11"/>
        <color theme="1"/>
        <rFont val="Calibri"/>
        <family val="2"/>
        <scheme val="minor"/>
      </rPr>
      <t>req</t>
    </r>
    <r>
      <rPr>
        <sz val="11"/>
        <color theme="1"/>
        <rFont val="Calibri"/>
        <family val="2"/>
        <scheme val="minor"/>
      </rPr>
      <t xml:space="preserve"> / (KQ*D</t>
    </r>
    <r>
      <rPr>
        <vertAlign val="superscript"/>
        <sz val="11"/>
        <color theme="1"/>
        <rFont val="Calibri"/>
        <family val="2"/>
        <scheme val="minor"/>
      </rPr>
      <t>8/3</t>
    </r>
    <r>
      <rPr>
        <sz val="11"/>
        <color theme="1"/>
        <rFont val="Calibri"/>
        <family val="2"/>
        <scheme val="minor"/>
      </rPr>
      <t>)]</t>
    </r>
    <r>
      <rPr>
        <vertAlign val="superscript"/>
        <sz val="11"/>
        <color theme="1"/>
        <rFont val="Calibri"/>
        <family val="2"/>
        <scheme val="minor"/>
      </rPr>
      <t>2</t>
    </r>
  </si>
  <si>
    <r>
      <t>Q</t>
    </r>
    <r>
      <rPr>
        <vertAlign val="subscript"/>
        <sz val="11"/>
        <color theme="1"/>
        <rFont val="Calibri"/>
        <family val="2"/>
        <scheme val="minor"/>
      </rPr>
      <t xml:space="preserve">max </t>
    </r>
    <r>
      <rPr>
        <sz val="11"/>
        <color theme="1"/>
        <rFont val="Calibri"/>
        <family val="2"/>
        <scheme val="minor"/>
      </rPr>
      <t>=</t>
    </r>
  </si>
  <si>
    <r>
      <t>KQ*(D</t>
    </r>
    <r>
      <rPr>
        <vertAlign val="superscript"/>
        <sz val="11"/>
        <color theme="1"/>
        <rFont val="Calibri"/>
        <family val="2"/>
        <scheme val="minor"/>
      </rPr>
      <t>8/3</t>
    </r>
    <r>
      <rPr>
        <sz val="11"/>
        <color theme="1"/>
        <rFont val="Calibri"/>
        <family val="2"/>
        <scheme val="minor"/>
      </rPr>
      <t>)*(S</t>
    </r>
    <r>
      <rPr>
        <vertAlign val="subscript"/>
        <sz val="11"/>
        <color theme="1"/>
        <rFont val="Calibri"/>
        <family val="2"/>
        <scheme val="minor"/>
      </rPr>
      <t>max</t>
    </r>
    <r>
      <rPr>
        <vertAlign val="superscript"/>
        <sz val="11"/>
        <color theme="1"/>
        <rFont val="Calibri"/>
        <family val="2"/>
        <scheme val="minor"/>
      </rPr>
      <t>1/2</t>
    </r>
    <r>
      <rPr>
        <sz val="11"/>
        <color theme="1"/>
        <rFont val="Calibri"/>
        <family val="2"/>
        <scheme val="minor"/>
      </rPr>
      <t>)</t>
    </r>
  </si>
  <si>
    <r>
      <t>S</t>
    </r>
    <r>
      <rPr>
        <vertAlign val="subscript"/>
        <sz val="11"/>
        <color theme="1"/>
        <rFont val="Calibri"/>
        <family val="2"/>
        <scheme val="minor"/>
      </rPr>
      <t xml:space="preserve">max </t>
    </r>
    <r>
      <rPr>
        <sz val="11"/>
        <color theme="1"/>
        <rFont val="Calibri"/>
        <family val="2"/>
        <scheme val="minor"/>
      </rPr>
      <t>=</t>
    </r>
  </si>
  <si>
    <r>
      <t>[V</t>
    </r>
    <r>
      <rPr>
        <vertAlign val="subscript"/>
        <sz val="11"/>
        <color theme="1"/>
        <rFont val="Calibri"/>
        <family val="2"/>
        <scheme val="minor"/>
      </rPr>
      <t>max</t>
    </r>
    <r>
      <rPr>
        <sz val="11"/>
        <color theme="1"/>
        <rFont val="Calibri"/>
        <family val="2"/>
        <scheme val="minor"/>
      </rPr>
      <t xml:space="preserve"> / (KV*D</t>
    </r>
    <r>
      <rPr>
        <vertAlign val="superscript"/>
        <sz val="11"/>
        <color theme="1"/>
        <rFont val="Calibri"/>
        <family val="2"/>
        <scheme val="minor"/>
      </rPr>
      <t>2/3</t>
    </r>
    <r>
      <rPr>
        <sz val="11"/>
        <color theme="1"/>
        <rFont val="Calibri"/>
        <family val="2"/>
        <scheme val="minor"/>
      </rPr>
      <t>)]</t>
    </r>
    <r>
      <rPr>
        <vertAlign val="superscript"/>
        <sz val="11"/>
        <color theme="1"/>
        <rFont val="Calibri"/>
        <family val="2"/>
        <scheme val="minor"/>
      </rPr>
      <t>2</t>
    </r>
  </si>
  <si>
    <r>
      <t>S</t>
    </r>
    <r>
      <rPr>
        <vertAlign val="subscript"/>
        <sz val="11"/>
        <color theme="1"/>
        <rFont val="Calibri"/>
        <family val="2"/>
        <scheme val="minor"/>
      </rPr>
      <t xml:space="preserve">min,v </t>
    </r>
    <r>
      <rPr>
        <sz val="11"/>
        <color theme="1"/>
        <rFont val="Calibri"/>
        <family val="2"/>
        <scheme val="minor"/>
      </rPr>
      <t>=</t>
    </r>
  </si>
  <si>
    <r>
      <t>[V</t>
    </r>
    <r>
      <rPr>
        <vertAlign val="subscript"/>
        <sz val="11"/>
        <color theme="1"/>
        <rFont val="Calibri"/>
        <family val="2"/>
        <scheme val="minor"/>
      </rPr>
      <t>min</t>
    </r>
    <r>
      <rPr>
        <sz val="11"/>
        <color theme="1"/>
        <rFont val="Calibri"/>
        <family val="2"/>
        <scheme val="minor"/>
      </rPr>
      <t xml:space="preserve"> / (KV*D</t>
    </r>
    <r>
      <rPr>
        <vertAlign val="superscript"/>
        <sz val="11"/>
        <color theme="1"/>
        <rFont val="Calibri"/>
        <family val="2"/>
        <scheme val="minor"/>
      </rPr>
      <t>2/3</t>
    </r>
    <r>
      <rPr>
        <sz val="11"/>
        <color theme="1"/>
        <rFont val="Calibri"/>
        <family val="2"/>
        <scheme val="minor"/>
      </rPr>
      <t>)]</t>
    </r>
    <r>
      <rPr>
        <vertAlign val="superscript"/>
        <sz val="11"/>
        <color theme="1"/>
        <rFont val="Calibri"/>
        <family val="2"/>
        <scheme val="minor"/>
      </rPr>
      <t>2</t>
    </r>
  </si>
  <si>
    <t>Time (min)</t>
  </si>
  <si>
    <t>Intensity (in/hr)</t>
  </si>
  <si>
    <t>M</t>
  </si>
  <si>
    <t>B</t>
  </si>
  <si>
    <t>-</t>
  </si>
  <si>
    <t>Intensity</t>
  </si>
  <si>
    <t xml:space="preserve">*Don't need to fill out all times/intensities, but must </t>
  </si>
  <si>
    <t>be increasing &amp; consecutive rows</t>
  </si>
  <si>
    <r>
      <t>S</t>
    </r>
    <r>
      <rPr>
        <vertAlign val="subscript"/>
        <sz val="11"/>
        <color theme="1"/>
        <rFont val="Calibri"/>
        <family val="2"/>
        <scheme val="minor"/>
      </rPr>
      <t>min</t>
    </r>
  </si>
  <si>
    <t>Min. cover (ft)</t>
  </si>
  <si>
    <t>Min. drop at turn (ft)</t>
  </si>
  <si>
    <t>YES</t>
  </si>
  <si>
    <t>NO</t>
  </si>
  <si>
    <t>Project:</t>
  </si>
  <si>
    <t>Job No.</t>
  </si>
  <si>
    <t>By:</t>
  </si>
  <si>
    <t>Check By:</t>
  </si>
  <si>
    <t>Q = CIA</t>
  </si>
  <si>
    <t>Q =</t>
  </si>
  <si>
    <t>Runoff flow (cfs)</t>
  </si>
  <si>
    <t>C =</t>
  </si>
  <si>
    <t>Runoff coefficient</t>
  </si>
  <si>
    <t xml:space="preserve">I = </t>
  </si>
  <si>
    <t>Rainfall intensity (in/hr)</t>
  </si>
  <si>
    <t>A =</t>
  </si>
  <si>
    <t>Tributary area (ac)</t>
  </si>
  <si>
    <t>n =</t>
  </si>
  <si>
    <t>R =</t>
  </si>
  <si>
    <t>P =</t>
  </si>
  <si>
    <t>Wetted perimeter of pipe (ft)</t>
  </si>
  <si>
    <t>S =</t>
  </si>
  <si>
    <t>Slope of pipe (ft/ft)</t>
  </si>
  <si>
    <t>x</t>
  </si>
  <si>
    <t>= (depth of flow in pipe ) / (pipe diameter)</t>
  </si>
  <si>
    <t>fps</t>
  </si>
  <si>
    <t>(Civil Engineering Reference Manual, 15th Ed., Table 19.3)</t>
  </si>
  <si>
    <t>Time of Concentration:</t>
  </si>
  <si>
    <t>Initial time of concentration (min)</t>
  </si>
  <si>
    <t>Storm runoff:</t>
  </si>
  <si>
    <t>(Rational Method)</t>
  </si>
  <si>
    <t>(Manning's Equation)</t>
  </si>
  <si>
    <t>Pipe velocity:</t>
  </si>
  <si>
    <t>Capacity of pipe:</t>
  </si>
  <si>
    <t>Length of gutter run (ft)</t>
  </si>
  <si>
    <t>Cross-sectional area of pipe (sf)</t>
  </si>
  <si>
    <t>Gutter travel time (min)</t>
  </si>
  <si>
    <t>Roughness coefficient</t>
  </si>
  <si>
    <t>Velocity of flow in gutter (fps)</t>
  </si>
  <si>
    <t>Pipe travel time (min)</t>
  </si>
  <si>
    <t>Land Use</t>
  </si>
  <si>
    <t>Adjustment factor for depth of flow</t>
  </si>
  <si>
    <t>Velocity of flow in pipe, flowing full (fps)</t>
  </si>
  <si>
    <t>Design pipe capacity (cfs)</t>
  </si>
  <si>
    <t>Pipe capacity, flowing full (cfs)</t>
  </si>
  <si>
    <r>
      <t>T</t>
    </r>
    <r>
      <rPr>
        <vertAlign val="subscript"/>
        <sz val="10"/>
        <color theme="1"/>
        <rFont val="Calibri"/>
        <family val="2"/>
        <scheme val="minor"/>
      </rPr>
      <t>c</t>
    </r>
    <r>
      <rPr>
        <sz val="10"/>
        <color theme="1"/>
        <rFont val="Calibri"/>
        <family val="2"/>
        <scheme val="minor"/>
      </rPr>
      <t xml:space="preserve"> = T</t>
    </r>
    <r>
      <rPr>
        <vertAlign val="subscript"/>
        <sz val="10"/>
        <color theme="1"/>
        <rFont val="Calibri"/>
        <family val="2"/>
        <scheme val="minor"/>
      </rPr>
      <t>i</t>
    </r>
    <r>
      <rPr>
        <sz val="10"/>
        <color theme="1"/>
        <rFont val="Calibri"/>
        <family val="2"/>
        <scheme val="minor"/>
      </rPr>
      <t xml:space="preserve"> + T</t>
    </r>
    <r>
      <rPr>
        <vertAlign val="subscript"/>
        <sz val="10"/>
        <color theme="1"/>
        <rFont val="Calibri"/>
        <family val="2"/>
        <scheme val="minor"/>
      </rPr>
      <t>gutter</t>
    </r>
    <r>
      <rPr>
        <sz val="10"/>
        <color theme="1"/>
        <rFont val="Calibri"/>
        <family val="2"/>
        <scheme val="minor"/>
      </rPr>
      <t xml:space="preserve"> + T</t>
    </r>
    <r>
      <rPr>
        <vertAlign val="subscript"/>
        <sz val="10"/>
        <color theme="1"/>
        <rFont val="Calibri"/>
        <family val="2"/>
        <scheme val="minor"/>
      </rPr>
      <t>pipe</t>
    </r>
  </si>
  <si>
    <r>
      <t>T</t>
    </r>
    <r>
      <rPr>
        <vertAlign val="subscript"/>
        <sz val="10"/>
        <color theme="1"/>
        <rFont val="Calibri"/>
        <family val="2"/>
        <scheme val="minor"/>
      </rPr>
      <t>c</t>
    </r>
    <r>
      <rPr>
        <sz val="10"/>
        <color theme="1"/>
        <rFont val="Calibri"/>
        <family val="2"/>
        <scheme val="minor"/>
      </rPr>
      <t xml:space="preserve"> =</t>
    </r>
  </si>
  <si>
    <r>
      <t>T</t>
    </r>
    <r>
      <rPr>
        <vertAlign val="subscript"/>
        <sz val="10"/>
        <color theme="1"/>
        <rFont val="Calibri"/>
        <family val="2"/>
        <scheme val="minor"/>
      </rPr>
      <t>i</t>
    </r>
    <r>
      <rPr>
        <sz val="10"/>
        <color theme="1"/>
        <rFont val="Calibri"/>
        <family val="2"/>
        <scheme val="minor"/>
      </rPr>
      <t xml:space="preserve"> =</t>
    </r>
  </si>
  <si>
    <r>
      <t>T</t>
    </r>
    <r>
      <rPr>
        <vertAlign val="subscript"/>
        <sz val="10"/>
        <color theme="1"/>
        <rFont val="Calibri"/>
        <family val="2"/>
        <scheme val="minor"/>
      </rPr>
      <t>gutter</t>
    </r>
    <r>
      <rPr>
        <sz val="10"/>
        <color theme="1"/>
        <rFont val="Calibri"/>
        <family val="2"/>
        <scheme val="minor"/>
      </rPr>
      <t xml:space="preserve"> =</t>
    </r>
  </si>
  <si>
    <r>
      <t>L</t>
    </r>
    <r>
      <rPr>
        <vertAlign val="subscript"/>
        <sz val="10"/>
        <color theme="1"/>
        <rFont val="Calibri"/>
        <family val="2"/>
        <scheme val="minor"/>
      </rPr>
      <t>gutter</t>
    </r>
    <r>
      <rPr>
        <sz val="10"/>
        <color theme="1"/>
        <rFont val="Calibri"/>
        <family val="2"/>
        <scheme val="minor"/>
      </rPr>
      <t xml:space="preserve"> =</t>
    </r>
  </si>
  <si>
    <r>
      <t>V</t>
    </r>
    <r>
      <rPr>
        <vertAlign val="subscript"/>
        <sz val="10"/>
        <color theme="1"/>
        <rFont val="Calibri"/>
        <family val="2"/>
        <scheme val="minor"/>
      </rPr>
      <t>gutter</t>
    </r>
    <r>
      <rPr>
        <sz val="10"/>
        <color theme="1"/>
        <rFont val="Calibri"/>
        <family val="2"/>
        <scheme val="minor"/>
      </rPr>
      <t xml:space="preserve"> =</t>
    </r>
  </si>
  <si>
    <r>
      <t>T</t>
    </r>
    <r>
      <rPr>
        <vertAlign val="subscript"/>
        <sz val="10"/>
        <color theme="1"/>
        <rFont val="Calibri"/>
        <family val="2"/>
        <scheme val="minor"/>
      </rPr>
      <t>pipe</t>
    </r>
    <r>
      <rPr>
        <sz val="10"/>
        <color theme="1"/>
        <rFont val="Calibri"/>
        <family val="2"/>
        <scheme val="minor"/>
      </rPr>
      <t xml:space="preserve"> =</t>
    </r>
  </si>
  <si>
    <r>
      <t>V</t>
    </r>
    <r>
      <rPr>
        <vertAlign val="subscript"/>
        <sz val="10"/>
        <color theme="1"/>
        <rFont val="Calibri"/>
        <family val="2"/>
        <scheme val="minor"/>
      </rPr>
      <t>pipe</t>
    </r>
    <r>
      <rPr>
        <sz val="10"/>
        <color theme="1"/>
        <rFont val="Calibri"/>
        <family val="2"/>
        <scheme val="minor"/>
      </rPr>
      <t xml:space="preserve"> =</t>
    </r>
  </si>
  <si>
    <r>
      <t>V</t>
    </r>
    <r>
      <rPr>
        <vertAlign val="subscript"/>
        <sz val="10"/>
        <color theme="1"/>
        <rFont val="Calibri"/>
        <family val="2"/>
        <scheme val="minor"/>
      </rPr>
      <t>design</t>
    </r>
    <r>
      <rPr>
        <sz val="10"/>
        <color theme="1"/>
        <rFont val="Calibri"/>
        <family val="2"/>
        <scheme val="minor"/>
      </rPr>
      <t xml:space="preserve"> =</t>
    </r>
  </si>
  <si>
    <r>
      <t>Q</t>
    </r>
    <r>
      <rPr>
        <vertAlign val="subscript"/>
        <sz val="10"/>
        <color theme="1"/>
        <rFont val="Calibri"/>
        <family val="2"/>
        <scheme val="minor"/>
      </rPr>
      <t>pipe</t>
    </r>
    <r>
      <rPr>
        <sz val="10"/>
        <color theme="1"/>
        <rFont val="Calibri"/>
        <family val="2"/>
        <scheme val="minor"/>
      </rPr>
      <t xml:space="preserve"> =</t>
    </r>
  </si>
  <si>
    <r>
      <t>Q</t>
    </r>
    <r>
      <rPr>
        <vertAlign val="subscript"/>
        <sz val="10"/>
        <color theme="1"/>
        <rFont val="Calibri"/>
        <family val="2"/>
        <scheme val="minor"/>
      </rPr>
      <t>design</t>
    </r>
    <r>
      <rPr>
        <sz val="10"/>
        <color theme="1"/>
        <rFont val="Calibri"/>
        <family val="2"/>
        <scheme val="minor"/>
      </rPr>
      <t xml:space="preserve"> =</t>
    </r>
  </si>
  <si>
    <t>Time of concentration (min)</t>
  </si>
  <si>
    <t>Design pipe velocity (fps)</t>
  </si>
  <si>
    <r>
      <t>Q</t>
    </r>
    <r>
      <rPr>
        <vertAlign val="subscript"/>
        <sz val="10"/>
        <color theme="1"/>
        <rFont val="Calibri"/>
        <family val="2"/>
        <scheme val="minor"/>
      </rPr>
      <t>pipe</t>
    </r>
    <r>
      <rPr>
        <sz val="10"/>
        <color theme="1"/>
        <rFont val="Calibri"/>
        <family val="2"/>
        <scheme val="minor"/>
      </rPr>
      <t xml:space="preserve"> = V</t>
    </r>
    <r>
      <rPr>
        <vertAlign val="subscript"/>
        <sz val="10"/>
        <color theme="1"/>
        <rFont val="Calibri"/>
        <family val="2"/>
        <scheme val="minor"/>
      </rPr>
      <t xml:space="preserve">design </t>
    </r>
    <r>
      <rPr>
        <sz val="10"/>
        <color theme="1"/>
        <rFont val="Calibri"/>
        <family val="2"/>
        <scheme val="minor"/>
      </rPr>
      <t>*</t>
    </r>
    <r>
      <rPr>
        <vertAlign val="subscript"/>
        <sz val="10"/>
        <color theme="1"/>
        <rFont val="Calibri"/>
        <family val="2"/>
        <scheme val="minor"/>
      </rPr>
      <t xml:space="preserve"> </t>
    </r>
    <r>
      <rPr>
        <sz val="10"/>
        <color theme="1"/>
        <rFont val="Calibri"/>
        <family val="2"/>
        <scheme val="minor"/>
      </rPr>
      <t>A</t>
    </r>
  </si>
  <si>
    <r>
      <t>Min. pipe velocity, V</t>
    </r>
    <r>
      <rPr>
        <vertAlign val="subscript"/>
        <sz val="11"/>
        <color theme="1"/>
        <rFont val="Calibri"/>
        <family val="2"/>
        <scheme val="minor"/>
      </rPr>
      <t>min</t>
    </r>
    <r>
      <rPr>
        <sz val="11"/>
        <color theme="1"/>
        <rFont val="Calibri"/>
        <family val="2"/>
        <scheme val="minor"/>
      </rPr>
      <t xml:space="preserve"> =</t>
    </r>
  </si>
  <si>
    <r>
      <t>Max. pipe velocity, V</t>
    </r>
    <r>
      <rPr>
        <vertAlign val="subscript"/>
        <sz val="11"/>
        <color theme="1"/>
        <rFont val="Calibri"/>
        <family val="2"/>
        <scheme val="minor"/>
      </rPr>
      <t>max</t>
    </r>
    <r>
      <rPr>
        <sz val="11"/>
        <color theme="1"/>
        <rFont val="Calibri"/>
        <family val="2"/>
        <scheme val="minor"/>
      </rPr>
      <t xml:space="preserve"> =</t>
    </r>
  </si>
  <si>
    <r>
      <t>Gutter velocity, V</t>
    </r>
    <r>
      <rPr>
        <vertAlign val="subscript"/>
        <sz val="11"/>
        <color theme="1"/>
        <rFont val="Calibri"/>
        <family val="2"/>
        <scheme val="minor"/>
      </rPr>
      <t>gutter</t>
    </r>
    <r>
      <rPr>
        <sz val="11"/>
        <color theme="1"/>
        <rFont val="Calibri"/>
        <family val="2"/>
        <scheme val="minor"/>
      </rPr>
      <t xml:space="preserve"> =</t>
    </r>
  </si>
  <si>
    <t>Relative depth of flow, d/D =</t>
  </si>
  <si>
    <r>
      <t>V</t>
    </r>
    <r>
      <rPr>
        <vertAlign val="subscript"/>
        <sz val="10"/>
        <color theme="1"/>
        <rFont val="Calibri"/>
        <family val="2"/>
        <scheme val="minor"/>
      </rPr>
      <t>pipe</t>
    </r>
    <r>
      <rPr>
        <sz val="10"/>
        <color theme="1"/>
        <rFont val="Calibri"/>
        <family val="2"/>
        <scheme val="minor"/>
      </rPr>
      <t xml:space="preserve"> = (1.486/n)(R</t>
    </r>
    <r>
      <rPr>
        <vertAlign val="superscript"/>
        <sz val="10"/>
        <color theme="1"/>
        <rFont val="Calibri"/>
        <family val="2"/>
        <scheme val="minor"/>
      </rPr>
      <t>2/3</t>
    </r>
    <r>
      <rPr>
        <sz val="10"/>
        <color theme="1"/>
        <rFont val="Calibri"/>
        <family val="2"/>
        <scheme val="minor"/>
      </rPr>
      <t>)(S</t>
    </r>
    <r>
      <rPr>
        <vertAlign val="superscript"/>
        <sz val="10"/>
        <color theme="1"/>
        <rFont val="Calibri"/>
        <family val="2"/>
        <scheme val="minor"/>
      </rPr>
      <t>1/2</t>
    </r>
    <r>
      <rPr>
        <sz val="10"/>
        <color theme="1"/>
        <rFont val="Calibri"/>
        <family val="2"/>
        <scheme val="minor"/>
      </rPr>
      <t>)</t>
    </r>
  </si>
  <si>
    <r>
      <t>V</t>
    </r>
    <r>
      <rPr>
        <vertAlign val="subscript"/>
        <sz val="10"/>
        <color theme="1"/>
        <rFont val="Calibri"/>
        <family val="2"/>
        <scheme val="minor"/>
      </rPr>
      <t>design</t>
    </r>
    <r>
      <rPr>
        <sz val="10"/>
        <color theme="1"/>
        <rFont val="Calibri"/>
        <family val="2"/>
        <scheme val="minor"/>
      </rPr>
      <t xml:space="preserve"> = V</t>
    </r>
    <r>
      <rPr>
        <vertAlign val="subscript"/>
        <sz val="10"/>
        <color theme="1"/>
        <rFont val="Calibri"/>
        <family val="2"/>
        <scheme val="minor"/>
      </rPr>
      <t>pipe</t>
    </r>
    <r>
      <rPr>
        <sz val="10"/>
        <color theme="1"/>
        <rFont val="Calibri"/>
        <family val="2"/>
        <scheme val="minor"/>
      </rPr>
      <t xml:space="preserve"> * (v / v</t>
    </r>
    <r>
      <rPr>
        <vertAlign val="subscript"/>
        <sz val="10"/>
        <color theme="1"/>
        <rFont val="Calibri"/>
        <family val="2"/>
        <scheme val="minor"/>
      </rPr>
      <t>full</t>
    </r>
    <r>
      <rPr>
        <sz val="10"/>
        <color theme="1"/>
        <rFont val="Calibri"/>
        <family val="2"/>
        <scheme val="minor"/>
      </rPr>
      <t>)</t>
    </r>
  </si>
  <si>
    <r>
      <t>Q</t>
    </r>
    <r>
      <rPr>
        <vertAlign val="subscript"/>
        <sz val="10"/>
        <color theme="1"/>
        <rFont val="Calibri"/>
        <family val="2"/>
        <scheme val="minor"/>
      </rPr>
      <t>design</t>
    </r>
    <r>
      <rPr>
        <sz val="10"/>
        <color theme="1"/>
        <rFont val="Calibri"/>
        <family val="2"/>
        <scheme val="minor"/>
      </rPr>
      <t xml:space="preserve"> = Q</t>
    </r>
    <r>
      <rPr>
        <vertAlign val="subscript"/>
        <sz val="10"/>
        <color theme="1"/>
        <rFont val="Calibri"/>
        <family val="2"/>
        <scheme val="minor"/>
      </rPr>
      <t>pipe</t>
    </r>
    <r>
      <rPr>
        <sz val="10"/>
        <color theme="1"/>
        <rFont val="Calibri"/>
        <family val="2"/>
        <scheme val="minor"/>
      </rPr>
      <t xml:space="preserve"> * (q / q</t>
    </r>
    <r>
      <rPr>
        <vertAlign val="subscript"/>
        <sz val="10"/>
        <color theme="1"/>
        <rFont val="Calibri"/>
        <family val="2"/>
        <scheme val="minor"/>
      </rPr>
      <t>full</t>
    </r>
    <r>
      <rPr>
        <sz val="10"/>
        <color theme="1"/>
        <rFont val="Calibri"/>
        <family val="2"/>
        <scheme val="minor"/>
      </rPr>
      <t>)</t>
    </r>
  </si>
  <si>
    <r>
      <t>v / v</t>
    </r>
    <r>
      <rPr>
        <vertAlign val="subscript"/>
        <sz val="10"/>
        <color theme="1"/>
        <rFont val="Calibri"/>
        <family val="2"/>
        <scheme val="minor"/>
      </rPr>
      <t>full</t>
    </r>
    <r>
      <rPr>
        <sz val="10"/>
        <color theme="1"/>
        <rFont val="Calibri"/>
        <family val="2"/>
        <scheme val="minor"/>
      </rPr>
      <t xml:space="preserve"> =</t>
    </r>
  </si>
  <si>
    <r>
      <t>q / q</t>
    </r>
    <r>
      <rPr>
        <vertAlign val="subscript"/>
        <sz val="10"/>
        <color theme="1"/>
        <rFont val="Calibri"/>
        <family val="2"/>
        <scheme val="minor"/>
      </rPr>
      <t>full</t>
    </r>
    <r>
      <rPr>
        <sz val="10"/>
        <color theme="1"/>
        <rFont val="Calibri"/>
        <family val="2"/>
        <scheme val="minor"/>
      </rPr>
      <t xml:space="preserve"> =</t>
    </r>
  </si>
  <si>
    <t>Upstream</t>
  </si>
  <si>
    <t>Structures</t>
  </si>
  <si>
    <t>Total</t>
  </si>
  <si>
    <t>Area</t>
  </si>
  <si>
    <t>Time of Concentration</t>
  </si>
  <si>
    <r>
      <t>T</t>
    </r>
    <r>
      <rPr>
        <vertAlign val="subscript"/>
        <sz val="11"/>
        <color theme="1"/>
        <rFont val="Calibri"/>
        <family val="2"/>
        <scheme val="minor"/>
      </rPr>
      <t>gutter</t>
    </r>
  </si>
  <si>
    <r>
      <t>T</t>
    </r>
    <r>
      <rPr>
        <vertAlign val="subscript"/>
        <sz val="11"/>
        <color theme="1"/>
        <rFont val="Calibri"/>
        <family val="2"/>
        <scheme val="minor"/>
      </rPr>
      <t>pipe</t>
    </r>
  </si>
  <si>
    <t>Pipe (outflow)</t>
  </si>
  <si>
    <t>S</t>
  </si>
  <si>
    <r>
      <t>L</t>
    </r>
    <r>
      <rPr>
        <vertAlign val="subscript"/>
        <sz val="11"/>
        <color theme="1"/>
        <rFont val="Calibri"/>
        <family val="2"/>
        <scheme val="minor"/>
      </rPr>
      <t>pipe</t>
    </r>
  </si>
  <si>
    <r>
      <t>V</t>
    </r>
    <r>
      <rPr>
        <vertAlign val="subscript"/>
        <sz val="11"/>
        <color theme="1"/>
        <rFont val="Calibri"/>
        <family val="2"/>
        <scheme val="minor"/>
      </rPr>
      <t>design</t>
    </r>
  </si>
  <si>
    <r>
      <t>Q</t>
    </r>
    <r>
      <rPr>
        <vertAlign val="subscript"/>
        <sz val="11"/>
        <color theme="1"/>
        <rFont val="Calibri"/>
        <family val="2"/>
        <scheme val="minor"/>
      </rPr>
      <t>design</t>
    </r>
  </si>
  <si>
    <t>Check</t>
  </si>
  <si>
    <t>Additional calculations for sheet flow time are neglected</t>
  </si>
  <si>
    <r>
      <t>Considered to be incorporated as part of T</t>
    </r>
    <r>
      <rPr>
        <i/>
        <vertAlign val="subscript"/>
        <sz val="10"/>
        <color theme="1"/>
        <rFont val="Calibri"/>
        <family val="2"/>
        <scheme val="minor"/>
      </rPr>
      <t>i</t>
    </r>
  </si>
  <si>
    <t>φ</t>
  </si>
  <si>
    <r>
      <t>φ</t>
    </r>
    <r>
      <rPr>
        <vertAlign val="subscript"/>
        <sz val="11"/>
        <color theme="1"/>
        <rFont val="Calibri"/>
        <family val="2"/>
      </rPr>
      <t>min</t>
    </r>
    <r>
      <rPr>
        <sz val="11"/>
        <color theme="1"/>
        <rFont val="Calibri"/>
        <family val="2"/>
      </rPr>
      <t xml:space="preserve"> (Q)</t>
    </r>
  </si>
  <si>
    <r>
      <t>S</t>
    </r>
    <r>
      <rPr>
        <vertAlign val="subscript"/>
        <sz val="11"/>
        <color theme="1"/>
        <rFont val="Calibri"/>
        <family val="2"/>
        <scheme val="minor"/>
      </rPr>
      <t>min</t>
    </r>
    <r>
      <rPr>
        <sz val="11"/>
        <color theme="1"/>
        <rFont val="Calibri"/>
        <family val="2"/>
        <scheme val="minor"/>
      </rPr>
      <t xml:space="preserve"> (Q)</t>
    </r>
  </si>
  <si>
    <r>
      <t>S</t>
    </r>
    <r>
      <rPr>
        <vertAlign val="subscript"/>
        <sz val="11"/>
        <color theme="1"/>
        <rFont val="Calibri"/>
        <family val="2"/>
        <scheme val="minor"/>
      </rPr>
      <t>min</t>
    </r>
    <r>
      <rPr>
        <sz val="11"/>
        <color theme="1"/>
        <rFont val="Calibri"/>
        <family val="2"/>
        <scheme val="minor"/>
      </rPr>
      <t xml:space="preserve"> (V)</t>
    </r>
  </si>
  <si>
    <r>
      <t>S</t>
    </r>
    <r>
      <rPr>
        <vertAlign val="subscript"/>
        <sz val="11"/>
        <color theme="1"/>
        <rFont val="Calibri"/>
        <family val="2"/>
        <scheme val="minor"/>
      </rPr>
      <t>min</t>
    </r>
    <r>
      <rPr>
        <sz val="11"/>
        <color theme="1"/>
        <rFont val="Calibri"/>
        <family val="2"/>
        <scheme val="minor"/>
      </rPr>
      <t xml:space="preserve"> (drop)</t>
    </r>
  </si>
  <si>
    <t>Inverts</t>
  </si>
  <si>
    <t>Rim</t>
  </si>
  <si>
    <t>Invert</t>
  </si>
  <si>
    <t>Crown</t>
  </si>
  <si>
    <t>Inv. Down</t>
  </si>
  <si>
    <t>STRAIGHT</t>
  </si>
  <si>
    <t>TURN</t>
  </si>
  <si>
    <t>Inv. Up</t>
  </si>
  <si>
    <t>Cover</t>
  </si>
  <si>
    <t>Max. Inv</t>
  </si>
  <si>
    <t>STORM DRAIN PIPE CALCULATIONS - FORMULAS</t>
  </si>
  <si>
    <r>
      <t>T</t>
    </r>
    <r>
      <rPr>
        <vertAlign val="subscript"/>
        <sz val="10"/>
        <color theme="1"/>
        <rFont val="Calibri"/>
        <family val="2"/>
        <scheme val="minor"/>
      </rPr>
      <t>gutter</t>
    </r>
    <r>
      <rPr>
        <sz val="10"/>
        <color theme="1"/>
        <rFont val="Calibri"/>
        <family val="2"/>
        <scheme val="minor"/>
      </rPr>
      <t xml:space="preserve"> = (L</t>
    </r>
    <r>
      <rPr>
        <vertAlign val="subscript"/>
        <sz val="10"/>
        <color theme="1"/>
        <rFont val="Calibri"/>
        <family val="2"/>
        <scheme val="minor"/>
      </rPr>
      <t>gutter</t>
    </r>
    <r>
      <rPr>
        <sz val="10"/>
        <color theme="1"/>
        <rFont val="Calibri"/>
        <family val="2"/>
        <scheme val="minor"/>
      </rPr>
      <t xml:space="preserve"> / V</t>
    </r>
    <r>
      <rPr>
        <vertAlign val="subscript"/>
        <sz val="10"/>
        <color theme="1"/>
        <rFont val="Calibri"/>
        <family val="2"/>
        <scheme val="minor"/>
      </rPr>
      <t>gutter</t>
    </r>
    <r>
      <rPr>
        <sz val="10"/>
        <color theme="1"/>
        <rFont val="Calibri"/>
        <family val="2"/>
        <scheme val="minor"/>
      </rPr>
      <t>) / 60</t>
    </r>
  </si>
  <si>
    <r>
      <t>T</t>
    </r>
    <r>
      <rPr>
        <vertAlign val="subscript"/>
        <sz val="10"/>
        <color theme="1"/>
        <rFont val="Calibri"/>
        <family val="2"/>
        <scheme val="minor"/>
      </rPr>
      <t>pipe</t>
    </r>
    <r>
      <rPr>
        <sz val="10"/>
        <color theme="1"/>
        <rFont val="Calibri"/>
        <family val="2"/>
        <scheme val="minor"/>
      </rPr>
      <t xml:space="preserve"> = (L</t>
    </r>
    <r>
      <rPr>
        <vertAlign val="subscript"/>
        <sz val="10"/>
        <color theme="1"/>
        <rFont val="Calibri"/>
        <family val="2"/>
        <scheme val="minor"/>
      </rPr>
      <t>pipe</t>
    </r>
    <r>
      <rPr>
        <sz val="10"/>
        <color theme="1"/>
        <rFont val="Calibri"/>
        <family val="2"/>
        <scheme val="minor"/>
      </rPr>
      <t xml:space="preserve"> / V</t>
    </r>
    <r>
      <rPr>
        <vertAlign val="subscript"/>
        <sz val="10"/>
        <color theme="1"/>
        <rFont val="Calibri"/>
        <family val="2"/>
        <scheme val="minor"/>
      </rPr>
      <t>design</t>
    </r>
    <r>
      <rPr>
        <sz val="10"/>
        <color theme="1"/>
        <rFont val="Calibri"/>
        <family val="2"/>
        <scheme val="minor"/>
      </rPr>
      <t>) / 60</t>
    </r>
  </si>
  <si>
    <t>STORM DRAIN PIPE CALCULATIONS - DESIGN CRITERIA</t>
  </si>
  <si>
    <t>DESIGNER INPUTS</t>
  </si>
  <si>
    <t>JURISDICTION</t>
  </si>
  <si>
    <t>STD OR REFERENCE</t>
  </si>
  <si>
    <r>
      <t>v / v</t>
    </r>
    <r>
      <rPr>
        <vertAlign val="subscript"/>
        <sz val="11"/>
        <color theme="1"/>
        <rFont val="Calibri"/>
        <family val="2"/>
        <scheme val="minor"/>
      </rPr>
      <t>full</t>
    </r>
    <r>
      <rPr>
        <sz val="11"/>
        <color theme="1"/>
        <rFont val="Calibri"/>
        <family val="2"/>
        <scheme val="minor"/>
      </rPr>
      <t xml:space="preserve"> =</t>
    </r>
  </si>
  <si>
    <r>
      <t>q / q</t>
    </r>
    <r>
      <rPr>
        <vertAlign val="subscript"/>
        <sz val="11"/>
        <color theme="1"/>
        <rFont val="Calibri"/>
        <family val="2"/>
        <scheme val="minor"/>
      </rPr>
      <t>full</t>
    </r>
    <r>
      <rPr>
        <sz val="11"/>
        <color theme="1"/>
        <rFont val="Calibri"/>
        <family val="2"/>
        <scheme val="minor"/>
      </rPr>
      <t xml:space="preserve"> =</t>
    </r>
  </si>
  <si>
    <t>Land use</t>
  </si>
  <si>
    <r>
      <t>T</t>
    </r>
    <r>
      <rPr>
        <vertAlign val="subscript"/>
        <sz val="11"/>
        <rFont val="Calibri"/>
        <family val="2"/>
        <scheme val="minor"/>
      </rPr>
      <t>i</t>
    </r>
  </si>
  <si>
    <t>Recurrence interval =</t>
  </si>
  <si>
    <t>year</t>
  </si>
  <si>
    <t>LD Residential</t>
  </si>
  <si>
    <t>Ti</t>
  </si>
  <si>
    <t>JUNCTION</t>
  </si>
  <si>
    <t>**FREEZE ANY ROWS W/ RED**</t>
  </si>
  <si>
    <r>
      <t>L</t>
    </r>
    <r>
      <rPr>
        <vertAlign val="subscript"/>
        <sz val="11"/>
        <rFont val="Calibri"/>
        <family val="2"/>
        <scheme val="minor"/>
      </rPr>
      <t>pipe</t>
    </r>
  </si>
  <si>
    <r>
      <t>Max. T</t>
    </r>
    <r>
      <rPr>
        <vertAlign val="subscript"/>
        <sz val="11"/>
        <color theme="1"/>
        <rFont val="Calibri"/>
        <family val="2"/>
        <scheme val="minor"/>
      </rPr>
      <t>c</t>
    </r>
  </si>
  <si>
    <t>Inflow</t>
  </si>
  <si>
    <t>Min. drop b/w structures (ft)</t>
  </si>
  <si>
    <t>Hydraulic radius</t>
  </si>
  <si>
    <r>
      <t xml:space="preserve">R = A / P = D/4 </t>
    </r>
    <r>
      <rPr>
        <i/>
        <sz val="10"/>
        <color theme="1"/>
        <rFont val="Calibri"/>
        <family val="2"/>
        <scheme val="minor"/>
      </rPr>
      <t>(for circular pipe)</t>
    </r>
  </si>
  <si>
    <t>D =</t>
  </si>
  <si>
    <t>Diameter of pipe (ft)</t>
  </si>
  <si>
    <t xml:space="preserve"> </t>
  </si>
  <si>
    <r>
      <t>KV</t>
    </r>
    <r>
      <rPr>
        <vertAlign val="subscript"/>
        <sz val="11"/>
        <rFont val="Calibri"/>
        <family val="2"/>
        <scheme val="minor"/>
      </rPr>
      <t>full</t>
    </r>
    <r>
      <rPr>
        <sz val="11"/>
        <rFont val="Calibri"/>
        <family val="2"/>
        <scheme val="minor"/>
      </rPr>
      <t xml:space="preserve"> =</t>
    </r>
  </si>
  <si>
    <r>
      <t>KQ</t>
    </r>
    <r>
      <rPr>
        <vertAlign val="subscript"/>
        <sz val="11"/>
        <rFont val="Calibri"/>
        <family val="2"/>
        <scheme val="minor"/>
      </rPr>
      <t>full</t>
    </r>
    <r>
      <rPr>
        <sz val="11"/>
        <rFont val="Calibri"/>
        <family val="2"/>
        <scheme val="minor"/>
      </rPr>
      <t xml:space="preserve"> =</t>
    </r>
  </si>
  <si>
    <t>UP</t>
  </si>
  <si>
    <t>DOWN</t>
  </si>
  <si>
    <t>Downstream</t>
  </si>
  <si>
    <t>STORMWATER CALCULATIONS</t>
  </si>
  <si>
    <t>For</t>
  </si>
  <si>
    <t>(PROJECT NAME)</t>
  </si>
  <si>
    <t>(Project Location)</t>
  </si>
  <si>
    <t>324 S. SANTA FE ST.</t>
  </si>
  <si>
    <t>VISALIA, CA 93292</t>
  </si>
  <si>
    <t>(559) 802-3052</t>
  </si>
  <si>
    <t>Project # (xxxxx)</t>
  </si>
  <si>
    <t>(Date)</t>
  </si>
  <si>
    <t>Improved Open</t>
  </si>
  <si>
    <t>Off-site</t>
  </si>
  <si>
    <t>Accept</t>
  </si>
  <si>
    <t>min?</t>
  </si>
  <si>
    <r>
      <t>φ</t>
    </r>
    <r>
      <rPr>
        <vertAlign val="subscript"/>
        <sz val="11"/>
        <color theme="1"/>
        <rFont val="Calibri"/>
        <family val="2"/>
        <scheme val="minor"/>
      </rPr>
      <t>min</t>
    </r>
  </si>
  <si>
    <t>--</t>
  </si>
  <si>
    <t>Min. pipe diameter (in)</t>
  </si>
  <si>
    <t>Φ</t>
  </si>
  <si>
    <t>Fix Down?</t>
  </si>
  <si>
    <t>Pipe Design</t>
  </si>
  <si>
    <t xml:space="preserve">Min. Inv. </t>
  </si>
  <si>
    <t>Optimizer</t>
  </si>
  <si>
    <t>Straight?</t>
  </si>
  <si>
    <r>
      <rPr>
        <sz val="11"/>
        <color theme="1"/>
        <rFont val="Calibri"/>
        <family val="2"/>
      </rPr>
      <t>←</t>
    </r>
    <r>
      <rPr>
        <sz val="11"/>
        <color theme="1"/>
        <rFont val="Calibri"/>
        <family val="2"/>
        <scheme val="minor"/>
      </rPr>
      <t>Accept?</t>
    </r>
  </si>
  <si>
    <t>Outflow Pipe Inverts</t>
  </si>
  <si>
    <t>Outflow Pipe Invert Design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</si>
</sst>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
    <numFmt numFmtId="166" formatCode="0.0"/>
  </numFmts>
  <fonts count="26" x14ac:knownFonts="1">
    <font>
      <sz val="11"/>
      <color theme="1"/>
      <name val="Calibri"/>
      <family val="2"/>
      <scheme val="minor"/>
    </font>
    <font>
      <sz val="11"/>
      <color theme="1"/>
      <name val="Calibri"/>
      <family val="2"/>
      <scheme val="minor"/>
    </font>
    <font>
      <sz val="11"/>
      <color rgb="FF3F3F76"/>
      <name val="Calibri"/>
      <family val="2"/>
      <scheme val="minor"/>
    </font>
    <font>
      <vertAlign val="subscript"/>
      <sz val="11"/>
      <color theme="1"/>
      <name val="Calibri"/>
      <family val="2"/>
      <scheme val="minor"/>
    </font>
    <font>
      <sz val="11"/>
      <name val="Calibri"/>
      <family val="2"/>
      <scheme val="minor"/>
    </font>
    <font>
      <vertAlign val="subscript"/>
      <sz val="11"/>
      <name val="Calibri"/>
      <family val="2"/>
      <scheme val="minor"/>
    </font>
    <font>
      <i/>
      <sz val="11"/>
      <color theme="1"/>
      <name val="Calibri"/>
      <family val="2"/>
      <scheme val="minor"/>
    </font>
    <font>
      <vertAlign val="superscript"/>
      <sz val="11"/>
      <color theme="1"/>
      <name val="Calibri"/>
      <family val="2"/>
      <scheme val="minor"/>
    </font>
    <font>
      <b/>
      <sz val="11"/>
      <color rgb="FF3F3F3F"/>
      <name val="Calibri"/>
      <family val="2"/>
      <scheme val="minor"/>
    </font>
    <font>
      <sz val="11"/>
      <color rgb="FFFF0000"/>
      <name val="Calibri"/>
      <family val="2"/>
      <scheme val="minor"/>
    </font>
    <font>
      <b/>
      <u/>
      <sz val="10"/>
      <color theme="1"/>
      <name val="Calibri"/>
      <family val="2"/>
      <scheme val="minor"/>
    </font>
    <font>
      <sz val="10"/>
      <color theme="1"/>
      <name val="Calibri"/>
      <family val="2"/>
      <scheme val="minor"/>
    </font>
    <font>
      <vertAlign val="subscript"/>
      <sz val="10"/>
      <color theme="1"/>
      <name val="Calibri"/>
      <family val="2"/>
      <scheme val="minor"/>
    </font>
    <font>
      <i/>
      <sz val="10"/>
      <color theme="1"/>
      <name val="Calibri"/>
      <family val="2"/>
      <scheme val="minor"/>
    </font>
    <font>
      <vertAlign val="superscript"/>
      <sz val="10"/>
      <color theme="1"/>
      <name val="Calibri"/>
      <family val="2"/>
      <scheme val="minor"/>
    </font>
    <font>
      <i/>
      <vertAlign val="subscript"/>
      <sz val="10"/>
      <color theme="1"/>
      <name val="Calibri"/>
      <family val="2"/>
      <scheme val="minor"/>
    </font>
    <font>
      <sz val="11"/>
      <color rgb="FF006100"/>
      <name val="Calibri"/>
      <family val="2"/>
      <scheme val="minor"/>
    </font>
    <font>
      <sz val="11"/>
      <color rgb="FF9C0006"/>
      <name val="Calibri"/>
      <family val="2"/>
      <scheme val="minor"/>
    </font>
    <font>
      <sz val="11"/>
      <color theme="0"/>
      <name val="Calibri"/>
      <family val="2"/>
      <scheme val="minor"/>
    </font>
    <font>
      <sz val="11"/>
      <color theme="1"/>
      <name val="Calibri"/>
      <family val="2"/>
    </font>
    <font>
      <vertAlign val="subscript"/>
      <sz val="11"/>
      <color theme="1"/>
      <name val="Calibri"/>
      <family val="2"/>
    </font>
    <font>
      <b/>
      <sz val="11"/>
      <color theme="1"/>
      <name val="Calibri"/>
      <family val="2"/>
      <scheme val="minor"/>
    </font>
    <font>
      <sz val="11"/>
      <color theme="0" tint="-4.9989318521683403E-2"/>
      <name val="Calibri"/>
      <family val="2"/>
      <scheme val="minor"/>
    </font>
    <font>
      <sz val="18"/>
      <color theme="1"/>
      <name val="Calibri"/>
      <family val="2"/>
      <scheme val="minor"/>
    </font>
    <font>
      <b/>
      <sz val="18"/>
      <color theme="1"/>
      <name val="Calibri"/>
      <family val="2"/>
      <scheme val="minor"/>
    </font>
    <font>
      <b/>
      <sz val="24"/>
      <color theme="1"/>
      <name val="Calibri"/>
      <family val="2"/>
      <scheme val="minor"/>
    </font>
  </fonts>
  <fills count="19">
    <fill>
      <patternFill patternType="none"/>
    </fill>
    <fill>
      <patternFill patternType="gray125"/>
    </fill>
    <fill>
      <patternFill patternType="solid">
        <fgColor rgb="FFFFCC99"/>
      </patternFill>
    </fill>
    <fill>
      <patternFill patternType="solid">
        <fgColor rgb="FFFFFFCC"/>
      </patternFill>
    </fill>
    <fill>
      <patternFill patternType="solid">
        <fgColor theme="4" tint="0.59999389629810485"/>
        <bgColor indexed="65"/>
      </patternFill>
    </fill>
    <fill>
      <patternFill patternType="solid">
        <fgColor theme="0" tint="-4.9989318521683403E-2"/>
        <bgColor indexed="64"/>
      </patternFill>
    </fill>
    <fill>
      <patternFill patternType="solid">
        <fgColor rgb="FFF2F2F2"/>
      </patternFill>
    </fill>
    <fill>
      <patternFill patternType="solid">
        <fgColor rgb="FFC6EFCE"/>
      </patternFill>
    </fill>
    <fill>
      <patternFill patternType="solid">
        <fgColor rgb="FFFFC7CE"/>
      </patternFill>
    </fill>
    <fill>
      <patternFill patternType="solid">
        <fgColor theme="8"/>
      </patternFill>
    </fill>
    <fill>
      <patternFill patternType="solid">
        <fgColor theme="9" tint="0.59999389629810485"/>
        <bgColor indexed="65"/>
      </patternFill>
    </fill>
    <fill>
      <patternFill patternType="solid">
        <fgColor rgb="FFFF5050"/>
        <bgColor indexed="64"/>
      </patternFill>
    </fill>
    <fill>
      <patternFill patternType="solid">
        <fgColor theme="9" tint="0.59999389629810485"/>
        <bgColor indexed="64"/>
      </patternFill>
    </fill>
    <fill>
      <patternFill patternType="solid">
        <fgColor theme="8" tint="0.79998168889431442"/>
        <bgColor indexed="65"/>
      </patternFill>
    </fill>
    <fill>
      <patternFill patternType="solid">
        <fgColor theme="0" tint="-0.14999847407452621"/>
        <bgColor indexed="64"/>
      </patternFill>
    </fill>
    <fill>
      <patternFill patternType="solid">
        <fgColor theme="0" tint="-0.249977111117893"/>
        <bgColor indexed="64"/>
      </patternFill>
    </fill>
    <fill>
      <patternFill patternType="solid">
        <fgColor theme="6" tint="0.59999389629810485"/>
        <bgColor indexed="65"/>
      </patternFill>
    </fill>
    <fill>
      <patternFill patternType="solid">
        <fgColor theme="5" tint="0.39997558519241921"/>
        <bgColor indexed="65"/>
      </patternFill>
    </fill>
    <fill>
      <patternFill patternType="solid">
        <fgColor rgb="FFCC99FF"/>
        <bgColor indexed="64"/>
      </patternFill>
    </fill>
  </fills>
  <borders count="70">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style="medium">
        <color indexed="64"/>
      </top>
      <bottom/>
      <diagonal/>
    </border>
    <border>
      <left style="thin">
        <color indexed="64"/>
      </left>
      <right style="thin">
        <color indexed="64"/>
      </right>
      <top/>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style="medium">
        <color indexed="64"/>
      </top>
      <bottom style="thin">
        <color indexed="64"/>
      </bottom>
      <diagonal/>
    </border>
    <border>
      <left style="thin">
        <color rgb="FF3F3F3F"/>
      </left>
      <right style="thin">
        <color rgb="FF3F3F3F"/>
      </right>
      <top style="thin">
        <color rgb="FF3F3F3F"/>
      </top>
      <bottom style="thin">
        <color rgb="FF3F3F3F"/>
      </bottom>
      <diagonal/>
    </border>
    <border>
      <left style="medium">
        <color indexed="64"/>
      </left>
      <right style="thin">
        <color rgb="FF3F3F3F"/>
      </right>
      <top style="medium">
        <color indexed="64"/>
      </top>
      <bottom style="medium">
        <color indexed="64"/>
      </bottom>
      <diagonal/>
    </border>
    <border>
      <left style="thin">
        <color rgb="FF3F3F3F"/>
      </left>
      <right style="thin">
        <color rgb="FF3F3F3F"/>
      </right>
      <top style="medium">
        <color indexed="64"/>
      </top>
      <bottom style="medium">
        <color indexed="64"/>
      </bottom>
      <diagonal/>
    </border>
    <border>
      <left style="thin">
        <color rgb="FF3F3F3F"/>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right/>
      <top style="medium">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style="thin">
        <color indexed="64"/>
      </left>
      <right style="thin">
        <color rgb="FF3F3F3F"/>
      </right>
      <top style="medium">
        <color indexed="64"/>
      </top>
      <bottom style="double">
        <color indexed="64"/>
      </bottom>
      <diagonal/>
    </border>
    <border>
      <left style="thin">
        <color rgb="FF3F3F3F"/>
      </left>
      <right style="medium">
        <color indexed="64"/>
      </right>
      <top style="medium">
        <color indexed="64"/>
      </top>
      <bottom style="double">
        <color indexed="64"/>
      </bottom>
      <diagonal/>
    </border>
    <border>
      <left style="thin">
        <color rgb="FF7F7F7F"/>
      </left>
      <right style="medium">
        <color indexed="64"/>
      </right>
      <top style="thin">
        <color rgb="FF7F7F7F"/>
      </top>
      <bottom style="medium">
        <color indexed="64"/>
      </bottom>
      <diagonal/>
    </border>
    <border>
      <left/>
      <right style="thin">
        <color rgb="FFB2B2B2"/>
      </right>
      <top style="thin">
        <color rgb="FFB2B2B2"/>
      </top>
      <bottom style="thin">
        <color rgb="FFB2B2B2"/>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s>
  <cellStyleXfs count="12">
    <xf numFmtId="0" fontId="0" fillId="0" borderId="0"/>
    <xf numFmtId="0" fontId="2" fillId="2" borderId="1" applyNumberFormat="0" applyAlignment="0" applyProtection="0"/>
    <xf numFmtId="0" fontId="1" fillId="3" borderId="2" applyNumberFormat="0" applyFont="0" applyAlignment="0" applyProtection="0"/>
    <xf numFmtId="0" fontId="1" fillId="4" borderId="0" applyNumberFormat="0" applyBorder="0" applyAlignment="0" applyProtection="0"/>
    <xf numFmtId="0" fontId="8" fillId="6" borderId="31" applyNumberFormat="0" applyAlignment="0" applyProtection="0"/>
    <xf numFmtId="0" fontId="16" fillId="7" borderId="0" applyNumberFormat="0" applyBorder="0" applyAlignment="0" applyProtection="0"/>
    <xf numFmtId="0" fontId="17" fillId="8" borderId="0" applyNumberFormat="0" applyBorder="0" applyAlignment="0" applyProtection="0"/>
    <xf numFmtId="0" fontId="18" fillId="9" borderId="0" applyNumberFormat="0" applyBorder="0" applyAlignment="0" applyProtection="0"/>
    <xf numFmtId="0" fontId="1" fillId="10" borderId="0" applyNumberFormat="0" applyBorder="0" applyAlignment="0" applyProtection="0"/>
    <xf numFmtId="0" fontId="1" fillId="13"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cellStyleXfs>
  <cellXfs count="304">
    <xf numFmtId="0" fontId="0" fillId="0" borderId="0" xfId="0"/>
    <xf numFmtId="0" fontId="0" fillId="0" borderId="5" xfId="0" applyBorder="1" applyAlignment="1">
      <alignment horizontal="left"/>
    </xf>
    <xf numFmtId="0" fontId="0" fillId="0" borderId="6" xfId="0"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11" xfId="0" applyBorder="1" applyAlignment="1">
      <alignment horizontal="left"/>
    </xf>
    <xf numFmtId="0" fontId="0" fillId="0" borderId="3" xfId="0" applyBorder="1" applyAlignment="1">
      <alignment horizontal="left"/>
    </xf>
    <xf numFmtId="0" fontId="0" fillId="0" borderId="12" xfId="0"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0" fillId="0" borderId="15" xfId="0" applyBorder="1" applyAlignment="1">
      <alignment horizontal="left"/>
    </xf>
    <xf numFmtId="0" fontId="0" fillId="0" borderId="5" xfId="0" applyBorder="1"/>
    <xf numFmtId="0" fontId="0" fillId="0" borderId="7" xfId="0" applyBorder="1"/>
    <xf numFmtId="0" fontId="0" fillId="0" borderId="8" xfId="0" applyBorder="1"/>
    <xf numFmtId="0" fontId="0" fillId="0" borderId="13" xfId="0" applyBorder="1"/>
    <xf numFmtId="0" fontId="6" fillId="0" borderId="0" xfId="0" applyFont="1"/>
    <xf numFmtId="0" fontId="0" fillId="0" borderId="18" xfId="0" applyBorder="1"/>
    <xf numFmtId="0" fontId="0" fillId="0" borderId="19" xfId="0" applyBorder="1" applyAlignment="1">
      <alignment horizontal="left"/>
    </xf>
    <xf numFmtId="0" fontId="0" fillId="0" borderId="27" xfId="0" applyBorder="1" applyAlignment="1">
      <alignment horizontal="left"/>
    </xf>
    <xf numFmtId="164" fontId="0" fillId="0" borderId="26" xfId="0" applyNumberFormat="1" applyBorder="1" applyAlignment="1">
      <alignment horizontal="left"/>
    </xf>
    <xf numFmtId="2" fontId="0" fillId="0" borderId="16" xfId="0" applyNumberFormat="1" applyBorder="1" applyAlignment="1">
      <alignment horizontal="left"/>
    </xf>
    <xf numFmtId="164" fontId="0" fillId="0" borderId="24" xfId="0" applyNumberFormat="1" applyBorder="1" applyAlignment="1">
      <alignment horizontal="left"/>
    </xf>
    <xf numFmtId="2" fontId="0" fillId="0" borderId="22" xfId="0" applyNumberFormat="1" applyBorder="1" applyAlignment="1">
      <alignment horizontal="left"/>
    </xf>
    <xf numFmtId="0" fontId="0" fillId="0" borderId="0" xfId="0" applyAlignment="1">
      <alignment horizontal="right"/>
    </xf>
    <xf numFmtId="0" fontId="0" fillId="0" borderId="0" xfId="0" applyAlignment="1">
      <alignment horizontal="left" vertical="center"/>
    </xf>
    <xf numFmtId="164" fontId="0" fillId="0" borderId="17" xfId="0" applyNumberFormat="1" applyBorder="1" applyAlignment="1">
      <alignment horizontal="left"/>
    </xf>
    <xf numFmtId="2" fontId="0" fillId="0" borderId="21" xfId="0" applyNumberFormat="1" applyBorder="1" applyAlignment="1">
      <alignment horizontal="left"/>
    </xf>
    <xf numFmtId="164" fontId="4" fillId="0" borderId="3" xfId="0" applyNumberFormat="1" applyFont="1" applyBorder="1" applyAlignment="1">
      <alignment horizontal="left"/>
    </xf>
    <xf numFmtId="165" fontId="4" fillId="0" borderId="12" xfId="0" applyNumberFormat="1" applyFont="1" applyBorder="1" applyAlignment="1">
      <alignment horizontal="left"/>
    </xf>
    <xf numFmtId="164" fontId="4" fillId="0" borderId="14" xfId="0" applyNumberFormat="1" applyFont="1" applyBorder="1" applyAlignment="1">
      <alignment horizontal="left"/>
    </xf>
    <xf numFmtId="0" fontId="4" fillId="0" borderId="15" xfId="0" applyFont="1" applyBorder="1" applyAlignment="1">
      <alignment horizontal="left"/>
    </xf>
    <xf numFmtId="164" fontId="4" fillId="0" borderId="9" xfId="0" applyNumberFormat="1" applyFont="1" applyBorder="1" applyAlignment="1">
      <alignment horizontal="left"/>
    </xf>
    <xf numFmtId="165" fontId="4" fillId="0" borderId="10" xfId="0" applyNumberFormat="1" applyFont="1" applyBorder="1" applyAlignment="1">
      <alignment horizontal="left"/>
    </xf>
    <xf numFmtId="0" fontId="0" fillId="0" borderId="11" xfId="0" applyBorder="1"/>
    <xf numFmtId="0" fontId="4" fillId="5" borderId="10" xfId="0" applyFont="1" applyFill="1" applyBorder="1" applyAlignment="1">
      <alignment horizontal="center"/>
    </xf>
    <xf numFmtId="0" fontId="4" fillId="2" borderId="5" xfId="1" applyFont="1" applyBorder="1" applyAlignment="1">
      <alignment horizontal="left"/>
    </xf>
    <xf numFmtId="0" fontId="4" fillId="2" borderId="6" xfId="1" applyFont="1" applyBorder="1" applyAlignment="1">
      <alignment horizontal="left"/>
    </xf>
    <xf numFmtId="0" fontId="9" fillId="0" borderId="0" xfId="0" applyFont="1"/>
    <xf numFmtId="0" fontId="0" fillId="0" borderId="0" xfId="0" applyAlignment="1">
      <alignment horizontal="center"/>
    </xf>
    <xf numFmtId="2" fontId="0" fillId="0" borderId="0" xfId="0" applyNumberFormat="1"/>
    <xf numFmtId="0" fontId="0" fillId="0" borderId="0" xfId="0" applyAlignment="1">
      <alignment horizontal="left"/>
    </xf>
    <xf numFmtId="0" fontId="0" fillId="0" borderId="0" xfId="0" quotePrefix="1"/>
    <xf numFmtId="0" fontId="10" fillId="0" borderId="0" xfId="0" applyFont="1"/>
    <xf numFmtId="0" fontId="11" fillId="0" borderId="0" xfId="0" applyFont="1"/>
    <xf numFmtId="0" fontId="11" fillId="0" borderId="0" xfId="0" applyFont="1" applyAlignment="1">
      <alignment horizontal="left"/>
    </xf>
    <xf numFmtId="0" fontId="11" fillId="0" borderId="0" xfId="0" applyFont="1" applyAlignment="1">
      <alignment horizontal="center"/>
    </xf>
    <xf numFmtId="0" fontId="11" fillId="0" borderId="0" xfId="0" applyFont="1" applyAlignment="1">
      <alignment horizontal="right"/>
    </xf>
    <xf numFmtId="0" fontId="13" fillId="0" borderId="0" xfId="0" applyFont="1" applyAlignment="1">
      <alignment horizontal="left"/>
    </xf>
    <xf numFmtId="0" fontId="11" fillId="0" borderId="0" xfId="0" quotePrefix="1" applyFont="1"/>
    <xf numFmtId="0" fontId="0" fillId="0" borderId="0" xfId="0" applyAlignment="1">
      <alignment horizontal="center" vertical="center"/>
    </xf>
    <xf numFmtId="0" fontId="0" fillId="5" borderId="0" xfId="0" applyFill="1" applyAlignment="1">
      <alignment horizontal="center"/>
    </xf>
    <xf numFmtId="2" fontId="0" fillId="0" borderId="0" xfId="0" applyNumberFormat="1" applyAlignment="1">
      <alignment horizontal="center"/>
    </xf>
    <xf numFmtId="2" fontId="0" fillId="5" borderId="0" xfId="0" applyNumberFormat="1" applyFill="1" applyAlignment="1">
      <alignment horizontal="center"/>
    </xf>
    <xf numFmtId="0" fontId="0" fillId="0" borderId="35" xfId="0" applyBorder="1" applyAlignment="1">
      <alignment horizontal="left"/>
    </xf>
    <xf numFmtId="0" fontId="0" fillId="0" borderId="29" xfId="0" applyBorder="1" applyAlignment="1">
      <alignment horizontal="left"/>
    </xf>
    <xf numFmtId="0" fontId="0" fillId="0" borderId="36" xfId="0" applyBorder="1" applyAlignment="1">
      <alignment horizontal="left"/>
    </xf>
    <xf numFmtId="164" fontId="0" fillId="0" borderId="25" xfId="0" applyNumberFormat="1" applyBorder="1" applyAlignment="1">
      <alignment horizontal="left"/>
    </xf>
    <xf numFmtId="164" fontId="0" fillId="0" borderId="4" xfId="0" applyNumberFormat="1" applyBorder="1" applyAlignment="1">
      <alignment horizontal="left"/>
    </xf>
    <xf numFmtId="164" fontId="0" fillId="0" borderId="37" xfId="0" applyNumberFormat="1" applyBorder="1" applyAlignment="1">
      <alignment horizontal="left"/>
    </xf>
    <xf numFmtId="0" fontId="0" fillId="0" borderId="38" xfId="0" applyBorder="1"/>
    <xf numFmtId="0" fontId="0" fillId="0" borderId="35" xfId="0" applyBorder="1"/>
    <xf numFmtId="0" fontId="0" fillId="0" borderId="21" xfId="0" applyBorder="1"/>
    <xf numFmtId="0" fontId="1" fillId="4" borderId="3" xfId="3" applyBorder="1" applyAlignment="1">
      <alignment horizontal="center"/>
    </xf>
    <xf numFmtId="0" fontId="17" fillId="8" borderId="3" xfId="6" applyBorder="1"/>
    <xf numFmtId="0" fontId="17" fillId="8" borderId="3" xfId="6" applyBorder="1" applyAlignment="1">
      <alignment horizontal="center"/>
    </xf>
    <xf numFmtId="0" fontId="17" fillId="8" borderId="0" xfId="6"/>
    <xf numFmtId="0" fontId="4" fillId="2" borderId="17" xfId="1" applyFont="1" applyBorder="1" applyAlignment="1">
      <alignment horizontal="center" vertical="center"/>
    </xf>
    <xf numFmtId="0" fontId="0" fillId="4" borderId="17" xfId="3" applyFont="1" applyBorder="1" applyAlignment="1">
      <alignment horizontal="center"/>
    </xf>
    <xf numFmtId="0" fontId="1" fillId="4" borderId="43" xfId="3" applyBorder="1" applyAlignment="1">
      <alignment horizontal="center"/>
    </xf>
    <xf numFmtId="0" fontId="4" fillId="2" borderId="24" xfId="1" applyFont="1" applyBorder="1" applyAlignment="1">
      <alignment horizontal="center" vertical="center"/>
    </xf>
    <xf numFmtId="0" fontId="1" fillId="4" borderId="24" xfId="3" applyBorder="1" applyAlignment="1">
      <alignment horizontal="center"/>
    </xf>
    <xf numFmtId="0" fontId="1" fillId="4" borderId="45" xfId="3" applyBorder="1" applyAlignment="1">
      <alignment horizontal="center"/>
    </xf>
    <xf numFmtId="0" fontId="18" fillId="9" borderId="43" xfId="7" applyBorder="1" applyAlignment="1">
      <alignment horizontal="center" vertical="center"/>
    </xf>
    <xf numFmtId="0" fontId="18" fillId="9" borderId="45" xfId="7" applyBorder="1" applyAlignment="1">
      <alignment horizontal="center" vertical="center"/>
    </xf>
    <xf numFmtId="0" fontId="0" fillId="14" borderId="14" xfId="2" applyFont="1" applyFill="1" applyBorder="1" applyAlignment="1">
      <alignment vertical="center"/>
    </xf>
    <xf numFmtId="0" fontId="1" fillId="13" borderId="14" xfId="9" applyBorder="1" applyAlignment="1">
      <alignment horizontal="center" vertical="center"/>
    </xf>
    <xf numFmtId="0" fontId="4" fillId="2" borderId="41" xfId="1" applyFont="1" applyBorder="1" applyAlignment="1">
      <alignment horizontal="center"/>
    </xf>
    <xf numFmtId="0" fontId="4" fillId="2" borderId="17" xfId="1" applyFont="1" applyBorder="1" applyAlignment="1">
      <alignment horizontal="center"/>
    </xf>
    <xf numFmtId="0" fontId="0" fillId="3" borderId="17" xfId="2" applyFont="1" applyBorder="1" applyAlignment="1">
      <alignment horizontal="center"/>
    </xf>
    <xf numFmtId="0" fontId="4" fillId="2" borderId="23" xfId="1" applyFont="1" applyBorder="1" applyAlignment="1">
      <alignment horizontal="center"/>
    </xf>
    <xf numFmtId="0" fontId="4" fillId="2" borderId="24" xfId="1" applyFont="1" applyBorder="1" applyAlignment="1">
      <alignment horizontal="center"/>
    </xf>
    <xf numFmtId="0" fontId="0" fillId="3" borderId="24" xfId="2" applyFont="1" applyBorder="1" applyAlignment="1">
      <alignment horizontal="center"/>
    </xf>
    <xf numFmtId="0" fontId="0" fillId="3" borderId="14" xfId="2" applyFont="1" applyBorder="1" applyAlignment="1">
      <alignment horizontal="center"/>
    </xf>
    <xf numFmtId="0" fontId="0" fillId="0" borderId="38" xfId="0" applyBorder="1" applyAlignment="1">
      <alignment horizontal="center"/>
    </xf>
    <xf numFmtId="0" fontId="19" fillId="10" borderId="41" xfId="8" applyFont="1" applyBorder="1" applyAlignment="1">
      <alignment horizontal="center"/>
    </xf>
    <xf numFmtId="0" fontId="19" fillId="11" borderId="17" xfId="1" applyFont="1" applyFill="1" applyBorder="1" applyAlignment="1">
      <alignment horizontal="center"/>
    </xf>
    <xf numFmtId="0" fontId="0" fillId="8" borderId="17" xfId="6" applyFont="1" applyBorder="1" applyAlignment="1">
      <alignment horizontal="center"/>
    </xf>
    <xf numFmtId="0" fontId="0" fillId="10" borderId="17" xfId="8" applyFont="1" applyBorder="1" applyAlignment="1">
      <alignment horizontal="center"/>
    </xf>
    <xf numFmtId="0" fontId="1" fillId="11" borderId="17" xfId="1" applyFont="1" applyFill="1" applyBorder="1" applyAlignment="1">
      <alignment horizontal="center"/>
    </xf>
    <xf numFmtId="0" fontId="0" fillId="2" borderId="17" xfId="1" applyFont="1" applyBorder="1" applyAlignment="1">
      <alignment horizontal="center"/>
    </xf>
    <xf numFmtId="0" fontId="1" fillId="3" borderId="17" xfId="2" applyFont="1" applyBorder="1" applyAlignment="1">
      <alignment horizontal="center"/>
    </xf>
    <xf numFmtId="0" fontId="0" fillId="4" borderId="43" xfId="3" applyFont="1" applyBorder="1" applyAlignment="1">
      <alignment horizontal="center"/>
    </xf>
    <xf numFmtId="0" fontId="1" fillId="10" borderId="23" xfId="8" applyBorder="1" applyAlignment="1">
      <alignment horizontal="center"/>
    </xf>
    <xf numFmtId="0" fontId="1" fillId="11" borderId="24" xfId="1" applyFont="1" applyFill="1" applyBorder="1" applyAlignment="1">
      <alignment horizontal="center"/>
    </xf>
    <xf numFmtId="0" fontId="1" fillId="8" borderId="24" xfId="6" applyFont="1" applyBorder="1" applyAlignment="1">
      <alignment horizontal="center"/>
    </xf>
    <xf numFmtId="0" fontId="1" fillId="10" borderId="24" xfId="8" applyBorder="1" applyAlignment="1">
      <alignment horizontal="center"/>
    </xf>
    <xf numFmtId="0" fontId="1" fillId="2" borderId="24" xfId="1" applyFont="1" applyBorder="1" applyAlignment="1">
      <alignment horizontal="center"/>
    </xf>
    <xf numFmtId="0" fontId="1" fillId="3" borderId="24" xfId="2" applyFont="1" applyBorder="1" applyAlignment="1">
      <alignment horizontal="center"/>
    </xf>
    <xf numFmtId="2" fontId="0" fillId="5" borderId="40" xfId="0" applyNumberFormat="1" applyFill="1" applyBorder="1" applyAlignment="1">
      <alignment horizontal="center" vertical="center"/>
    </xf>
    <xf numFmtId="0" fontId="0" fillId="5" borderId="52" xfId="0" applyFill="1" applyBorder="1" applyAlignment="1">
      <alignment horizontal="center"/>
    </xf>
    <xf numFmtId="2" fontId="0" fillId="5" borderId="52" xfId="0" applyNumberFormat="1" applyFill="1" applyBorder="1" applyAlignment="1">
      <alignment horizontal="center"/>
    </xf>
    <xf numFmtId="2" fontId="0" fillId="0" borderId="52" xfId="0" applyNumberFormat="1" applyBorder="1" applyAlignment="1">
      <alignment horizontal="center"/>
    </xf>
    <xf numFmtId="1" fontId="22" fillId="5" borderId="52" xfId="0" applyNumberFormat="1" applyFont="1" applyFill="1" applyBorder="1" applyAlignment="1">
      <alignment horizontal="center"/>
    </xf>
    <xf numFmtId="2" fontId="0" fillId="0" borderId="57" xfId="0" applyNumberFormat="1" applyBorder="1" applyAlignment="1">
      <alignment horizontal="center"/>
    </xf>
    <xf numFmtId="0" fontId="0" fillId="0" borderId="57" xfId="0" applyBorder="1" applyAlignment="1">
      <alignment horizontal="center"/>
    </xf>
    <xf numFmtId="1" fontId="0" fillId="0" borderId="57" xfId="0" applyNumberFormat="1" applyBorder="1" applyAlignment="1">
      <alignment horizontal="center"/>
    </xf>
    <xf numFmtId="164" fontId="0" fillId="0" borderId="57" xfId="0" applyNumberFormat="1" applyBorder="1" applyAlignment="1">
      <alignment horizontal="center"/>
    </xf>
    <xf numFmtId="0" fontId="0" fillId="14" borderId="49" xfId="0" applyFill="1" applyBorder="1" applyAlignment="1">
      <alignment horizontal="center"/>
    </xf>
    <xf numFmtId="0" fontId="0" fillId="14" borderId="53" xfId="0" applyFill="1" applyBorder="1" applyAlignment="1">
      <alignment horizontal="center"/>
    </xf>
    <xf numFmtId="2" fontId="0" fillId="0" borderId="56" xfId="0" applyNumberFormat="1" applyBorder="1" applyAlignment="1">
      <alignment horizontal="center"/>
    </xf>
    <xf numFmtId="2" fontId="0" fillId="14" borderId="48" xfId="0" applyNumberFormat="1" applyFill="1" applyBorder="1" applyAlignment="1">
      <alignment horizontal="center"/>
    </xf>
    <xf numFmtId="2" fontId="0" fillId="14" borderId="16" xfId="0" applyNumberFormat="1" applyFill="1" applyBorder="1" applyAlignment="1">
      <alignment horizontal="center"/>
    </xf>
    <xf numFmtId="2" fontId="0" fillId="14" borderId="22" xfId="0" applyNumberFormat="1" applyFill="1" applyBorder="1" applyAlignment="1">
      <alignment horizontal="center"/>
    </xf>
    <xf numFmtId="0" fontId="0" fillId="0" borderId="30" xfId="0" applyBorder="1" applyAlignment="1">
      <alignment horizontal="center"/>
    </xf>
    <xf numFmtId="2" fontId="0" fillId="0" borderId="49" xfId="0" applyNumberFormat="1" applyBorder="1" applyAlignment="1">
      <alignment horizontal="center"/>
    </xf>
    <xf numFmtId="2" fontId="0" fillId="5" borderId="4" xfId="0" applyNumberFormat="1" applyFill="1" applyBorder="1" applyAlignment="1">
      <alignment horizontal="center"/>
    </xf>
    <xf numFmtId="2" fontId="0" fillId="5" borderId="37" xfId="0" applyNumberFormat="1" applyFill="1" applyBorder="1" applyAlignment="1">
      <alignment horizontal="center"/>
    </xf>
    <xf numFmtId="2" fontId="0" fillId="0" borderId="26" xfId="0" applyNumberFormat="1" applyBorder="1" applyAlignment="1">
      <alignment horizontal="center"/>
    </xf>
    <xf numFmtId="2" fontId="0" fillId="0" borderId="24" xfId="0" applyNumberFormat="1" applyBorder="1" applyAlignment="1">
      <alignment horizontal="center"/>
    </xf>
    <xf numFmtId="0" fontId="0" fillId="14" borderId="58" xfId="0" applyFill="1" applyBorder="1" applyAlignment="1">
      <alignment horizontal="center"/>
    </xf>
    <xf numFmtId="0" fontId="0" fillId="14" borderId="23" xfId="0" applyFill="1" applyBorder="1" applyAlignment="1">
      <alignment horizontal="center"/>
    </xf>
    <xf numFmtId="0" fontId="0" fillId="5" borderId="39" xfId="0" applyFill="1" applyBorder="1" applyAlignment="1">
      <alignment horizontal="center"/>
    </xf>
    <xf numFmtId="0" fontId="0" fillId="5" borderId="4" xfId="0" applyFill="1" applyBorder="1" applyAlignment="1">
      <alignment horizontal="center"/>
    </xf>
    <xf numFmtId="0" fontId="0" fillId="5" borderId="37" xfId="0" applyFill="1" applyBorder="1" applyAlignment="1">
      <alignment horizontal="center"/>
    </xf>
    <xf numFmtId="2" fontId="0" fillId="0" borderId="39" xfId="0" applyNumberFormat="1" applyBorder="1" applyAlignment="1">
      <alignment horizontal="center"/>
    </xf>
    <xf numFmtId="2" fontId="0" fillId="0" borderId="4" xfId="0" applyNumberFormat="1" applyBorder="1" applyAlignment="1">
      <alignment horizontal="center"/>
    </xf>
    <xf numFmtId="2" fontId="0" fillId="0" borderId="37" xfId="0" applyNumberFormat="1" applyBorder="1" applyAlignment="1">
      <alignment horizontal="center"/>
    </xf>
    <xf numFmtId="2" fontId="0" fillId="0" borderId="53" xfId="0" applyNumberFormat="1" applyBorder="1" applyAlignment="1">
      <alignment horizontal="center"/>
    </xf>
    <xf numFmtId="0" fontId="0" fillId="5" borderId="16" xfId="0" applyFill="1" applyBorder="1" applyAlignment="1">
      <alignment horizontal="center"/>
    </xf>
    <xf numFmtId="0" fontId="0" fillId="5" borderId="22" xfId="0" applyFill="1" applyBorder="1" applyAlignment="1">
      <alignment horizontal="center"/>
    </xf>
    <xf numFmtId="0" fontId="1" fillId="4" borderId="22" xfId="3" applyBorder="1" applyAlignment="1">
      <alignment horizontal="center"/>
    </xf>
    <xf numFmtId="165" fontId="0" fillId="0" borderId="55" xfId="0" applyNumberFormat="1" applyBorder="1" applyAlignment="1">
      <alignment horizontal="center"/>
    </xf>
    <xf numFmtId="165" fontId="0" fillId="5" borderId="29" xfId="0" applyNumberFormat="1" applyFill="1" applyBorder="1" applyAlignment="1">
      <alignment horizontal="center"/>
    </xf>
    <xf numFmtId="165" fontId="0" fillId="5" borderId="36" xfId="0" applyNumberFormat="1" applyFill="1" applyBorder="1" applyAlignment="1">
      <alignment horizontal="center"/>
    </xf>
    <xf numFmtId="0" fontId="1" fillId="4" borderId="41" xfId="3" applyBorder="1" applyAlignment="1">
      <alignment horizontal="center"/>
    </xf>
    <xf numFmtId="0" fontId="1" fillId="4" borderId="23" xfId="3" applyBorder="1" applyAlignment="1">
      <alignment horizontal="center"/>
    </xf>
    <xf numFmtId="0" fontId="0" fillId="0" borderId="60" xfId="0" applyBorder="1" applyAlignment="1">
      <alignment horizontal="center"/>
    </xf>
    <xf numFmtId="0" fontId="0" fillId="14" borderId="61" xfId="0" applyFill="1" applyBorder="1" applyAlignment="1">
      <alignment horizontal="center"/>
    </xf>
    <xf numFmtId="0" fontId="0" fillId="14" borderId="51" xfId="0" applyFill="1" applyBorder="1" applyAlignment="1">
      <alignment horizontal="center"/>
    </xf>
    <xf numFmtId="0" fontId="0" fillId="0" borderId="38" xfId="0" applyBorder="1" applyAlignment="1">
      <alignment horizontal="center" vertical="center"/>
    </xf>
    <xf numFmtId="2" fontId="0" fillId="0" borderId="38" xfId="0" applyNumberFormat="1" applyBorder="1"/>
    <xf numFmtId="0" fontId="0" fillId="4" borderId="21" xfId="3" applyFont="1" applyBorder="1" applyAlignment="1">
      <alignment horizontal="center"/>
    </xf>
    <xf numFmtId="0" fontId="0" fillId="0" borderId="61" xfId="0" applyBorder="1" applyAlignment="1">
      <alignment horizontal="center"/>
    </xf>
    <xf numFmtId="0" fontId="0" fillId="0" borderId="51" xfId="0" applyBorder="1" applyAlignment="1">
      <alignment horizontal="center"/>
    </xf>
    <xf numFmtId="0" fontId="4" fillId="5" borderId="17" xfId="0" applyFont="1" applyFill="1" applyBorder="1" applyAlignment="1">
      <alignment horizontal="center"/>
    </xf>
    <xf numFmtId="0" fontId="1" fillId="4" borderId="17" xfId="3" applyBorder="1" applyAlignment="1">
      <alignment horizontal="center"/>
    </xf>
    <xf numFmtId="0" fontId="4" fillId="5" borderId="24" xfId="0" applyFont="1" applyFill="1" applyBorder="1" applyAlignment="1">
      <alignment horizontal="center"/>
    </xf>
    <xf numFmtId="0" fontId="0" fillId="3" borderId="2" xfId="2" applyFont="1" applyAlignment="1" applyProtection="1">
      <alignment horizontal="left"/>
      <protection locked="0"/>
    </xf>
    <xf numFmtId="0" fontId="0" fillId="0" borderId="12" xfId="0" applyBorder="1" applyProtection="1">
      <protection locked="0"/>
    </xf>
    <xf numFmtId="0" fontId="0" fillId="0" borderId="15" xfId="0" applyBorder="1" applyProtection="1">
      <protection locked="0"/>
    </xf>
    <xf numFmtId="0" fontId="1" fillId="4" borderId="3" xfId="3" applyBorder="1" applyAlignment="1" applyProtection="1">
      <alignment horizontal="center"/>
      <protection locked="0"/>
    </xf>
    <xf numFmtId="0" fontId="4" fillId="2" borderId="3" xfId="1" applyFont="1" applyBorder="1" applyAlignment="1" applyProtection="1">
      <alignment horizontal="center"/>
      <protection locked="0"/>
    </xf>
    <xf numFmtId="166" fontId="4" fillId="2" borderId="3" xfId="1" applyNumberFormat="1" applyFont="1" applyBorder="1" applyAlignment="1" applyProtection="1">
      <alignment horizontal="center"/>
      <protection locked="0"/>
    </xf>
    <xf numFmtId="0" fontId="0" fillId="0" borderId="3" xfId="0" applyBorder="1" applyAlignment="1" applyProtection="1">
      <alignment horizontal="left"/>
      <protection locked="0"/>
    </xf>
    <xf numFmtId="2" fontId="0" fillId="0" borderId="3" xfId="0" applyNumberFormat="1" applyBorder="1" applyAlignment="1" applyProtection="1">
      <alignment horizontal="center"/>
      <protection locked="0"/>
    </xf>
    <xf numFmtId="0" fontId="0" fillId="0" borderId="3" xfId="0" applyBorder="1" applyAlignment="1" applyProtection="1">
      <alignment horizontal="center"/>
      <protection locked="0"/>
    </xf>
    <xf numFmtId="0" fontId="1" fillId="5" borderId="3" xfId="3" applyFill="1" applyBorder="1" applyAlignment="1" applyProtection="1">
      <alignment horizontal="center"/>
    </xf>
    <xf numFmtId="0" fontId="4" fillId="3" borderId="3" xfId="2" applyFont="1" applyBorder="1" applyAlignment="1" applyProtection="1">
      <alignment horizontal="center"/>
      <protection locked="0"/>
    </xf>
    <xf numFmtId="0" fontId="0" fillId="0" borderId="0" xfId="0" applyAlignment="1" applyProtection="1">
      <alignment horizontal="center"/>
      <protection locked="0"/>
    </xf>
    <xf numFmtId="2" fontId="0" fillId="0" borderId="16" xfId="0" applyNumberFormat="1" applyBorder="1" applyAlignment="1" applyProtection="1">
      <alignment horizontal="center"/>
      <protection locked="0"/>
    </xf>
    <xf numFmtId="0" fontId="0" fillId="0" borderId="0" xfId="0" applyProtection="1">
      <protection locked="0"/>
    </xf>
    <xf numFmtId="0" fontId="0" fillId="0" borderId="16" xfId="0" applyBorder="1" applyProtection="1">
      <protection locked="0"/>
    </xf>
    <xf numFmtId="0" fontId="0" fillId="0" borderId="52" xfId="0" applyBorder="1" applyProtection="1">
      <protection locked="0"/>
    </xf>
    <xf numFmtId="0" fontId="0" fillId="0" borderId="52" xfId="0" applyBorder="1" applyAlignment="1" applyProtection="1">
      <alignment horizontal="center"/>
      <protection locked="0"/>
    </xf>
    <xf numFmtId="0" fontId="0" fillId="0" borderId="22" xfId="0" applyBorder="1" applyProtection="1">
      <protection locked="0"/>
    </xf>
    <xf numFmtId="0" fontId="4" fillId="0" borderId="30" xfId="0" applyFont="1" applyBorder="1"/>
    <xf numFmtId="0" fontId="4" fillId="0" borderId="11" xfId="0" applyFont="1" applyBorder="1"/>
    <xf numFmtId="165" fontId="4" fillId="6" borderId="28" xfId="4" applyNumberFormat="1" applyFont="1" applyBorder="1" applyAlignment="1">
      <alignment horizontal="center" vertical="top"/>
    </xf>
    <xf numFmtId="165" fontId="4" fillId="6" borderId="12" xfId="4" applyNumberFormat="1" applyFont="1" applyBorder="1" applyAlignment="1">
      <alignment horizontal="center"/>
    </xf>
    <xf numFmtId="164" fontId="4" fillId="6" borderId="12" xfId="4" applyNumberFormat="1" applyFont="1" applyBorder="1" applyAlignment="1">
      <alignment horizontal="center"/>
    </xf>
    <xf numFmtId="0" fontId="4" fillId="0" borderId="13" xfId="0" applyFont="1" applyBorder="1"/>
    <xf numFmtId="164" fontId="4" fillId="6" borderId="15" xfId="4" applyNumberFormat="1" applyFont="1" applyBorder="1" applyAlignment="1">
      <alignment horizontal="center"/>
    </xf>
    <xf numFmtId="0" fontId="4" fillId="6" borderId="63" xfId="4" applyFont="1" applyBorder="1" applyAlignment="1">
      <alignment horizontal="left"/>
    </xf>
    <xf numFmtId="0" fontId="4" fillId="6" borderId="64" xfId="4" applyFont="1" applyBorder="1" applyAlignment="1">
      <alignment horizontal="left"/>
    </xf>
    <xf numFmtId="0" fontId="4" fillId="0" borderId="8" xfId="0" applyFont="1" applyBorder="1" applyAlignment="1" applyProtection="1">
      <alignment horizontal="left"/>
      <protection locked="0"/>
    </xf>
    <xf numFmtId="0" fontId="4" fillId="0" borderId="9" xfId="0" applyFont="1" applyBorder="1" applyAlignment="1" applyProtection="1">
      <alignment horizontal="left"/>
      <protection locked="0"/>
    </xf>
    <xf numFmtId="0" fontId="4" fillId="0" borderId="11" xfId="0" applyFont="1" applyBorder="1" applyAlignment="1" applyProtection="1">
      <alignment horizontal="left"/>
      <protection locked="0"/>
    </xf>
    <xf numFmtId="0" fontId="4" fillId="0" borderId="3" xfId="0" applyFont="1" applyBorder="1" applyAlignment="1" applyProtection="1">
      <alignment horizontal="left"/>
      <protection locked="0"/>
    </xf>
    <xf numFmtId="0" fontId="4" fillId="0" borderId="13" xfId="0" applyFont="1" applyBorder="1" applyAlignment="1" applyProtection="1">
      <alignment horizontal="left"/>
      <protection locked="0"/>
    </xf>
    <xf numFmtId="0" fontId="4" fillId="0" borderId="14" xfId="0" applyFont="1" applyBorder="1" applyAlignment="1" applyProtection="1">
      <alignment horizontal="left"/>
      <protection locked="0"/>
    </xf>
    <xf numFmtId="166" fontId="4" fillId="2" borderId="12" xfId="1" applyNumberFormat="1" applyFont="1" applyBorder="1" applyAlignment="1" applyProtection="1">
      <alignment horizontal="center"/>
      <protection locked="0"/>
    </xf>
    <xf numFmtId="2" fontId="4" fillId="2" borderId="12" xfId="1" applyNumberFormat="1" applyFont="1" applyBorder="1" applyAlignment="1" applyProtection="1">
      <alignment horizontal="center"/>
      <protection locked="0"/>
    </xf>
    <xf numFmtId="0" fontId="0" fillId="0" borderId="16" xfId="0" applyBorder="1" applyAlignment="1" applyProtection="1">
      <alignment horizontal="center" vertical="center"/>
      <protection locked="0"/>
    </xf>
    <xf numFmtId="0" fontId="0" fillId="0" borderId="22" xfId="0" applyBorder="1" applyAlignment="1" applyProtection="1">
      <alignment horizontal="center" vertical="center"/>
      <protection locked="0"/>
    </xf>
    <xf numFmtId="0" fontId="0" fillId="14" borderId="56" xfId="0" applyFill="1" applyBorder="1" applyAlignment="1">
      <alignment horizontal="center" vertical="center"/>
    </xf>
    <xf numFmtId="1" fontId="0" fillId="0" borderId="57" xfId="0" applyNumberFormat="1" applyBorder="1" applyAlignment="1" applyProtection="1">
      <alignment horizontal="center"/>
      <protection locked="0"/>
    </xf>
    <xf numFmtId="164" fontId="0" fillId="0" borderId="57" xfId="0" applyNumberFormat="1" applyBorder="1" applyAlignment="1" applyProtection="1">
      <alignment horizontal="center"/>
      <protection locked="0"/>
    </xf>
    <xf numFmtId="0" fontId="18" fillId="9" borderId="43" xfId="7" applyBorder="1" applyAlignment="1" applyProtection="1">
      <alignment horizontal="center" vertical="center"/>
    </xf>
    <xf numFmtId="0" fontId="1" fillId="11" borderId="17" xfId="1" applyFont="1" applyFill="1" applyBorder="1" applyAlignment="1" applyProtection="1">
      <alignment horizontal="center"/>
    </xf>
    <xf numFmtId="0" fontId="18" fillId="9" borderId="45" xfId="7" applyBorder="1" applyAlignment="1" applyProtection="1">
      <alignment horizontal="center" vertical="center"/>
    </xf>
    <xf numFmtId="0" fontId="1" fillId="11" borderId="24" xfId="1" applyFont="1" applyFill="1" applyBorder="1" applyAlignment="1" applyProtection="1">
      <alignment horizontal="center"/>
    </xf>
    <xf numFmtId="0" fontId="0" fillId="0" borderId="56" xfId="0" applyBorder="1" applyAlignment="1">
      <alignment horizontal="center"/>
    </xf>
    <xf numFmtId="0" fontId="0" fillId="16" borderId="43" xfId="10" applyFont="1" applyBorder="1" applyAlignment="1" applyProtection="1">
      <alignment horizontal="center"/>
    </xf>
    <xf numFmtId="0" fontId="1" fillId="16" borderId="45" xfId="10" applyBorder="1" applyAlignment="1" applyProtection="1">
      <alignment horizontal="center"/>
    </xf>
    <xf numFmtId="0" fontId="0" fillId="3" borderId="14" xfId="2" applyFont="1" applyBorder="1" applyAlignment="1" applyProtection="1">
      <alignment horizontal="center"/>
    </xf>
    <xf numFmtId="0" fontId="19" fillId="3" borderId="14" xfId="2" applyFont="1" applyBorder="1" applyAlignment="1" applyProtection="1">
      <alignment horizontal="center"/>
    </xf>
    <xf numFmtId="0" fontId="0" fillId="11" borderId="14" xfId="0" applyFill="1" applyBorder="1" applyAlignment="1">
      <alignment horizontal="center"/>
    </xf>
    <xf numFmtId="0" fontId="1" fillId="4" borderId="14" xfId="3" applyBorder="1" applyAlignment="1" applyProtection="1">
      <alignment horizontal="center"/>
    </xf>
    <xf numFmtId="0" fontId="0" fillId="3" borderId="15" xfId="2" applyFont="1" applyBorder="1" applyAlignment="1" applyProtection="1">
      <alignment horizontal="center"/>
    </xf>
    <xf numFmtId="1" fontId="0" fillId="0" borderId="55" xfId="0" applyNumberFormat="1" applyBorder="1" applyAlignment="1">
      <alignment horizontal="center"/>
    </xf>
    <xf numFmtId="0" fontId="0" fillId="14" borderId="48" xfId="0" applyFill="1" applyBorder="1" applyAlignment="1">
      <alignment horizontal="center"/>
    </xf>
    <xf numFmtId="0" fontId="0" fillId="14" borderId="57" xfId="0" applyFill="1" applyBorder="1" applyAlignment="1">
      <alignment horizontal="center"/>
    </xf>
    <xf numFmtId="0" fontId="0" fillId="0" borderId="16" xfId="0" applyBorder="1" applyAlignment="1">
      <alignment horizontal="center" vertical="center"/>
    </xf>
    <xf numFmtId="1" fontId="22" fillId="5" borderId="29" xfId="0" applyNumberFormat="1" applyFont="1" applyFill="1" applyBorder="1" applyAlignment="1">
      <alignment horizontal="center"/>
    </xf>
    <xf numFmtId="2" fontId="22" fillId="5" borderId="0" xfId="0" applyNumberFormat="1" applyFont="1" applyFill="1" applyAlignment="1">
      <alignment horizontal="center"/>
    </xf>
    <xf numFmtId="2" fontId="0" fillId="0" borderId="54" xfId="0" applyNumberFormat="1" applyBorder="1" applyAlignment="1">
      <alignment horizontal="center"/>
    </xf>
    <xf numFmtId="1" fontId="0" fillId="0" borderId="0" xfId="0" applyNumberFormat="1" applyAlignment="1">
      <alignment horizontal="center"/>
    </xf>
    <xf numFmtId="0" fontId="0" fillId="14" borderId="26" xfId="0" applyFill="1" applyBorder="1" applyAlignment="1">
      <alignment horizontal="center"/>
    </xf>
    <xf numFmtId="2" fontId="0" fillId="14" borderId="26" xfId="0" applyNumberFormat="1" applyFill="1" applyBorder="1" applyAlignment="1">
      <alignment horizontal="center"/>
    </xf>
    <xf numFmtId="2" fontId="0" fillId="5" borderId="16" xfId="0" applyNumberFormat="1" applyFill="1" applyBorder="1" applyAlignment="1">
      <alignment horizontal="center"/>
    </xf>
    <xf numFmtId="1" fontId="22" fillId="5" borderId="36" xfId="0" applyNumberFormat="1" applyFont="1" applyFill="1" applyBorder="1" applyAlignment="1">
      <alignment horizontal="center"/>
    </xf>
    <xf numFmtId="2" fontId="22" fillId="5" borderId="52" xfId="0" applyNumberFormat="1" applyFont="1" applyFill="1" applyBorder="1" applyAlignment="1">
      <alignment horizontal="center"/>
    </xf>
    <xf numFmtId="2" fontId="0" fillId="0" borderId="44" xfId="0" applyNumberFormat="1" applyBorder="1" applyAlignment="1">
      <alignment horizontal="center"/>
    </xf>
    <xf numFmtId="1" fontId="0" fillId="0" borderId="52" xfId="0" applyNumberFormat="1" applyBorder="1" applyAlignment="1">
      <alignment horizontal="center"/>
    </xf>
    <xf numFmtId="0" fontId="0" fillId="14" borderId="24" xfId="0" applyFill="1" applyBorder="1" applyAlignment="1">
      <alignment horizontal="center"/>
    </xf>
    <xf numFmtId="2" fontId="0" fillId="14" borderId="24" xfId="0" applyNumberFormat="1" applyFill="1" applyBorder="1" applyAlignment="1">
      <alignment horizontal="center"/>
    </xf>
    <xf numFmtId="2" fontId="0" fillId="5" borderId="22" xfId="0" applyNumberFormat="1" applyFill="1" applyBorder="1" applyAlignment="1">
      <alignment horizontal="center"/>
    </xf>
    <xf numFmtId="2" fontId="0" fillId="0" borderId="57" xfId="0" applyNumberFormat="1" applyBorder="1" applyAlignment="1" applyProtection="1">
      <alignment horizontal="center"/>
      <protection locked="0"/>
    </xf>
    <xf numFmtId="0" fontId="11" fillId="0" borderId="52" xfId="0" applyFont="1" applyBorder="1" applyAlignment="1">
      <alignment horizontal="right"/>
    </xf>
    <xf numFmtId="0" fontId="11" fillId="0" borderId="52" xfId="0" applyFont="1" applyBorder="1"/>
    <xf numFmtId="0" fontId="21" fillId="0" borderId="0" xfId="0" applyFont="1" applyProtection="1">
      <protection locked="0"/>
    </xf>
    <xf numFmtId="0" fontId="9" fillId="0" borderId="0" xfId="0" applyFont="1" applyProtection="1">
      <protection locked="0"/>
    </xf>
    <xf numFmtId="1" fontId="22" fillId="5" borderId="0" xfId="0" applyNumberFormat="1" applyFont="1" applyFill="1" applyAlignment="1">
      <alignment horizontal="center"/>
    </xf>
    <xf numFmtId="0" fontId="19" fillId="11" borderId="17" xfId="1" applyFont="1" applyFill="1" applyBorder="1" applyAlignment="1" applyProtection="1">
      <alignment horizontal="center"/>
    </xf>
    <xf numFmtId="0" fontId="1" fillId="10" borderId="36" xfId="8" applyBorder="1" applyAlignment="1" applyProtection="1">
      <alignment horizontal="center"/>
    </xf>
    <xf numFmtId="0" fontId="0" fillId="10" borderId="35" xfId="8" applyFont="1" applyBorder="1" applyAlignment="1" applyProtection="1">
      <alignment horizontal="center"/>
    </xf>
    <xf numFmtId="0" fontId="0" fillId="18" borderId="17" xfId="8" applyFont="1" applyFill="1" applyBorder="1" applyAlignment="1" applyProtection="1">
      <alignment horizontal="center"/>
    </xf>
    <xf numFmtId="0" fontId="0" fillId="18" borderId="24" xfId="8" applyFont="1" applyFill="1" applyBorder="1" applyAlignment="1" applyProtection="1">
      <alignment horizontal="center"/>
    </xf>
    <xf numFmtId="0" fontId="1" fillId="18" borderId="17" xfId="11" applyFill="1" applyBorder="1" applyAlignment="1">
      <alignment horizontal="center"/>
    </xf>
    <xf numFmtId="0" fontId="1" fillId="18" borderId="24" xfId="11" applyFill="1" applyBorder="1" applyAlignment="1">
      <alignment horizontal="center"/>
    </xf>
    <xf numFmtId="0" fontId="4" fillId="2" borderId="65" xfId="1" applyFont="1" applyBorder="1" applyAlignment="1" applyProtection="1">
      <alignment horizontal="center"/>
      <protection locked="0"/>
    </xf>
    <xf numFmtId="1" fontId="0" fillId="0" borderId="49" xfId="0" applyNumberFormat="1" applyBorder="1" applyAlignment="1" applyProtection="1">
      <alignment horizontal="center"/>
      <protection locked="0"/>
    </xf>
    <xf numFmtId="0" fontId="0" fillId="18" borderId="14" xfId="5" applyFont="1" applyFill="1" applyBorder="1" applyAlignment="1" applyProtection="1">
      <alignment horizontal="center"/>
    </xf>
    <xf numFmtId="0" fontId="0" fillId="18" borderId="14" xfId="0" applyFill="1" applyBorder="1" applyAlignment="1">
      <alignment horizontal="center"/>
    </xf>
    <xf numFmtId="0" fontId="0" fillId="3" borderId="66" xfId="2" applyFont="1" applyBorder="1" applyAlignment="1" applyProtection="1">
      <alignment horizontal="center"/>
    </xf>
    <xf numFmtId="164" fontId="0" fillId="5" borderId="0" xfId="0" applyNumberFormat="1" applyFill="1" applyAlignment="1">
      <alignment horizontal="center"/>
    </xf>
    <xf numFmtId="164" fontId="0" fillId="5" borderId="52" xfId="0" applyNumberFormat="1" applyFill="1" applyBorder="1" applyAlignment="1">
      <alignment horizontal="center"/>
    </xf>
    <xf numFmtId="2" fontId="0" fillId="0" borderId="49" xfId="0" applyNumberFormat="1" applyBorder="1" applyAlignment="1" applyProtection="1">
      <alignment horizontal="center"/>
      <protection locked="0"/>
    </xf>
    <xf numFmtId="2" fontId="0" fillId="0" borderId="68" xfId="0" applyNumberFormat="1" applyBorder="1" applyAlignment="1">
      <alignment horizontal="center"/>
    </xf>
    <xf numFmtId="0" fontId="0" fillId="0" borderId="54" xfId="0" applyBorder="1" applyAlignment="1" applyProtection="1">
      <alignment horizontal="center"/>
      <protection locked="0"/>
    </xf>
    <xf numFmtId="2" fontId="0" fillId="0" borderId="69" xfId="0" applyNumberFormat="1" applyBorder="1" applyAlignment="1">
      <alignment horizontal="center"/>
    </xf>
    <xf numFmtId="2" fontId="0" fillId="14" borderId="67" xfId="0" applyNumberFormat="1" applyFill="1" applyBorder="1" applyAlignment="1">
      <alignment horizontal="center"/>
    </xf>
    <xf numFmtId="0" fontId="0" fillId="2" borderId="59" xfId="1" applyFont="1" applyBorder="1" applyAlignment="1" applyProtection="1">
      <alignment horizontal="center"/>
    </xf>
    <xf numFmtId="2" fontId="0" fillId="5" borderId="69" xfId="0" applyNumberFormat="1" applyFill="1" applyBorder="1" applyAlignment="1">
      <alignment horizontal="center"/>
    </xf>
    <xf numFmtId="0" fontId="11" fillId="0" borderId="0" xfId="0" applyFont="1" applyAlignment="1" applyProtection="1">
      <alignment horizontal="center"/>
      <protection locked="0"/>
    </xf>
    <xf numFmtId="0" fontId="11" fillId="0" borderId="0" xfId="0" applyFont="1" applyAlignment="1">
      <alignment horizontal="center"/>
    </xf>
    <xf numFmtId="0" fontId="0" fillId="0" borderId="52" xfId="0" applyBorder="1" applyAlignment="1">
      <alignment horizontal="center"/>
    </xf>
    <xf numFmtId="0" fontId="25" fillId="0" borderId="0" xfId="0" applyFont="1" applyAlignment="1">
      <alignment horizontal="center"/>
    </xf>
    <xf numFmtId="0" fontId="24" fillId="0" borderId="0" xfId="0" applyFont="1" applyAlignment="1" applyProtection="1">
      <alignment horizontal="center"/>
      <protection locked="0"/>
    </xf>
    <xf numFmtId="0" fontId="23" fillId="0" borderId="0" xfId="0" applyFont="1" applyAlignment="1" applyProtection="1">
      <alignment horizontal="center"/>
      <protection locked="0"/>
    </xf>
    <xf numFmtId="0" fontId="8" fillId="6" borderId="32" xfId="4" applyBorder="1" applyAlignment="1">
      <alignment horizontal="center"/>
    </xf>
    <xf numFmtId="0" fontId="8" fillId="6" borderId="33" xfId="4" applyBorder="1" applyAlignment="1">
      <alignment horizontal="center"/>
    </xf>
    <xf numFmtId="0" fontId="8" fillId="6" borderId="34" xfId="4" applyBorder="1" applyAlignment="1">
      <alignment horizontal="center"/>
    </xf>
    <xf numFmtId="0" fontId="8" fillId="6" borderId="3" xfId="4" applyBorder="1" applyAlignment="1">
      <alignment horizontal="center"/>
    </xf>
    <xf numFmtId="0" fontId="6" fillId="0" borderId="0" xfId="0" applyFont="1" applyAlignment="1">
      <alignment horizontal="left" vertical="center"/>
    </xf>
    <xf numFmtId="0" fontId="0" fillId="0" borderId="55" xfId="0" applyBorder="1" applyAlignment="1">
      <alignment horizontal="center"/>
    </xf>
    <xf numFmtId="0" fontId="0" fillId="0" borderId="56" xfId="0" applyBorder="1" applyAlignment="1">
      <alignment horizontal="center"/>
    </xf>
    <xf numFmtId="0" fontId="18" fillId="9" borderId="60" xfId="7" applyBorder="1" applyAlignment="1">
      <alignment horizontal="center" vertical="center"/>
    </xf>
    <xf numFmtId="0" fontId="18" fillId="9" borderId="62" xfId="7" applyBorder="1" applyAlignment="1">
      <alignment horizontal="center" vertical="center"/>
    </xf>
    <xf numFmtId="0" fontId="4" fillId="3" borderId="25" xfId="2" applyFont="1" applyBorder="1" applyAlignment="1">
      <alignment horizontal="center" vertical="center"/>
    </xf>
    <xf numFmtId="0" fontId="4" fillId="3" borderId="37" xfId="2" applyFont="1" applyBorder="1" applyAlignment="1">
      <alignment horizontal="center" vertical="center"/>
    </xf>
    <xf numFmtId="0" fontId="4" fillId="5" borderId="17" xfId="0" applyFont="1" applyFill="1" applyBorder="1" applyAlignment="1">
      <alignment horizontal="center" vertical="center"/>
    </xf>
    <xf numFmtId="0" fontId="4" fillId="5" borderId="24" xfId="0" applyFont="1" applyFill="1" applyBorder="1" applyAlignment="1">
      <alignment horizontal="center" vertical="center"/>
    </xf>
    <xf numFmtId="0" fontId="4" fillId="2" borderId="43" xfId="1" applyFont="1" applyBorder="1" applyAlignment="1">
      <alignment horizontal="center" vertical="center"/>
    </xf>
    <xf numFmtId="0" fontId="4" fillId="2" borderId="45" xfId="1" applyFont="1" applyBorder="1" applyAlignment="1">
      <alignment horizontal="center" vertical="center"/>
    </xf>
    <xf numFmtId="2" fontId="0" fillId="15" borderId="46" xfId="0" applyNumberFormat="1" applyFill="1" applyBorder="1" applyAlignment="1">
      <alignment horizontal="center"/>
    </xf>
    <xf numFmtId="2" fontId="0" fillId="15" borderId="27" xfId="0" applyNumberFormat="1" applyFill="1" applyBorder="1" applyAlignment="1">
      <alignment horizontal="center"/>
    </xf>
    <xf numFmtId="0" fontId="18" fillId="9" borderId="30" xfId="7" applyBorder="1" applyAlignment="1">
      <alignment horizontal="center" vertical="center"/>
    </xf>
    <xf numFmtId="0" fontId="18" fillId="9" borderId="13" xfId="7" applyBorder="1" applyAlignment="1">
      <alignment horizontal="center" vertical="center"/>
    </xf>
    <xf numFmtId="0" fontId="18" fillId="9" borderId="50" xfId="7" applyBorder="1" applyAlignment="1">
      <alignment horizontal="center" vertical="center"/>
    </xf>
    <xf numFmtId="0" fontId="18" fillId="9" borderId="51" xfId="7" applyBorder="1" applyAlignment="1">
      <alignment horizontal="center" vertical="center"/>
    </xf>
    <xf numFmtId="0" fontId="0" fillId="3" borderId="42" xfId="2" applyFont="1" applyBorder="1" applyAlignment="1">
      <alignment horizontal="center" vertical="center"/>
    </xf>
    <xf numFmtId="0" fontId="0" fillId="3" borderId="25" xfId="2" applyFont="1" applyBorder="1" applyAlignment="1">
      <alignment horizontal="center" vertical="center"/>
    </xf>
    <xf numFmtId="2" fontId="4" fillId="2" borderId="41" xfId="1" applyNumberFormat="1" applyFont="1" applyBorder="1" applyAlignment="1">
      <alignment horizontal="center" vertical="center"/>
    </xf>
    <xf numFmtId="2" fontId="4" fillId="2" borderId="23" xfId="1" applyNumberFormat="1" applyFont="1" applyBorder="1" applyAlignment="1">
      <alignment horizontal="center" vertical="center"/>
    </xf>
    <xf numFmtId="0" fontId="0" fillId="0" borderId="46" xfId="0" applyBorder="1" applyAlignment="1">
      <alignment horizontal="center"/>
    </xf>
    <xf numFmtId="0" fontId="0" fillId="0" borderId="47" xfId="0" applyBorder="1" applyAlignment="1">
      <alignment horizontal="center"/>
    </xf>
    <xf numFmtId="0" fontId="0" fillId="0" borderId="27" xfId="0" applyBorder="1" applyAlignment="1">
      <alignment horizontal="center"/>
    </xf>
    <xf numFmtId="0" fontId="1" fillId="13" borderId="48" xfId="9" applyBorder="1" applyAlignment="1">
      <alignment horizontal="center"/>
    </xf>
    <xf numFmtId="0" fontId="1" fillId="13" borderId="49" xfId="9" applyBorder="1" applyAlignment="1">
      <alignment horizontal="center"/>
    </xf>
    <xf numFmtId="0" fontId="0" fillId="0" borderId="46" xfId="0" quotePrefix="1" applyBorder="1" applyAlignment="1">
      <alignment horizontal="center"/>
    </xf>
    <xf numFmtId="0" fontId="0" fillId="0" borderId="47" xfId="0" quotePrefix="1" applyBorder="1" applyAlignment="1">
      <alignment horizontal="center"/>
    </xf>
    <xf numFmtId="0" fontId="0" fillId="0" borderId="38" xfId="0" applyBorder="1" applyAlignment="1">
      <alignment horizontal="center"/>
    </xf>
    <xf numFmtId="0" fontId="0" fillId="0" borderId="21" xfId="0" applyBorder="1" applyAlignment="1">
      <alignment horizontal="center"/>
    </xf>
    <xf numFmtId="0" fontId="4" fillId="8" borderId="17" xfId="6" applyFont="1" applyBorder="1" applyAlignment="1" applyProtection="1">
      <alignment horizontal="center" vertical="center"/>
    </xf>
    <xf numFmtId="0" fontId="4" fillId="8" borderId="24" xfId="6" applyFont="1" applyBorder="1" applyAlignment="1" applyProtection="1">
      <alignment horizontal="center" vertical="center"/>
    </xf>
    <xf numFmtId="0" fontId="0" fillId="13" borderId="53" xfId="9" applyFont="1" applyBorder="1" applyAlignment="1" applyProtection="1">
      <alignment horizontal="center"/>
    </xf>
    <xf numFmtId="0" fontId="1" fillId="13" borderId="53" xfId="9" applyBorder="1" applyAlignment="1" applyProtection="1">
      <alignment horizontal="center"/>
    </xf>
    <xf numFmtId="0" fontId="0" fillId="12" borderId="14" xfId="5" applyFont="1" applyFill="1" applyBorder="1" applyAlignment="1" applyProtection="1">
      <alignment horizontal="center"/>
    </xf>
    <xf numFmtId="0" fontId="18" fillId="9" borderId="30" xfId="7" applyBorder="1" applyAlignment="1" applyProtection="1">
      <alignment horizontal="center" vertical="center"/>
    </xf>
    <xf numFmtId="0" fontId="18" fillId="9" borderId="13" xfId="7" applyBorder="1" applyAlignment="1" applyProtection="1">
      <alignment horizontal="center" vertical="center"/>
    </xf>
    <xf numFmtId="2" fontId="1" fillId="14" borderId="25" xfId="1" applyNumberFormat="1" applyFont="1" applyFill="1" applyBorder="1" applyAlignment="1" applyProtection="1">
      <alignment horizontal="center" vertical="center"/>
    </xf>
    <xf numFmtId="2" fontId="1" fillId="14" borderId="37" xfId="1" applyNumberFormat="1" applyFont="1" applyFill="1" applyBorder="1" applyAlignment="1" applyProtection="1">
      <alignment horizontal="center" vertical="center"/>
    </xf>
    <xf numFmtId="0" fontId="0" fillId="13" borderId="48" xfId="9" applyFont="1" applyBorder="1" applyAlignment="1" applyProtection="1">
      <alignment horizontal="center"/>
    </xf>
    <xf numFmtId="0" fontId="0" fillId="13" borderId="57" xfId="9" applyFont="1" applyBorder="1" applyAlignment="1" applyProtection="1">
      <alignment horizontal="center"/>
    </xf>
    <xf numFmtId="0" fontId="0" fillId="13" borderId="49" xfId="9" applyFont="1" applyBorder="1" applyAlignment="1" applyProtection="1">
      <alignment horizontal="center"/>
    </xf>
    <xf numFmtId="0" fontId="0" fillId="13" borderId="56" xfId="9" applyFont="1" applyBorder="1" applyAlignment="1" applyProtection="1">
      <alignment horizontal="center"/>
    </xf>
    <xf numFmtId="0" fontId="0" fillId="0" borderId="5" xfId="0" applyBorder="1" applyAlignment="1">
      <alignment horizontal="center"/>
    </xf>
    <xf numFmtId="0" fontId="0" fillId="0" borderId="7" xfId="0" applyBorder="1" applyAlignment="1">
      <alignment horizontal="center"/>
    </xf>
    <xf numFmtId="0" fontId="4" fillId="0" borderId="18" xfId="0" applyFont="1" applyBorder="1" applyAlignment="1">
      <alignment horizontal="center"/>
    </xf>
    <xf numFmtId="0" fontId="4" fillId="0" borderId="19" xfId="0" applyFont="1" applyBorder="1" applyAlignment="1">
      <alignment horizontal="center"/>
    </xf>
    <xf numFmtId="0" fontId="4" fillId="0" borderId="20" xfId="0" applyFont="1" applyBorder="1" applyAlignment="1">
      <alignment horizontal="center"/>
    </xf>
  </cellXfs>
  <cellStyles count="12">
    <cellStyle name="20% - Accent5" xfId="9" builtinId="46"/>
    <cellStyle name="40% - Accent1" xfId="3" builtinId="31"/>
    <cellStyle name="40% - Accent3" xfId="10" builtinId="39"/>
    <cellStyle name="40% - Accent6" xfId="8" builtinId="51"/>
    <cellStyle name="60% - Accent2" xfId="11" builtinId="36"/>
    <cellStyle name="Accent5" xfId="7" builtinId="45"/>
    <cellStyle name="Bad" xfId="6" builtinId="27"/>
    <cellStyle name="Good" xfId="5" builtinId="26"/>
    <cellStyle name="Input" xfId="1" builtinId="20"/>
    <cellStyle name="Normal" xfId="0" builtinId="0"/>
    <cellStyle name="Note" xfId="2" builtinId="10"/>
    <cellStyle name="Output" xfId="4" builtinId="21"/>
  </cellStyles>
  <dxfs count="49">
    <dxf>
      <font>
        <color rgb="FF9C0006"/>
      </font>
      <fill>
        <patternFill>
          <bgColor rgb="FFFFC7CE"/>
        </patternFill>
      </fill>
    </dxf>
    <dxf>
      <font>
        <color theme="0" tint="-0.14996795556505021"/>
      </font>
      <fill>
        <patternFill>
          <bgColor theme="0" tint="-0.14996795556505021"/>
        </patternFill>
      </fill>
    </dxf>
    <dxf>
      <font>
        <color rgb="FF9C0006"/>
      </font>
      <fill>
        <patternFill>
          <bgColor rgb="FFFFC7CE"/>
        </patternFill>
      </fill>
    </dxf>
    <dxf>
      <font>
        <color theme="0" tint="-0.14996795556505021"/>
      </font>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theme="0" tint="-4.9989318521683403E-2"/>
      </font>
      <fill>
        <patternFill>
          <bgColor theme="0" tint="-4.9989318521683403E-2"/>
        </patternFill>
      </fill>
    </dxf>
    <dxf>
      <font>
        <color theme="0" tint="-0.14996795556505021"/>
      </font>
      <fill>
        <patternFill>
          <bgColor theme="0" tint="-0.14996795556505021"/>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rgb="FF9C0006"/>
      </font>
      <fill>
        <patternFill>
          <bgColor rgb="FFFFC7CE"/>
        </patternFill>
      </fill>
    </dxf>
    <dxf>
      <font>
        <color theme="0" tint="-4.9989318521683403E-2"/>
      </font>
      <fill>
        <patternFill>
          <bgColor theme="0" tint="-4.9989318521683403E-2"/>
        </patternFill>
      </fill>
    </dxf>
    <dxf>
      <font>
        <color rgb="FF9C0006"/>
      </font>
      <fill>
        <patternFill>
          <bgColor rgb="FFFFC7CE"/>
        </patternFill>
      </fill>
    </dxf>
    <dxf>
      <font>
        <color theme="0" tint="-4.9989318521683403E-2"/>
      </font>
      <fill>
        <patternFill>
          <bgColor theme="0" tint="-4.9989318521683403E-2"/>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theme="0" tint="-0.14996795556505021"/>
      </font>
      <fill>
        <patternFill>
          <bgColor theme="0" tint="-0.14996795556505021"/>
        </patternFill>
      </fill>
    </dxf>
    <dxf>
      <font>
        <color theme="0" tint="-0.14996795556505021"/>
      </font>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theme="0"/>
      </font>
    </dxf>
    <dxf>
      <font>
        <color theme="0"/>
      </font>
    </dxf>
    <dxf>
      <fill>
        <patternFill>
          <bgColor theme="9" tint="0.59996337778862885"/>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ill>
        <patternFill>
          <bgColor theme="0" tint="-0.14996795556505021"/>
        </patternFill>
      </fill>
    </dxf>
    <dxf>
      <fill>
        <patternFill>
          <bgColor rgb="FFFF5050"/>
        </patternFill>
      </fill>
    </dxf>
  </dxfs>
  <tableStyles count="0" defaultTableStyle="TableStyleMedium2" defaultPivotStyle="PivotStyleLight16"/>
  <colors>
    <mruColors>
      <color rgb="FFCC99FF"/>
      <color rgb="FFCC00FF"/>
      <color rgb="FFFF5050"/>
      <color rgb="FFFF7C80"/>
      <color rgb="FFFF0000"/>
      <color rgb="FF6699FF"/>
      <color rgb="FF66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xdr:col>
      <xdr:colOff>238645</xdr:colOff>
      <xdr:row>31</xdr:row>
      <xdr:rowOff>60615</xdr:rowOff>
    </xdr:from>
    <xdr:to>
      <xdr:col>3</xdr:col>
      <xdr:colOff>631323</xdr:colOff>
      <xdr:row>36</xdr:row>
      <xdr:rowOff>59077</xdr:rowOff>
    </xdr:to>
    <xdr:pic>
      <xdr:nvPicPr>
        <xdr:cNvPr id="2" name="Picture 1" descr="logo_color_tif.tif">
          <a:extLst>
            <a:ext uri="{FF2B5EF4-FFF2-40B4-BE49-F238E27FC236}">
              <a16:creationId xmlns:a16="http://schemas.microsoft.com/office/drawing/2014/main" id="{E12FE88E-5B74-4BD5-9747-0207E5BC8293}"/>
            </a:ext>
          </a:extLst>
        </xdr:cNvPr>
        <xdr:cNvPicPr>
          <a:picLocks noChangeAspect="1"/>
        </xdr:cNvPicPr>
      </xdr:nvPicPr>
      <xdr:blipFill>
        <a:blip xmlns:r="http://schemas.openxmlformats.org/officeDocument/2006/relationships" r:embed="rId1" cstate="print"/>
        <a:stretch>
          <a:fillRect/>
        </a:stretch>
      </xdr:blipFill>
      <xdr:spPr>
        <a:xfrm>
          <a:off x="2368781" y="6139297"/>
          <a:ext cx="1316257" cy="91719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121227</xdr:colOff>
      <xdr:row>0</xdr:row>
      <xdr:rowOff>86590</xdr:rowOff>
    </xdr:from>
    <xdr:to>
      <xdr:col>0</xdr:col>
      <xdr:colOff>1431769</xdr:colOff>
      <xdr:row>5</xdr:row>
      <xdr:rowOff>93191</xdr:rowOff>
    </xdr:to>
    <xdr:pic>
      <xdr:nvPicPr>
        <xdr:cNvPr id="2" name="Picture 1" descr="logo_color_tif.tif">
          <a:extLst>
            <a:ext uri="{FF2B5EF4-FFF2-40B4-BE49-F238E27FC236}">
              <a16:creationId xmlns:a16="http://schemas.microsoft.com/office/drawing/2014/main" id="{F718FDD7-82B3-4FA6-8D54-7FF3F512B28D}"/>
            </a:ext>
          </a:extLst>
        </xdr:cNvPr>
        <xdr:cNvPicPr>
          <a:picLocks noChangeAspect="1"/>
        </xdr:cNvPicPr>
      </xdr:nvPicPr>
      <xdr:blipFill>
        <a:blip xmlns:r="http://schemas.openxmlformats.org/officeDocument/2006/relationships" r:embed="rId1" cstate="print"/>
        <a:stretch>
          <a:fillRect/>
        </a:stretch>
      </xdr:blipFill>
      <xdr:spPr>
        <a:xfrm>
          <a:off x="121227" y="86590"/>
          <a:ext cx="1310542" cy="98196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9AB84-7DA6-415F-B727-28B7F4817978}">
  <dimension ref="A2:F52"/>
  <sheetViews>
    <sheetView view="pageBreakPreview" zoomScale="110" zoomScaleNormal="100" zoomScaleSheetLayoutView="110" workbookViewId="0">
      <selection activeCell="A10" sqref="A10:F10"/>
    </sheetView>
  </sheetViews>
  <sheetFormatPr defaultRowHeight="14.4" x14ac:dyDescent="0.3"/>
  <cols>
    <col min="1" max="1" width="21.109375" customWidth="1"/>
    <col min="2" max="2" width="10" customWidth="1"/>
    <col min="3" max="4" width="13.33203125" customWidth="1"/>
    <col min="5" max="5" width="10" customWidth="1"/>
    <col min="6" max="6" width="21.109375" customWidth="1"/>
    <col min="7" max="9" width="9.109375" customWidth="1"/>
  </cols>
  <sheetData>
    <row r="2" spans="1:6" ht="15" thickBot="1" x14ac:dyDescent="0.35">
      <c r="A2" s="248"/>
      <c r="B2" s="248"/>
      <c r="C2" s="248"/>
      <c r="D2" s="248"/>
      <c r="E2" s="248"/>
      <c r="F2" s="248"/>
    </row>
    <row r="6" spans="1:6" ht="31.2" x14ac:dyDescent="0.6">
      <c r="A6" s="249" t="s">
        <v>183</v>
      </c>
      <c r="B6" s="249"/>
      <c r="C6" s="249"/>
      <c r="D6" s="249"/>
      <c r="E6" s="249"/>
      <c r="F6" s="249"/>
    </row>
    <row r="7" spans="1:6" x14ac:dyDescent="0.3">
      <c r="A7" s="48"/>
      <c r="B7" s="46"/>
      <c r="C7" s="45"/>
      <c r="D7" s="45"/>
      <c r="E7" s="45"/>
      <c r="F7" s="45"/>
    </row>
    <row r="8" spans="1:6" x14ac:dyDescent="0.3">
      <c r="A8" s="247" t="s">
        <v>184</v>
      </c>
      <c r="B8" s="247"/>
      <c r="C8" s="247"/>
      <c r="D8" s="247"/>
      <c r="E8" s="247"/>
      <c r="F8" s="247"/>
    </row>
    <row r="9" spans="1:6" x14ac:dyDescent="0.3">
      <c r="A9" s="48"/>
      <c r="B9" s="46"/>
      <c r="C9" s="45"/>
      <c r="D9" s="45"/>
      <c r="E9" s="45"/>
      <c r="F9" s="45"/>
    </row>
    <row r="10" spans="1:6" ht="23.4" x14ac:dyDescent="0.45">
      <c r="A10" s="250" t="s">
        <v>185</v>
      </c>
      <c r="B10" s="250"/>
      <c r="C10" s="250"/>
      <c r="D10" s="250"/>
      <c r="E10" s="250"/>
      <c r="F10" s="250"/>
    </row>
    <row r="11" spans="1:6" x14ac:dyDescent="0.3">
      <c r="A11" s="45"/>
      <c r="B11" s="45"/>
      <c r="C11" s="45"/>
      <c r="D11" s="45"/>
      <c r="E11" s="45"/>
      <c r="F11" s="45"/>
    </row>
    <row r="12" spans="1:6" x14ac:dyDescent="0.3">
      <c r="A12" s="45"/>
      <c r="B12" s="45"/>
      <c r="C12" s="45"/>
      <c r="D12" s="45"/>
      <c r="E12" s="45"/>
      <c r="F12" s="45"/>
    </row>
    <row r="13" spans="1:6" ht="23.4" x14ac:dyDescent="0.45">
      <c r="A13" s="251" t="s">
        <v>186</v>
      </c>
      <c r="B13" s="251"/>
      <c r="C13" s="251"/>
      <c r="D13" s="251"/>
      <c r="E13" s="251"/>
      <c r="F13" s="251"/>
    </row>
    <row r="14" spans="1:6" x14ac:dyDescent="0.3">
      <c r="A14" s="48"/>
      <c r="B14" s="45"/>
      <c r="C14" s="45"/>
      <c r="D14" s="45"/>
      <c r="E14" s="45"/>
      <c r="F14" s="45"/>
    </row>
    <row r="15" spans="1:6" x14ac:dyDescent="0.3">
      <c r="A15" s="48"/>
      <c r="B15" s="45"/>
      <c r="C15" s="45"/>
      <c r="D15" s="45"/>
      <c r="E15" s="45"/>
      <c r="F15" s="45"/>
    </row>
    <row r="16" spans="1:6" x14ac:dyDescent="0.3">
      <c r="A16" s="246" t="s">
        <v>190</v>
      </c>
      <c r="B16" s="246"/>
      <c r="C16" s="246"/>
      <c r="D16" s="246"/>
      <c r="E16" s="246"/>
      <c r="F16" s="246"/>
    </row>
    <row r="17" spans="1:6" x14ac:dyDescent="0.3">
      <c r="A17" s="246" t="s">
        <v>191</v>
      </c>
      <c r="B17" s="246"/>
      <c r="C17" s="246"/>
      <c r="D17" s="246"/>
      <c r="E17" s="246"/>
      <c r="F17" s="246"/>
    </row>
    <row r="18" spans="1:6" x14ac:dyDescent="0.3">
      <c r="A18" s="48"/>
      <c r="B18" s="45"/>
      <c r="C18" s="45"/>
      <c r="D18" s="45"/>
      <c r="E18" s="45"/>
      <c r="F18" s="45"/>
    </row>
    <row r="19" spans="1:6" x14ac:dyDescent="0.3">
      <c r="A19" s="48"/>
      <c r="B19" s="45"/>
      <c r="C19" s="45"/>
      <c r="D19" s="45"/>
      <c r="E19" s="45"/>
      <c r="F19" s="45"/>
    </row>
    <row r="20" spans="1:6" x14ac:dyDescent="0.3">
      <c r="A20" s="45"/>
      <c r="B20" s="49"/>
      <c r="C20" s="45"/>
      <c r="D20" s="45"/>
      <c r="E20" s="45"/>
      <c r="F20" s="45"/>
    </row>
    <row r="21" spans="1:6" x14ac:dyDescent="0.3">
      <c r="A21" s="45"/>
      <c r="B21" s="49"/>
      <c r="C21" s="45"/>
      <c r="D21" s="45"/>
      <c r="E21" s="45"/>
      <c r="F21" s="45"/>
    </row>
    <row r="22" spans="1:6" x14ac:dyDescent="0.3">
      <c r="A22" s="45"/>
      <c r="B22" s="45"/>
      <c r="C22" s="45"/>
      <c r="D22" s="45"/>
      <c r="E22" s="45"/>
      <c r="F22" s="45"/>
    </row>
    <row r="23" spans="1:6" x14ac:dyDescent="0.3">
      <c r="A23" s="46"/>
      <c r="B23" s="46"/>
      <c r="C23" s="45"/>
      <c r="D23" s="45"/>
      <c r="E23" s="45"/>
      <c r="F23" s="45"/>
    </row>
    <row r="24" spans="1:6" x14ac:dyDescent="0.3">
      <c r="A24" s="45"/>
      <c r="B24" s="45"/>
      <c r="C24" s="45"/>
      <c r="D24" s="45"/>
      <c r="E24" s="45"/>
      <c r="F24" s="45"/>
    </row>
    <row r="25" spans="1:6" x14ac:dyDescent="0.3">
      <c r="A25" s="45"/>
      <c r="B25" s="46"/>
      <c r="C25" s="45"/>
      <c r="D25" s="45"/>
      <c r="E25" s="45"/>
      <c r="F25" s="45"/>
    </row>
    <row r="26" spans="1:6" x14ac:dyDescent="0.3">
      <c r="A26" s="45"/>
      <c r="B26" s="45"/>
      <c r="C26" s="45"/>
      <c r="D26" s="45"/>
      <c r="E26" s="45"/>
      <c r="F26" s="45"/>
    </row>
    <row r="27" spans="1:6" x14ac:dyDescent="0.3">
      <c r="A27" s="48"/>
      <c r="B27" s="46"/>
      <c r="C27" s="45"/>
      <c r="D27" s="45"/>
      <c r="E27" s="45"/>
      <c r="F27" s="45"/>
    </row>
    <row r="28" spans="1:6" x14ac:dyDescent="0.3">
      <c r="A28" s="48"/>
      <c r="B28" s="46"/>
      <c r="C28" s="45"/>
      <c r="D28" s="45"/>
      <c r="E28" s="45"/>
      <c r="F28" s="45"/>
    </row>
    <row r="29" spans="1:6" x14ac:dyDescent="0.3">
      <c r="A29" s="48"/>
      <c r="B29" s="46"/>
      <c r="C29" s="45"/>
      <c r="D29" s="45"/>
      <c r="E29" s="45"/>
      <c r="F29" s="45"/>
    </row>
    <row r="30" spans="1:6" x14ac:dyDescent="0.3">
      <c r="A30" s="48"/>
      <c r="B30" s="45"/>
      <c r="C30" s="45"/>
      <c r="D30" s="50"/>
      <c r="E30" s="45"/>
      <c r="F30" s="45"/>
    </row>
    <row r="31" spans="1:6" x14ac:dyDescent="0.3">
      <c r="A31" s="48"/>
      <c r="B31" s="46"/>
      <c r="C31" s="45"/>
      <c r="D31" s="45"/>
      <c r="E31" s="45"/>
      <c r="F31" s="45"/>
    </row>
    <row r="32" spans="1:6" x14ac:dyDescent="0.3">
      <c r="A32" s="48"/>
      <c r="B32" s="45"/>
      <c r="C32" s="45"/>
      <c r="D32" s="45"/>
      <c r="E32" s="45"/>
      <c r="F32" s="45"/>
    </row>
    <row r="33" spans="1:6" x14ac:dyDescent="0.3">
      <c r="A33" s="48"/>
      <c r="B33" s="45"/>
      <c r="C33" s="45"/>
      <c r="D33" s="45"/>
      <c r="E33" s="45"/>
      <c r="F33" s="45"/>
    </row>
    <row r="34" spans="1:6" x14ac:dyDescent="0.3">
      <c r="A34" s="48"/>
      <c r="B34" s="46"/>
      <c r="C34" s="45"/>
      <c r="D34" s="45"/>
      <c r="E34" s="45"/>
      <c r="F34" s="45"/>
    </row>
    <row r="35" spans="1:6" x14ac:dyDescent="0.3">
      <c r="A35" s="48"/>
      <c r="B35" s="46"/>
      <c r="C35" s="45"/>
      <c r="D35" s="45"/>
      <c r="E35" s="45"/>
      <c r="F35" s="45"/>
    </row>
    <row r="36" spans="1:6" x14ac:dyDescent="0.3">
      <c r="A36" s="45"/>
      <c r="B36" s="45"/>
      <c r="C36" s="45"/>
      <c r="D36" s="45"/>
      <c r="E36" s="45"/>
      <c r="F36" s="45"/>
    </row>
    <row r="37" spans="1:6" x14ac:dyDescent="0.3">
      <c r="A37" s="46"/>
      <c r="B37" s="46"/>
      <c r="C37" s="45"/>
      <c r="D37" s="45"/>
      <c r="E37" s="45"/>
      <c r="F37" s="45"/>
    </row>
    <row r="38" spans="1:6" x14ac:dyDescent="0.3">
      <c r="A38" s="247" t="s">
        <v>187</v>
      </c>
      <c r="B38" s="247"/>
      <c r="C38" s="247"/>
      <c r="D38" s="247"/>
      <c r="E38" s="247"/>
      <c r="F38" s="247"/>
    </row>
    <row r="39" spans="1:6" x14ac:dyDescent="0.3">
      <c r="A39" s="247" t="s">
        <v>188</v>
      </c>
      <c r="B39" s="247"/>
      <c r="C39" s="247"/>
      <c r="D39" s="247"/>
      <c r="E39" s="247"/>
      <c r="F39" s="247"/>
    </row>
    <row r="40" spans="1:6" x14ac:dyDescent="0.3">
      <c r="A40" s="247" t="s">
        <v>189</v>
      </c>
      <c r="B40" s="247"/>
      <c r="C40" s="247"/>
      <c r="D40" s="247"/>
      <c r="E40" s="247"/>
      <c r="F40" s="247"/>
    </row>
    <row r="41" spans="1:6" x14ac:dyDescent="0.3">
      <c r="A41" s="48"/>
      <c r="B41" s="45"/>
      <c r="C41" s="45"/>
      <c r="D41" s="45"/>
      <c r="E41" s="45"/>
      <c r="F41" s="45"/>
    </row>
    <row r="42" spans="1:6" ht="15" thickBot="1" x14ac:dyDescent="0.35">
      <c r="A42" s="220"/>
      <c r="B42" s="221"/>
      <c r="C42" s="221"/>
      <c r="D42" s="221"/>
      <c r="E42" s="221"/>
      <c r="F42" s="221"/>
    </row>
    <row r="52" spans="3:3" x14ac:dyDescent="0.3">
      <c r="C52" s="43"/>
    </row>
  </sheetData>
  <sheetProtection sheet="1" objects="1" scenarios="1" selectLockedCells="1"/>
  <mergeCells count="10">
    <mergeCell ref="A17:F17"/>
    <mergeCell ref="A38:F38"/>
    <mergeCell ref="A39:F39"/>
    <mergeCell ref="A40:F40"/>
    <mergeCell ref="A2:F2"/>
    <mergeCell ref="A6:F6"/>
    <mergeCell ref="A8:F8"/>
    <mergeCell ref="A10:F10"/>
    <mergeCell ref="A13:F13"/>
    <mergeCell ref="A16:F16"/>
  </mergeCells>
  <pageMargins left="0.7" right="0.7" top="0.75" bottom="0.75" header="0.3" footer="0.3"/>
  <pageSetup orientation="portrait" r:id="rId1"/>
  <rowBreaks count="1" manualBreakCount="1">
    <brk id="43" max="5"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3108C-38F9-4944-84DA-6AE280DE4C84}">
  <dimension ref="A1:F52"/>
  <sheetViews>
    <sheetView view="pageBreakPreview" topLeftCell="A21" zoomScale="110" zoomScaleNormal="100" zoomScaleSheetLayoutView="110" workbookViewId="0">
      <selection activeCell="A42" sqref="A42"/>
    </sheetView>
  </sheetViews>
  <sheetFormatPr defaultRowHeight="14.4" x14ac:dyDescent="0.3"/>
  <cols>
    <col min="1" max="1" width="21.6640625" bestFit="1" customWidth="1"/>
    <col min="2" max="2" width="10.33203125" customWidth="1"/>
    <col min="3" max="3" width="14.88671875" customWidth="1"/>
    <col min="4" max="4" width="10.6640625" customWidth="1"/>
    <col min="5" max="5" width="10" customWidth="1"/>
    <col min="6" max="6" width="18.44140625" customWidth="1"/>
    <col min="7" max="9" width="9.109375" customWidth="1"/>
  </cols>
  <sheetData>
    <row r="1" spans="1:6" ht="15" thickBot="1" x14ac:dyDescent="0.35">
      <c r="A1" s="252" t="s">
        <v>152</v>
      </c>
      <c r="B1" s="253"/>
      <c r="C1" s="253"/>
      <c r="D1" s="253"/>
      <c r="E1" s="253"/>
      <c r="F1" s="254"/>
    </row>
    <row r="2" spans="1:6" x14ac:dyDescent="0.3">
      <c r="A2" s="44"/>
      <c r="B2" s="45"/>
      <c r="C2" s="45"/>
      <c r="D2" s="45"/>
      <c r="E2" s="45"/>
      <c r="F2" s="45"/>
    </row>
    <row r="3" spans="1:6" x14ac:dyDescent="0.3">
      <c r="A3" s="46" t="s">
        <v>83</v>
      </c>
      <c r="B3" s="45" t="s">
        <v>62</v>
      </c>
      <c r="C3" s="45"/>
      <c r="D3" s="45" t="s">
        <v>84</v>
      </c>
      <c r="E3" s="45"/>
      <c r="F3" s="45"/>
    </row>
    <row r="4" spans="1:6" x14ac:dyDescent="0.3">
      <c r="A4" s="45"/>
      <c r="B4" s="47"/>
      <c r="C4" s="45"/>
      <c r="D4" s="45"/>
      <c r="E4" s="45"/>
      <c r="F4" s="45"/>
    </row>
    <row r="5" spans="1:6" x14ac:dyDescent="0.3">
      <c r="A5" s="48" t="s">
        <v>63</v>
      </c>
      <c r="B5" s="46" t="s">
        <v>64</v>
      </c>
      <c r="C5" s="45"/>
      <c r="D5" s="45"/>
      <c r="E5" s="45"/>
      <c r="F5" s="45"/>
    </row>
    <row r="6" spans="1:6" x14ac:dyDescent="0.3">
      <c r="A6" s="48" t="s">
        <v>65</v>
      </c>
      <c r="B6" s="46" t="s">
        <v>66</v>
      </c>
      <c r="C6" s="45"/>
      <c r="D6" s="45"/>
      <c r="E6" s="45"/>
      <c r="F6" s="45"/>
    </row>
    <row r="7" spans="1:6" x14ac:dyDescent="0.3">
      <c r="A7" s="48" t="s">
        <v>67</v>
      </c>
      <c r="B7" s="46" t="s">
        <v>68</v>
      </c>
      <c r="C7" s="45"/>
      <c r="D7" s="45"/>
      <c r="E7" s="45"/>
      <c r="F7" s="45"/>
    </row>
    <row r="8" spans="1:6" x14ac:dyDescent="0.3">
      <c r="A8" s="48" t="s">
        <v>69</v>
      </c>
      <c r="B8" s="46" t="s">
        <v>70</v>
      </c>
      <c r="C8" s="45"/>
      <c r="D8" s="45"/>
      <c r="E8" s="45"/>
      <c r="F8" s="45"/>
    </row>
    <row r="9" spans="1:6" x14ac:dyDescent="0.3">
      <c r="A9" s="48"/>
      <c r="B9" s="46"/>
      <c r="C9" s="45"/>
      <c r="D9" s="45"/>
      <c r="E9" s="45"/>
      <c r="F9" s="45"/>
    </row>
    <row r="10" spans="1:6" ht="15" x14ac:dyDescent="0.35">
      <c r="A10" s="45" t="s">
        <v>81</v>
      </c>
      <c r="B10" s="45" t="s">
        <v>99</v>
      </c>
      <c r="C10" s="45"/>
      <c r="D10" s="45"/>
      <c r="E10" s="45"/>
      <c r="F10" s="45"/>
    </row>
    <row r="11" spans="1:6" ht="15" x14ac:dyDescent="0.35">
      <c r="A11" s="45"/>
      <c r="B11" s="45" t="s">
        <v>153</v>
      </c>
      <c r="C11" s="45"/>
      <c r="D11" s="45"/>
      <c r="E11" s="45"/>
      <c r="F11" s="45"/>
    </row>
    <row r="12" spans="1:6" ht="15" x14ac:dyDescent="0.35">
      <c r="A12" s="45"/>
      <c r="B12" s="45" t="s">
        <v>154</v>
      </c>
      <c r="C12" s="45"/>
      <c r="D12" s="45"/>
      <c r="E12" s="45"/>
      <c r="F12" s="45"/>
    </row>
    <row r="13" spans="1:6" x14ac:dyDescent="0.3">
      <c r="A13" s="45"/>
      <c r="B13" s="45"/>
      <c r="C13" s="45"/>
      <c r="D13" s="45"/>
      <c r="E13" s="45"/>
      <c r="F13" s="45"/>
    </row>
    <row r="14" spans="1:6" ht="15" x14ac:dyDescent="0.35">
      <c r="A14" s="48" t="s">
        <v>100</v>
      </c>
      <c r="B14" s="45" t="s">
        <v>110</v>
      </c>
      <c r="C14" s="45"/>
      <c r="D14" s="45"/>
      <c r="E14" s="45"/>
      <c r="F14" s="45"/>
    </row>
    <row r="15" spans="1:6" ht="15" x14ac:dyDescent="0.35">
      <c r="A15" s="48" t="s">
        <v>101</v>
      </c>
      <c r="B15" s="45" t="s">
        <v>82</v>
      </c>
      <c r="C15" s="45"/>
      <c r="D15" s="45"/>
      <c r="E15" s="45"/>
      <c r="F15" s="45"/>
    </row>
    <row r="16" spans="1:6" ht="15" x14ac:dyDescent="0.35">
      <c r="A16" s="48" t="s">
        <v>102</v>
      </c>
      <c r="B16" s="45" t="s">
        <v>90</v>
      </c>
      <c r="C16" s="45"/>
      <c r="D16" s="45"/>
      <c r="E16" s="45"/>
      <c r="F16" s="45"/>
    </row>
    <row r="17" spans="1:6" ht="15" x14ac:dyDescent="0.35">
      <c r="A17" s="48" t="s">
        <v>103</v>
      </c>
      <c r="B17" s="45" t="s">
        <v>88</v>
      </c>
      <c r="C17" s="45"/>
      <c r="D17" s="45"/>
      <c r="E17" s="45"/>
      <c r="F17" s="45"/>
    </row>
    <row r="18" spans="1:6" ht="15" x14ac:dyDescent="0.35">
      <c r="A18" s="48" t="s">
        <v>104</v>
      </c>
      <c r="B18" s="45" t="s">
        <v>92</v>
      </c>
      <c r="C18" s="45"/>
      <c r="D18" s="45"/>
      <c r="E18" s="45"/>
      <c r="F18" s="45"/>
    </row>
    <row r="19" spans="1:6" ht="15" x14ac:dyDescent="0.35">
      <c r="A19" s="48" t="s">
        <v>105</v>
      </c>
      <c r="B19" s="45" t="s">
        <v>93</v>
      </c>
      <c r="C19" s="45"/>
      <c r="D19" s="45"/>
      <c r="E19" s="45"/>
      <c r="F19" s="45"/>
    </row>
    <row r="20" spans="1:6" x14ac:dyDescent="0.3">
      <c r="A20" s="45"/>
      <c r="B20" s="49" t="s">
        <v>135</v>
      </c>
      <c r="C20" s="45"/>
      <c r="D20" s="45"/>
      <c r="E20" s="45"/>
      <c r="F20" s="45"/>
    </row>
    <row r="21" spans="1:6" ht="15" x14ac:dyDescent="0.35">
      <c r="A21" s="45"/>
      <c r="B21" s="49" t="s">
        <v>136</v>
      </c>
      <c r="C21" s="45"/>
      <c r="D21" s="45"/>
      <c r="E21" s="45"/>
      <c r="F21" s="45"/>
    </row>
    <row r="22" spans="1:6" x14ac:dyDescent="0.3">
      <c r="A22" s="45"/>
      <c r="B22" s="45"/>
      <c r="C22" s="45"/>
      <c r="D22" s="45"/>
      <c r="E22" s="45"/>
      <c r="F22" s="45"/>
    </row>
    <row r="23" spans="1:6" ht="15.6" x14ac:dyDescent="0.35">
      <c r="A23" s="46" t="s">
        <v>86</v>
      </c>
      <c r="B23" s="46" t="s">
        <v>117</v>
      </c>
      <c r="C23" s="45"/>
      <c r="D23" s="45" t="s">
        <v>85</v>
      </c>
      <c r="E23" s="45"/>
      <c r="F23" s="45"/>
    </row>
    <row r="24" spans="1:6" ht="15" x14ac:dyDescent="0.35">
      <c r="A24" s="45"/>
      <c r="B24" s="45" t="s">
        <v>118</v>
      </c>
      <c r="C24" s="45"/>
      <c r="D24" s="45"/>
      <c r="E24" s="45"/>
      <c r="F24" s="45"/>
    </row>
    <row r="25" spans="1:6" x14ac:dyDescent="0.3">
      <c r="A25" s="45"/>
      <c r="B25" s="46" t="s">
        <v>174</v>
      </c>
      <c r="C25" s="45"/>
      <c r="D25" s="45"/>
      <c r="E25" s="45"/>
      <c r="F25" s="45"/>
    </row>
    <row r="26" spans="1:6" x14ac:dyDescent="0.3">
      <c r="A26" s="45"/>
      <c r="B26" s="45"/>
      <c r="C26" s="45"/>
      <c r="D26" s="45"/>
      <c r="E26" s="45"/>
      <c r="F26" s="45"/>
    </row>
    <row r="27" spans="1:6" ht="15" x14ac:dyDescent="0.35">
      <c r="A27" s="48" t="s">
        <v>106</v>
      </c>
      <c r="B27" s="46" t="s">
        <v>96</v>
      </c>
      <c r="C27" s="45"/>
      <c r="D27" s="45"/>
      <c r="E27" s="45"/>
      <c r="F27" s="45"/>
    </row>
    <row r="28" spans="1:6" ht="15" x14ac:dyDescent="0.35">
      <c r="A28" s="48" t="s">
        <v>107</v>
      </c>
      <c r="B28" s="46" t="s">
        <v>111</v>
      </c>
      <c r="C28" s="45"/>
      <c r="D28" s="45"/>
      <c r="E28" s="45"/>
      <c r="F28" s="45"/>
    </row>
    <row r="29" spans="1:6" x14ac:dyDescent="0.3">
      <c r="A29" s="48" t="s">
        <v>71</v>
      </c>
      <c r="B29" s="46" t="s">
        <v>91</v>
      </c>
      <c r="C29" s="45"/>
      <c r="D29" s="45"/>
      <c r="E29" s="45"/>
      <c r="F29" s="45"/>
    </row>
    <row r="30" spans="1:6" x14ac:dyDescent="0.3">
      <c r="A30" s="48" t="s">
        <v>72</v>
      </c>
      <c r="B30" s="45" t="s">
        <v>173</v>
      </c>
      <c r="C30" s="45"/>
      <c r="D30" s="50"/>
      <c r="E30" s="45"/>
      <c r="F30" s="45"/>
    </row>
    <row r="31" spans="1:6" x14ac:dyDescent="0.3">
      <c r="A31" s="48" t="s">
        <v>69</v>
      </c>
      <c r="B31" s="46" t="s">
        <v>89</v>
      </c>
      <c r="C31" s="45"/>
      <c r="D31" s="45"/>
      <c r="E31" s="45"/>
      <c r="F31" s="45"/>
    </row>
    <row r="32" spans="1:6" x14ac:dyDescent="0.3">
      <c r="A32" s="48" t="s">
        <v>73</v>
      </c>
      <c r="B32" s="45" t="s">
        <v>74</v>
      </c>
      <c r="C32" s="45"/>
      <c r="D32" s="45"/>
      <c r="E32" s="45"/>
      <c r="F32" s="45"/>
    </row>
    <row r="33" spans="1:6" x14ac:dyDescent="0.3">
      <c r="A33" s="48" t="s">
        <v>175</v>
      </c>
      <c r="B33" s="45" t="s">
        <v>176</v>
      </c>
      <c r="C33" s="45"/>
      <c r="D33" s="45"/>
      <c r="E33" s="45"/>
      <c r="F33" s="45"/>
    </row>
    <row r="34" spans="1:6" x14ac:dyDescent="0.3">
      <c r="A34" s="48" t="s">
        <v>75</v>
      </c>
      <c r="B34" s="46" t="s">
        <v>76</v>
      </c>
      <c r="C34" s="45"/>
      <c r="D34" s="45"/>
      <c r="E34" s="45"/>
      <c r="F34" s="45"/>
    </row>
    <row r="35" spans="1:6" ht="15" x14ac:dyDescent="0.35">
      <c r="A35" s="48" t="s">
        <v>120</v>
      </c>
      <c r="B35" s="46" t="s">
        <v>95</v>
      </c>
      <c r="C35" s="45"/>
      <c r="D35" s="45"/>
      <c r="E35" s="45"/>
      <c r="F35" s="45"/>
    </row>
    <row r="36" spans="1:6" x14ac:dyDescent="0.3">
      <c r="A36" s="45"/>
      <c r="B36" s="45"/>
      <c r="C36" s="45"/>
      <c r="D36" s="45"/>
      <c r="E36" s="45"/>
      <c r="F36" s="45"/>
    </row>
    <row r="37" spans="1:6" ht="15" x14ac:dyDescent="0.35">
      <c r="A37" s="46" t="s">
        <v>87</v>
      </c>
      <c r="B37" s="46" t="s">
        <v>112</v>
      </c>
      <c r="C37" s="45"/>
      <c r="D37" s="45"/>
      <c r="E37" s="45"/>
      <c r="F37" s="45"/>
    </row>
    <row r="38" spans="1:6" ht="15" x14ac:dyDescent="0.35">
      <c r="A38" s="45"/>
      <c r="B38" s="45" t="s">
        <v>119</v>
      </c>
      <c r="C38" s="45"/>
      <c r="D38" s="45"/>
      <c r="E38" s="45"/>
      <c r="F38" s="45"/>
    </row>
    <row r="39" spans="1:6" x14ac:dyDescent="0.3">
      <c r="A39" s="45"/>
      <c r="B39" s="45"/>
      <c r="C39" s="45"/>
      <c r="D39" s="45"/>
      <c r="E39" s="45"/>
      <c r="F39" s="45"/>
    </row>
    <row r="40" spans="1:6" ht="15" x14ac:dyDescent="0.35">
      <c r="A40" s="48" t="s">
        <v>108</v>
      </c>
      <c r="B40" s="45" t="s">
        <v>98</v>
      </c>
      <c r="C40" s="45"/>
      <c r="D40" s="45"/>
      <c r="E40" s="45"/>
      <c r="F40" s="45"/>
    </row>
    <row r="41" spans="1:6" ht="15" x14ac:dyDescent="0.35">
      <c r="A41" s="48" t="s">
        <v>109</v>
      </c>
      <c r="B41" s="45" t="s">
        <v>97</v>
      </c>
      <c r="C41" s="45"/>
      <c r="D41" s="45"/>
      <c r="E41" s="45"/>
      <c r="F41" s="45"/>
    </row>
    <row r="42" spans="1:6" ht="15" x14ac:dyDescent="0.35">
      <c r="A42" s="48" t="s">
        <v>121</v>
      </c>
      <c r="B42" s="45" t="s">
        <v>95</v>
      </c>
      <c r="C42" s="45"/>
      <c r="D42" s="45"/>
      <c r="E42" s="45"/>
      <c r="F42" s="45"/>
    </row>
    <row r="52" spans="3:3" x14ac:dyDescent="0.3">
      <c r="C52" s="43"/>
    </row>
  </sheetData>
  <sheetProtection selectLockedCells="1"/>
  <mergeCells count="1">
    <mergeCell ref="A1:F1"/>
  </mergeCells>
  <pageMargins left="0.7" right="0.7" top="0.75" bottom="0.75" header="0.3" footer="0.3"/>
  <pageSetup orientation="portrait" r:id="rId1"/>
  <rowBreaks count="1" manualBreakCount="1">
    <brk id="43" max="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1058F-E55F-49E9-9BC4-8E4F888597EF}">
  <dimension ref="A1:I29"/>
  <sheetViews>
    <sheetView view="pageBreakPreview" zoomScaleNormal="100" zoomScaleSheetLayoutView="100" workbookViewId="0">
      <selection activeCell="D23" sqref="D23"/>
    </sheetView>
  </sheetViews>
  <sheetFormatPr defaultRowHeight="14.4" x14ac:dyDescent="0.3"/>
  <cols>
    <col min="1" max="1" width="26.5546875" customWidth="1"/>
    <col min="2" max="2" width="9.5546875" customWidth="1"/>
    <col min="3" max="3" width="11" customWidth="1"/>
    <col min="4" max="4" width="12.33203125" customWidth="1"/>
    <col min="5" max="5" width="10" customWidth="1"/>
    <col min="6" max="6" width="18.44140625" customWidth="1"/>
    <col min="7" max="7" width="9.109375" customWidth="1"/>
    <col min="8" max="8" width="17.88671875" bestFit="1" customWidth="1"/>
    <col min="9" max="9" width="17.88671875" customWidth="1"/>
  </cols>
  <sheetData>
    <row r="1" spans="1:9" ht="15" thickBot="1" x14ac:dyDescent="0.35">
      <c r="E1" t="s">
        <v>58</v>
      </c>
      <c r="F1" s="149" t="s">
        <v>77</v>
      </c>
    </row>
    <row r="2" spans="1:9" x14ac:dyDescent="0.3">
      <c r="E2" t="s">
        <v>59</v>
      </c>
      <c r="F2" s="149" t="s">
        <v>77</v>
      </c>
      <c r="H2" s="257" t="s">
        <v>156</v>
      </c>
      <c r="I2" s="258"/>
    </row>
    <row r="3" spans="1:9" x14ac:dyDescent="0.3">
      <c r="E3" t="s">
        <v>60</v>
      </c>
      <c r="F3" s="149" t="s">
        <v>77</v>
      </c>
      <c r="H3" s="35" t="s">
        <v>157</v>
      </c>
      <c r="I3" s="150"/>
    </row>
    <row r="4" spans="1:9" ht="15" thickBot="1" x14ac:dyDescent="0.35">
      <c r="E4" t="s">
        <v>61</v>
      </c>
      <c r="F4" s="149" t="s">
        <v>77</v>
      </c>
      <c r="H4" s="16" t="s">
        <v>158</v>
      </c>
      <c r="I4" s="151"/>
    </row>
    <row r="7" spans="1:9" x14ac:dyDescent="0.3">
      <c r="A7" s="255" t="s">
        <v>155</v>
      </c>
      <c r="B7" s="255"/>
      <c r="C7" s="255"/>
      <c r="D7" s="255"/>
      <c r="E7" s="255"/>
      <c r="F7" s="255"/>
    </row>
    <row r="9" spans="1:9" x14ac:dyDescent="0.3">
      <c r="A9" s="17" t="str">
        <f xml:space="preserve"> "Per " &amp;I3&amp; " " &amp;I4</f>
        <v xml:space="preserve">Per  </v>
      </c>
    </row>
    <row r="11" spans="1:9" x14ac:dyDescent="0.3">
      <c r="A11" t="s">
        <v>163</v>
      </c>
      <c r="B11" s="152">
        <v>5</v>
      </c>
      <c r="C11" t="s">
        <v>164</v>
      </c>
    </row>
    <row r="13" spans="1:9" x14ac:dyDescent="0.3">
      <c r="A13" t="s">
        <v>36</v>
      </c>
      <c r="B13" s="153">
        <v>1.2999999999999999E-2</v>
      </c>
    </row>
    <row r="14" spans="1:9" ht="15" customHeight="1" x14ac:dyDescent="0.35">
      <c r="A14" s="42" t="s">
        <v>115</v>
      </c>
      <c r="B14" s="154">
        <v>2</v>
      </c>
      <c r="C14" t="s">
        <v>79</v>
      </c>
    </row>
    <row r="15" spans="1:9" ht="15" customHeight="1" x14ac:dyDescent="0.35">
      <c r="A15" s="42" t="s">
        <v>113</v>
      </c>
      <c r="B15" s="154">
        <v>2</v>
      </c>
      <c r="C15" t="s">
        <v>79</v>
      </c>
    </row>
    <row r="16" spans="1:9" ht="15" customHeight="1" x14ac:dyDescent="0.35">
      <c r="A16" s="42" t="s">
        <v>114</v>
      </c>
      <c r="B16" s="154">
        <v>5</v>
      </c>
      <c r="C16" t="s">
        <v>79</v>
      </c>
    </row>
    <row r="17" spans="1:7" x14ac:dyDescent="0.3">
      <c r="A17" s="42" t="s">
        <v>116</v>
      </c>
      <c r="B17" s="159">
        <v>0.8</v>
      </c>
      <c r="C17" s="43" t="s">
        <v>78</v>
      </c>
    </row>
    <row r="18" spans="1:7" ht="15" customHeight="1" x14ac:dyDescent="0.35">
      <c r="A18" s="42" t="s">
        <v>159</v>
      </c>
      <c r="B18" s="158">
        <f>INDEX(UTH!$Q$8:'UTH'!$Q$18,MATCH(d_D,UTH!$O$8:'UTH'!$O$18,0))</f>
        <v>1.01</v>
      </c>
      <c r="C18" s="256" t="s">
        <v>80</v>
      </c>
      <c r="D18" s="256"/>
      <c r="E18" s="256"/>
      <c r="F18" s="256"/>
    </row>
    <row r="19" spans="1:7" ht="15" customHeight="1" x14ac:dyDescent="0.35">
      <c r="A19" s="42" t="s">
        <v>160</v>
      </c>
      <c r="B19" s="158">
        <f>INDEX(UTH!$P$8:'UTH'!$P$18,MATCH(d_D,UTH!$O$8:'UTH'!$O$18,0))</f>
        <v>0.87</v>
      </c>
      <c r="C19" s="256"/>
      <c r="D19" s="256"/>
      <c r="E19" s="256"/>
      <c r="F19" s="256"/>
    </row>
    <row r="21" spans="1:7" ht="15" customHeight="1" x14ac:dyDescent="0.3">
      <c r="A21" s="64" t="s">
        <v>94</v>
      </c>
      <c r="B21" s="64" t="s">
        <v>3</v>
      </c>
      <c r="C21" s="64" t="s">
        <v>166</v>
      </c>
    </row>
    <row r="22" spans="1:7" ht="15" hidden="1" customHeight="1" x14ac:dyDescent="0.3">
      <c r="A22" s="65" t="s">
        <v>167</v>
      </c>
      <c r="B22" s="66">
        <v>0</v>
      </c>
      <c r="C22" s="66">
        <v>0</v>
      </c>
      <c r="D22" s="67"/>
      <c r="E22" s="67"/>
      <c r="F22" s="67"/>
    </row>
    <row r="23" spans="1:7" s="162" customFormat="1" x14ac:dyDescent="0.3">
      <c r="A23" s="155" t="s">
        <v>165</v>
      </c>
      <c r="B23" s="156">
        <v>0.35</v>
      </c>
      <c r="C23" s="157">
        <v>25</v>
      </c>
      <c r="G23" s="222" t="s">
        <v>168</v>
      </c>
    </row>
    <row r="24" spans="1:7" s="162" customFormat="1" x14ac:dyDescent="0.3">
      <c r="A24" s="155" t="s">
        <v>192</v>
      </c>
      <c r="B24" s="156">
        <v>0.25</v>
      </c>
      <c r="C24" s="157">
        <v>10</v>
      </c>
    </row>
    <row r="25" spans="1:7" s="162" customFormat="1" x14ac:dyDescent="0.3">
      <c r="A25" s="155" t="s">
        <v>193</v>
      </c>
      <c r="B25" s="156">
        <v>0.85</v>
      </c>
      <c r="C25" s="157">
        <v>10</v>
      </c>
    </row>
    <row r="26" spans="1:7" s="162" customFormat="1" x14ac:dyDescent="0.3">
      <c r="A26" s="155"/>
      <c r="B26" s="157"/>
      <c r="C26" s="157"/>
    </row>
    <row r="27" spans="1:7" s="162" customFormat="1" x14ac:dyDescent="0.3">
      <c r="A27" s="155"/>
      <c r="B27" s="157"/>
      <c r="C27" s="157"/>
      <c r="G27" s="223"/>
    </row>
    <row r="28" spans="1:7" s="162" customFormat="1" x14ac:dyDescent="0.3">
      <c r="A28" s="155"/>
      <c r="B28" s="157"/>
      <c r="C28" s="157"/>
    </row>
    <row r="29" spans="1:7" s="162" customFormat="1" x14ac:dyDescent="0.3">
      <c r="A29" s="155"/>
      <c r="B29" s="157"/>
      <c r="C29" s="157"/>
    </row>
  </sheetData>
  <sheetProtection sheet="1" objects="1" scenarios="1" formatColumns="0" formatRows="0" selectLockedCells="1"/>
  <mergeCells count="3">
    <mergeCell ref="A7:F7"/>
    <mergeCell ref="C18:F19"/>
    <mergeCell ref="H2:I2"/>
  </mergeCells>
  <conditionalFormatting sqref="D23:F29">
    <cfRule type="expression" dxfId="48" priority="2">
      <formula>ISBLANK($A23)</formula>
    </cfRule>
  </conditionalFormatting>
  <dataValidations count="1">
    <dataValidation type="list" allowBlank="1" showInputMessage="1" showErrorMessage="1" sqref="B17" xr:uid="{4C46ACF8-252F-4BE0-8F7E-D3F762B88CDC}">
      <formula1>dD_options</formula1>
    </dataValidation>
  </dataValidations>
  <pageMargins left="0.7" right="0.7" top="0.75" bottom="0.75" header="0.3" footer="0.3"/>
  <pageSetup orientation="portrait" r:id="rId1"/>
  <colBreaks count="1" manualBreakCount="1">
    <brk id="6" max="4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B66B7-0BEC-4970-B91E-C598E7B41941}">
  <sheetPr>
    <pageSetUpPr fitToPage="1"/>
  </sheetPr>
  <dimension ref="A1:I103"/>
  <sheetViews>
    <sheetView workbookViewId="0">
      <selection activeCell="B3" sqref="B3"/>
    </sheetView>
  </sheetViews>
  <sheetFormatPr defaultRowHeight="14.4" x14ac:dyDescent="0.3"/>
  <cols>
    <col min="1" max="1" width="9.109375" style="40"/>
    <col min="2" max="2" width="22" bestFit="1" customWidth="1"/>
    <col min="8" max="8" width="9.109375" style="40"/>
  </cols>
  <sheetData>
    <row r="1" spans="1:9" ht="15.6" x14ac:dyDescent="0.35">
      <c r="A1" s="259" t="s">
        <v>1</v>
      </c>
      <c r="B1" s="261" t="s">
        <v>161</v>
      </c>
      <c r="C1" s="263" t="s">
        <v>3</v>
      </c>
      <c r="D1" s="146" t="s">
        <v>162</v>
      </c>
      <c r="E1" s="79" t="s">
        <v>125</v>
      </c>
      <c r="F1" s="147" t="s">
        <v>125</v>
      </c>
      <c r="G1" s="79" t="s">
        <v>13</v>
      </c>
      <c r="H1" s="79" t="s">
        <v>169</v>
      </c>
      <c r="I1" s="265" t="s">
        <v>143</v>
      </c>
    </row>
    <row r="2" spans="1:9" ht="15" thickBot="1" x14ac:dyDescent="0.35">
      <c r="A2" s="260"/>
      <c r="B2" s="262"/>
      <c r="C2" s="264"/>
      <c r="D2" s="148" t="s">
        <v>15</v>
      </c>
      <c r="E2" s="82" t="s">
        <v>10</v>
      </c>
      <c r="F2" s="72" t="s">
        <v>11</v>
      </c>
      <c r="G2" s="82" t="s">
        <v>14</v>
      </c>
      <c r="H2" s="82" t="s">
        <v>14</v>
      </c>
      <c r="I2" s="266"/>
    </row>
    <row r="3" spans="1:9" x14ac:dyDescent="0.3">
      <c r="A3" s="144">
        <f>1</f>
        <v>1</v>
      </c>
      <c r="B3" s="160"/>
      <c r="C3" s="53">
        <f>IF(ISBLANK($B3),0,INDEX(Criteria!$B$22:$B$27,MATCH($B3,Land_uses,0)))</f>
        <v>0</v>
      </c>
      <c r="D3" s="40">
        <f>IF(ISBLANK($B3),0,INDEX(Criteria!$C$22:$C$27,MATCH($B3,Land_uses,0)))</f>
        <v>0</v>
      </c>
      <c r="E3" s="160"/>
      <c r="F3" s="53">
        <f t="shared" ref="F3:F8" si="0">$E3/43560</f>
        <v>0</v>
      </c>
      <c r="G3" s="160"/>
      <c r="H3" s="160"/>
      <c r="I3" s="161"/>
    </row>
    <row r="4" spans="1:9" x14ac:dyDescent="0.3">
      <c r="A4" s="144">
        <f>A3+1</f>
        <v>2</v>
      </c>
      <c r="B4" s="160"/>
      <c r="C4" s="53">
        <f>IF(ISBLANK($B4),0,INDEX(Criteria!$B$22:$B$27,MATCH($B4,Land_uses,0)))</f>
        <v>0</v>
      </c>
      <c r="D4" s="40">
        <f>IF(ISBLANK($B4),0,INDEX(Criteria!$C$22:$C$27,MATCH($B4,Land_uses,0)))</f>
        <v>0</v>
      </c>
      <c r="E4" s="160"/>
      <c r="F4" s="53">
        <f t="shared" si="0"/>
        <v>0</v>
      </c>
      <c r="G4" s="160"/>
      <c r="H4" s="160"/>
      <c r="I4" s="161"/>
    </row>
    <row r="5" spans="1:9" x14ac:dyDescent="0.3">
      <c r="A5" s="144">
        <f t="shared" ref="A5:A68" si="1">A4+1</f>
        <v>3</v>
      </c>
      <c r="B5" s="160"/>
      <c r="C5" s="53">
        <f>IF(ISBLANK($B5),0,INDEX(Criteria!$B$22:$B$27,MATCH($B5,Land_uses,0)))</f>
        <v>0</v>
      </c>
      <c r="D5" s="40">
        <f>IF(ISBLANK($B5),0,INDEX(Criteria!$C$22:$C$27,MATCH($B5,Land_uses,0)))</f>
        <v>0</v>
      </c>
      <c r="E5" s="160"/>
      <c r="F5" s="53">
        <f t="shared" si="0"/>
        <v>0</v>
      </c>
      <c r="G5" s="160"/>
      <c r="H5" s="160"/>
      <c r="I5" s="161"/>
    </row>
    <row r="6" spans="1:9" x14ac:dyDescent="0.3">
      <c r="A6" s="144">
        <f t="shared" si="1"/>
        <v>4</v>
      </c>
      <c r="B6" s="160"/>
      <c r="C6" s="53">
        <f>IF(ISBLANK($B6),0,INDEX(Criteria!$B$22:$B$27,MATCH($B6,Land_uses,0)))</f>
        <v>0</v>
      </c>
      <c r="D6" s="40">
        <f>IF(ISBLANK($B6),0,INDEX(Criteria!$C$22:$C$27,MATCH($B6,Land_uses,0)))</f>
        <v>0</v>
      </c>
      <c r="E6" s="160"/>
      <c r="F6" s="53">
        <f t="shared" si="0"/>
        <v>0</v>
      </c>
      <c r="G6" s="160"/>
      <c r="H6" s="160"/>
      <c r="I6" s="161"/>
    </row>
    <row r="7" spans="1:9" x14ac:dyDescent="0.3">
      <c r="A7" s="144">
        <f t="shared" si="1"/>
        <v>5</v>
      </c>
      <c r="B7" s="160"/>
      <c r="C7" s="53">
        <f>IF(ISBLANK($B7),0,INDEX(Criteria!$B$22:$B$27,MATCH($B7,Land_uses,0)))</f>
        <v>0</v>
      </c>
      <c r="D7" s="40">
        <f>IF(ISBLANK($B7),0,INDEX(Criteria!$C$22:$C$27,MATCH($B7,Land_uses,0)))</f>
        <v>0</v>
      </c>
      <c r="E7" s="160"/>
      <c r="F7" s="53">
        <f t="shared" si="0"/>
        <v>0</v>
      </c>
      <c r="G7" s="160"/>
      <c r="H7" s="160"/>
      <c r="I7" s="161"/>
    </row>
    <row r="8" spans="1:9" x14ac:dyDescent="0.3">
      <c r="A8" s="144">
        <f t="shared" si="1"/>
        <v>6</v>
      </c>
      <c r="B8" s="160"/>
      <c r="C8" s="53">
        <f>IF(ISBLANK($B8),0,INDEX(Criteria!$B$22:$B$27,MATCH($B8,Land_uses,0)))</f>
        <v>0</v>
      </c>
      <c r="D8" s="40">
        <f>IF(ISBLANK($B8),0,INDEX(Criteria!$C$22:$C$27,MATCH($B8,Land_uses,0)))</f>
        <v>0</v>
      </c>
      <c r="E8" s="160"/>
      <c r="F8" s="53">
        <f t="shared" si="0"/>
        <v>0</v>
      </c>
      <c r="G8" s="160"/>
      <c r="H8" s="160"/>
      <c r="I8" s="161"/>
    </row>
    <row r="9" spans="1:9" x14ac:dyDescent="0.3">
      <c r="A9" s="144">
        <f t="shared" si="1"/>
        <v>7</v>
      </c>
      <c r="B9" s="160"/>
      <c r="C9" s="53">
        <f>IF(ISBLANK($B9),0,INDEX(Criteria!$B$22:$B$27,MATCH($B9,Land_uses,0)))</f>
        <v>0</v>
      </c>
      <c r="D9" s="40">
        <f>IF(ISBLANK($B9),0,INDEX(Criteria!$C$22:$C$27,MATCH($B9,Land_uses,0)))</f>
        <v>0</v>
      </c>
      <c r="E9" s="160"/>
      <c r="F9" s="53">
        <f t="shared" ref="F9:F72" si="2">$E9/43560</f>
        <v>0</v>
      </c>
      <c r="G9" s="162"/>
      <c r="H9" s="160"/>
      <c r="I9" s="163"/>
    </row>
    <row r="10" spans="1:9" x14ac:dyDescent="0.3">
      <c r="A10" s="144">
        <f t="shared" si="1"/>
        <v>8</v>
      </c>
      <c r="B10" s="160"/>
      <c r="C10" s="53">
        <f>IF(ISBLANK($B10),0,INDEX(Criteria!$B$22:$B$27,MATCH($B10,Land_uses,0)))</f>
        <v>0</v>
      </c>
      <c r="D10" s="40">
        <f>IF(ISBLANK($B10),0,INDEX(Criteria!$C$22:$C$27,MATCH($B10,Land_uses,0)))</f>
        <v>0</v>
      </c>
      <c r="E10" s="160"/>
      <c r="F10" s="53">
        <f t="shared" si="2"/>
        <v>0</v>
      </c>
      <c r="G10" s="162"/>
      <c r="H10" s="160"/>
      <c r="I10" s="163"/>
    </row>
    <row r="11" spans="1:9" x14ac:dyDescent="0.3">
      <c r="A11" s="144">
        <f t="shared" si="1"/>
        <v>9</v>
      </c>
      <c r="B11" s="160"/>
      <c r="C11" s="53">
        <f>IF(ISBLANK($B11),0,INDEX(Criteria!$B$22:$B$27,MATCH($B11,Land_uses,0)))</f>
        <v>0</v>
      </c>
      <c r="D11" s="40">
        <f>IF(ISBLANK($B11),0,INDEX(Criteria!$C$22:$C$27,MATCH($B11,Land_uses,0)))</f>
        <v>0</v>
      </c>
      <c r="E11" s="160"/>
      <c r="F11" s="53">
        <f t="shared" si="2"/>
        <v>0</v>
      </c>
      <c r="G11" s="162"/>
      <c r="H11" s="160"/>
      <c r="I11" s="163"/>
    </row>
    <row r="12" spans="1:9" x14ac:dyDescent="0.3">
      <c r="A12" s="144">
        <f t="shared" si="1"/>
        <v>10</v>
      </c>
      <c r="B12" s="160"/>
      <c r="C12" s="53">
        <f>IF(ISBLANK($B12),0,INDEX(Criteria!$B$22:$B$27,MATCH($B12,Land_uses,0)))</f>
        <v>0</v>
      </c>
      <c r="D12" s="40">
        <f>IF(ISBLANK($B12),0,INDEX(Criteria!$C$22:$C$27,MATCH($B12,Land_uses,0)))</f>
        <v>0</v>
      </c>
      <c r="E12" s="160"/>
      <c r="F12" s="53">
        <f t="shared" si="2"/>
        <v>0</v>
      </c>
      <c r="G12" s="162"/>
      <c r="H12" s="160"/>
      <c r="I12" s="163"/>
    </row>
    <row r="13" spans="1:9" x14ac:dyDescent="0.3">
      <c r="A13" s="144">
        <f t="shared" si="1"/>
        <v>11</v>
      </c>
      <c r="B13" s="160"/>
      <c r="C13" s="53">
        <f>IF(ISBLANK($B13),0,INDEX(Criteria!$B$22:$B$27,MATCH($B13,Land_uses,0)))</f>
        <v>0</v>
      </c>
      <c r="D13" s="40">
        <f>IF(ISBLANK($B13),0,INDEX(Criteria!$C$22:$C$27,MATCH($B13,Land_uses,0)))</f>
        <v>0</v>
      </c>
      <c r="E13" s="160"/>
      <c r="F13" s="53">
        <f t="shared" si="2"/>
        <v>0</v>
      </c>
      <c r="G13" s="162"/>
      <c r="H13" s="160"/>
      <c r="I13" s="163"/>
    </row>
    <row r="14" spans="1:9" x14ac:dyDescent="0.3">
      <c r="A14" s="144">
        <f t="shared" si="1"/>
        <v>12</v>
      </c>
      <c r="B14" s="160"/>
      <c r="C14" s="53">
        <f>IF(ISBLANK($B14),0,INDEX(Criteria!$B$22:$B$27,MATCH($B14,Land_uses,0)))</f>
        <v>0</v>
      </c>
      <c r="D14" s="40">
        <f>IF(ISBLANK($B14),0,INDEX(Criteria!$C$22:$C$27,MATCH($B14,Land_uses,0)))</f>
        <v>0</v>
      </c>
      <c r="E14" s="160"/>
      <c r="F14" s="53">
        <f t="shared" si="2"/>
        <v>0</v>
      </c>
      <c r="G14" s="162"/>
      <c r="H14" s="160"/>
      <c r="I14" s="163"/>
    </row>
    <row r="15" spans="1:9" x14ac:dyDescent="0.3">
      <c r="A15" s="144">
        <f t="shared" si="1"/>
        <v>13</v>
      </c>
      <c r="B15" s="160"/>
      <c r="C15" s="53">
        <f>IF(ISBLANK($B15),0,INDEX(Criteria!$B$22:$B$27,MATCH($B15,Land_uses,0)))</f>
        <v>0</v>
      </c>
      <c r="D15" s="40">
        <f>IF(ISBLANK($B15),0,INDEX(Criteria!$C$22:$C$27,MATCH($B15,Land_uses,0)))</f>
        <v>0</v>
      </c>
      <c r="E15" s="160"/>
      <c r="F15" s="53">
        <f t="shared" si="2"/>
        <v>0</v>
      </c>
      <c r="G15" s="162"/>
      <c r="H15" s="160"/>
      <c r="I15" s="163"/>
    </row>
    <row r="16" spans="1:9" x14ac:dyDescent="0.3">
      <c r="A16" s="144">
        <f t="shared" si="1"/>
        <v>14</v>
      </c>
      <c r="B16" s="160"/>
      <c r="C16" s="53">
        <f>IF(ISBLANK($B16),0,INDEX(Criteria!$B$22:$B$27,MATCH($B16,Land_uses,0)))</f>
        <v>0</v>
      </c>
      <c r="D16" s="40">
        <f>IF(ISBLANK($B16),0,INDEX(Criteria!$C$22:$C$27,MATCH($B16,Land_uses,0)))</f>
        <v>0</v>
      </c>
      <c r="E16" s="160"/>
      <c r="F16" s="53">
        <f t="shared" si="2"/>
        <v>0</v>
      </c>
      <c r="G16" s="162"/>
      <c r="H16" s="160"/>
      <c r="I16" s="163"/>
    </row>
    <row r="17" spans="1:9" x14ac:dyDescent="0.3">
      <c r="A17" s="144">
        <f t="shared" si="1"/>
        <v>15</v>
      </c>
      <c r="B17" s="160"/>
      <c r="C17" s="53">
        <f>IF(ISBLANK($B17),0,INDEX(Criteria!$B$22:$B$27,MATCH($B17,Land_uses,0)))</f>
        <v>0</v>
      </c>
      <c r="D17" s="40">
        <f>IF(ISBLANK($B17),0,INDEX(Criteria!$C$22:$C$27,MATCH($B17,Land_uses,0)))</f>
        <v>0</v>
      </c>
      <c r="E17" s="160"/>
      <c r="F17" s="53">
        <f t="shared" si="2"/>
        <v>0</v>
      </c>
      <c r="G17" s="162"/>
      <c r="H17" s="160"/>
      <c r="I17" s="163"/>
    </row>
    <row r="18" spans="1:9" x14ac:dyDescent="0.3">
      <c r="A18" s="144">
        <f t="shared" si="1"/>
        <v>16</v>
      </c>
      <c r="B18" s="160"/>
      <c r="C18" s="53">
        <f>IF(ISBLANK($B18),0,INDEX(Criteria!$B$22:$B$27,MATCH($B18,Land_uses,0)))</f>
        <v>0</v>
      </c>
      <c r="D18" s="40">
        <f>IF(ISBLANK($B18),0,INDEX(Criteria!$C$22:$C$27,MATCH($B18,Land_uses,0)))</f>
        <v>0</v>
      </c>
      <c r="E18" s="160"/>
      <c r="F18" s="53">
        <f t="shared" si="2"/>
        <v>0</v>
      </c>
      <c r="G18" s="162"/>
      <c r="H18" s="160"/>
      <c r="I18" s="163"/>
    </row>
    <row r="19" spans="1:9" x14ac:dyDescent="0.3">
      <c r="A19" s="144">
        <f t="shared" si="1"/>
        <v>17</v>
      </c>
      <c r="B19" s="160"/>
      <c r="C19" s="53">
        <f>IF(ISBLANK($B19),0,INDEX(Criteria!$B$22:$B$27,MATCH($B19,Land_uses,0)))</f>
        <v>0</v>
      </c>
      <c r="D19" s="40">
        <f>IF(ISBLANK($B19),0,INDEX(Criteria!$C$22:$C$27,MATCH($B19,Land_uses,0)))</f>
        <v>0</v>
      </c>
      <c r="E19" s="160"/>
      <c r="F19" s="53">
        <f t="shared" si="2"/>
        <v>0</v>
      </c>
      <c r="G19" s="162"/>
      <c r="H19" s="160"/>
      <c r="I19" s="163"/>
    </row>
    <row r="20" spans="1:9" x14ac:dyDescent="0.3">
      <c r="A20" s="144">
        <f t="shared" si="1"/>
        <v>18</v>
      </c>
      <c r="B20" s="160"/>
      <c r="C20" s="53">
        <f>IF(ISBLANK($B20),0,INDEX(Criteria!$B$22:$B$27,MATCH($B20,Land_uses,0)))</f>
        <v>0</v>
      </c>
      <c r="D20" s="40">
        <f>IF(ISBLANK($B20),0,INDEX(Criteria!$C$22:$C$27,MATCH($B20,Land_uses,0)))</f>
        <v>0</v>
      </c>
      <c r="E20" s="160"/>
      <c r="F20" s="53">
        <f t="shared" si="2"/>
        <v>0</v>
      </c>
      <c r="G20" s="162"/>
      <c r="H20" s="160"/>
      <c r="I20" s="163"/>
    </row>
    <row r="21" spans="1:9" x14ac:dyDescent="0.3">
      <c r="A21" s="144">
        <f t="shared" si="1"/>
        <v>19</v>
      </c>
      <c r="B21" s="160"/>
      <c r="C21" s="53">
        <f>IF(ISBLANK($B21),0,INDEX(Criteria!$B$22:$B$27,MATCH($B21,Land_uses,0)))</f>
        <v>0</v>
      </c>
      <c r="D21" s="40">
        <f>IF(ISBLANK($B21),0,INDEX(Criteria!$C$22:$C$27,MATCH($B21,Land_uses,0)))</f>
        <v>0</v>
      </c>
      <c r="E21" s="160"/>
      <c r="F21" s="53">
        <f t="shared" si="2"/>
        <v>0</v>
      </c>
      <c r="G21" s="162"/>
      <c r="H21" s="160"/>
      <c r="I21" s="163"/>
    </row>
    <row r="22" spans="1:9" x14ac:dyDescent="0.3">
      <c r="A22" s="144">
        <f t="shared" si="1"/>
        <v>20</v>
      </c>
      <c r="B22" s="160"/>
      <c r="C22" s="53">
        <f>IF(ISBLANK($B22),0,INDEX(Criteria!$B$22:$B$27,MATCH($B22,Land_uses,0)))</f>
        <v>0</v>
      </c>
      <c r="D22" s="40">
        <f>IF(ISBLANK($B22),0,INDEX(Criteria!$C$22:$C$27,MATCH($B22,Land_uses,0)))</f>
        <v>0</v>
      </c>
      <c r="E22" s="160"/>
      <c r="F22" s="53">
        <f t="shared" si="2"/>
        <v>0</v>
      </c>
      <c r="G22" s="162"/>
      <c r="H22" s="160"/>
      <c r="I22" s="163"/>
    </row>
    <row r="23" spans="1:9" x14ac:dyDescent="0.3">
      <c r="A23" s="144">
        <f t="shared" si="1"/>
        <v>21</v>
      </c>
      <c r="B23" s="160"/>
      <c r="C23" s="53">
        <f>IF(ISBLANK($B23),0,INDEX(Criteria!$B$22:$B$27,MATCH($B23,Land_uses,0)))</f>
        <v>0</v>
      </c>
      <c r="D23" s="40">
        <f>IF(ISBLANK($B23),0,INDEX(Criteria!$C$22:$C$27,MATCH($B23,Land_uses,0)))</f>
        <v>0</v>
      </c>
      <c r="E23" s="160"/>
      <c r="F23" s="53">
        <f t="shared" si="2"/>
        <v>0</v>
      </c>
      <c r="G23" s="162"/>
      <c r="H23" s="160"/>
      <c r="I23" s="163"/>
    </row>
    <row r="24" spans="1:9" x14ac:dyDescent="0.3">
      <c r="A24" s="144">
        <f t="shared" si="1"/>
        <v>22</v>
      </c>
      <c r="B24" s="160"/>
      <c r="C24" s="53">
        <f>IF(ISBLANK($B24),0,INDEX(Criteria!$B$22:$B$27,MATCH($B24,Land_uses,0)))</f>
        <v>0</v>
      </c>
      <c r="D24" s="40">
        <f>IF(ISBLANK($B24),0,INDEX(Criteria!$C$22:$C$27,MATCH($B24,Land_uses,0)))</f>
        <v>0</v>
      </c>
      <c r="E24" s="160"/>
      <c r="F24" s="53">
        <f t="shared" si="2"/>
        <v>0</v>
      </c>
      <c r="G24" s="162"/>
      <c r="H24" s="160"/>
      <c r="I24" s="163"/>
    </row>
    <row r="25" spans="1:9" x14ac:dyDescent="0.3">
      <c r="A25" s="144">
        <f t="shared" si="1"/>
        <v>23</v>
      </c>
      <c r="B25" s="160"/>
      <c r="C25" s="53">
        <f>IF(ISBLANK($B25),0,INDEX(Criteria!$B$22:$B$27,MATCH($B25,Land_uses,0)))</f>
        <v>0</v>
      </c>
      <c r="D25" s="40">
        <f>IF(ISBLANK($B25),0,INDEX(Criteria!$C$22:$C$27,MATCH($B25,Land_uses,0)))</f>
        <v>0</v>
      </c>
      <c r="E25" s="160"/>
      <c r="F25" s="53">
        <f t="shared" si="2"/>
        <v>0</v>
      </c>
      <c r="G25" s="162"/>
      <c r="H25" s="160"/>
      <c r="I25" s="163"/>
    </row>
    <row r="26" spans="1:9" x14ac:dyDescent="0.3">
      <c r="A26" s="144">
        <f t="shared" si="1"/>
        <v>24</v>
      </c>
      <c r="B26" s="160"/>
      <c r="C26" s="53">
        <f>IF(ISBLANK($B26),0,INDEX(Criteria!$B$22:$B$27,MATCH($B26,Land_uses,0)))</f>
        <v>0</v>
      </c>
      <c r="D26" s="40">
        <f>IF(ISBLANK($B26),0,INDEX(Criteria!$C$22:$C$27,MATCH($B26,Land_uses,0)))</f>
        <v>0</v>
      </c>
      <c r="E26" s="160"/>
      <c r="F26" s="53">
        <f t="shared" si="2"/>
        <v>0</v>
      </c>
      <c r="G26" s="162"/>
      <c r="H26" s="160"/>
      <c r="I26" s="163"/>
    </row>
    <row r="27" spans="1:9" x14ac:dyDescent="0.3">
      <c r="A27" s="144">
        <f t="shared" si="1"/>
        <v>25</v>
      </c>
      <c r="B27" s="160"/>
      <c r="C27" s="53">
        <f>IF(ISBLANK($B27),0,INDEX(Criteria!$B$22:$B$27,MATCH($B27,Land_uses,0)))</f>
        <v>0</v>
      </c>
      <c r="D27" s="40">
        <f>IF(ISBLANK($B27),0,INDEX(Criteria!$C$22:$C$27,MATCH($B27,Land_uses,0)))</f>
        <v>0</v>
      </c>
      <c r="E27" s="160"/>
      <c r="F27" s="53">
        <f t="shared" si="2"/>
        <v>0</v>
      </c>
      <c r="G27" s="162"/>
      <c r="H27" s="160"/>
      <c r="I27" s="163"/>
    </row>
    <row r="28" spans="1:9" x14ac:dyDescent="0.3">
      <c r="A28" s="144">
        <f t="shared" si="1"/>
        <v>26</v>
      </c>
      <c r="B28" s="160"/>
      <c r="C28" s="53">
        <f>IF(ISBLANK($B28),0,INDEX(Criteria!$B$22:$B$27,MATCH($B28,Land_uses,0)))</f>
        <v>0</v>
      </c>
      <c r="D28" s="40">
        <f>IF(ISBLANK($B28),0,INDEX(Criteria!$C$22:$C$27,MATCH($B28,Land_uses,0)))</f>
        <v>0</v>
      </c>
      <c r="E28" s="160"/>
      <c r="F28" s="53">
        <f t="shared" si="2"/>
        <v>0</v>
      </c>
      <c r="G28" s="162"/>
      <c r="H28" s="160"/>
      <c r="I28" s="163"/>
    </row>
    <row r="29" spans="1:9" x14ac:dyDescent="0.3">
      <c r="A29" s="144">
        <f t="shared" si="1"/>
        <v>27</v>
      </c>
      <c r="B29" s="160"/>
      <c r="C29" s="53">
        <f>IF(ISBLANK($B29),0,INDEX(Criteria!$B$22:$B$27,MATCH($B29,Land_uses,0)))</f>
        <v>0</v>
      </c>
      <c r="D29" s="40">
        <f>IF(ISBLANK($B29),0,INDEX(Criteria!$C$22:$C$27,MATCH($B29,Land_uses,0)))</f>
        <v>0</v>
      </c>
      <c r="E29" s="160"/>
      <c r="F29" s="53">
        <f t="shared" si="2"/>
        <v>0</v>
      </c>
      <c r="G29" s="162"/>
      <c r="H29" s="160"/>
      <c r="I29" s="163"/>
    </row>
    <row r="30" spans="1:9" x14ac:dyDescent="0.3">
      <c r="A30" s="144">
        <f t="shared" si="1"/>
        <v>28</v>
      </c>
      <c r="B30" s="160"/>
      <c r="C30" s="53">
        <f>IF(ISBLANK($B30),0,INDEX(Criteria!$B$22:$B$27,MATCH($B30,Land_uses,0)))</f>
        <v>0</v>
      </c>
      <c r="D30" s="40">
        <f>IF(ISBLANK($B30),0,INDEX(Criteria!$C$22:$C$27,MATCH($B30,Land_uses,0)))</f>
        <v>0</v>
      </c>
      <c r="E30" s="160"/>
      <c r="F30" s="53">
        <f t="shared" si="2"/>
        <v>0</v>
      </c>
      <c r="G30" s="162"/>
      <c r="H30" s="160"/>
      <c r="I30" s="163"/>
    </row>
    <row r="31" spans="1:9" x14ac:dyDescent="0.3">
      <c r="A31" s="144">
        <f t="shared" si="1"/>
        <v>29</v>
      </c>
      <c r="B31" s="160"/>
      <c r="C31" s="53">
        <f>IF(ISBLANK($B31),0,INDEX(Criteria!$B$22:$B$27,MATCH($B31,Land_uses,0)))</f>
        <v>0</v>
      </c>
      <c r="D31" s="40">
        <f>IF(ISBLANK($B31),0,INDEX(Criteria!$C$22:$C$27,MATCH($B31,Land_uses,0)))</f>
        <v>0</v>
      </c>
      <c r="E31" s="160"/>
      <c r="F31" s="53">
        <f t="shared" si="2"/>
        <v>0</v>
      </c>
      <c r="G31" s="162"/>
      <c r="H31" s="160"/>
      <c r="I31" s="163"/>
    </row>
    <row r="32" spans="1:9" x14ac:dyDescent="0.3">
      <c r="A32" s="144">
        <f t="shared" si="1"/>
        <v>30</v>
      </c>
      <c r="B32" s="160"/>
      <c r="C32" s="53">
        <f>IF(ISBLANK($B32),0,INDEX(Criteria!$B$22:$B$27,MATCH($B32,Land_uses,0)))</f>
        <v>0</v>
      </c>
      <c r="D32" s="40">
        <f>IF(ISBLANK($B32),0,INDEX(Criteria!$C$22:$C$27,MATCH($B32,Land_uses,0)))</f>
        <v>0</v>
      </c>
      <c r="E32" s="160"/>
      <c r="F32" s="53">
        <f t="shared" si="2"/>
        <v>0</v>
      </c>
      <c r="G32" s="162"/>
      <c r="H32" s="160"/>
      <c r="I32" s="163"/>
    </row>
    <row r="33" spans="1:9" x14ac:dyDescent="0.3">
      <c r="A33" s="144">
        <f t="shared" si="1"/>
        <v>31</v>
      </c>
      <c r="B33" s="160"/>
      <c r="C33" s="53">
        <f>IF(ISBLANK($B33),0,INDEX(Criteria!$B$22:$B$27,MATCH($B33,Land_uses,0)))</f>
        <v>0</v>
      </c>
      <c r="D33" s="40">
        <f>IF(ISBLANK($B33),0,INDEX(Criteria!$C$22:$C$27,MATCH($B33,Land_uses,0)))</f>
        <v>0</v>
      </c>
      <c r="E33" s="160"/>
      <c r="F33" s="53">
        <f t="shared" si="2"/>
        <v>0</v>
      </c>
      <c r="G33" s="162"/>
      <c r="H33" s="160"/>
      <c r="I33" s="163"/>
    </row>
    <row r="34" spans="1:9" x14ac:dyDescent="0.3">
      <c r="A34" s="144">
        <f t="shared" si="1"/>
        <v>32</v>
      </c>
      <c r="B34" s="160"/>
      <c r="C34" s="53">
        <f>IF(ISBLANK($B34),0,INDEX(Criteria!$B$22:$B$27,MATCH($B34,Land_uses,0)))</f>
        <v>0</v>
      </c>
      <c r="D34" s="40">
        <f>IF(ISBLANK($B34),0,INDEX(Criteria!$C$22:$C$27,MATCH($B34,Land_uses,0)))</f>
        <v>0</v>
      </c>
      <c r="E34" s="160"/>
      <c r="F34" s="53">
        <f t="shared" si="2"/>
        <v>0</v>
      </c>
      <c r="G34" s="162"/>
      <c r="H34" s="160"/>
      <c r="I34" s="163"/>
    </row>
    <row r="35" spans="1:9" x14ac:dyDescent="0.3">
      <c r="A35" s="144">
        <f t="shared" si="1"/>
        <v>33</v>
      </c>
      <c r="B35" s="160"/>
      <c r="C35" s="53">
        <f>IF(ISBLANK($B35),0,INDEX(Criteria!$B$22:$B$27,MATCH($B35,Land_uses,0)))</f>
        <v>0</v>
      </c>
      <c r="D35" s="40">
        <f>IF(ISBLANK($B35),0,INDEX(Criteria!$C$22:$C$27,MATCH($B35,Land_uses,0)))</f>
        <v>0</v>
      </c>
      <c r="E35" s="160"/>
      <c r="F35" s="53">
        <f t="shared" si="2"/>
        <v>0</v>
      </c>
      <c r="G35" s="162"/>
      <c r="H35" s="160"/>
      <c r="I35" s="163"/>
    </row>
    <row r="36" spans="1:9" x14ac:dyDescent="0.3">
      <c r="A36" s="144">
        <f t="shared" si="1"/>
        <v>34</v>
      </c>
      <c r="B36" s="160"/>
      <c r="C36" s="53">
        <f>IF(ISBLANK($B36),0,INDEX(Criteria!$B$22:$B$27,MATCH($B36,Land_uses,0)))</f>
        <v>0</v>
      </c>
      <c r="D36" s="40">
        <f>IF(ISBLANK($B36),0,INDEX(Criteria!$C$22:$C$27,MATCH($B36,Land_uses,0)))</f>
        <v>0</v>
      </c>
      <c r="E36" s="160"/>
      <c r="F36" s="53">
        <f t="shared" si="2"/>
        <v>0</v>
      </c>
      <c r="G36" s="162"/>
      <c r="H36" s="160"/>
      <c r="I36" s="163"/>
    </row>
    <row r="37" spans="1:9" x14ac:dyDescent="0.3">
      <c r="A37" s="144">
        <f t="shared" si="1"/>
        <v>35</v>
      </c>
      <c r="B37" s="160"/>
      <c r="C37" s="53">
        <f>IF(ISBLANK($B37),0,INDEX(Criteria!$B$22:$B$27,MATCH($B37,Land_uses,0)))</f>
        <v>0</v>
      </c>
      <c r="D37" s="40">
        <f>IF(ISBLANK($B37),0,INDEX(Criteria!$C$22:$C$27,MATCH($B37,Land_uses,0)))</f>
        <v>0</v>
      </c>
      <c r="E37" s="160"/>
      <c r="F37" s="53">
        <f t="shared" si="2"/>
        <v>0</v>
      </c>
      <c r="G37" s="162"/>
      <c r="H37" s="160"/>
      <c r="I37" s="163"/>
    </row>
    <row r="38" spans="1:9" x14ac:dyDescent="0.3">
      <c r="A38" s="144">
        <f t="shared" si="1"/>
        <v>36</v>
      </c>
      <c r="B38" s="160"/>
      <c r="C38" s="53">
        <f>IF(ISBLANK($B38),0,INDEX(Criteria!$B$22:$B$27,MATCH($B38,Land_uses,0)))</f>
        <v>0</v>
      </c>
      <c r="D38" s="40">
        <f>IF(ISBLANK($B38),0,INDEX(Criteria!$C$22:$C$27,MATCH($B38,Land_uses,0)))</f>
        <v>0</v>
      </c>
      <c r="E38" s="160"/>
      <c r="F38" s="53">
        <f t="shared" si="2"/>
        <v>0</v>
      </c>
      <c r="G38" s="162"/>
      <c r="H38" s="160"/>
      <c r="I38" s="163"/>
    </row>
    <row r="39" spans="1:9" x14ac:dyDescent="0.3">
      <c r="A39" s="144">
        <f t="shared" si="1"/>
        <v>37</v>
      </c>
      <c r="B39" s="160"/>
      <c r="C39" s="53">
        <f>IF(ISBLANK($B39),0,INDEX(Criteria!$B$22:$B$27,MATCH($B39,Land_uses,0)))</f>
        <v>0</v>
      </c>
      <c r="D39" s="40">
        <f>IF(ISBLANK($B39),0,INDEX(Criteria!$C$22:$C$27,MATCH($B39,Land_uses,0)))</f>
        <v>0</v>
      </c>
      <c r="E39" s="160"/>
      <c r="F39" s="53">
        <f t="shared" si="2"/>
        <v>0</v>
      </c>
      <c r="G39" s="162"/>
      <c r="H39" s="160"/>
      <c r="I39" s="163"/>
    </row>
    <row r="40" spans="1:9" x14ac:dyDescent="0.3">
      <c r="A40" s="144">
        <f t="shared" si="1"/>
        <v>38</v>
      </c>
      <c r="B40" s="160"/>
      <c r="C40" s="53">
        <f>IF(ISBLANK($B40),0,INDEX(Criteria!$B$22:$B$27,MATCH($B40,Land_uses,0)))</f>
        <v>0</v>
      </c>
      <c r="D40" s="40">
        <f>IF(ISBLANK($B40),0,INDEX(Criteria!$C$22:$C$27,MATCH($B40,Land_uses,0)))</f>
        <v>0</v>
      </c>
      <c r="E40" s="160"/>
      <c r="F40" s="53">
        <f t="shared" si="2"/>
        <v>0</v>
      </c>
      <c r="G40" s="162"/>
      <c r="H40" s="160"/>
      <c r="I40" s="163"/>
    </row>
    <row r="41" spans="1:9" x14ac:dyDescent="0.3">
      <c r="A41" s="144">
        <f t="shared" si="1"/>
        <v>39</v>
      </c>
      <c r="B41" s="160"/>
      <c r="C41" s="53">
        <f>IF(ISBLANK($B41),0,INDEX(Criteria!$B$22:$B$27,MATCH($B41,Land_uses,0)))</f>
        <v>0</v>
      </c>
      <c r="D41" s="40">
        <f>IF(ISBLANK($B41),0,INDEX(Criteria!$C$22:$C$27,MATCH($B41,Land_uses,0)))</f>
        <v>0</v>
      </c>
      <c r="E41" s="160"/>
      <c r="F41" s="53">
        <f t="shared" si="2"/>
        <v>0</v>
      </c>
      <c r="G41" s="162"/>
      <c r="H41" s="160"/>
      <c r="I41" s="163"/>
    </row>
    <row r="42" spans="1:9" x14ac:dyDescent="0.3">
      <c r="A42" s="144">
        <f t="shared" si="1"/>
        <v>40</v>
      </c>
      <c r="B42" s="160"/>
      <c r="C42" s="53">
        <f>IF(ISBLANK($B42),0,INDEX(Criteria!$B$22:$B$27,MATCH($B42,Land_uses,0)))</f>
        <v>0</v>
      </c>
      <c r="D42" s="40">
        <f>IF(ISBLANK($B42),0,INDEX(Criteria!$C$22:$C$27,MATCH($B42,Land_uses,0)))</f>
        <v>0</v>
      </c>
      <c r="E42" s="160"/>
      <c r="F42" s="53">
        <f t="shared" si="2"/>
        <v>0</v>
      </c>
      <c r="G42" s="162"/>
      <c r="H42" s="160"/>
      <c r="I42" s="163"/>
    </row>
    <row r="43" spans="1:9" x14ac:dyDescent="0.3">
      <c r="A43" s="144">
        <f t="shared" si="1"/>
        <v>41</v>
      </c>
      <c r="B43" s="160"/>
      <c r="C43" s="53">
        <f>IF(ISBLANK($B43),0,INDEX(Criteria!$B$22:$B$27,MATCH($B43,Land_uses,0)))</f>
        <v>0</v>
      </c>
      <c r="D43" s="40">
        <f>IF(ISBLANK($B43),0,INDEX(Criteria!$C$22:$C$27,MATCH($B43,Land_uses,0)))</f>
        <v>0</v>
      </c>
      <c r="E43" s="160"/>
      <c r="F43" s="53">
        <f t="shared" si="2"/>
        <v>0</v>
      </c>
      <c r="G43" s="162"/>
      <c r="H43" s="160"/>
      <c r="I43" s="163"/>
    </row>
    <row r="44" spans="1:9" x14ac:dyDescent="0.3">
      <c r="A44" s="144">
        <f t="shared" si="1"/>
        <v>42</v>
      </c>
      <c r="B44" s="160"/>
      <c r="C44" s="53">
        <f>IF(ISBLANK($B44),0,INDEX(Criteria!$B$22:$B$27,MATCH($B44,Land_uses,0)))</f>
        <v>0</v>
      </c>
      <c r="D44" s="40">
        <f>IF(ISBLANK($B44),0,INDEX(Criteria!$C$22:$C$27,MATCH($B44,Land_uses,0)))</f>
        <v>0</v>
      </c>
      <c r="E44" s="160"/>
      <c r="F44" s="53">
        <f t="shared" si="2"/>
        <v>0</v>
      </c>
      <c r="G44" s="162"/>
      <c r="H44" s="160"/>
      <c r="I44" s="163"/>
    </row>
    <row r="45" spans="1:9" x14ac:dyDescent="0.3">
      <c r="A45" s="144">
        <f t="shared" si="1"/>
        <v>43</v>
      </c>
      <c r="B45" s="160"/>
      <c r="C45" s="53">
        <f>IF(ISBLANK($B45),0,INDEX(Criteria!$B$22:$B$27,MATCH($B45,Land_uses,0)))</f>
        <v>0</v>
      </c>
      <c r="D45" s="40">
        <f>IF(ISBLANK($B45),0,INDEX(Criteria!$C$22:$C$27,MATCH($B45,Land_uses,0)))</f>
        <v>0</v>
      </c>
      <c r="E45" s="160"/>
      <c r="F45" s="53">
        <f t="shared" si="2"/>
        <v>0</v>
      </c>
      <c r="G45" s="162"/>
      <c r="H45" s="160"/>
      <c r="I45" s="163"/>
    </row>
    <row r="46" spans="1:9" x14ac:dyDescent="0.3">
      <c r="A46" s="144">
        <f t="shared" si="1"/>
        <v>44</v>
      </c>
      <c r="B46" s="160"/>
      <c r="C46" s="53">
        <f>IF(ISBLANK($B46),0,INDEX(Criteria!$B$22:$B$27,MATCH($B46,Land_uses,0)))</f>
        <v>0</v>
      </c>
      <c r="D46" s="40">
        <f>IF(ISBLANK($B46),0,INDEX(Criteria!$C$22:$C$27,MATCH($B46,Land_uses,0)))</f>
        <v>0</v>
      </c>
      <c r="E46" s="160"/>
      <c r="F46" s="53">
        <f t="shared" si="2"/>
        <v>0</v>
      </c>
      <c r="G46" s="162"/>
      <c r="H46" s="160"/>
      <c r="I46" s="163"/>
    </row>
    <row r="47" spans="1:9" x14ac:dyDescent="0.3">
      <c r="A47" s="144">
        <f t="shared" si="1"/>
        <v>45</v>
      </c>
      <c r="B47" s="160"/>
      <c r="C47" s="53">
        <f>IF(ISBLANK($B47),0,INDEX(Criteria!$B$22:$B$27,MATCH($B47,Land_uses,0)))</f>
        <v>0</v>
      </c>
      <c r="D47" s="40">
        <f>IF(ISBLANK($B47),0,INDEX(Criteria!$C$22:$C$27,MATCH($B47,Land_uses,0)))</f>
        <v>0</v>
      </c>
      <c r="E47" s="160"/>
      <c r="F47" s="53">
        <f t="shared" si="2"/>
        <v>0</v>
      </c>
      <c r="G47" s="162"/>
      <c r="H47" s="160"/>
      <c r="I47" s="163"/>
    </row>
    <row r="48" spans="1:9" x14ac:dyDescent="0.3">
      <c r="A48" s="144">
        <f t="shared" si="1"/>
        <v>46</v>
      </c>
      <c r="B48" s="160"/>
      <c r="C48" s="53">
        <f>IF(ISBLANK($B48),0,INDEX(Criteria!$B$22:$B$27,MATCH($B48,Land_uses,0)))</f>
        <v>0</v>
      </c>
      <c r="D48" s="40">
        <f>IF(ISBLANK($B48),0,INDEX(Criteria!$C$22:$C$27,MATCH($B48,Land_uses,0)))</f>
        <v>0</v>
      </c>
      <c r="E48" s="160"/>
      <c r="F48" s="53">
        <f t="shared" si="2"/>
        <v>0</v>
      </c>
      <c r="G48" s="162"/>
      <c r="H48" s="160"/>
      <c r="I48" s="163"/>
    </row>
    <row r="49" spans="1:9" x14ac:dyDescent="0.3">
      <c r="A49" s="144">
        <f t="shared" si="1"/>
        <v>47</v>
      </c>
      <c r="B49" s="160"/>
      <c r="C49" s="53">
        <f>IF(ISBLANK($B49),0,INDEX(Criteria!$B$22:$B$27,MATCH($B49,Land_uses,0)))</f>
        <v>0</v>
      </c>
      <c r="D49" s="40">
        <f>IF(ISBLANK($B49),0,INDEX(Criteria!$C$22:$C$27,MATCH($B49,Land_uses,0)))</f>
        <v>0</v>
      </c>
      <c r="E49" s="160"/>
      <c r="F49" s="53">
        <f t="shared" si="2"/>
        <v>0</v>
      </c>
      <c r="G49" s="162"/>
      <c r="H49" s="160"/>
      <c r="I49" s="163"/>
    </row>
    <row r="50" spans="1:9" x14ac:dyDescent="0.3">
      <c r="A50" s="144">
        <f t="shared" si="1"/>
        <v>48</v>
      </c>
      <c r="B50" s="160"/>
      <c r="C50" s="53">
        <f>IF(ISBLANK($B50),0,INDEX(Criteria!$B$22:$B$27,MATCH($B50,Land_uses,0)))</f>
        <v>0</v>
      </c>
      <c r="D50" s="40">
        <f>IF(ISBLANK($B50),0,INDEX(Criteria!$C$22:$C$27,MATCH($B50,Land_uses,0)))</f>
        <v>0</v>
      </c>
      <c r="E50" s="160"/>
      <c r="F50" s="53">
        <f t="shared" si="2"/>
        <v>0</v>
      </c>
      <c r="G50" s="162"/>
      <c r="H50" s="160"/>
      <c r="I50" s="163"/>
    </row>
    <row r="51" spans="1:9" x14ac:dyDescent="0.3">
      <c r="A51" s="144">
        <f t="shared" si="1"/>
        <v>49</v>
      </c>
      <c r="B51" s="160"/>
      <c r="C51" s="53">
        <f>IF(ISBLANK($B51),0,INDEX(Criteria!$B$22:$B$27,MATCH($B51,Land_uses,0)))</f>
        <v>0</v>
      </c>
      <c r="D51" s="40">
        <f>IF(ISBLANK($B51),0,INDEX(Criteria!$C$22:$C$27,MATCH($B51,Land_uses,0)))</f>
        <v>0</v>
      </c>
      <c r="E51" s="160"/>
      <c r="F51" s="53">
        <f t="shared" si="2"/>
        <v>0</v>
      </c>
      <c r="G51" s="162"/>
      <c r="H51" s="160"/>
      <c r="I51" s="163"/>
    </row>
    <row r="52" spans="1:9" x14ac:dyDescent="0.3">
      <c r="A52" s="144">
        <f t="shared" si="1"/>
        <v>50</v>
      </c>
      <c r="B52" s="160"/>
      <c r="C52" s="53">
        <f>IF(ISBLANK($B52),0,INDEX(Criteria!$B$22:$B$27,MATCH($B52,Land_uses,0)))</f>
        <v>0</v>
      </c>
      <c r="D52" s="40">
        <f>IF(ISBLANK($B52),0,INDEX(Criteria!$C$22:$C$27,MATCH($B52,Land_uses,0)))</f>
        <v>0</v>
      </c>
      <c r="E52" s="160"/>
      <c r="F52" s="53">
        <f t="shared" si="2"/>
        <v>0</v>
      </c>
      <c r="G52" s="162"/>
      <c r="H52" s="160"/>
      <c r="I52" s="163"/>
    </row>
    <row r="53" spans="1:9" x14ac:dyDescent="0.3">
      <c r="A53" s="144">
        <f t="shared" si="1"/>
        <v>51</v>
      </c>
      <c r="B53" s="160"/>
      <c r="C53" s="53">
        <f>IF(ISBLANK($B53),0,INDEX(Criteria!$B$22:$B$27,MATCH($B53,Land_uses,0)))</f>
        <v>0</v>
      </c>
      <c r="D53" s="40">
        <f>IF(ISBLANK($B53),0,INDEX(Criteria!$C$22:$C$27,MATCH($B53,Land_uses,0)))</f>
        <v>0</v>
      </c>
      <c r="E53" s="160"/>
      <c r="F53" s="53">
        <f t="shared" si="2"/>
        <v>0</v>
      </c>
      <c r="G53" s="162"/>
      <c r="H53" s="160"/>
      <c r="I53" s="163"/>
    </row>
    <row r="54" spans="1:9" x14ac:dyDescent="0.3">
      <c r="A54" s="144">
        <f t="shared" si="1"/>
        <v>52</v>
      </c>
      <c r="B54" s="160"/>
      <c r="C54" s="53">
        <f>IF(ISBLANK($B54),0,INDEX(Criteria!$B$22:$B$27,MATCH($B54,Land_uses,0)))</f>
        <v>0</v>
      </c>
      <c r="D54" s="40">
        <f>IF(ISBLANK($B54),0,INDEX(Criteria!$C$22:$C$27,MATCH($B54,Land_uses,0)))</f>
        <v>0</v>
      </c>
      <c r="E54" s="160"/>
      <c r="F54" s="53">
        <f t="shared" si="2"/>
        <v>0</v>
      </c>
      <c r="G54" s="162"/>
      <c r="H54" s="160"/>
      <c r="I54" s="163"/>
    </row>
    <row r="55" spans="1:9" x14ac:dyDescent="0.3">
      <c r="A55" s="144">
        <f t="shared" si="1"/>
        <v>53</v>
      </c>
      <c r="B55" s="160"/>
      <c r="C55" s="53">
        <f>IF(ISBLANK($B55),0,INDEX(Criteria!$B$22:$B$27,MATCH($B55,Land_uses,0)))</f>
        <v>0</v>
      </c>
      <c r="D55" s="40">
        <f>IF(ISBLANK($B55),0,INDEX(Criteria!$C$22:$C$27,MATCH($B55,Land_uses,0)))</f>
        <v>0</v>
      </c>
      <c r="E55" s="160"/>
      <c r="F55" s="53">
        <f t="shared" si="2"/>
        <v>0</v>
      </c>
      <c r="G55" s="162"/>
      <c r="H55" s="160"/>
      <c r="I55" s="163"/>
    </row>
    <row r="56" spans="1:9" x14ac:dyDescent="0.3">
      <c r="A56" s="144">
        <f t="shared" si="1"/>
        <v>54</v>
      </c>
      <c r="B56" s="160"/>
      <c r="C56" s="53">
        <f>IF(ISBLANK($B56),0,INDEX(Criteria!$B$22:$B$27,MATCH($B56,Land_uses,0)))</f>
        <v>0</v>
      </c>
      <c r="D56" s="40">
        <f>IF(ISBLANK($B56),0,INDEX(Criteria!$C$22:$C$27,MATCH($B56,Land_uses,0)))</f>
        <v>0</v>
      </c>
      <c r="E56" s="160"/>
      <c r="F56" s="53">
        <f t="shared" si="2"/>
        <v>0</v>
      </c>
      <c r="G56" s="162"/>
      <c r="H56" s="160"/>
      <c r="I56" s="163"/>
    </row>
    <row r="57" spans="1:9" x14ac:dyDescent="0.3">
      <c r="A57" s="144">
        <f t="shared" si="1"/>
        <v>55</v>
      </c>
      <c r="B57" s="160"/>
      <c r="C57" s="53">
        <f>IF(ISBLANK($B57),0,INDEX(Criteria!$B$22:$B$27,MATCH($B57,Land_uses,0)))</f>
        <v>0</v>
      </c>
      <c r="D57" s="40">
        <f>IF(ISBLANK($B57),0,INDEX(Criteria!$C$22:$C$27,MATCH($B57,Land_uses,0)))</f>
        <v>0</v>
      </c>
      <c r="E57" s="160"/>
      <c r="F57" s="53">
        <f t="shared" si="2"/>
        <v>0</v>
      </c>
      <c r="G57" s="162"/>
      <c r="H57" s="160"/>
      <c r="I57" s="163"/>
    </row>
    <row r="58" spans="1:9" x14ac:dyDescent="0.3">
      <c r="A58" s="144">
        <f t="shared" si="1"/>
        <v>56</v>
      </c>
      <c r="B58" s="160"/>
      <c r="C58" s="53">
        <f>IF(ISBLANK($B58),0,INDEX(Criteria!$B$22:$B$27,MATCH($B58,Land_uses,0)))</f>
        <v>0</v>
      </c>
      <c r="D58" s="40">
        <f>IF(ISBLANK($B58),0,INDEX(Criteria!$C$22:$C$27,MATCH($B58,Land_uses,0)))</f>
        <v>0</v>
      </c>
      <c r="E58" s="160"/>
      <c r="F58" s="53">
        <f t="shared" si="2"/>
        <v>0</v>
      </c>
      <c r="G58" s="162"/>
      <c r="H58" s="160"/>
      <c r="I58" s="163"/>
    </row>
    <row r="59" spans="1:9" x14ac:dyDescent="0.3">
      <c r="A59" s="144">
        <f t="shared" si="1"/>
        <v>57</v>
      </c>
      <c r="B59" s="160"/>
      <c r="C59" s="53">
        <f>IF(ISBLANK($B59),0,INDEX(Criteria!$B$22:$B$27,MATCH($B59,Land_uses,0)))</f>
        <v>0</v>
      </c>
      <c r="D59" s="40">
        <f>IF(ISBLANK($B59),0,INDEX(Criteria!$C$22:$C$27,MATCH($B59,Land_uses,0)))</f>
        <v>0</v>
      </c>
      <c r="E59" s="160"/>
      <c r="F59" s="53">
        <f t="shared" si="2"/>
        <v>0</v>
      </c>
      <c r="G59" s="162"/>
      <c r="H59" s="160"/>
      <c r="I59" s="163"/>
    </row>
    <row r="60" spans="1:9" x14ac:dyDescent="0.3">
      <c r="A60" s="144">
        <f t="shared" si="1"/>
        <v>58</v>
      </c>
      <c r="B60" s="160"/>
      <c r="C60" s="53">
        <f>IF(ISBLANK($B60),0,INDEX(Criteria!$B$22:$B$27,MATCH($B60,Land_uses,0)))</f>
        <v>0</v>
      </c>
      <c r="D60" s="40">
        <f>IF(ISBLANK($B60),0,INDEX(Criteria!$C$22:$C$27,MATCH($B60,Land_uses,0)))</f>
        <v>0</v>
      </c>
      <c r="E60" s="160"/>
      <c r="F60" s="53">
        <f t="shared" si="2"/>
        <v>0</v>
      </c>
      <c r="G60" s="162"/>
      <c r="H60" s="160"/>
      <c r="I60" s="163"/>
    </row>
    <row r="61" spans="1:9" x14ac:dyDescent="0.3">
      <c r="A61" s="144">
        <f t="shared" si="1"/>
        <v>59</v>
      </c>
      <c r="B61" s="160"/>
      <c r="C61" s="53">
        <f>IF(ISBLANK($B61),0,INDEX(Criteria!$B$22:$B$27,MATCH($B61,Land_uses,0)))</f>
        <v>0</v>
      </c>
      <c r="D61" s="40">
        <f>IF(ISBLANK($B61),0,INDEX(Criteria!$C$22:$C$27,MATCH($B61,Land_uses,0)))</f>
        <v>0</v>
      </c>
      <c r="E61" s="160"/>
      <c r="F61" s="53">
        <f t="shared" si="2"/>
        <v>0</v>
      </c>
      <c r="G61" s="162"/>
      <c r="H61" s="160"/>
      <c r="I61" s="163"/>
    </row>
    <row r="62" spans="1:9" x14ac:dyDescent="0.3">
      <c r="A62" s="144">
        <f t="shared" si="1"/>
        <v>60</v>
      </c>
      <c r="B62" s="160"/>
      <c r="C62" s="53">
        <f>IF(ISBLANK($B62),0,INDEX(Criteria!$B$22:$B$27,MATCH($B62,Land_uses,0)))</f>
        <v>0</v>
      </c>
      <c r="D62" s="40">
        <f>IF(ISBLANK($B62),0,INDEX(Criteria!$C$22:$C$27,MATCH($B62,Land_uses,0)))</f>
        <v>0</v>
      </c>
      <c r="E62" s="160"/>
      <c r="F62" s="53">
        <f t="shared" si="2"/>
        <v>0</v>
      </c>
      <c r="G62" s="162"/>
      <c r="H62" s="160"/>
      <c r="I62" s="163"/>
    </row>
    <row r="63" spans="1:9" x14ac:dyDescent="0.3">
      <c r="A63" s="144">
        <f t="shared" si="1"/>
        <v>61</v>
      </c>
      <c r="B63" s="160"/>
      <c r="C63" s="53">
        <f>IF(ISBLANK($B63),0,INDEX(Criteria!$B$22:$B$27,MATCH($B63,Land_uses,0)))</f>
        <v>0</v>
      </c>
      <c r="D63" s="40">
        <f>IF(ISBLANK($B63),0,INDEX(Criteria!$C$22:$C$27,MATCH($B63,Land_uses,0)))</f>
        <v>0</v>
      </c>
      <c r="E63" s="160"/>
      <c r="F63" s="53">
        <f t="shared" si="2"/>
        <v>0</v>
      </c>
      <c r="G63" s="162"/>
      <c r="H63" s="160"/>
      <c r="I63" s="163"/>
    </row>
    <row r="64" spans="1:9" x14ac:dyDescent="0.3">
      <c r="A64" s="144">
        <f t="shared" si="1"/>
        <v>62</v>
      </c>
      <c r="B64" s="160"/>
      <c r="C64" s="53">
        <f>IF(ISBLANK($B64),0,INDEX(Criteria!$B$22:$B$27,MATCH($B64,Land_uses,0)))</f>
        <v>0</v>
      </c>
      <c r="D64" s="40">
        <f>IF(ISBLANK($B64),0,INDEX(Criteria!$C$22:$C$27,MATCH($B64,Land_uses,0)))</f>
        <v>0</v>
      </c>
      <c r="E64" s="160"/>
      <c r="F64" s="53">
        <f t="shared" si="2"/>
        <v>0</v>
      </c>
      <c r="G64" s="162"/>
      <c r="H64" s="160"/>
      <c r="I64" s="163"/>
    </row>
    <row r="65" spans="1:9" x14ac:dyDescent="0.3">
      <c r="A65" s="144">
        <f t="shared" si="1"/>
        <v>63</v>
      </c>
      <c r="B65" s="160"/>
      <c r="C65" s="53">
        <f>IF(ISBLANK($B65),0,INDEX(Criteria!$B$22:$B$27,MATCH($B65,Land_uses,0)))</f>
        <v>0</v>
      </c>
      <c r="D65" s="40">
        <f>IF(ISBLANK($B65),0,INDEX(Criteria!$C$22:$C$27,MATCH($B65,Land_uses,0)))</f>
        <v>0</v>
      </c>
      <c r="E65" s="160"/>
      <c r="F65" s="53">
        <f t="shared" si="2"/>
        <v>0</v>
      </c>
      <c r="G65" s="162"/>
      <c r="H65" s="160"/>
      <c r="I65" s="163"/>
    </row>
    <row r="66" spans="1:9" x14ac:dyDescent="0.3">
      <c r="A66" s="144">
        <f t="shared" si="1"/>
        <v>64</v>
      </c>
      <c r="B66" s="160"/>
      <c r="C66" s="53">
        <f>IF(ISBLANK($B66),0,INDEX(Criteria!$B$22:$B$27,MATCH($B66,Land_uses,0)))</f>
        <v>0</v>
      </c>
      <c r="D66" s="40">
        <f>IF(ISBLANK($B66),0,INDEX(Criteria!$C$22:$C$27,MATCH($B66,Land_uses,0)))</f>
        <v>0</v>
      </c>
      <c r="E66" s="160"/>
      <c r="F66" s="53">
        <f t="shared" si="2"/>
        <v>0</v>
      </c>
      <c r="G66" s="162"/>
      <c r="H66" s="160"/>
      <c r="I66" s="163"/>
    </row>
    <row r="67" spans="1:9" x14ac:dyDescent="0.3">
      <c r="A67" s="144">
        <f t="shared" si="1"/>
        <v>65</v>
      </c>
      <c r="B67" s="160"/>
      <c r="C67" s="53">
        <f>IF(ISBLANK($B67),0,INDEX(Criteria!$B$22:$B$27,MATCH($B67,Land_uses,0)))</f>
        <v>0</v>
      </c>
      <c r="D67" s="40">
        <f>IF(ISBLANK($B67),0,INDEX(Criteria!$C$22:$C$27,MATCH($B67,Land_uses,0)))</f>
        <v>0</v>
      </c>
      <c r="E67" s="160"/>
      <c r="F67" s="53">
        <f t="shared" si="2"/>
        <v>0</v>
      </c>
      <c r="G67" s="162"/>
      <c r="H67" s="160"/>
      <c r="I67" s="163"/>
    </row>
    <row r="68" spans="1:9" x14ac:dyDescent="0.3">
      <c r="A68" s="144">
        <f t="shared" si="1"/>
        <v>66</v>
      </c>
      <c r="B68" s="160"/>
      <c r="C68" s="53">
        <f>IF(ISBLANK($B68),0,INDEX(Criteria!$B$22:$B$27,MATCH($B68,Land_uses,0)))</f>
        <v>0</v>
      </c>
      <c r="D68" s="40">
        <f>IF(ISBLANK($B68),0,INDEX(Criteria!$C$22:$C$27,MATCH($B68,Land_uses,0)))</f>
        <v>0</v>
      </c>
      <c r="E68" s="160"/>
      <c r="F68" s="53">
        <f t="shared" si="2"/>
        <v>0</v>
      </c>
      <c r="G68" s="162"/>
      <c r="H68" s="160"/>
      <c r="I68" s="163"/>
    </row>
    <row r="69" spans="1:9" x14ac:dyDescent="0.3">
      <c r="A69" s="144">
        <f t="shared" ref="A69:A102" si="3">A68+1</f>
        <v>67</v>
      </c>
      <c r="B69" s="160"/>
      <c r="C69" s="53">
        <f>IF(ISBLANK($B69),0,INDEX(Criteria!$B$22:$B$27,MATCH($B69,Land_uses,0)))</f>
        <v>0</v>
      </c>
      <c r="D69" s="40">
        <f>IF(ISBLANK($B69),0,INDEX(Criteria!$C$22:$C$27,MATCH($B69,Land_uses,0)))</f>
        <v>0</v>
      </c>
      <c r="E69" s="160"/>
      <c r="F69" s="53">
        <f t="shared" si="2"/>
        <v>0</v>
      </c>
      <c r="G69" s="162"/>
      <c r="H69" s="160"/>
      <c r="I69" s="163"/>
    </row>
    <row r="70" spans="1:9" x14ac:dyDescent="0.3">
      <c r="A70" s="144">
        <f t="shared" si="3"/>
        <v>68</v>
      </c>
      <c r="B70" s="160"/>
      <c r="C70" s="53">
        <f>IF(ISBLANK($B70),0,INDEX(Criteria!$B$22:$B$27,MATCH($B70,Land_uses,0)))</f>
        <v>0</v>
      </c>
      <c r="D70" s="40">
        <f>IF(ISBLANK($B70),0,INDEX(Criteria!$C$22:$C$27,MATCH($B70,Land_uses,0)))</f>
        <v>0</v>
      </c>
      <c r="E70" s="160"/>
      <c r="F70" s="53">
        <f t="shared" si="2"/>
        <v>0</v>
      </c>
      <c r="G70" s="162"/>
      <c r="H70" s="160"/>
      <c r="I70" s="163"/>
    </row>
    <row r="71" spans="1:9" x14ac:dyDescent="0.3">
      <c r="A71" s="144">
        <f t="shared" si="3"/>
        <v>69</v>
      </c>
      <c r="B71" s="160"/>
      <c r="C71" s="53">
        <f>IF(ISBLANK($B71),0,INDEX(Criteria!$B$22:$B$27,MATCH($B71,Land_uses,0)))</f>
        <v>0</v>
      </c>
      <c r="D71" s="40">
        <f>IF(ISBLANK($B71),0,INDEX(Criteria!$C$22:$C$27,MATCH($B71,Land_uses,0)))</f>
        <v>0</v>
      </c>
      <c r="E71" s="160"/>
      <c r="F71" s="53">
        <f t="shared" si="2"/>
        <v>0</v>
      </c>
      <c r="G71" s="162"/>
      <c r="H71" s="160"/>
      <c r="I71" s="163"/>
    </row>
    <row r="72" spans="1:9" x14ac:dyDescent="0.3">
      <c r="A72" s="144">
        <f t="shared" si="3"/>
        <v>70</v>
      </c>
      <c r="B72" s="160"/>
      <c r="C72" s="53">
        <f>IF(ISBLANK($B72),0,INDEX(Criteria!$B$22:$B$27,MATCH($B72,Land_uses,0)))</f>
        <v>0</v>
      </c>
      <c r="D72" s="40">
        <f>IF(ISBLANK($B72),0,INDEX(Criteria!$C$22:$C$27,MATCH($B72,Land_uses,0)))</f>
        <v>0</v>
      </c>
      <c r="E72" s="160"/>
      <c r="F72" s="53">
        <f t="shared" si="2"/>
        <v>0</v>
      </c>
      <c r="G72" s="162"/>
      <c r="H72" s="160"/>
      <c r="I72" s="163"/>
    </row>
    <row r="73" spans="1:9" x14ac:dyDescent="0.3">
      <c r="A73" s="144">
        <f t="shared" si="3"/>
        <v>71</v>
      </c>
      <c r="B73" s="160"/>
      <c r="C73" s="53">
        <f>IF(ISBLANK($B73),0,INDEX(Criteria!$B$22:$B$27,MATCH($B73,Land_uses,0)))</f>
        <v>0</v>
      </c>
      <c r="D73" s="40">
        <f>IF(ISBLANK($B73),0,INDEX(Criteria!$C$22:$C$27,MATCH($B73,Land_uses,0)))</f>
        <v>0</v>
      </c>
      <c r="E73" s="160"/>
      <c r="F73" s="53">
        <f t="shared" ref="F73:F102" si="4">$E73/43560</f>
        <v>0</v>
      </c>
      <c r="G73" s="162"/>
      <c r="H73" s="160"/>
      <c r="I73" s="163"/>
    </row>
    <row r="74" spans="1:9" x14ac:dyDescent="0.3">
      <c r="A74" s="144">
        <f t="shared" si="3"/>
        <v>72</v>
      </c>
      <c r="B74" s="160"/>
      <c r="C74" s="53">
        <f>IF(ISBLANK($B74),0,INDEX(Criteria!$B$22:$B$27,MATCH($B74,Land_uses,0)))</f>
        <v>0</v>
      </c>
      <c r="D74" s="40">
        <f>IF(ISBLANK($B74),0,INDEX(Criteria!$C$22:$C$27,MATCH($B74,Land_uses,0)))</f>
        <v>0</v>
      </c>
      <c r="E74" s="160"/>
      <c r="F74" s="53">
        <f t="shared" si="4"/>
        <v>0</v>
      </c>
      <c r="G74" s="162"/>
      <c r="H74" s="160"/>
      <c r="I74" s="163"/>
    </row>
    <row r="75" spans="1:9" x14ac:dyDescent="0.3">
      <c r="A75" s="144">
        <f t="shared" si="3"/>
        <v>73</v>
      </c>
      <c r="B75" s="160"/>
      <c r="C75" s="53">
        <f>IF(ISBLANK($B75),0,INDEX(Criteria!$B$22:$B$27,MATCH($B75,Land_uses,0)))</f>
        <v>0</v>
      </c>
      <c r="D75" s="40">
        <f>IF(ISBLANK($B75),0,INDEX(Criteria!$C$22:$C$27,MATCH($B75,Land_uses,0)))</f>
        <v>0</v>
      </c>
      <c r="E75" s="160"/>
      <c r="F75" s="53">
        <f t="shared" si="4"/>
        <v>0</v>
      </c>
      <c r="G75" s="162"/>
      <c r="H75" s="160"/>
      <c r="I75" s="163"/>
    </row>
    <row r="76" spans="1:9" x14ac:dyDescent="0.3">
      <c r="A76" s="144">
        <f t="shared" si="3"/>
        <v>74</v>
      </c>
      <c r="B76" s="160"/>
      <c r="C76" s="53">
        <f>IF(ISBLANK($B76),0,INDEX(Criteria!$B$22:$B$27,MATCH($B76,Land_uses,0)))</f>
        <v>0</v>
      </c>
      <c r="D76" s="40">
        <f>IF(ISBLANK($B76),0,INDEX(Criteria!$C$22:$C$27,MATCH($B76,Land_uses,0)))</f>
        <v>0</v>
      </c>
      <c r="E76" s="160"/>
      <c r="F76" s="53">
        <f t="shared" si="4"/>
        <v>0</v>
      </c>
      <c r="G76" s="162"/>
      <c r="H76" s="160"/>
      <c r="I76" s="163"/>
    </row>
    <row r="77" spans="1:9" x14ac:dyDescent="0.3">
      <c r="A77" s="144">
        <f t="shared" si="3"/>
        <v>75</v>
      </c>
      <c r="B77" s="160"/>
      <c r="C77" s="53">
        <f>IF(ISBLANK($B77),0,INDEX(Criteria!$B$22:$B$27,MATCH($B77,Land_uses,0)))</f>
        <v>0</v>
      </c>
      <c r="D77" s="40">
        <f>IF(ISBLANK($B77),0,INDEX(Criteria!$C$22:$C$27,MATCH($B77,Land_uses,0)))</f>
        <v>0</v>
      </c>
      <c r="E77" s="160"/>
      <c r="F77" s="53">
        <f t="shared" si="4"/>
        <v>0</v>
      </c>
      <c r="G77" s="162"/>
      <c r="H77" s="160"/>
      <c r="I77" s="163"/>
    </row>
    <row r="78" spans="1:9" x14ac:dyDescent="0.3">
      <c r="A78" s="144">
        <f t="shared" si="3"/>
        <v>76</v>
      </c>
      <c r="B78" s="160"/>
      <c r="C78" s="53">
        <f>IF(ISBLANK($B78),0,INDEX(Criteria!$B$22:$B$27,MATCH($B78,Land_uses,0)))</f>
        <v>0</v>
      </c>
      <c r="D78" s="40">
        <f>IF(ISBLANK($B78),0,INDEX(Criteria!$C$22:$C$27,MATCH($B78,Land_uses,0)))</f>
        <v>0</v>
      </c>
      <c r="E78" s="160"/>
      <c r="F78" s="53">
        <f t="shared" si="4"/>
        <v>0</v>
      </c>
      <c r="G78" s="162"/>
      <c r="H78" s="160"/>
      <c r="I78" s="163"/>
    </row>
    <row r="79" spans="1:9" x14ac:dyDescent="0.3">
      <c r="A79" s="144">
        <f t="shared" si="3"/>
        <v>77</v>
      </c>
      <c r="B79" s="160"/>
      <c r="C79" s="53">
        <f>IF(ISBLANK($B79),0,INDEX(Criteria!$B$22:$B$27,MATCH($B79,Land_uses,0)))</f>
        <v>0</v>
      </c>
      <c r="D79" s="40">
        <f>IF(ISBLANK($B79),0,INDEX(Criteria!$C$22:$C$27,MATCH($B79,Land_uses,0)))</f>
        <v>0</v>
      </c>
      <c r="E79" s="160"/>
      <c r="F79" s="53">
        <f t="shared" si="4"/>
        <v>0</v>
      </c>
      <c r="G79" s="162"/>
      <c r="H79" s="160"/>
      <c r="I79" s="163"/>
    </row>
    <row r="80" spans="1:9" x14ac:dyDescent="0.3">
      <c r="A80" s="144">
        <f t="shared" si="3"/>
        <v>78</v>
      </c>
      <c r="B80" s="160"/>
      <c r="C80" s="53">
        <f>IF(ISBLANK($B80),0,INDEX(Criteria!$B$22:$B$27,MATCH($B80,Land_uses,0)))</f>
        <v>0</v>
      </c>
      <c r="D80" s="40">
        <f>IF(ISBLANK($B80),0,INDEX(Criteria!$C$22:$C$27,MATCH($B80,Land_uses,0)))</f>
        <v>0</v>
      </c>
      <c r="E80" s="160"/>
      <c r="F80" s="53">
        <f t="shared" si="4"/>
        <v>0</v>
      </c>
      <c r="G80" s="162"/>
      <c r="H80" s="160"/>
      <c r="I80" s="163"/>
    </row>
    <row r="81" spans="1:9" x14ac:dyDescent="0.3">
      <c r="A81" s="144">
        <f t="shared" si="3"/>
        <v>79</v>
      </c>
      <c r="B81" s="160"/>
      <c r="C81" s="53">
        <f>IF(ISBLANK($B81),0,INDEX(Criteria!$B$22:$B$27,MATCH($B81,Land_uses,0)))</f>
        <v>0</v>
      </c>
      <c r="D81" s="40">
        <f>IF(ISBLANK($B81),0,INDEX(Criteria!$C$22:$C$27,MATCH($B81,Land_uses,0)))</f>
        <v>0</v>
      </c>
      <c r="E81" s="160"/>
      <c r="F81" s="53">
        <f t="shared" si="4"/>
        <v>0</v>
      </c>
      <c r="G81" s="162"/>
      <c r="H81" s="160"/>
      <c r="I81" s="163"/>
    </row>
    <row r="82" spans="1:9" x14ac:dyDescent="0.3">
      <c r="A82" s="144">
        <f t="shared" si="3"/>
        <v>80</v>
      </c>
      <c r="B82" s="160"/>
      <c r="C82" s="53">
        <f>IF(ISBLANK($B82),0,INDEX(Criteria!$B$22:$B$27,MATCH($B82,Land_uses,0)))</f>
        <v>0</v>
      </c>
      <c r="D82" s="40">
        <f>IF(ISBLANK($B82),0,INDEX(Criteria!$C$22:$C$27,MATCH($B82,Land_uses,0)))</f>
        <v>0</v>
      </c>
      <c r="E82" s="160"/>
      <c r="F82" s="53">
        <f t="shared" si="4"/>
        <v>0</v>
      </c>
      <c r="G82" s="162"/>
      <c r="H82" s="160"/>
      <c r="I82" s="163"/>
    </row>
    <row r="83" spans="1:9" x14ac:dyDescent="0.3">
      <c r="A83" s="144">
        <f t="shared" si="3"/>
        <v>81</v>
      </c>
      <c r="B83" s="160"/>
      <c r="C83" s="53">
        <f>IF(ISBLANK($B83),0,INDEX(Criteria!$B$22:$B$27,MATCH($B83,Land_uses,0)))</f>
        <v>0</v>
      </c>
      <c r="D83" s="40">
        <f>IF(ISBLANK($B83),0,INDEX(Criteria!$C$22:$C$27,MATCH($B83,Land_uses,0)))</f>
        <v>0</v>
      </c>
      <c r="E83" s="160"/>
      <c r="F83" s="53">
        <f t="shared" si="4"/>
        <v>0</v>
      </c>
      <c r="G83" s="162"/>
      <c r="H83" s="160"/>
      <c r="I83" s="163"/>
    </row>
    <row r="84" spans="1:9" x14ac:dyDescent="0.3">
      <c r="A84" s="144">
        <f t="shared" si="3"/>
        <v>82</v>
      </c>
      <c r="B84" s="160"/>
      <c r="C84" s="53">
        <f>IF(ISBLANK($B84),0,INDEX(Criteria!$B$22:$B$27,MATCH($B84,Land_uses,0)))</f>
        <v>0</v>
      </c>
      <c r="D84" s="40">
        <f>IF(ISBLANK($B84),0,INDEX(Criteria!$C$22:$C$27,MATCH($B84,Land_uses,0)))</f>
        <v>0</v>
      </c>
      <c r="E84" s="160"/>
      <c r="F84" s="53">
        <f t="shared" si="4"/>
        <v>0</v>
      </c>
      <c r="G84" s="162"/>
      <c r="H84" s="160"/>
      <c r="I84" s="163"/>
    </row>
    <row r="85" spans="1:9" x14ac:dyDescent="0.3">
      <c r="A85" s="144">
        <f t="shared" si="3"/>
        <v>83</v>
      </c>
      <c r="B85" s="160"/>
      <c r="C85" s="53">
        <f>IF(ISBLANK($B85),0,INDEX(Criteria!$B$22:$B$27,MATCH($B85,Land_uses,0)))</f>
        <v>0</v>
      </c>
      <c r="D85" s="40">
        <f>IF(ISBLANK($B85),0,INDEX(Criteria!$C$22:$C$27,MATCH($B85,Land_uses,0)))</f>
        <v>0</v>
      </c>
      <c r="E85" s="160"/>
      <c r="F85" s="53">
        <f t="shared" si="4"/>
        <v>0</v>
      </c>
      <c r="G85" s="162"/>
      <c r="H85" s="160"/>
      <c r="I85" s="163"/>
    </row>
    <row r="86" spans="1:9" x14ac:dyDescent="0.3">
      <c r="A86" s="144">
        <f t="shared" si="3"/>
        <v>84</v>
      </c>
      <c r="B86" s="160"/>
      <c r="C86" s="53">
        <f>IF(ISBLANK($B86),0,INDEX(Criteria!$B$22:$B$27,MATCH($B86,Land_uses,0)))</f>
        <v>0</v>
      </c>
      <c r="D86" s="40">
        <f>IF(ISBLANK($B86),0,INDEX(Criteria!$C$22:$C$27,MATCH($B86,Land_uses,0)))</f>
        <v>0</v>
      </c>
      <c r="E86" s="160"/>
      <c r="F86" s="53">
        <f t="shared" si="4"/>
        <v>0</v>
      </c>
      <c r="G86" s="162"/>
      <c r="H86" s="160"/>
      <c r="I86" s="163"/>
    </row>
    <row r="87" spans="1:9" x14ac:dyDescent="0.3">
      <c r="A87" s="144">
        <f t="shared" si="3"/>
        <v>85</v>
      </c>
      <c r="B87" s="160"/>
      <c r="C87" s="53">
        <f>IF(ISBLANK($B87),0,INDEX(Criteria!$B$22:$B$27,MATCH($B87,Land_uses,0)))</f>
        <v>0</v>
      </c>
      <c r="D87" s="40">
        <f>IF(ISBLANK($B87),0,INDEX(Criteria!$C$22:$C$27,MATCH($B87,Land_uses,0)))</f>
        <v>0</v>
      </c>
      <c r="E87" s="160"/>
      <c r="F87" s="53">
        <f t="shared" si="4"/>
        <v>0</v>
      </c>
      <c r="G87" s="162"/>
      <c r="H87" s="160"/>
      <c r="I87" s="163"/>
    </row>
    <row r="88" spans="1:9" x14ac:dyDescent="0.3">
      <c r="A88" s="144">
        <f t="shared" si="3"/>
        <v>86</v>
      </c>
      <c r="B88" s="160"/>
      <c r="C88" s="53">
        <f>IF(ISBLANK($B88),0,INDEX(Criteria!$B$22:$B$27,MATCH($B88,Land_uses,0)))</f>
        <v>0</v>
      </c>
      <c r="D88" s="40">
        <f>IF(ISBLANK($B88),0,INDEX(Criteria!$C$22:$C$27,MATCH($B88,Land_uses,0)))</f>
        <v>0</v>
      </c>
      <c r="E88" s="160"/>
      <c r="F88" s="53">
        <f t="shared" si="4"/>
        <v>0</v>
      </c>
      <c r="G88" s="162"/>
      <c r="H88" s="160"/>
      <c r="I88" s="163"/>
    </row>
    <row r="89" spans="1:9" x14ac:dyDescent="0.3">
      <c r="A89" s="144">
        <f t="shared" si="3"/>
        <v>87</v>
      </c>
      <c r="B89" s="160"/>
      <c r="C89" s="53">
        <f>IF(ISBLANK($B89),0,INDEX(Criteria!$B$22:$B$27,MATCH($B89,Land_uses,0)))</f>
        <v>0</v>
      </c>
      <c r="D89" s="40">
        <f>IF(ISBLANK($B89),0,INDEX(Criteria!$C$22:$C$27,MATCH($B89,Land_uses,0)))</f>
        <v>0</v>
      </c>
      <c r="E89" s="160"/>
      <c r="F89" s="53">
        <f t="shared" si="4"/>
        <v>0</v>
      </c>
      <c r="G89" s="162"/>
      <c r="H89" s="160"/>
      <c r="I89" s="163"/>
    </row>
    <row r="90" spans="1:9" x14ac:dyDescent="0.3">
      <c r="A90" s="144">
        <f t="shared" si="3"/>
        <v>88</v>
      </c>
      <c r="B90" s="160"/>
      <c r="C90" s="53">
        <f>IF(ISBLANK($B90),0,INDEX(Criteria!$B$22:$B$27,MATCH($B90,Land_uses,0)))</f>
        <v>0</v>
      </c>
      <c r="D90" s="40">
        <f>IF(ISBLANK($B90),0,INDEX(Criteria!$C$22:$C$27,MATCH($B90,Land_uses,0)))</f>
        <v>0</v>
      </c>
      <c r="E90" s="160"/>
      <c r="F90" s="53">
        <f t="shared" si="4"/>
        <v>0</v>
      </c>
      <c r="G90" s="162"/>
      <c r="H90" s="160"/>
      <c r="I90" s="163"/>
    </row>
    <row r="91" spans="1:9" x14ac:dyDescent="0.3">
      <c r="A91" s="144">
        <f t="shared" si="3"/>
        <v>89</v>
      </c>
      <c r="B91" s="160"/>
      <c r="C91" s="53">
        <f>IF(ISBLANK($B91),0,INDEX(Criteria!$B$22:$B$27,MATCH($B91,Land_uses,0)))</f>
        <v>0</v>
      </c>
      <c r="D91" s="40">
        <f>IF(ISBLANK($B91),0,INDEX(Criteria!$C$22:$C$27,MATCH($B91,Land_uses,0)))</f>
        <v>0</v>
      </c>
      <c r="E91" s="160"/>
      <c r="F91" s="53">
        <f t="shared" si="4"/>
        <v>0</v>
      </c>
      <c r="G91" s="162"/>
      <c r="H91" s="160"/>
      <c r="I91" s="163"/>
    </row>
    <row r="92" spans="1:9" x14ac:dyDescent="0.3">
      <c r="A92" s="144">
        <f t="shared" si="3"/>
        <v>90</v>
      </c>
      <c r="B92" s="160"/>
      <c r="C92" s="53">
        <f>IF(ISBLANK($B92),0,INDEX(Criteria!$B$22:$B$27,MATCH($B92,Land_uses,0)))</f>
        <v>0</v>
      </c>
      <c r="D92" s="40">
        <f>IF(ISBLANK($B92),0,INDEX(Criteria!$C$22:$C$27,MATCH($B92,Land_uses,0)))</f>
        <v>0</v>
      </c>
      <c r="E92" s="160"/>
      <c r="F92" s="53">
        <f t="shared" si="4"/>
        <v>0</v>
      </c>
      <c r="G92" s="162"/>
      <c r="H92" s="160"/>
      <c r="I92" s="163"/>
    </row>
    <row r="93" spans="1:9" x14ac:dyDescent="0.3">
      <c r="A93" s="144">
        <f t="shared" si="3"/>
        <v>91</v>
      </c>
      <c r="B93" s="160"/>
      <c r="C93" s="53">
        <f>IF(ISBLANK($B93),0,INDEX(Criteria!$B$22:$B$27,MATCH($B93,Land_uses,0)))</f>
        <v>0</v>
      </c>
      <c r="D93" s="40">
        <f>IF(ISBLANK($B93),0,INDEX(Criteria!$C$22:$C$27,MATCH($B93,Land_uses,0)))</f>
        <v>0</v>
      </c>
      <c r="E93" s="160"/>
      <c r="F93" s="53">
        <f t="shared" si="4"/>
        <v>0</v>
      </c>
      <c r="G93" s="162"/>
      <c r="H93" s="160"/>
      <c r="I93" s="163"/>
    </row>
    <row r="94" spans="1:9" x14ac:dyDescent="0.3">
      <c r="A94" s="144">
        <f t="shared" si="3"/>
        <v>92</v>
      </c>
      <c r="B94" s="160"/>
      <c r="C94" s="53">
        <f>IF(ISBLANK($B94),0,INDEX(Criteria!$B$22:$B$27,MATCH($B94,Land_uses,0)))</f>
        <v>0</v>
      </c>
      <c r="D94" s="40">
        <f>IF(ISBLANK($B94),0,INDEX(Criteria!$C$22:$C$27,MATCH($B94,Land_uses,0)))</f>
        <v>0</v>
      </c>
      <c r="E94" s="160"/>
      <c r="F94" s="53">
        <f t="shared" si="4"/>
        <v>0</v>
      </c>
      <c r="G94" s="162"/>
      <c r="H94" s="160"/>
      <c r="I94" s="163"/>
    </row>
    <row r="95" spans="1:9" x14ac:dyDescent="0.3">
      <c r="A95" s="144">
        <f t="shared" si="3"/>
        <v>93</v>
      </c>
      <c r="B95" s="160"/>
      <c r="C95" s="53">
        <f>IF(ISBLANK($B95),0,INDEX(Criteria!$B$22:$B$27,MATCH($B95,Land_uses,0)))</f>
        <v>0</v>
      </c>
      <c r="D95" s="40">
        <f>IF(ISBLANK($B95),0,INDEX(Criteria!$C$22:$C$27,MATCH($B95,Land_uses,0)))</f>
        <v>0</v>
      </c>
      <c r="E95" s="160"/>
      <c r="F95" s="53">
        <f t="shared" si="4"/>
        <v>0</v>
      </c>
      <c r="G95" s="162"/>
      <c r="H95" s="160"/>
      <c r="I95" s="163"/>
    </row>
    <row r="96" spans="1:9" x14ac:dyDescent="0.3">
      <c r="A96" s="144">
        <f t="shared" si="3"/>
        <v>94</v>
      </c>
      <c r="B96" s="160"/>
      <c r="C96" s="53">
        <f>IF(ISBLANK($B96),0,INDEX(Criteria!$B$22:$B$27,MATCH($B96,Land_uses,0)))</f>
        <v>0</v>
      </c>
      <c r="D96" s="40">
        <f>IF(ISBLANK($B96),0,INDEX(Criteria!$C$22:$C$27,MATCH($B96,Land_uses,0)))</f>
        <v>0</v>
      </c>
      <c r="E96" s="160"/>
      <c r="F96" s="53">
        <f t="shared" si="4"/>
        <v>0</v>
      </c>
      <c r="G96" s="162"/>
      <c r="H96" s="160"/>
      <c r="I96" s="163"/>
    </row>
    <row r="97" spans="1:9" x14ac:dyDescent="0.3">
      <c r="A97" s="144">
        <f t="shared" si="3"/>
        <v>95</v>
      </c>
      <c r="B97" s="160"/>
      <c r="C97" s="53">
        <f>IF(ISBLANK($B97),0,INDEX(Criteria!$B$22:$B$27,MATCH($B97,Land_uses,0)))</f>
        <v>0</v>
      </c>
      <c r="D97" s="40">
        <f>IF(ISBLANK($B97),0,INDEX(Criteria!$C$22:$C$27,MATCH($B97,Land_uses,0)))</f>
        <v>0</v>
      </c>
      <c r="E97" s="160"/>
      <c r="F97" s="53">
        <f t="shared" si="4"/>
        <v>0</v>
      </c>
      <c r="G97" s="162"/>
      <c r="H97" s="160"/>
      <c r="I97" s="163"/>
    </row>
    <row r="98" spans="1:9" x14ac:dyDescent="0.3">
      <c r="A98" s="144">
        <f t="shared" si="3"/>
        <v>96</v>
      </c>
      <c r="B98" s="160"/>
      <c r="C98" s="53">
        <f>IF(ISBLANK($B98),0,INDEX(Criteria!$B$22:$B$27,MATCH($B98,Land_uses,0)))</f>
        <v>0</v>
      </c>
      <c r="D98" s="40">
        <f>IF(ISBLANK($B98),0,INDEX(Criteria!$C$22:$C$27,MATCH($B98,Land_uses,0)))</f>
        <v>0</v>
      </c>
      <c r="E98" s="160"/>
      <c r="F98" s="53">
        <f t="shared" si="4"/>
        <v>0</v>
      </c>
      <c r="G98" s="162"/>
      <c r="H98" s="160"/>
      <c r="I98" s="163"/>
    </row>
    <row r="99" spans="1:9" x14ac:dyDescent="0.3">
      <c r="A99" s="144">
        <f t="shared" si="3"/>
        <v>97</v>
      </c>
      <c r="B99" s="160"/>
      <c r="C99" s="53">
        <f>IF(ISBLANK($B99),0,INDEX(Criteria!$B$22:$B$27,MATCH($B99,Land_uses,0)))</f>
        <v>0</v>
      </c>
      <c r="D99" s="40">
        <f>IF(ISBLANK($B99),0,INDEX(Criteria!$C$22:$C$27,MATCH($B99,Land_uses,0)))</f>
        <v>0</v>
      </c>
      <c r="E99" s="160"/>
      <c r="F99" s="53">
        <f t="shared" si="4"/>
        <v>0</v>
      </c>
      <c r="G99" s="162"/>
      <c r="H99" s="160"/>
      <c r="I99" s="163"/>
    </row>
    <row r="100" spans="1:9" x14ac:dyDescent="0.3">
      <c r="A100" s="144">
        <f t="shared" si="3"/>
        <v>98</v>
      </c>
      <c r="B100" s="160"/>
      <c r="C100" s="53">
        <f>IF(ISBLANK($B100),0,INDEX(Criteria!$B$22:$B$27,MATCH($B100,Land_uses,0)))</f>
        <v>0</v>
      </c>
      <c r="D100" s="40">
        <f>IF(ISBLANK($B100),0,INDEX(Criteria!$C$22:$C$27,MATCH($B100,Land_uses,0)))</f>
        <v>0</v>
      </c>
      <c r="E100" s="160"/>
      <c r="F100" s="53">
        <f t="shared" si="4"/>
        <v>0</v>
      </c>
      <c r="G100" s="162"/>
      <c r="H100" s="160"/>
      <c r="I100" s="163"/>
    </row>
    <row r="101" spans="1:9" x14ac:dyDescent="0.3">
      <c r="A101" s="144">
        <f t="shared" si="3"/>
        <v>99</v>
      </c>
      <c r="B101" s="160"/>
      <c r="C101" s="53">
        <f>IF(ISBLANK($B101),0,INDEX(Criteria!$B$22:$B$27,MATCH($B101,Land_uses,0)))</f>
        <v>0</v>
      </c>
      <c r="D101" s="40">
        <f>IF(ISBLANK($B101),0,INDEX(Criteria!$C$22:$C$27,MATCH($B101,Land_uses,0)))</f>
        <v>0</v>
      </c>
      <c r="E101" s="160"/>
      <c r="F101" s="53">
        <f t="shared" si="4"/>
        <v>0</v>
      </c>
      <c r="G101" s="162"/>
      <c r="H101" s="160"/>
      <c r="I101" s="163"/>
    </row>
    <row r="102" spans="1:9" ht="15" thickBot="1" x14ac:dyDescent="0.35">
      <c r="A102" s="145">
        <f t="shared" si="3"/>
        <v>100</v>
      </c>
      <c r="B102" s="160"/>
      <c r="C102" s="53">
        <f>IF(ISBLANK($B102),0,INDEX(Criteria!$B$22:$B$27,MATCH($B102,Land_uses,0)))</f>
        <v>0</v>
      </c>
      <c r="D102" s="40">
        <f>IF(ISBLANK($B102),0,INDEX(Criteria!$C$22:$C$27,MATCH($B102,Land_uses,0)))</f>
        <v>0</v>
      </c>
      <c r="E102" s="160"/>
      <c r="F102" s="53">
        <f t="shared" si="4"/>
        <v>0</v>
      </c>
      <c r="G102" s="164"/>
      <c r="H102" s="165"/>
      <c r="I102" s="166"/>
    </row>
    <row r="103" spans="1:9" x14ac:dyDescent="0.3">
      <c r="A103" s="85"/>
      <c r="B103" s="61"/>
      <c r="C103" s="61"/>
      <c r="D103" s="61"/>
      <c r="E103" s="61"/>
      <c r="F103" s="61"/>
      <c r="G103" s="61"/>
      <c r="H103" s="85"/>
      <c r="I103" s="61"/>
    </row>
  </sheetData>
  <sheetProtection sheet="1" objects="1" scenarios="1" formatColumns="0" formatRows="0" selectLockedCells="1"/>
  <mergeCells count="4">
    <mergeCell ref="A1:A2"/>
    <mergeCell ref="B1:B2"/>
    <mergeCell ref="C1:C2"/>
    <mergeCell ref="I1:I2"/>
  </mergeCells>
  <conditionalFormatting sqref="C3:G102">
    <cfRule type="expression" dxfId="47" priority="1">
      <formula>$B3="JUNCTION"</formula>
    </cfRule>
  </conditionalFormatting>
  <dataValidations count="1">
    <dataValidation type="list" allowBlank="1" showInputMessage="1" showErrorMessage="1" sqref="B3:B102" xr:uid="{A7A502CA-C944-4502-A9F5-B60FFEEAD90E}">
      <formula1>Land_uses</formula1>
    </dataValidation>
  </dataValidations>
  <pageMargins left="0.7" right="0.7" top="0.75" bottom="0.75" header="0.3" footer="0.3"/>
  <pageSetup scale="96"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7C19B-A524-4355-B95D-A6A6D53DFFE3}">
  <sheetPr>
    <pageSetUpPr fitToPage="1"/>
  </sheetPr>
  <dimension ref="A1:AC504"/>
  <sheetViews>
    <sheetView workbookViewId="0">
      <pane xSplit="2" ySplit="3" topLeftCell="C4" activePane="bottomRight" state="frozen"/>
      <selection pane="topRight" activeCell="C1" sqref="C1"/>
      <selection pane="bottomLeft" activeCell="A4" sqref="A4"/>
      <selection pane="bottomRight" activeCell="B5" sqref="B5"/>
    </sheetView>
  </sheetViews>
  <sheetFormatPr defaultRowHeight="14.4" x14ac:dyDescent="0.3"/>
  <cols>
    <col min="1" max="1" width="8.33203125" bestFit="1" customWidth="1"/>
    <col min="2" max="2" width="10" style="51" bestFit="1" customWidth="1"/>
    <col min="3" max="3" width="10.6640625" style="41" customWidth="1"/>
    <col min="4" max="4" width="10.6640625" customWidth="1"/>
    <col min="5" max="5" width="9.88671875" customWidth="1"/>
    <col min="6" max="6" width="9.88671875" style="41" customWidth="1"/>
    <col min="7" max="7" width="9.5546875" style="40" customWidth="1"/>
    <col min="8" max="14" width="9.109375" customWidth="1"/>
    <col min="15" max="15" width="9.109375" style="40" customWidth="1"/>
    <col min="16" max="17" width="9.109375" customWidth="1"/>
    <col min="18" max="18" width="8.88671875" hidden="1" customWidth="1"/>
    <col min="20" max="21" width="9.109375" hidden="1" customWidth="1"/>
    <col min="22" max="22" width="11.44140625" hidden="1" customWidth="1"/>
    <col min="24" max="24" width="9.5546875" bestFit="1" customWidth="1"/>
  </cols>
  <sheetData>
    <row r="1" spans="1:29" ht="15" thickBot="1" x14ac:dyDescent="0.35">
      <c r="A1" s="267"/>
      <c r="B1" s="268"/>
      <c r="C1" s="277" t="s">
        <v>0</v>
      </c>
      <c r="D1" s="278"/>
      <c r="E1" s="278"/>
      <c r="F1" s="278"/>
      <c r="G1" s="278"/>
      <c r="H1" s="279"/>
      <c r="I1" s="277" t="s">
        <v>126</v>
      </c>
      <c r="J1" s="278"/>
      <c r="K1" s="278"/>
      <c r="L1" s="278"/>
      <c r="M1" s="278"/>
      <c r="N1" s="278"/>
      <c r="O1" s="279"/>
      <c r="P1" s="277" t="s">
        <v>2</v>
      </c>
      <c r="Q1" s="279"/>
      <c r="R1" s="277" t="s">
        <v>129</v>
      </c>
      <c r="S1" s="278"/>
      <c r="T1" s="278"/>
      <c r="U1" s="278"/>
      <c r="V1" s="278"/>
      <c r="W1" s="278"/>
      <c r="X1" s="278"/>
      <c r="Y1" s="278"/>
      <c r="Z1" s="278"/>
      <c r="AA1" s="278"/>
      <c r="AB1" s="279"/>
      <c r="AC1" s="100"/>
    </row>
    <row r="2" spans="1:29" ht="15.6" x14ac:dyDescent="0.35">
      <c r="A2" s="269" t="s">
        <v>1</v>
      </c>
      <c r="B2" s="74" t="s">
        <v>122</v>
      </c>
      <c r="C2" s="275" t="s">
        <v>3</v>
      </c>
      <c r="D2" s="68" t="s">
        <v>125</v>
      </c>
      <c r="E2" s="69" t="s">
        <v>19</v>
      </c>
      <c r="F2" s="273" t="s">
        <v>12</v>
      </c>
      <c r="G2" s="274"/>
      <c r="H2" s="70" t="s">
        <v>124</v>
      </c>
      <c r="I2" s="78" t="s">
        <v>162</v>
      </c>
      <c r="J2" s="79" t="s">
        <v>13</v>
      </c>
      <c r="K2" s="80" t="s">
        <v>127</v>
      </c>
      <c r="L2" s="280" t="s">
        <v>122</v>
      </c>
      <c r="M2" s="281"/>
      <c r="N2" s="80" t="s">
        <v>16</v>
      </c>
      <c r="O2" s="143" t="s">
        <v>170</v>
      </c>
      <c r="P2" s="136" t="s">
        <v>18</v>
      </c>
      <c r="Q2" s="70" t="s">
        <v>21</v>
      </c>
      <c r="R2" s="86" t="s">
        <v>138</v>
      </c>
      <c r="S2" s="87" t="s">
        <v>137</v>
      </c>
      <c r="T2" s="88" t="s">
        <v>139</v>
      </c>
      <c r="U2" s="88" t="s">
        <v>140</v>
      </c>
      <c r="V2" s="88" t="s">
        <v>141</v>
      </c>
      <c r="W2" s="89" t="s">
        <v>53</v>
      </c>
      <c r="X2" s="90" t="s">
        <v>130</v>
      </c>
      <c r="Y2" s="69" t="s">
        <v>132</v>
      </c>
      <c r="Z2" s="91" t="s">
        <v>131</v>
      </c>
      <c r="AA2" s="92" t="s">
        <v>128</v>
      </c>
      <c r="AB2" s="93" t="s">
        <v>133</v>
      </c>
      <c r="AC2" s="271" t="s">
        <v>134</v>
      </c>
    </row>
    <row r="3" spans="1:29" ht="16.2" thickBot="1" x14ac:dyDescent="0.4">
      <c r="A3" s="270"/>
      <c r="B3" s="75" t="s">
        <v>123</v>
      </c>
      <c r="C3" s="276"/>
      <c r="D3" s="71" t="s">
        <v>10</v>
      </c>
      <c r="E3" s="72" t="s">
        <v>11</v>
      </c>
      <c r="F3" s="76"/>
      <c r="G3" s="77" t="s">
        <v>122</v>
      </c>
      <c r="H3" s="73" t="s">
        <v>12</v>
      </c>
      <c r="I3" s="81" t="s">
        <v>15</v>
      </c>
      <c r="J3" s="82" t="s">
        <v>14</v>
      </c>
      <c r="K3" s="83" t="s">
        <v>15</v>
      </c>
      <c r="L3" s="84" t="s">
        <v>16</v>
      </c>
      <c r="M3" s="84" t="s">
        <v>128</v>
      </c>
      <c r="N3" s="83" t="s">
        <v>15</v>
      </c>
      <c r="O3" s="132" t="s">
        <v>15</v>
      </c>
      <c r="P3" s="137" t="s">
        <v>17</v>
      </c>
      <c r="Q3" s="73" t="s">
        <v>20</v>
      </c>
      <c r="R3" s="94" t="s">
        <v>22</v>
      </c>
      <c r="S3" s="95" t="s">
        <v>22</v>
      </c>
      <c r="T3" s="96" t="s">
        <v>23</v>
      </c>
      <c r="U3" s="96" t="s">
        <v>23</v>
      </c>
      <c r="V3" s="96" t="s">
        <v>23</v>
      </c>
      <c r="W3" s="97" t="s">
        <v>23</v>
      </c>
      <c r="X3" s="95" t="s">
        <v>23</v>
      </c>
      <c r="Y3" s="72" t="s">
        <v>24</v>
      </c>
      <c r="Z3" s="98" t="s">
        <v>14</v>
      </c>
      <c r="AA3" s="99" t="s">
        <v>15</v>
      </c>
      <c r="AB3" s="73" t="s">
        <v>20</v>
      </c>
      <c r="AC3" s="272"/>
    </row>
    <row r="4" spans="1:29" x14ac:dyDescent="0.3">
      <c r="A4" s="115">
        <f>1</f>
        <v>1</v>
      </c>
      <c r="B4" s="186"/>
      <c r="C4" s="105">
        <f>INDEX(Tribs!$C$3:$C$102,MATCH($A4,Tribs!$A$3:$A$102,0))</f>
        <v>0</v>
      </c>
      <c r="D4" s="106">
        <f>INDEX(Tribs!$E$3:$E$102,MATCH($A4,Tribs!$A$3:$A$102,0))</f>
        <v>0</v>
      </c>
      <c r="E4" s="105">
        <f>INDEX(Tribs!$F$3:$F$102,MATCH($A4,Tribs!$A$3:$A$102,0))</f>
        <v>0</v>
      </c>
      <c r="F4" s="116">
        <f>($C4*$E4)</f>
        <v>0</v>
      </c>
      <c r="G4" s="110"/>
      <c r="H4" s="111">
        <f>($F4)+(SUM($G5:$G8))</f>
        <v>0</v>
      </c>
      <c r="I4" s="106">
        <f>INDEX(Tribs!$D$3:$D$102,MATCH($A4,Tribs!$A$3:$A$102,0))</f>
        <v>0</v>
      </c>
      <c r="J4" s="106">
        <f>INDEX(Tribs!$G$3:$G$102,MATCH($A4,Tribs!$A$3:$A$102,0))</f>
        <v>0</v>
      </c>
      <c r="K4" s="105">
        <f>($J4)/V_gutter*(1/60)</f>
        <v>0</v>
      </c>
      <c r="L4" s="112"/>
      <c r="M4" s="109"/>
      <c r="N4" s="129">
        <f>($I4+$K4)</f>
        <v>0</v>
      </c>
      <c r="O4" s="111">
        <f>MAX($N4:$N8)</f>
        <v>0</v>
      </c>
      <c r="P4" s="133">
        <f>IF($H4&gt;0,IF($O4&lt;=T_1,I_1,IF($O4&lt;=T_2,(($O4*M_1)+B_1),IF($O4&lt;=T_3,(($O4*M_2)+B_2),IF($O4&lt;=T_4,(($O4*M_3)+B_3),IF($O4&lt;=T_5,(($O4*M_4)+B_4),IF($O4&lt;=T_6,(($O4*M_5)+B_5),IF($O4&lt;=T_7,(($O4*M_6)+B_6),IF($O4&lt;=T_8,(($O4*M_7)+B_7),IF($O4&lt;=T_9,(($O4*M_8)+B_8),IF($O4&lt;=T_10,(($O4*M_9)+B_9))))))))))),0)</f>
        <v>0</v>
      </c>
      <c r="Q4" s="111">
        <f>ROUND(($H4*$P4),2)</f>
        <v>0</v>
      </c>
      <c r="R4" s="107">
        <f>IF($Q4&gt;0,IF($Q4&lt;=UTH!$M$4,UTH!$J$4,IF($Q4&lt;=UTH!$M$5,UTH!$J$5,IF($Q4&lt;=UTH!$M$6,UTH!$J$6,IF($Q4&lt;=UTH!$M$7,UTH!$J$7,IF($Q4&lt;=UTH!$M$8,UTH!$J$8,IF($Q4&lt;=UTH!$M$9,UTH!$J$9,IF($Q4&lt;=UTH!$M$10,UTH!$J$10,IF($Q4&lt;=UTH!$M$11,UTH!$J$11,IF($Q4&lt;=UTH!$M$12,UTH!$J$12,IF($Q4&lt;=UTH!$M$13,UTH!$J$13,IF($Q4&lt;=UTH!$M$14,UTH!$J$14,IF($Q4&lt;=UTH!$M$15,UTH!$J$15,IF($Q4&lt;=UTH!$M$16,UTH!$J$16,IF($Q4&lt;=UTH!$M$17,UTH!$J$17,IF($Q4&lt;=UTH!$M$18,UTH!$J$18,IF($Q4&lt;=UTH!$M$19,UTH!$J$19,IF($Q4&lt;=UTH!$M$20,UTH!$J$20))))))))))))))))),0)</f>
        <v>0</v>
      </c>
      <c r="S4" s="107">
        <f>IF(Inverts!$D4="YES",Inverts!$C4,Inverts!$E4)</f>
        <v>0</v>
      </c>
      <c r="T4" s="108">
        <f>IF($S4,($Q4/(KQ*($S4^(8/3))))^2,0)</f>
        <v>0</v>
      </c>
      <c r="U4" s="108">
        <f>IF($S4,(Vmin/(KV*($S4^(2/3))))^2,0)</f>
        <v>0</v>
      </c>
      <c r="V4" s="108">
        <f>IF($Z4,ROUND(MinDrop_2/$Z4,4),0)</f>
        <v>0</v>
      </c>
      <c r="W4" s="108">
        <f>IF($S4=0,0,MAX($T4:$V4))</f>
        <v>0</v>
      </c>
      <c r="X4" s="108">
        <f>IF(Inverts!$H4="yes",Inverts!$G4,Inverts!$I4)</f>
        <v>0</v>
      </c>
      <c r="Y4" s="105">
        <f>ROUND(KV*($S4^(2/3))*($X4^(0.5)),2)</f>
        <v>0</v>
      </c>
      <c r="Z4" s="106">
        <f>INDEX(Tribs!$H$3:$H$102,MATCH($A4,Tribs!$A$3:$A$102,0))</f>
        <v>0</v>
      </c>
      <c r="AA4" s="105">
        <f>IF($Y4,($Z4/$Y4)*(1/60),0)</f>
        <v>0</v>
      </c>
      <c r="AB4" s="111">
        <f>ROUND(KQ*($S4^(8/3))*($X4^(0.5)),2)</f>
        <v>0</v>
      </c>
      <c r="AC4" s="138" t="str">
        <f>IF(AND($AB4&gt;=($Q4-0.0049),$Y4&gt;=(Vmin-0.0049)),"OK","NG")</f>
        <v>NG</v>
      </c>
    </row>
    <row r="5" spans="1:29" x14ac:dyDescent="0.3">
      <c r="A5" s="121"/>
      <c r="B5" s="184"/>
      <c r="C5" s="54"/>
      <c r="D5" s="52"/>
      <c r="E5" s="52"/>
      <c r="F5" s="117"/>
      <c r="G5" s="119">
        <f>IF($B5,INDEX($H$4:$H$499,(MATCH($B5,$A$4:$A$499))),0)</f>
        <v>0</v>
      </c>
      <c r="H5" s="113"/>
      <c r="I5" s="52"/>
      <c r="J5" s="52"/>
      <c r="K5" s="123"/>
      <c r="L5" s="53">
        <f>IF($B5,INDEX($O$4:$O$499,MATCH($B5,$A$4:$A$499)),0)</f>
        <v>0</v>
      </c>
      <c r="M5" s="126">
        <f>IF($B5,INDEX($AA$4:$AA$499,MATCH($B5,$A$4:$A$499)),0)</f>
        <v>0</v>
      </c>
      <c r="N5" s="119">
        <f>($L5+$M5)</f>
        <v>0</v>
      </c>
      <c r="O5" s="130"/>
      <c r="P5" s="134"/>
      <c r="Q5" s="130"/>
      <c r="R5" s="52"/>
      <c r="S5" s="224">
        <f>S4</f>
        <v>0</v>
      </c>
      <c r="T5" s="237"/>
      <c r="U5" s="237"/>
      <c r="V5" s="237"/>
      <c r="W5" s="237"/>
      <c r="X5" s="52"/>
      <c r="Y5" s="52"/>
      <c r="Z5" s="52"/>
      <c r="AA5" s="54"/>
      <c r="AB5" s="130"/>
      <c r="AC5" s="139"/>
    </row>
    <row r="6" spans="1:29" x14ac:dyDescent="0.3">
      <c r="A6" s="121"/>
      <c r="B6" s="184"/>
      <c r="C6" s="54"/>
      <c r="D6" s="52"/>
      <c r="E6" s="52"/>
      <c r="F6" s="117"/>
      <c r="G6" s="119">
        <f t="shared" ref="G6:G68" si="0">IF($B6,INDEX($H$4:$H$499,(MATCH($B6,$A$4:$A$499))),0)</f>
        <v>0</v>
      </c>
      <c r="H6" s="113"/>
      <c r="I6" s="52"/>
      <c r="J6" s="52"/>
      <c r="K6" s="124"/>
      <c r="L6" s="53">
        <f t="shared" ref="L6:L8" si="1">IF($B6,INDEX($O$4:$O$499,MATCH($B6,$A$4:$A$499)),0)</f>
        <v>0</v>
      </c>
      <c r="M6" s="127">
        <f t="shared" ref="M6:M8" si="2">IF($B6,INDEX($AA$4:$AA$499,MATCH($B6,$A$4:$A$499)),0)</f>
        <v>0</v>
      </c>
      <c r="N6" s="119">
        <f t="shared" ref="N6:N8" si="3">($L6+$M6)</f>
        <v>0</v>
      </c>
      <c r="O6" s="130"/>
      <c r="P6" s="134"/>
      <c r="Q6" s="130"/>
      <c r="R6" s="52"/>
      <c r="S6" s="224">
        <f>S5</f>
        <v>0</v>
      </c>
      <c r="T6" s="237"/>
      <c r="U6" s="237"/>
      <c r="V6" s="237"/>
      <c r="W6" s="237"/>
      <c r="X6" s="52"/>
      <c r="Y6" s="52"/>
      <c r="Z6" s="52"/>
      <c r="AA6" s="54"/>
      <c r="AB6" s="130"/>
      <c r="AC6" s="139"/>
    </row>
    <row r="7" spans="1:29" x14ac:dyDescent="0.3">
      <c r="A7" s="121"/>
      <c r="B7" s="184"/>
      <c r="C7" s="54"/>
      <c r="D7" s="52"/>
      <c r="E7" s="52"/>
      <c r="F7" s="117"/>
      <c r="G7" s="119">
        <f t="shared" si="0"/>
        <v>0</v>
      </c>
      <c r="H7" s="113"/>
      <c r="I7" s="52"/>
      <c r="J7" s="52"/>
      <c r="K7" s="124"/>
      <c r="L7" s="53">
        <f t="shared" si="1"/>
        <v>0</v>
      </c>
      <c r="M7" s="127">
        <f t="shared" si="2"/>
        <v>0</v>
      </c>
      <c r="N7" s="119">
        <f t="shared" si="3"/>
        <v>0</v>
      </c>
      <c r="O7" s="130"/>
      <c r="P7" s="134"/>
      <c r="Q7" s="130"/>
      <c r="R7" s="52"/>
      <c r="S7" s="224">
        <f>S6</f>
        <v>0</v>
      </c>
      <c r="T7" s="237"/>
      <c r="U7" s="237"/>
      <c r="V7" s="237"/>
      <c r="W7" s="237"/>
      <c r="X7" s="52"/>
      <c r="Y7" s="52"/>
      <c r="Z7" s="52"/>
      <c r="AA7" s="54"/>
      <c r="AB7" s="130"/>
      <c r="AC7" s="139"/>
    </row>
    <row r="8" spans="1:29" ht="15" thickBot="1" x14ac:dyDescent="0.35">
      <c r="A8" s="122"/>
      <c r="B8" s="185"/>
      <c r="C8" s="102"/>
      <c r="D8" s="101"/>
      <c r="E8" s="101"/>
      <c r="F8" s="118"/>
      <c r="G8" s="120">
        <f t="shared" si="0"/>
        <v>0</v>
      </c>
      <c r="H8" s="114"/>
      <c r="I8" s="101"/>
      <c r="J8" s="101"/>
      <c r="K8" s="125"/>
      <c r="L8" s="103">
        <f t="shared" si="1"/>
        <v>0</v>
      </c>
      <c r="M8" s="128">
        <f t="shared" si="2"/>
        <v>0</v>
      </c>
      <c r="N8" s="120">
        <f t="shared" si="3"/>
        <v>0</v>
      </c>
      <c r="O8" s="131"/>
      <c r="P8" s="135"/>
      <c r="Q8" s="131"/>
      <c r="R8" s="101"/>
      <c r="S8" s="104">
        <f>S7</f>
        <v>0</v>
      </c>
      <c r="T8" s="238"/>
      <c r="U8" s="238"/>
      <c r="V8" s="238"/>
      <c r="W8" s="238"/>
      <c r="X8" s="101"/>
      <c r="Y8" s="101"/>
      <c r="Z8" s="101"/>
      <c r="AA8" s="102"/>
      <c r="AB8" s="131"/>
      <c r="AC8" s="140"/>
    </row>
    <row r="9" spans="1:29" x14ac:dyDescent="0.3">
      <c r="A9" s="115">
        <f>$A4+1</f>
        <v>2</v>
      </c>
      <c r="B9" s="186"/>
      <c r="C9" s="105">
        <f>INDEX(Tribs!$C$3:$C$102,MATCH($A9,Tribs!$A$3:$A$102,0))</f>
        <v>0</v>
      </c>
      <c r="D9" s="106">
        <f>INDEX(Tribs!$E$3:$E$102,MATCH($A9,Tribs!$A$3:$A$102,0))</f>
        <v>0</v>
      </c>
      <c r="E9" s="105">
        <f>INDEX(Tribs!$F$3:$F$102,MATCH($A9,Tribs!$A$3:$A$102,0))</f>
        <v>0</v>
      </c>
      <c r="F9" s="116">
        <f>($C9*$E9)</f>
        <v>0</v>
      </c>
      <c r="G9" s="110"/>
      <c r="H9" s="111">
        <f>($F9)+(SUM($G10:$G13))</f>
        <v>0</v>
      </c>
      <c r="I9" s="106">
        <f>INDEX(Tribs!$D$3:$D$102,MATCH($A9,Tribs!$A$3:$A$102,0))</f>
        <v>0</v>
      </c>
      <c r="J9" s="106">
        <f>INDEX(Tribs!$G$3:$G$102,MATCH($A9,Tribs!$A$3:$A$102,0))</f>
        <v>0</v>
      </c>
      <c r="K9" s="105">
        <f>($J9)/V_gutter*(1/60)</f>
        <v>0</v>
      </c>
      <c r="L9" s="112"/>
      <c r="M9" s="109"/>
      <c r="N9" s="129">
        <f>($I9+$K9)</f>
        <v>0</v>
      </c>
      <c r="O9" s="111">
        <f>MAX($N9:$N13)</f>
        <v>0</v>
      </c>
      <c r="P9" s="133">
        <f>IF($H9&gt;0,IF($O9&lt;=T_1,I_1,IF($O9&lt;=T_2,(($O9*M_1)+B_1),IF($O9&lt;=T_3,(($O9*M_2)+B_2),IF($O9&lt;=T_4,(($O9*M_3)+B_3),IF($O9&lt;=T_5,(($O9*M_4)+B_4),IF($O9&lt;=T_6,(($O9*M_5)+B_5),IF($O9&lt;=T_7,(($O9*M_6)+B_6),IF($O9&lt;=T_8,(($O9*M_7)+B_7),IF($O9&lt;=T_9,(($O9*M_8)+B_8),IF($O9&lt;=T_10,(($O9*M_9)+B_9))))))))))),0)</f>
        <v>0</v>
      </c>
      <c r="Q9" s="111">
        <f>ROUND(($H9*$P9),2)</f>
        <v>0</v>
      </c>
      <c r="R9" s="107">
        <f>IF($Q9&gt;0,IF($Q9&lt;=UTH!$M$4,UTH!$J$4,IF($Q9&lt;=UTH!$M$5,UTH!$J$5,IF($Q9&lt;=UTH!$M$6,UTH!$J$6,IF($Q9&lt;=UTH!$M$7,UTH!$J$7,IF($Q9&lt;=UTH!$M$8,UTH!$J$8,IF($Q9&lt;=UTH!$M$9,UTH!$J$9,IF($Q9&lt;=UTH!$M$10,UTH!$J$10,IF($Q9&lt;=UTH!$M$11,UTH!$J$11,IF($Q9&lt;=UTH!$M$12,UTH!$J$12,IF($Q9&lt;=UTH!$M$13,UTH!$J$13,IF($Q9&lt;=UTH!$M$14,UTH!$J$14,IF($Q9&lt;=UTH!$M$15,UTH!$J$15,IF($Q9&lt;=UTH!$M$16,UTH!$J$16,IF($Q9&lt;=UTH!$M$17,UTH!$J$17,IF($Q9&lt;=UTH!$M$18,UTH!$J$18,IF($Q9&lt;=UTH!$M$19,UTH!$J$19,IF($Q9&lt;=UTH!$M$20,UTH!$J$20))))))))))))))))),0)</f>
        <v>0</v>
      </c>
      <c r="S9" s="107">
        <f>IF(Inverts!$D9="YES",Inverts!$C9,Inverts!$E9)</f>
        <v>0</v>
      </c>
      <c r="T9" s="108">
        <f>IF($S9,($Q9/(KQ*($S9^(8/3))))^2,0)</f>
        <v>0</v>
      </c>
      <c r="U9" s="108">
        <f>IF($S9,(Vmin/(KV*($S9^(2/3))))^2,0)</f>
        <v>0</v>
      </c>
      <c r="V9" s="108">
        <f>IF($Z9,ROUND(MinDrop_2/$Z9,4),0)</f>
        <v>0</v>
      </c>
      <c r="W9" s="108">
        <f t="shared" ref="W9" si="4">IF($S9=0,0,MAX($T9:$V9))</f>
        <v>0</v>
      </c>
      <c r="X9" s="108">
        <f>IF(Inverts!$H9="yes",Inverts!$G9,Inverts!$I9)</f>
        <v>0</v>
      </c>
      <c r="Y9" s="105">
        <f>ROUND(KV*($S9^(2/3))*($X9^(0.5)),2)</f>
        <v>0</v>
      </c>
      <c r="Z9" s="106">
        <f>INDEX(Tribs!$H$3:$H$102,MATCH($A9,Tribs!$A$3:$A$102,0))</f>
        <v>0</v>
      </c>
      <c r="AA9" s="105">
        <f t="shared" ref="AA9" si="5">IF($Y9,($Z9/$Y9)*(1/60),0)</f>
        <v>0</v>
      </c>
      <c r="AB9" s="111">
        <f>ROUND(KQ*($S9^(8/3))*($X9^(0.5)),2)</f>
        <v>0</v>
      </c>
      <c r="AC9" s="138" t="str">
        <f>IF(AND($AB9&gt;=($Q9-0.0049),$Y9&gt;=(Vmin-0.0049)),"OK","NG")</f>
        <v>NG</v>
      </c>
    </row>
    <row r="10" spans="1:29" x14ac:dyDescent="0.3">
      <c r="A10" s="121"/>
      <c r="B10" s="184"/>
      <c r="C10" s="54"/>
      <c r="D10" s="52"/>
      <c r="E10" s="52"/>
      <c r="F10" s="117"/>
      <c r="G10" s="119">
        <f>IF($B10,INDEX($H$4:$H$499,(MATCH($B10,$A$4:$A$499))),0)</f>
        <v>0</v>
      </c>
      <c r="H10" s="113"/>
      <c r="I10" s="52"/>
      <c r="J10" s="52"/>
      <c r="K10" s="123"/>
      <c r="L10" s="53">
        <f>IF($B10,INDEX($O$4:$O$499,MATCH($B10,$A$4:$A$499)),0)</f>
        <v>0</v>
      </c>
      <c r="M10" s="126">
        <f>IF($B10,INDEX($AA$4:$AA$499,MATCH($B10,$A$4:$A$499)),0)</f>
        <v>0</v>
      </c>
      <c r="N10" s="119">
        <f>($L10+$M10)</f>
        <v>0</v>
      </c>
      <c r="O10" s="130"/>
      <c r="P10" s="134"/>
      <c r="Q10" s="130"/>
      <c r="R10" s="52"/>
      <c r="S10" s="224">
        <f t="shared" ref="S10:S13" si="6">S9</f>
        <v>0</v>
      </c>
      <c r="T10" s="237"/>
      <c r="U10" s="237"/>
      <c r="V10" s="237"/>
      <c r="W10" s="237"/>
      <c r="X10" s="52"/>
      <c r="Y10" s="52"/>
      <c r="Z10" s="52"/>
      <c r="AA10" s="54"/>
      <c r="AB10" s="130"/>
      <c r="AC10" s="139"/>
    </row>
    <row r="11" spans="1:29" x14ac:dyDescent="0.3">
      <c r="A11" s="121"/>
      <c r="B11" s="184"/>
      <c r="C11" s="54"/>
      <c r="D11" s="52"/>
      <c r="E11" s="52"/>
      <c r="F11" s="117"/>
      <c r="G11" s="119">
        <f t="shared" si="0"/>
        <v>0</v>
      </c>
      <c r="H11" s="113"/>
      <c r="I11" s="52"/>
      <c r="J11" s="52"/>
      <c r="K11" s="124"/>
      <c r="L11" s="53">
        <f t="shared" ref="L11:L13" si="7">IF($B11,INDEX($O$4:$O$499,MATCH($B11,$A$4:$A$499)),0)</f>
        <v>0</v>
      </c>
      <c r="M11" s="127">
        <f t="shared" ref="M11:M13" si="8">IF($B11,INDEX($AA$4:$AA$499,MATCH($B11,$A$4:$A$499)),0)</f>
        <v>0</v>
      </c>
      <c r="N11" s="119">
        <f t="shared" ref="N11:N13" si="9">($L11+$M11)</f>
        <v>0</v>
      </c>
      <c r="O11" s="130"/>
      <c r="P11" s="134"/>
      <c r="Q11" s="130"/>
      <c r="R11" s="52"/>
      <c r="S11" s="224">
        <f t="shared" si="6"/>
        <v>0</v>
      </c>
      <c r="T11" s="237"/>
      <c r="U11" s="237"/>
      <c r="V11" s="237"/>
      <c r="W11" s="237"/>
      <c r="X11" s="52"/>
      <c r="Y11" s="52"/>
      <c r="Z11" s="52"/>
      <c r="AA11" s="54"/>
      <c r="AB11" s="130"/>
      <c r="AC11" s="139"/>
    </row>
    <row r="12" spans="1:29" x14ac:dyDescent="0.3">
      <c r="A12" s="121"/>
      <c r="B12" s="184"/>
      <c r="C12" s="54"/>
      <c r="D12" s="52"/>
      <c r="E12" s="52"/>
      <c r="F12" s="117"/>
      <c r="G12" s="119">
        <f t="shared" si="0"/>
        <v>0</v>
      </c>
      <c r="H12" s="113"/>
      <c r="I12" s="52"/>
      <c r="J12" s="52"/>
      <c r="K12" s="124"/>
      <c r="L12" s="53">
        <f t="shared" si="7"/>
        <v>0</v>
      </c>
      <c r="M12" s="127">
        <f t="shared" si="8"/>
        <v>0</v>
      </c>
      <c r="N12" s="119">
        <f t="shared" si="9"/>
        <v>0</v>
      </c>
      <c r="O12" s="130"/>
      <c r="P12" s="134"/>
      <c r="Q12" s="130"/>
      <c r="R12" s="52"/>
      <c r="S12" s="224">
        <f t="shared" si="6"/>
        <v>0</v>
      </c>
      <c r="T12" s="237"/>
      <c r="U12" s="237"/>
      <c r="V12" s="237"/>
      <c r="W12" s="237"/>
      <c r="X12" s="52"/>
      <c r="Y12" s="52"/>
      <c r="Z12" s="52"/>
      <c r="AA12" s="54"/>
      <c r="AB12" s="130"/>
      <c r="AC12" s="139"/>
    </row>
    <row r="13" spans="1:29" ht="15" thickBot="1" x14ac:dyDescent="0.35">
      <c r="A13" s="122"/>
      <c r="B13" s="185"/>
      <c r="C13" s="102"/>
      <c r="D13" s="101"/>
      <c r="E13" s="101"/>
      <c r="F13" s="118"/>
      <c r="G13" s="120">
        <f t="shared" si="0"/>
        <v>0</v>
      </c>
      <c r="H13" s="114"/>
      <c r="I13" s="101"/>
      <c r="J13" s="101"/>
      <c r="K13" s="125"/>
      <c r="L13" s="103">
        <f t="shared" si="7"/>
        <v>0</v>
      </c>
      <c r="M13" s="128">
        <f t="shared" si="8"/>
        <v>0</v>
      </c>
      <c r="N13" s="120">
        <f t="shared" si="9"/>
        <v>0</v>
      </c>
      <c r="O13" s="131"/>
      <c r="P13" s="135"/>
      <c r="Q13" s="131"/>
      <c r="R13" s="101"/>
      <c r="S13" s="104">
        <f t="shared" si="6"/>
        <v>0</v>
      </c>
      <c r="T13" s="238"/>
      <c r="U13" s="238"/>
      <c r="V13" s="238"/>
      <c r="W13" s="238"/>
      <c r="X13" s="101"/>
      <c r="Y13" s="101"/>
      <c r="Z13" s="101"/>
      <c r="AA13" s="102"/>
      <c r="AB13" s="131"/>
      <c r="AC13" s="140"/>
    </row>
    <row r="14" spans="1:29" x14ac:dyDescent="0.3">
      <c r="A14" s="115">
        <f t="shared" ref="A14" si="10">$A9+1</f>
        <v>3</v>
      </c>
      <c r="B14" s="186"/>
      <c r="C14" s="105">
        <f>INDEX(Tribs!$C$3:$C$102,MATCH($A14,Tribs!$A$3:$A$102,0))</f>
        <v>0</v>
      </c>
      <c r="D14" s="106">
        <f>INDEX(Tribs!$E$3:$E$102,MATCH($A14,Tribs!$A$3:$A$102,0))</f>
        <v>0</v>
      </c>
      <c r="E14" s="105">
        <f>INDEX(Tribs!$F$3:$F$102,MATCH($A14,Tribs!$A$3:$A$102,0))</f>
        <v>0</v>
      </c>
      <c r="F14" s="116">
        <f t="shared" ref="F14" si="11">($C14*$E14)</f>
        <v>0</v>
      </c>
      <c r="G14" s="110"/>
      <c r="H14" s="111">
        <f t="shared" ref="H14" si="12">($F14)+(SUM($G15:$G18))</f>
        <v>0</v>
      </c>
      <c r="I14" s="106">
        <f>INDEX(Tribs!$D$3:$D$102,MATCH($A14,Tribs!$A$3:$A$102,0))</f>
        <v>0</v>
      </c>
      <c r="J14" s="106">
        <f>INDEX(Tribs!$G$3:$G$102,MATCH($A14,Tribs!$A$3:$A$102,0))</f>
        <v>0</v>
      </c>
      <c r="K14" s="105">
        <f>($J14)/V_gutter*(1/60)</f>
        <v>0</v>
      </c>
      <c r="L14" s="112"/>
      <c r="M14" s="109"/>
      <c r="N14" s="129">
        <f t="shared" ref="N14" si="13">($I14+$K14)</f>
        <v>0</v>
      </c>
      <c r="O14" s="111">
        <f t="shared" ref="O14" si="14">MAX($N14:$N18)</f>
        <v>0</v>
      </c>
      <c r="P14" s="133">
        <f>IF($H14&gt;0,IF($O14&lt;=T_1,I_1,IF($O14&lt;=T_2,(($O14*M_1)+B_1),IF($O14&lt;=T_3,(($O14*M_2)+B_2),IF($O14&lt;=T_4,(($O14*M_3)+B_3),IF($O14&lt;=T_5,(($O14*M_4)+B_4),IF($O14&lt;=T_6,(($O14*M_5)+B_5),IF($O14&lt;=T_7,(($O14*M_6)+B_6),IF($O14&lt;=T_8,(($O14*M_7)+B_7),IF($O14&lt;=T_9,(($O14*M_8)+B_8),IF($O14&lt;=T_10,(($O14*M_9)+B_9))))))))))),0)</f>
        <v>0</v>
      </c>
      <c r="Q14" s="111">
        <f t="shared" ref="Q14" si="15">ROUND(($H14*$P14),2)</f>
        <v>0</v>
      </c>
      <c r="R14" s="107">
        <f>IF($Q14&gt;0,IF($Q14&lt;=UTH!$M$4,UTH!$J$4,IF($Q14&lt;=UTH!$M$5,UTH!$J$5,IF($Q14&lt;=UTH!$M$6,UTH!$J$6,IF($Q14&lt;=UTH!$M$7,UTH!$J$7,IF($Q14&lt;=UTH!$M$8,UTH!$J$8,IF($Q14&lt;=UTH!$M$9,UTH!$J$9,IF($Q14&lt;=UTH!$M$10,UTH!$J$10,IF($Q14&lt;=UTH!$M$11,UTH!$J$11,IF($Q14&lt;=UTH!$M$12,UTH!$J$12,IF($Q14&lt;=UTH!$M$13,UTH!$J$13,IF($Q14&lt;=UTH!$M$14,UTH!$J$14,IF($Q14&lt;=UTH!$M$15,UTH!$J$15,IF($Q14&lt;=UTH!$M$16,UTH!$J$16,IF($Q14&lt;=UTH!$M$17,UTH!$J$17,IF($Q14&lt;=UTH!$M$18,UTH!$J$18,IF($Q14&lt;=UTH!$M$19,UTH!$J$19,IF($Q14&lt;=UTH!$M$20,UTH!$J$20))))))))))))))))),0)</f>
        <v>0</v>
      </c>
      <c r="S14" s="107">
        <f>IF(Inverts!$D14="YES",Inverts!$C14,Inverts!$E14)</f>
        <v>0</v>
      </c>
      <c r="T14" s="108">
        <f>IF($S14,($Q14/(KQ*($S14^(8/3))))^2,0)</f>
        <v>0</v>
      </c>
      <c r="U14" s="108">
        <f>IF($S14,(Vmin/(KV*($S14^(2/3))))^2,0)</f>
        <v>0</v>
      </c>
      <c r="V14" s="108">
        <f>IF($Z14,ROUND(MinDrop_2/$Z14,4),0)</f>
        <v>0</v>
      </c>
      <c r="W14" s="108">
        <f t="shared" ref="W14" si="16">IF($S14=0,0,MAX($T14:$V14))</f>
        <v>0</v>
      </c>
      <c r="X14" s="108">
        <f>IF(Inverts!$H14="yes",Inverts!$G14,Inverts!$I14)</f>
        <v>0</v>
      </c>
      <c r="Y14" s="105">
        <f>ROUND(KV*($S14^(2/3))*($X14^(0.5)),2)</f>
        <v>0</v>
      </c>
      <c r="Z14" s="106">
        <f>INDEX(Tribs!$H$3:$H$102,MATCH($A14,Tribs!$A$3:$A$102,0))</f>
        <v>0</v>
      </c>
      <c r="AA14" s="105">
        <f t="shared" ref="AA14" si="17">IF($Y14,($Z14/$Y14)*(1/60),0)</f>
        <v>0</v>
      </c>
      <c r="AB14" s="111">
        <f>ROUND(KQ*($S14^(8/3))*($X14^(0.5)),2)</f>
        <v>0</v>
      </c>
      <c r="AC14" s="138" t="str">
        <f>IF(AND($AB14&gt;=($Q14-0.0049),$Y14&gt;=(Vmin-0.0049)),"OK","NG")</f>
        <v>NG</v>
      </c>
    </row>
    <row r="15" spans="1:29" x14ac:dyDescent="0.3">
      <c r="A15" s="121"/>
      <c r="B15" s="184"/>
      <c r="C15" s="54"/>
      <c r="D15" s="52"/>
      <c r="E15" s="52"/>
      <c r="F15" s="117"/>
      <c r="G15" s="119">
        <f t="shared" ref="G15" si="18">IF($B15,INDEX($H$4:$H$499,(MATCH($B15,$A$4:$A$499))),0)</f>
        <v>0</v>
      </c>
      <c r="H15" s="113"/>
      <c r="I15" s="52"/>
      <c r="J15" s="52"/>
      <c r="K15" s="123"/>
      <c r="L15" s="53">
        <f t="shared" ref="L15:L78" si="19">IF($B15,INDEX($O$4:$O$499,MATCH($B15,$A$4:$A$499)),0)</f>
        <v>0</v>
      </c>
      <c r="M15" s="126">
        <f t="shared" ref="M15:M78" si="20">IF($B15,INDEX($AA$4:$AA$499,MATCH($B15,$A$4:$A$499)),0)</f>
        <v>0</v>
      </c>
      <c r="N15" s="119">
        <f t="shared" ref="N15:N78" si="21">($L15+$M15)</f>
        <v>0</v>
      </c>
      <c r="O15" s="130"/>
      <c r="P15" s="134"/>
      <c r="Q15" s="130"/>
      <c r="R15" s="52"/>
      <c r="S15" s="224">
        <f t="shared" ref="S15:S18" si="22">S14</f>
        <v>0</v>
      </c>
      <c r="T15" s="237"/>
      <c r="U15" s="237"/>
      <c r="V15" s="237"/>
      <c r="W15" s="237"/>
      <c r="X15" s="52"/>
      <c r="Y15" s="52"/>
      <c r="Z15" s="52"/>
      <c r="AA15" s="54"/>
      <c r="AB15" s="130"/>
      <c r="AC15" s="139"/>
    </row>
    <row r="16" spans="1:29" x14ac:dyDescent="0.3">
      <c r="A16" s="121"/>
      <c r="B16" s="184"/>
      <c r="C16" s="54"/>
      <c r="D16" s="52"/>
      <c r="E16" s="52"/>
      <c r="F16" s="117"/>
      <c r="G16" s="119">
        <f t="shared" si="0"/>
        <v>0</v>
      </c>
      <c r="H16" s="113"/>
      <c r="I16" s="52"/>
      <c r="J16" s="52"/>
      <c r="K16" s="124"/>
      <c r="L16" s="53">
        <f t="shared" si="19"/>
        <v>0</v>
      </c>
      <c r="M16" s="127">
        <f t="shared" si="20"/>
        <v>0</v>
      </c>
      <c r="N16" s="119">
        <f t="shared" si="21"/>
        <v>0</v>
      </c>
      <c r="O16" s="130"/>
      <c r="P16" s="134"/>
      <c r="Q16" s="130"/>
      <c r="R16" s="52"/>
      <c r="S16" s="224">
        <f t="shared" si="22"/>
        <v>0</v>
      </c>
      <c r="T16" s="237"/>
      <c r="U16" s="237"/>
      <c r="V16" s="237"/>
      <c r="W16" s="237"/>
      <c r="X16" s="52"/>
      <c r="Y16" s="52"/>
      <c r="Z16" s="52"/>
      <c r="AA16" s="54"/>
      <c r="AB16" s="130"/>
      <c r="AC16" s="139"/>
    </row>
    <row r="17" spans="1:29" x14ac:dyDescent="0.3">
      <c r="A17" s="121"/>
      <c r="B17" s="184"/>
      <c r="C17" s="54"/>
      <c r="D17" s="52"/>
      <c r="E17" s="52"/>
      <c r="F17" s="117"/>
      <c r="G17" s="119">
        <f t="shared" si="0"/>
        <v>0</v>
      </c>
      <c r="H17" s="113"/>
      <c r="I17" s="52"/>
      <c r="J17" s="52"/>
      <c r="K17" s="124"/>
      <c r="L17" s="53">
        <f t="shared" si="19"/>
        <v>0</v>
      </c>
      <c r="M17" s="127">
        <f t="shared" si="20"/>
        <v>0</v>
      </c>
      <c r="N17" s="119">
        <f t="shared" si="21"/>
        <v>0</v>
      </c>
      <c r="O17" s="130"/>
      <c r="P17" s="134"/>
      <c r="Q17" s="130"/>
      <c r="R17" s="52"/>
      <c r="S17" s="224">
        <f t="shared" si="22"/>
        <v>0</v>
      </c>
      <c r="T17" s="237"/>
      <c r="U17" s="237"/>
      <c r="V17" s="237"/>
      <c r="W17" s="237"/>
      <c r="X17" s="52"/>
      <c r="Y17" s="52"/>
      <c r="Z17" s="52"/>
      <c r="AA17" s="54"/>
      <c r="AB17" s="130"/>
      <c r="AC17" s="139"/>
    </row>
    <row r="18" spans="1:29" ht="15" thickBot="1" x14ac:dyDescent="0.35">
      <c r="A18" s="122"/>
      <c r="B18" s="185"/>
      <c r="C18" s="102"/>
      <c r="D18" s="101"/>
      <c r="E18" s="101"/>
      <c r="F18" s="118"/>
      <c r="G18" s="120">
        <f t="shared" si="0"/>
        <v>0</v>
      </c>
      <c r="H18" s="114"/>
      <c r="I18" s="101"/>
      <c r="J18" s="101"/>
      <c r="K18" s="125"/>
      <c r="L18" s="103">
        <f t="shared" si="19"/>
        <v>0</v>
      </c>
      <c r="M18" s="128">
        <f t="shared" si="20"/>
        <v>0</v>
      </c>
      <c r="N18" s="120">
        <f t="shared" si="21"/>
        <v>0</v>
      </c>
      <c r="O18" s="131"/>
      <c r="P18" s="135"/>
      <c r="Q18" s="131"/>
      <c r="R18" s="101"/>
      <c r="S18" s="104">
        <f t="shared" si="22"/>
        <v>0</v>
      </c>
      <c r="T18" s="238"/>
      <c r="U18" s="238"/>
      <c r="V18" s="238"/>
      <c r="W18" s="238"/>
      <c r="X18" s="101"/>
      <c r="Y18" s="101"/>
      <c r="Z18" s="101"/>
      <c r="AA18" s="102"/>
      <c r="AB18" s="131"/>
      <c r="AC18" s="140"/>
    </row>
    <row r="19" spans="1:29" x14ac:dyDescent="0.3">
      <c r="A19" s="115">
        <f t="shared" ref="A19" si="23">$A14+1</f>
        <v>4</v>
      </c>
      <c r="B19" s="186"/>
      <c r="C19" s="105">
        <f>INDEX(Tribs!$C$3:$C$102,MATCH($A19,Tribs!$A$3:$A$102,0))</f>
        <v>0</v>
      </c>
      <c r="D19" s="106">
        <f>INDEX(Tribs!$E$3:$E$102,MATCH($A19,Tribs!$A$3:$A$102,0))</f>
        <v>0</v>
      </c>
      <c r="E19" s="105">
        <f>INDEX(Tribs!$F$3:$F$102,MATCH($A19,Tribs!$A$3:$A$102,0))</f>
        <v>0</v>
      </c>
      <c r="F19" s="116">
        <f t="shared" ref="F19" si="24">($C19*$E19)</f>
        <v>0</v>
      </c>
      <c r="G19" s="110"/>
      <c r="H19" s="111">
        <f t="shared" ref="H19" si="25">($F19)+(SUM($G20:$G23))</f>
        <v>0</v>
      </c>
      <c r="I19" s="106">
        <f>INDEX(Tribs!$D$3:$D$102,MATCH($A19,Tribs!$A$3:$A$102,0))</f>
        <v>0</v>
      </c>
      <c r="J19" s="106">
        <f>INDEX(Tribs!$G$3:$G$102,MATCH($A19,Tribs!$A$3:$A$102,0))</f>
        <v>0</v>
      </c>
      <c r="K19" s="105">
        <f>($J19)/V_gutter*(1/60)</f>
        <v>0</v>
      </c>
      <c r="L19" s="112"/>
      <c r="M19" s="109"/>
      <c r="N19" s="129">
        <f t="shared" ref="N19" si="26">($I19+$K19)</f>
        <v>0</v>
      </c>
      <c r="O19" s="111">
        <f t="shared" ref="O19" si="27">MAX($N19:$N23)</f>
        <v>0</v>
      </c>
      <c r="P19" s="133">
        <f>IF($H19&gt;0,IF($O19&lt;=T_1,I_1,IF($O19&lt;=T_2,(($O19*M_1)+B_1),IF($O19&lt;=T_3,(($O19*M_2)+B_2),IF($O19&lt;=T_4,(($O19*M_3)+B_3),IF($O19&lt;=T_5,(($O19*M_4)+B_4),IF($O19&lt;=T_6,(($O19*M_5)+B_5),IF($O19&lt;=T_7,(($O19*M_6)+B_6),IF($O19&lt;=T_8,(($O19*M_7)+B_7),IF($O19&lt;=T_9,(($O19*M_8)+B_8),IF($O19&lt;=T_10,(($O19*M_9)+B_9))))))))))),0)</f>
        <v>0</v>
      </c>
      <c r="Q19" s="111">
        <f t="shared" ref="Q19" si="28">ROUND(($H19*$P19),2)</f>
        <v>0</v>
      </c>
      <c r="R19" s="107">
        <f>IF($Q19&gt;0,IF($Q19&lt;=UTH!$M$4,UTH!$J$4,IF($Q19&lt;=UTH!$M$5,UTH!$J$5,IF($Q19&lt;=UTH!$M$6,UTH!$J$6,IF($Q19&lt;=UTH!$M$7,UTH!$J$7,IF($Q19&lt;=UTH!$M$8,UTH!$J$8,IF($Q19&lt;=UTH!$M$9,UTH!$J$9,IF($Q19&lt;=UTH!$M$10,UTH!$J$10,IF($Q19&lt;=UTH!$M$11,UTH!$J$11,IF($Q19&lt;=UTH!$M$12,UTH!$J$12,IF($Q19&lt;=UTH!$M$13,UTH!$J$13,IF($Q19&lt;=UTH!$M$14,UTH!$J$14,IF($Q19&lt;=UTH!$M$15,UTH!$J$15,IF($Q19&lt;=UTH!$M$16,UTH!$J$16,IF($Q19&lt;=UTH!$M$17,UTH!$J$17,IF($Q19&lt;=UTH!$M$18,UTH!$J$18,IF($Q19&lt;=UTH!$M$19,UTH!$J$19,IF($Q19&lt;=UTH!$M$20,UTH!$J$20))))))))))))))))),0)</f>
        <v>0</v>
      </c>
      <c r="S19" s="107">
        <f>IF(Inverts!$D19="YES",Inverts!$C19,Inverts!$E19)</f>
        <v>0</v>
      </c>
      <c r="T19" s="108">
        <f>IF($S19,($Q19/(KQ*($S19^(8/3))))^2,0)</f>
        <v>0</v>
      </c>
      <c r="U19" s="108">
        <f>IF($S19,(Vmin/(KV*($S19^(2/3))))^2,0)</f>
        <v>0</v>
      </c>
      <c r="V19" s="108">
        <f>IF($Z19,ROUND(MinDrop_2/$Z19,4),0)</f>
        <v>0</v>
      </c>
      <c r="W19" s="108">
        <f t="shared" ref="W19" si="29">IF($S19=0,0,MAX($T19:$V19))</f>
        <v>0</v>
      </c>
      <c r="X19" s="108">
        <f>IF(Inverts!$H19="yes",Inverts!$G19,Inverts!$I19)</f>
        <v>0</v>
      </c>
      <c r="Y19" s="105">
        <f>ROUND(KV*($S19^(2/3))*($X19^(0.5)),2)</f>
        <v>0</v>
      </c>
      <c r="Z19" s="106">
        <f>INDEX(Tribs!$H$3:$H$102,MATCH($A19,Tribs!$A$3:$A$102,0))</f>
        <v>0</v>
      </c>
      <c r="AA19" s="105">
        <f t="shared" ref="AA19" si="30">IF($Y19,($Z19/$Y19)*(1/60),0)</f>
        <v>0</v>
      </c>
      <c r="AB19" s="111">
        <f>ROUND(KQ*($S19^(8/3))*($X19^(0.5)),2)</f>
        <v>0</v>
      </c>
      <c r="AC19" s="138" t="str">
        <f>IF(AND($AB19&gt;=($Q19-0.0049),$Y19&gt;=(Vmin-0.0049)),"OK","NG")</f>
        <v>NG</v>
      </c>
    </row>
    <row r="20" spans="1:29" x14ac:dyDescent="0.3">
      <c r="A20" s="121"/>
      <c r="B20" s="184"/>
      <c r="C20" s="54"/>
      <c r="D20" s="52"/>
      <c r="E20" s="52"/>
      <c r="F20" s="117"/>
      <c r="G20" s="119">
        <f t="shared" ref="G20" si="31">IF($B20,INDEX($H$4:$H$499,(MATCH($B20,$A$4:$A$499))),0)</f>
        <v>0</v>
      </c>
      <c r="H20" s="113"/>
      <c r="I20" s="52"/>
      <c r="J20" s="52"/>
      <c r="K20" s="123"/>
      <c r="L20" s="53">
        <f t="shared" ref="L20" si="32">IF($B20,INDEX($O$4:$O$499,MATCH($B20,$A$4:$A$499)),0)</f>
        <v>0</v>
      </c>
      <c r="M20" s="126">
        <f t="shared" ref="M20" si="33">IF($B20,INDEX($AA$4:$AA$499,MATCH($B20,$A$4:$A$499)),0)</f>
        <v>0</v>
      </c>
      <c r="N20" s="119">
        <f t="shared" ref="N20" si="34">($L20+$M20)</f>
        <v>0</v>
      </c>
      <c r="O20" s="130"/>
      <c r="P20" s="134"/>
      <c r="Q20" s="130"/>
      <c r="R20" s="52"/>
      <c r="S20" s="224">
        <f t="shared" ref="S20:S23" si="35">S19</f>
        <v>0</v>
      </c>
      <c r="T20" s="237"/>
      <c r="U20" s="237"/>
      <c r="V20" s="237"/>
      <c r="W20" s="237"/>
      <c r="X20" s="52"/>
      <c r="Y20" s="52"/>
      <c r="Z20" s="52"/>
      <c r="AA20" s="54"/>
      <c r="AB20" s="130"/>
      <c r="AC20" s="139"/>
    </row>
    <row r="21" spans="1:29" x14ac:dyDescent="0.3">
      <c r="A21" s="121"/>
      <c r="B21" s="184"/>
      <c r="C21" s="54"/>
      <c r="D21" s="52"/>
      <c r="E21" s="52"/>
      <c r="F21" s="117"/>
      <c r="G21" s="119">
        <f t="shared" si="0"/>
        <v>0</v>
      </c>
      <c r="H21" s="113"/>
      <c r="I21" s="52"/>
      <c r="J21" s="52"/>
      <c r="K21" s="124"/>
      <c r="L21" s="53">
        <f t="shared" si="19"/>
        <v>0</v>
      </c>
      <c r="M21" s="127">
        <f t="shared" si="20"/>
        <v>0</v>
      </c>
      <c r="N21" s="119">
        <f t="shared" si="21"/>
        <v>0</v>
      </c>
      <c r="O21" s="130"/>
      <c r="P21" s="134"/>
      <c r="Q21" s="130"/>
      <c r="R21" s="52"/>
      <c r="S21" s="224">
        <f t="shared" si="35"/>
        <v>0</v>
      </c>
      <c r="T21" s="237"/>
      <c r="U21" s="237"/>
      <c r="V21" s="237"/>
      <c r="W21" s="237"/>
      <c r="X21" s="52"/>
      <c r="Y21" s="52"/>
      <c r="Z21" s="52"/>
      <c r="AA21" s="54"/>
      <c r="AB21" s="130"/>
      <c r="AC21" s="139"/>
    </row>
    <row r="22" spans="1:29" x14ac:dyDescent="0.3">
      <c r="A22" s="121"/>
      <c r="B22" s="184"/>
      <c r="C22" s="54"/>
      <c r="D22" s="52"/>
      <c r="E22" s="52"/>
      <c r="F22" s="117"/>
      <c r="G22" s="119">
        <f t="shared" si="0"/>
        <v>0</v>
      </c>
      <c r="H22" s="113"/>
      <c r="I22" s="52"/>
      <c r="J22" s="52"/>
      <c r="K22" s="124"/>
      <c r="L22" s="53">
        <f t="shared" si="19"/>
        <v>0</v>
      </c>
      <c r="M22" s="127">
        <f t="shared" si="20"/>
        <v>0</v>
      </c>
      <c r="N22" s="119">
        <f t="shared" si="21"/>
        <v>0</v>
      </c>
      <c r="O22" s="130"/>
      <c r="P22" s="134"/>
      <c r="Q22" s="130"/>
      <c r="R22" s="52"/>
      <c r="S22" s="224">
        <f t="shared" si="35"/>
        <v>0</v>
      </c>
      <c r="T22" s="237"/>
      <c r="U22" s="237"/>
      <c r="V22" s="237"/>
      <c r="W22" s="237"/>
      <c r="X22" s="52"/>
      <c r="Y22" s="52"/>
      <c r="Z22" s="52"/>
      <c r="AA22" s="54"/>
      <c r="AB22" s="130"/>
      <c r="AC22" s="139"/>
    </row>
    <row r="23" spans="1:29" ht="15" thickBot="1" x14ac:dyDescent="0.35">
      <c r="A23" s="122"/>
      <c r="B23" s="185"/>
      <c r="C23" s="102"/>
      <c r="D23" s="101"/>
      <c r="E23" s="101"/>
      <c r="F23" s="118"/>
      <c r="G23" s="120">
        <f t="shared" si="0"/>
        <v>0</v>
      </c>
      <c r="H23" s="114"/>
      <c r="I23" s="101"/>
      <c r="J23" s="101"/>
      <c r="K23" s="125"/>
      <c r="L23" s="103">
        <f t="shared" si="19"/>
        <v>0</v>
      </c>
      <c r="M23" s="128">
        <f t="shared" si="20"/>
        <v>0</v>
      </c>
      <c r="N23" s="120">
        <f t="shared" si="21"/>
        <v>0</v>
      </c>
      <c r="O23" s="131"/>
      <c r="P23" s="135"/>
      <c r="Q23" s="131"/>
      <c r="R23" s="101"/>
      <c r="S23" s="104">
        <f t="shared" si="35"/>
        <v>0</v>
      </c>
      <c r="T23" s="238"/>
      <c r="U23" s="238"/>
      <c r="V23" s="238"/>
      <c r="W23" s="238"/>
      <c r="X23" s="101"/>
      <c r="Y23" s="101"/>
      <c r="Z23" s="101"/>
      <c r="AA23" s="102"/>
      <c r="AB23" s="131"/>
      <c r="AC23" s="140"/>
    </row>
    <row r="24" spans="1:29" x14ac:dyDescent="0.3">
      <c r="A24" s="115">
        <f t="shared" ref="A24" si="36">$A19+1</f>
        <v>5</v>
      </c>
      <c r="B24" s="186"/>
      <c r="C24" s="105">
        <f>INDEX(Tribs!$C$3:$C$102,MATCH($A24,Tribs!$A$3:$A$102,0))</f>
        <v>0</v>
      </c>
      <c r="D24" s="106">
        <f>INDEX(Tribs!$E$3:$E$102,MATCH($A24,Tribs!$A$3:$A$102,0))</f>
        <v>0</v>
      </c>
      <c r="E24" s="105">
        <f>INDEX(Tribs!$F$3:$F$102,MATCH($A24,Tribs!$A$3:$A$102,0))</f>
        <v>0</v>
      </c>
      <c r="F24" s="116">
        <f t="shared" ref="F24" si="37">($C24*$E24)</f>
        <v>0</v>
      </c>
      <c r="G24" s="110"/>
      <c r="H24" s="111">
        <f t="shared" ref="H24" si="38">($F24)+(SUM($G25:$G28))</f>
        <v>0</v>
      </c>
      <c r="I24" s="106">
        <f>INDEX(Tribs!$D$3:$D$102,MATCH($A24,Tribs!$A$3:$A$102,0))</f>
        <v>0</v>
      </c>
      <c r="J24" s="106">
        <f>INDEX(Tribs!$G$3:$G$102,MATCH($A24,Tribs!$A$3:$A$102,0))</f>
        <v>0</v>
      </c>
      <c r="K24" s="105">
        <f>($J24)/V_gutter*(1/60)</f>
        <v>0</v>
      </c>
      <c r="L24" s="112"/>
      <c r="M24" s="109"/>
      <c r="N24" s="129">
        <f t="shared" ref="N24" si="39">($I24+$K24)</f>
        <v>0</v>
      </c>
      <c r="O24" s="111">
        <f t="shared" ref="O24" si="40">MAX($N24:$N28)</f>
        <v>0</v>
      </c>
      <c r="P24" s="133">
        <f>IF($H24&gt;0,IF($O24&lt;=T_1,I_1,IF($O24&lt;=T_2,(($O24*M_1)+B_1),IF($O24&lt;=T_3,(($O24*M_2)+B_2),IF($O24&lt;=T_4,(($O24*M_3)+B_3),IF($O24&lt;=T_5,(($O24*M_4)+B_4),IF($O24&lt;=T_6,(($O24*M_5)+B_5),IF($O24&lt;=T_7,(($O24*M_6)+B_6),IF($O24&lt;=T_8,(($O24*M_7)+B_7),IF($O24&lt;=T_9,(($O24*M_8)+B_8),IF($O24&lt;=T_10,(($O24*M_9)+B_9))))))))))),0)</f>
        <v>0</v>
      </c>
      <c r="Q24" s="111">
        <f t="shared" ref="Q24" si="41">ROUND(($H24*$P24),2)</f>
        <v>0</v>
      </c>
      <c r="R24" s="107">
        <f>IF($Q24&gt;0,IF($Q24&lt;=UTH!$M$4,UTH!$J$4,IF($Q24&lt;=UTH!$M$5,UTH!$J$5,IF($Q24&lt;=UTH!$M$6,UTH!$J$6,IF($Q24&lt;=UTH!$M$7,UTH!$J$7,IF($Q24&lt;=UTH!$M$8,UTH!$J$8,IF($Q24&lt;=UTH!$M$9,UTH!$J$9,IF($Q24&lt;=UTH!$M$10,UTH!$J$10,IF($Q24&lt;=UTH!$M$11,UTH!$J$11,IF($Q24&lt;=UTH!$M$12,UTH!$J$12,IF($Q24&lt;=UTH!$M$13,UTH!$J$13,IF($Q24&lt;=UTH!$M$14,UTH!$J$14,IF($Q24&lt;=UTH!$M$15,UTH!$J$15,IF($Q24&lt;=UTH!$M$16,UTH!$J$16,IF($Q24&lt;=UTH!$M$17,UTH!$J$17,IF($Q24&lt;=UTH!$M$18,UTH!$J$18,IF($Q24&lt;=UTH!$M$19,UTH!$J$19,IF($Q24&lt;=UTH!$M$20,UTH!$J$20))))))))))))))))),0)</f>
        <v>0</v>
      </c>
      <c r="S24" s="107">
        <f>IF(Inverts!$D24="YES",Inverts!$C24,Inverts!$E24)</f>
        <v>0</v>
      </c>
      <c r="T24" s="108">
        <f>IF($S24,($Q24/(KQ*($S24^(8/3))))^2,0)</f>
        <v>0</v>
      </c>
      <c r="U24" s="108">
        <f>IF($S24,(Vmin/(KV*($S24^(2/3))))^2,0)</f>
        <v>0</v>
      </c>
      <c r="V24" s="108">
        <f>IF($Z24,ROUND(MinDrop_2/$Z24,4),0)</f>
        <v>0</v>
      </c>
      <c r="W24" s="108">
        <f t="shared" ref="W24" si="42">IF($S24=0,0,MAX($T24:$V24))</f>
        <v>0</v>
      </c>
      <c r="X24" s="108">
        <f>IF(Inverts!$H24="yes",Inverts!$G24,Inverts!$I24)</f>
        <v>0</v>
      </c>
      <c r="Y24" s="105">
        <f>ROUND(KV*($S24^(2/3))*($X24^(0.5)),2)</f>
        <v>0</v>
      </c>
      <c r="Z24" s="106">
        <f>INDEX(Tribs!$H$3:$H$102,MATCH($A24,Tribs!$A$3:$A$102,0))</f>
        <v>0</v>
      </c>
      <c r="AA24" s="105">
        <f t="shared" ref="AA24" si="43">IF($Y24,($Z24/$Y24)*(1/60),0)</f>
        <v>0</v>
      </c>
      <c r="AB24" s="111">
        <f>ROUND(KQ*($S24^(8/3))*($X24^(0.5)),2)</f>
        <v>0</v>
      </c>
      <c r="AC24" s="138" t="str">
        <f>IF(AND($AB24&gt;=($Q24-0.0049),$Y24&gt;=(Vmin-0.0049)),"OK","NG")</f>
        <v>NG</v>
      </c>
    </row>
    <row r="25" spans="1:29" x14ac:dyDescent="0.3">
      <c r="A25" s="121"/>
      <c r="B25" s="184"/>
      <c r="C25" s="54"/>
      <c r="D25" s="52"/>
      <c r="E25" s="52"/>
      <c r="F25" s="117"/>
      <c r="G25" s="119">
        <f t="shared" ref="G25" si="44">IF($B25,INDEX($H$4:$H$499,(MATCH($B25,$A$4:$A$499))),0)</f>
        <v>0</v>
      </c>
      <c r="H25" s="113"/>
      <c r="I25" s="52"/>
      <c r="J25" s="52"/>
      <c r="K25" s="123"/>
      <c r="L25" s="53">
        <f t="shared" ref="L25" si="45">IF($B25,INDEX($O$4:$O$499,MATCH($B25,$A$4:$A$499)),0)</f>
        <v>0</v>
      </c>
      <c r="M25" s="126">
        <f t="shared" ref="M25" si="46">IF($B25,INDEX($AA$4:$AA$499,MATCH($B25,$A$4:$A$499)),0)</f>
        <v>0</v>
      </c>
      <c r="N25" s="119">
        <f t="shared" ref="N25" si="47">($L25+$M25)</f>
        <v>0</v>
      </c>
      <c r="O25" s="130"/>
      <c r="P25" s="134"/>
      <c r="Q25" s="130"/>
      <c r="R25" s="52"/>
      <c r="S25" s="224">
        <f t="shared" ref="S25:S28" si="48">S24</f>
        <v>0</v>
      </c>
      <c r="T25" s="237"/>
      <c r="U25" s="237"/>
      <c r="V25" s="237"/>
      <c r="W25" s="237"/>
      <c r="X25" s="52"/>
      <c r="Y25" s="52"/>
      <c r="Z25" s="52"/>
      <c r="AA25" s="54"/>
      <c r="AB25" s="130"/>
      <c r="AC25" s="139"/>
    </row>
    <row r="26" spans="1:29" x14ac:dyDescent="0.3">
      <c r="A26" s="121"/>
      <c r="B26" s="184"/>
      <c r="C26" s="54"/>
      <c r="D26" s="52"/>
      <c r="E26" s="52"/>
      <c r="F26" s="117"/>
      <c r="G26" s="119">
        <f t="shared" si="0"/>
        <v>0</v>
      </c>
      <c r="H26" s="113"/>
      <c r="I26" s="52"/>
      <c r="J26" s="52"/>
      <c r="K26" s="124"/>
      <c r="L26" s="53">
        <f t="shared" si="19"/>
        <v>0</v>
      </c>
      <c r="M26" s="127">
        <f t="shared" si="20"/>
        <v>0</v>
      </c>
      <c r="N26" s="119">
        <f t="shared" si="21"/>
        <v>0</v>
      </c>
      <c r="O26" s="130"/>
      <c r="P26" s="134"/>
      <c r="Q26" s="130"/>
      <c r="R26" s="52"/>
      <c r="S26" s="224">
        <f t="shared" si="48"/>
        <v>0</v>
      </c>
      <c r="T26" s="237"/>
      <c r="U26" s="237"/>
      <c r="V26" s="237"/>
      <c r="W26" s="237"/>
      <c r="X26" s="52"/>
      <c r="Y26" s="52"/>
      <c r="Z26" s="52"/>
      <c r="AA26" s="54"/>
      <c r="AB26" s="130"/>
      <c r="AC26" s="139"/>
    </row>
    <row r="27" spans="1:29" x14ac:dyDescent="0.3">
      <c r="A27" s="121"/>
      <c r="B27" s="184"/>
      <c r="C27" s="54"/>
      <c r="D27" s="52"/>
      <c r="E27" s="52"/>
      <c r="F27" s="117"/>
      <c r="G27" s="119">
        <f t="shared" si="0"/>
        <v>0</v>
      </c>
      <c r="H27" s="113"/>
      <c r="I27" s="52"/>
      <c r="J27" s="52"/>
      <c r="K27" s="124"/>
      <c r="L27" s="53">
        <f t="shared" si="19"/>
        <v>0</v>
      </c>
      <c r="M27" s="127">
        <f t="shared" si="20"/>
        <v>0</v>
      </c>
      <c r="N27" s="119">
        <f t="shared" si="21"/>
        <v>0</v>
      </c>
      <c r="O27" s="130"/>
      <c r="P27" s="134"/>
      <c r="Q27" s="130"/>
      <c r="R27" s="52"/>
      <c r="S27" s="224">
        <f t="shared" si="48"/>
        <v>0</v>
      </c>
      <c r="T27" s="237"/>
      <c r="U27" s="237"/>
      <c r="V27" s="237"/>
      <c r="W27" s="237"/>
      <c r="X27" s="52"/>
      <c r="Y27" s="52"/>
      <c r="Z27" s="52"/>
      <c r="AA27" s="54"/>
      <c r="AB27" s="130"/>
      <c r="AC27" s="139"/>
    </row>
    <row r="28" spans="1:29" ht="15" thickBot="1" x14ac:dyDescent="0.35">
      <c r="A28" s="122"/>
      <c r="B28" s="185"/>
      <c r="C28" s="102"/>
      <c r="D28" s="101"/>
      <c r="E28" s="101"/>
      <c r="F28" s="118"/>
      <c r="G28" s="120">
        <f t="shared" si="0"/>
        <v>0</v>
      </c>
      <c r="H28" s="114"/>
      <c r="I28" s="101"/>
      <c r="J28" s="101"/>
      <c r="K28" s="125"/>
      <c r="L28" s="103">
        <f t="shared" si="19"/>
        <v>0</v>
      </c>
      <c r="M28" s="128">
        <f t="shared" si="20"/>
        <v>0</v>
      </c>
      <c r="N28" s="120">
        <f t="shared" si="21"/>
        <v>0</v>
      </c>
      <c r="O28" s="131"/>
      <c r="P28" s="135"/>
      <c r="Q28" s="131"/>
      <c r="R28" s="101"/>
      <c r="S28" s="104">
        <f t="shared" si="48"/>
        <v>0</v>
      </c>
      <c r="T28" s="238"/>
      <c r="U28" s="238"/>
      <c r="V28" s="238"/>
      <c r="W28" s="238"/>
      <c r="X28" s="101"/>
      <c r="Y28" s="101"/>
      <c r="Z28" s="101"/>
      <c r="AA28" s="102"/>
      <c r="AB28" s="131"/>
      <c r="AC28" s="140"/>
    </row>
    <row r="29" spans="1:29" x14ac:dyDescent="0.3">
      <c r="A29" s="115">
        <f t="shared" ref="A29" si="49">$A24+1</f>
        <v>6</v>
      </c>
      <c r="B29" s="186"/>
      <c r="C29" s="105">
        <f>INDEX(Tribs!$C$3:$C$102,MATCH($A29,Tribs!$A$3:$A$102,0))</f>
        <v>0</v>
      </c>
      <c r="D29" s="106">
        <f>INDEX(Tribs!$E$3:$E$102,MATCH($A29,Tribs!$A$3:$A$102,0))</f>
        <v>0</v>
      </c>
      <c r="E29" s="105">
        <f>INDEX(Tribs!$F$3:$F$102,MATCH($A29,Tribs!$A$3:$A$102,0))</f>
        <v>0</v>
      </c>
      <c r="F29" s="116">
        <f t="shared" ref="F29" si="50">($C29*$E29)</f>
        <v>0</v>
      </c>
      <c r="G29" s="110"/>
      <c r="H29" s="111">
        <f t="shared" ref="H29" si="51">($F29)+(SUM($G30:$G33))</f>
        <v>0</v>
      </c>
      <c r="I29" s="106">
        <f>INDEX(Tribs!$D$3:$D$102,MATCH($A29,Tribs!$A$3:$A$102,0))</f>
        <v>0</v>
      </c>
      <c r="J29" s="106">
        <f>INDEX(Tribs!$G$3:$G$102,MATCH($A29,Tribs!$A$3:$A$102,0))</f>
        <v>0</v>
      </c>
      <c r="K29" s="105">
        <f>($J29)/V_gutter*(1/60)</f>
        <v>0</v>
      </c>
      <c r="L29" s="112"/>
      <c r="M29" s="109"/>
      <c r="N29" s="129">
        <f t="shared" ref="N29" si="52">($I29+$K29)</f>
        <v>0</v>
      </c>
      <c r="O29" s="111">
        <f t="shared" ref="O29" si="53">MAX($N29:$N33)</f>
        <v>0</v>
      </c>
      <c r="P29" s="133">
        <f>IF($H29&gt;0,IF($O29&lt;=T_1,I_1,IF($O29&lt;=T_2,(($O29*M_1)+B_1),IF($O29&lt;=T_3,(($O29*M_2)+B_2),IF($O29&lt;=T_4,(($O29*M_3)+B_3),IF($O29&lt;=T_5,(($O29*M_4)+B_4),IF($O29&lt;=T_6,(($O29*M_5)+B_5),IF($O29&lt;=T_7,(($O29*M_6)+B_6),IF($O29&lt;=T_8,(($O29*M_7)+B_7),IF($O29&lt;=T_9,(($O29*M_8)+B_8),IF($O29&lt;=T_10,(($O29*M_9)+B_9))))))))))),0)</f>
        <v>0</v>
      </c>
      <c r="Q29" s="111">
        <f t="shared" ref="Q29" si="54">ROUND(($H29*$P29),2)</f>
        <v>0</v>
      </c>
      <c r="R29" s="107">
        <f>IF($Q29&gt;0,IF($Q29&lt;=UTH!$M$4,UTH!$J$4,IF($Q29&lt;=UTH!$M$5,UTH!$J$5,IF($Q29&lt;=UTH!$M$6,UTH!$J$6,IF($Q29&lt;=UTH!$M$7,UTH!$J$7,IF($Q29&lt;=UTH!$M$8,UTH!$J$8,IF($Q29&lt;=UTH!$M$9,UTH!$J$9,IF($Q29&lt;=UTH!$M$10,UTH!$J$10,IF($Q29&lt;=UTH!$M$11,UTH!$J$11,IF($Q29&lt;=UTH!$M$12,UTH!$J$12,IF($Q29&lt;=UTH!$M$13,UTH!$J$13,IF($Q29&lt;=UTH!$M$14,UTH!$J$14,IF($Q29&lt;=UTH!$M$15,UTH!$J$15,IF($Q29&lt;=UTH!$M$16,UTH!$J$16,IF($Q29&lt;=UTH!$M$17,UTH!$J$17,IF($Q29&lt;=UTH!$M$18,UTH!$J$18,IF($Q29&lt;=UTH!$M$19,UTH!$J$19,IF($Q29&lt;=UTH!$M$20,UTH!$J$20))))))))))))))))),0)</f>
        <v>0</v>
      </c>
      <c r="S29" s="107">
        <f>IF(Inverts!$D29="YES",Inverts!$C29,Inverts!$E29)</f>
        <v>0</v>
      </c>
      <c r="T29" s="108">
        <f>IF($S29,($Q29/(KQ*($S29^(8/3))))^2,0)</f>
        <v>0</v>
      </c>
      <c r="U29" s="108">
        <f>IF($S29,(Vmin/(KV*($S29^(2/3))))^2,0)</f>
        <v>0</v>
      </c>
      <c r="V29" s="108">
        <f>IF($Z29,ROUND(MinDrop_2/$Z29,4),0)</f>
        <v>0</v>
      </c>
      <c r="W29" s="108">
        <f t="shared" ref="W29" si="55">IF($S29=0,0,MAX($T29:$V29))</f>
        <v>0</v>
      </c>
      <c r="X29" s="108">
        <f>IF(Inverts!$H29="yes",Inverts!$G29,Inverts!$I29)</f>
        <v>0</v>
      </c>
      <c r="Y29" s="105">
        <f>ROUND(KV*($S29^(2/3))*($X29^(0.5)),2)</f>
        <v>0</v>
      </c>
      <c r="Z29" s="106">
        <f>INDEX(Tribs!$H$3:$H$102,MATCH($A29,Tribs!$A$3:$A$102,0))</f>
        <v>0</v>
      </c>
      <c r="AA29" s="105">
        <f t="shared" ref="AA29" si="56">IF($Y29,($Z29/$Y29)*(1/60),0)</f>
        <v>0</v>
      </c>
      <c r="AB29" s="111">
        <f>ROUND(KQ*($S29^(8/3))*($X29^(0.5)),2)</f>
        <v>0</v>
      </c>
      <c r="AC29" s="138" t="str">
        <f>IF(AND($AB29&gt;=($Q29-0.0049),$Y29&gt;=(Vmin-0.0049)),"OK","NG")</f>
        <v>NG</v>
      </c>
    </row>
    <row r="30" spans="1:29" x14ac:dyDescent="0.3">
      <c r="A30" s="121"/>
      <c r="B30" s="184"/>
      <c r="C30" s="54"/>
      <c r="D30" s="52"/>
      <c r="E30" s="52"/>
      <c r="F30" s="117"/>
      <c r="G30" s="119">
        <f t="shared" ref="G30" si="57">IF($B30,INDEX($H$4:$H$499,(MATCH($B30,$A$4:$A$499))),0)</f>
        <v>0</v>
      </c>
      <c r="H30" s="113"/>
      <c r="I30" s="52"/>
      <c r="J30" s="52"/>
      <c r="K30" s="123"/>
      <c r="L30" s="53">
        <f t="shared" ref="L30" si="58">IF($B30,INDEX($O$4:$O$499,MATCH($B30,$A$4:$A$499)),0)</f>
        <v>0</v>
      </c>
      <c r="M30" s="126">
        <f t="shared" ref="M30" si="59">IF($B30,INDEX($AA$4:$AA$499,MATCH($B30,$A$4:$A$499)),0)</f>
        <v>0</v>
      </c>
      <c r="N30" s="119">
        <f t="shared" ref="N30" si="60">($L30+$M30)</f>
        <v>0</v>
      </c>
      <c r="O30" s="130"/>
      <c r="P30" s="134"/>
      <c r="Q30" s="130"/>
      <c r="R30" s="52"/>
      <c r="S30" s="224">
        <f t="shared" ref="S30:S33" si="61">S29</f>
        <v>0</v>
      </c>
      <c r="T30" s="237"/>
      <c r="U30" s="237"/>
      <c r="V30" s="237"/>
      <c r="W30" s="237"/>
      <c r="X30" s="52"/>
      <c r="Y30" s="52"/>
      <c r="Z30" s="52"/>
      <c r="AA30" s="54"/>
      <c r="AB30" s="130"/>
      <c r="AC30" s="139"/>
    </row>
    <row r="31" spans="1:29" x14ac:dyDescent="0.3">
      <c r="A31" s="121"/>
      <c r="B31" s="184"/>
      <c r="C31" s="54"/>
      <c r="D31" s="52"/>
      <c r="E31" s="52"/>
      <c r="F31" s="117"/>
      <c r="G31" s="119">
        <f t="shared" si="0"/>
        <v>0</v>
      </c>
      <c r="H31" s="113"/>
      <c r="I31" s="52"/>
      <c r="J31" s="52"/>
      <c r="K31" s="124"/>
      <c r="L31" s="53">
        <f t="shared" si="19"/>
        <v>0</v>
      </c>
      <c r="M31" s="127">
        <f t="shared" si="20"/>
        <v>0</v>
      </c>
      <c r="N31" s="119">
        <f t="shared" si="21"/>
        <v>0</v>
      </c>
      <c r="O31" s="130"/>
      <c r="P31" s="134"/>
      <c r="Q31" s="130"/>
      <c r="R31" s="52"/>
      <c r="S31" s="224">
        <f t="shared" si="61"/>
        <v>0</v>
      </c>
      <c r="T31" s="237"/>
      <c r="U31" s="237"/>
      <c r="V31" s="237"/>
      <c r="W31" s="237"/>
      <c r="X31" s="52"/>
      <c r="Y31" s="52"/>
      <c r="Z31" s="52"/>
      <c r="AA31" s="54"/>
      <c r="AB31" s="130"/>
      <c r="AC31" s="139"/>
    </row>
    <row r="32" spans="1:29" x14ac:dyDescent="0.3">
      <c r="A32" s="121"/>
      <c r="B32" s="184"/>
      <c r="C32" s="54"/>
      <c r="D32" s="52"/>
      <c r="E32" s="52"/>
      <c r="F32" s="117"/>
      <c r="G32" s="119">
        <f t="shared" si="0"/>
        <v>0</v>
      </c>
      <c r="H32" s="113"/>
      <c r="I32" s="52"/>
      <c r="J32" s="52"/>
      <c r="K32" s="124"/>
      <c r="L32" s="53">
        <f t="shared" si="19"/>
        <v>0</v>
      </c>
      <c r="M32" s="127">
        <f t="shared" si="20"/>
        <v>0</v>
      </c>
      <c r="N32" s="119">
        <f t="shared" si="21"/>
        <v>0</v>
      </c>
      <c r="O32" s="130"/>
      <c r="P32" s="134"/>
      <c r="Q32" s="130"/>
      <c r="R32" s="52"/>
      <c r="S32" s="224">
        <f t="shared" si="61"/>
        <v>0</v>
      </c>
      <c r="T32" s="237"/>
      <c r="U32" s="237"/>
      <c r="V32" s="237"/>
      <c r="W32" s="237"/>
      <c r="X32" s="52"/>
      <c r="Y32" s="52"/>
      <c r="Z32" s="52"/>
      <c r="AA32" s="54"/>
      <c r="AB32" s="130"/>
      <c r="AC32" s="139"/>
    </row>
    <row r="33" spans="1:29" ht="15" thickBot="1" x14ac:dyDescent="0.35">
      <c r="A33" s="122"/>
      <c r="B33" s="185"/>
      <c r="C33" s="102"/>
      <c r="D33" s="101"/>
      <c r="E33" s="101"/>
      <c r="F33" s="118"/>
      <c r="G33" s="120">
        <f t="shared" si="0"/>
        <v>0</v>
      </c>
      <c r="H33" s="114"/>
      <c r="I33" s="101"/>
      <c r="J33" s="101"/>
      <c r="K33" s="125"/>
      <c r="L33" s="103">
        <f t="shared" si="19"/>
        <v>0</v>
      </c>
      <c r="M33" s="128">
        <f t="shared" si="20"/>
        <v>0</v>
      </c>
      <c r="N33" s="120">
        <f t="shared" si="21"/>
        <v>0</v>
      </c>
      <c r="O33" s="131"/>
      <c r="P33" s="135"/>
      <c r="Q33" s="131"/>
      <c r="R33" s="101"/>
      <c r="S33" s="104">
        <f t="shared" si="61"/>
        <v>0</v>
      </c>
      <c r="T33" s="238"/>
      <c r="U33" s="238"/>
      <c r="V33" s="238"/>
      <c r="W33" s="238"/>
      <c r="X33" s="101"/>
      <c r="Y33" s="101"/>
      <c r="Z33" s="101"/>
      <c r="AA33" s="102"/>
      <c r="AB33" s="131"/>
      <c r="AC33" s="140"/>
    </row>
    <row r="34" spans="1:29" x14ac:dyDescent="0.3">
      <c r="A34" s="115">
        <f t="shared" ref="A34" si="62">$A29+1</f>
        <v>7</v>
      </c>
      <c r="B34" s="186"/>
      <c r="C34" s="105">
        <f>INDEX(Tribs!$C$3:$C$102,MATCH($A34,Tribs!$A$3:$A$102,0))</f>
        <v>0</v>
      </c>
      <c r="D34" s="106">
        <f>INDEX(Tribs!$E$3:$E$102,MATCH($A34,Tribs!$A$3:$A$102,0))</f>
        <v>0</v>
      </c>
      <c r="E34" s="105">
        <f>INDEX(Tribs!$F$3:$F$102,MATCH($A34,Tribs!$A$3:$A$102,0))</f>
        <v>0</v>
      </c>
      <c r="F34" s="116">
        <f t="shared" ref="F34" si="63">($C34*$E34)</f>
        <v>0</v>
      </c>
      <c r="G34" s="110"/>
      <c r="H34" s="111">
        <f t="shared" ref="H34" si="64">($F34)+(SUM($G35:$G38))</f>
        <v>0</v>
      </c>
      <c r="I34" s="106">
        <f>INDEX(Tribs!$D$3:$D$102,MATCH($A34,Tribs!$A$3:$A$102,0))</f>
        <v>0</v>
      </c>
      <c r="J34" s="106">
        <f>INDEX(Tribs!$G$3:$G$102,MATCH($A34,Tribs!$A$3:$A$102,0))</f>
        <v>0</v>
      </c>
      <c r="K34" s="105">
        <f>($J34)/V_gutter*(1/60)</f>
        <v>0</v>
      </c>
      <c r="L34" s="112"/>
      <c r="M34" s="109"/>
      <c r="N34" s="129">
        <f t="shared" ref="N34" si="65">($I34+$K34)</f>
        <v>0</v>
      </c>
      <c r="O34" s="111">
        <f t="shared" ref="O34" si="66">MAX($N34:$N38)</f>
        <v>0</v>
      </c>
      <c r="P34" s="133">
        <f>IF($H34&gt;0,IF($O34&lt;=T_1,I_1,IF($O34&lt;=T_2,(($O34*M_1)+B_1),IF($O34&lt;=T_3,(($O34*M_2)+B_2),IF($O34&lt;=T_4,(($O34*M_3)+B_3),IF($O34&lt;=T_5,(($O34*M_4)+B_4),IF($O34&lt;=T_6,(($O34*M_5)+B_5),IF($O34&lt;=T_7,(($O34*M_6)+B_6),IF($O34&lt;=T_8,(($O34*M_7)+B_7),IF($O34&lt;=T_9,(($O34*M_8)+B_8),IF($O34&lt;=T_10,(($O34*M_9)+B_9))))))))))),0)</f>
        <v>0</v>
      </c>
      <c r="Q34" s="111">
        <f t="shared" ref="Q34" si="67">ROUND(($H34*$P34),2)</f>
        <v>0</v>
      </c>
      <c r="R34" s="107">
        <f>IF($Q34&gt;0,IF($Q34&lt;=UTH!$M$4,UTH!$J$4,IF($Q34&lt;=UTH!$M$5,UTH!$J$5,IF($Q34&lt;=UTH!$M$6,UTH!$J$6,IF($Q34&lt;=UTH!$M$7,UTH!$J$7,IF($Q34&lt;=UTH!$M$8,UTH!$J$8,IF($Q34&lt;=UTH!$M$9,UTH!$J$9,IF($Q34&lt;=UTH!$M$10,UTH!$J$10,IF($Q34&lt;=UTH!$M$11,UTH!$J$11,IF($Q34&lt;=UTH!$M$12,UTH!$J$12,IF($Q34&lt;=UTH!$M$13,UTH!$J$13,IF($Q34&lt;=UTH!$M$14,UTH!$J$14,IF($Q34&lt;=UTH!$M$15,UTH!$J$15,IF($Q34&lt;=UTH!$M$16,UTH!$J$16,IF($Q34&lt;=UTH!$M$17,UTH!$J$17,IF($Q34&lt;=UTH!$M$18,UTH!$J$18,IF($Q34&lt;=UTH!$M$19,UTH!$J$19,IF($Q34&lt;=UTH!$M$20,UTH!$J$20))))))))))))))))),0)</f>
        <v>0</v>
      </c>
      <c r="S34" s="107">
        <f>IF(Inverts!$D34="YES",Inverts!$C34,Inverts!$E34)</f>
        <v>0</v>
      </c>
      <c r="T34" s="108">
        <f>IF($S34,($Q34/(KQ*($S34^(8/3))))^2,0)</f>
        <v>0</v>
      </c>
      <c r="U34" s="108">
        <f>IF($S34,(Vmin/(KV*($S34^(2/3))))^2,0)</f>
        <v>0</v>
      </c>
      <c r="V34" s="108">
        <f>IF($Z34,ROUND(MinDrop_2/$Z34,4),0)</f>
        <v>0</v>
      </c>
      <c r="W34" s="108">
        <f t="shared" ref="W34" si="68">IF($S34=0,0,MAX($T34:$V34))</f>
        <v>0</v>
      </c>
      <c r="X34" s="108">
        <f>IF(Inverts!$H34="yes",Inverts!$G34,Inverts!$I34)</f>
        <v>0</v>
      </c>
      <c r="Y34" s="105">
        <f>ROUND(KV*($S34^(2/3))*($X34^(0.5)),2)</f>
        <v>0</v>
      </c>
      <c r="Z34" s="106">
        <f>INDEX(Tribs!$H$3:$H$102,MATCH($A34,Tribs!$A$3:$A$102,0))</f>
        <v>0</v>
      </c>
      <c r="AA34" s="105">
        <f t="shared" ref="AA34" si="69">IF($Y34,($Z34/$Y34)*(1/60),0)</f>
        <v>0</v>
      </c>
      <c r="AB34" s="111">
        <f>ROUND(KQ*($S34^(8/3))*($X34^(0.5)),2)</f>
        <v>0</v>
      </c>
      <c r="AC34" s="138" t="str">
        <f>IF(AND($AB34&gt;=($Q34-0.0049),$Y34&gt;=(Vmin-0.0049)),"OK","NG")</f>
        <v>NG</v>
      </c>
    </row>
    <row r="35" spans="1:29" x14ac:dyDescent="0.3">
      <c r="A35" s="121"/>
      <c r="B35" s="184"/>
      <c r="C35" s="54"/>
      <c r="D35" s="52"/>
      <c r="E35" s="52"/>
      <c r="F35" s="117"/>
      <c r="G35" s="119">
        <f t="shared" ref="G35" si="70">IF($B35,INDEX($H$4:$H$499,(MATCH($B35,$A$4:$A$499))),0)</f>
        <v>0</v>
      </c>
      <c r="H35" s="113"/>
      <c r="I35" s="52"/>
      <c r="J35" s="52"/>
      <c r="K35" s="123"/>
      <c r="L35" s="53">
        <f t="shared" ref="L35" si="71">IF($B35,INDEX($O$4:$O$499,MATCH($B35,$A$4:$A$499)),0)</f>
        <v>0</v>
      </c>
      <c r="M35" s="126">
        <f t="shared" ref="M35" si="72">IF($B35,INDEX($AA$4:$AA$499,MATCH($B35,$A$4:$A$499)),0)</f>
        <v>0</v>
      </c>
      <c r="N35" s="119">
        <f t="shared" ref="N35" si="73">($L35+$M35)</f>
        <v>0</v>
      </c>
      <c r="O35" s="130"/>
      <c r="P35" s="134"/>
      <c r="Q35" s="130"/>
      <c r="R35" s="52"/>
      <c r="S35" s="224">
        <f t="shared" ref="S35:S38" si="74">S34</f>
        <v>0</v>
      </c>
      <c r="T35" s="237"/>
      <c r="U35" s="237"/>
      <c r="V35" s="237"/>
      <c r="W35" s="237"/>
      <c r="X35" s="52"/>
      <c r="Y35" s="52"/>
      <c r="Z35" s="52"/>
      <c r="AA35" s="54"/>
      <c r="AB35" s="130"/>
      <c r="AC35" s="139"/>
    </row>
    <row r="36" spans="1:29" x14ac:dyDescent="0.3">
      <c r="A36" s="121"/>
      <c r="B36" s="184"/>
      <c r="C36" s="54"/>
      <c r="D36" s="52"/>
      <c r="E36" s="52"/>
      <c r="F36" s="117"/>
      <c r="G36" s="119">
        <f t="shared" si="0"/>
        <v>0</v>
      </c>
      <c r="H36" s="113"/>
      <c r="I36" s="52"/>
      <c r="J36" s="52"/>
      <c r="K36" s="124"/>
      <c r="L36" s="53">
        <f t="shared" si="19"/>
        <v>0</v>
      </c>
      <c r="M36" s="127">
        <f t="shared" si="20"/>
        <v>0</v>
      </c>
      <c r="N36" s="119">
        <f t="shared" si="21"/>
        <v>0</v>
      </c>
      <c r="O36" s="130"/>
      <c r="P36" s="134"/>
      <c r="Q36" s="130"/>
      <c r="R36" s="52"/>
      <c r="S36" s="224">
        <f t="shared" si="74"/>
        <v>0</v>
      </c>
      <c r="T36" s="237"/>
      <c r="U36" s="237"/>
      <c r="V36" s="237"/>
      <c r="W36" s="237"/>
      <c r="X36" s="52"/>
      <c r="Y36" s="52"/>
      <c r="Z36" s="52"/>
      <c r="AA36" s="54"/>
      <c r="AB36" s="130"/>
      <c r="AC36" s="139"/>
    </row>
    <row r="37" spans="1:29" x14ac:dyDescent="0.3">
      <c r="A37" s="121"/>
      <c r="B37" s="184"/>
      <c r="C37" s="54"/>
      <c r="D37" s="52"/>
      <c r="E37" s="52"/>
      <c r="F37" s="117"/>
      <c r="G37" s="119">
        <f t="shared" si="0"/>
        <v>0</v>
      </c>
      <c r="H37" s="113"/>
      <c r="I37" s="52"/>
      <c r="J37" s="52"/>
      <c r="K37" s="124"/>
      <c r="L37" s="53">
        <f t="shared" si="19"/>
        <v>0</v>
      </c>
      <c r="M37" s="127">
        <f t="shared" si="20"/>
        <v>0</v>
      </c>
      <c r="N37" s="119">
        <f t="shared" si="21"/>
        <v>0</v>
      </c>
      <c r="O37" s="130"/>
      <c r="P37" s="134"/>
      <c r="Q37" s="130"/>
      <c r="R37" s="52"/>
      <c r="S37" s="224">
        <f t="shared" si="74"/>
        <v>0</v>
      </c>
      <c r="T37" s="237"/>
      <c r="U37" s="237"/>
      <c r="V37" s="237"/>
      <c r="W37" s="237"/>
      <c r="X37" s="52"/>
      <c r="Y37" s="52"/>
      <c r="Z37" s="52"/>
      <c r="AA37" s="54"/>
      <c r="AB37" s="130"/>
      <c r="AC37" s="139"/>
    </row>
    <row r="38" spans="1:29" ht="15" thickBot="1" x14ac:dyDescent="0.35">
      <c r="A38" s="122"/>
      <c r="B38" s="185"/>
      <c r="C38" s="102"/>
      <c r="D38" s="101"/>
      <c r="E38" s="101"/>
      <c r="F38" s="118"/>
      <c r="G38" s="120">
        <f t="shared" si="0"/>
        <v>0</v>
      </c>
      <c r="H38" s="114"/>
      <c r="I38" s="101"/>
      <c r="J38" s="101"/>
      <c r="K38" s="125"/>
      <c r="L38" s="103">
        <f t="shared" si="19"/>
        <v>0</v>
      </c>
      <c r="M38" s="128">
        <f t="shared" si="20"/>
        <v>0</v>
      </c>
      <c r="N38" s="120">
        <f t="shared" si="21"/>
        <v>0</v>
      </c>
      <c r="O38" s="131"/>
      <c r="P38" s="135"/>
      <c r="Q38" s="131"/>
      <c r="R38" s="101"/>
      <c r="S38" s="104">
        <f t="shared" si="74"/>
        <v>0</v>
      </c>
      <c r="T38" s="238"/>
      <c r="U38" s="238"/>
      <c r="V38" s="238"/>
      <c r="W38" s="238"/>
      <c r="X38" s="101"/>
      <c r="Y38" s="101"/>
      <c r="Z38" s="101"/>
      <c r="AA38" s="102"/>
      <c r="AB38" s="131"/>
      <c r="AC38" s="140"/>
    </row>
    <row r="39" spans="1:29" x14ac:dyDescent="0.3">
      <c r="A39" s="115">
        <f t="shared" ref="A39" si="75">$A34+1</f>
        <v>8</v>
      </c>
      <c r="B39" s="186"/>
      <c r="C39" s="105">
        <f>INDEX(Tribs!$C$3:$C$102,MATCH($A39,Tribs!$A$3:$A$102,0))</f>
        <v>0</v>
      </c>
      <c r="D39" s="106">
        <f>INDEX(Tribs!$E$3:$E$102,MATCH($A39,Tribs!$A$3:$A$102,0))</f>
        <v>0</v>
      </c>
      <c r="E39" s="105">
        <f>INDEX(Tribs!$F$3:$F$102,MATCH($A39,Tribs!$A$3:$A$102,0))</f>
        <v>0</v>
      </c>
      <c r="F39" s="116">
        <f t="shared" ref="F39" si="76">($C39*$E39)</f>
        <v>0</v>
      </c>
      <c r="G39" s="110"/>
      <c r="H39" s="111">
        <f t="shared" ref="H39" si="77">($F39)+(SUM($G40:$G43))</f>
        <v>0</v>
      </c>
      <c r="I39" s="106">
        <f>INDEX(Tribs!$D$3:$D$102,MATCH($A39,Tribs!$A$3:$A$102,0))</f>
        <v>0</v>
      </c>
      <c r="J39" s="106">
        <f>INDEX(Tribs!$G$3:$G$102,MATCH($A39,Tribs!$A$3:$A$102,0))</f>
        <v>0</v>
      </c>
      <c r="K39" s="105">
        <f>($J39)/V_gutter*(1/60)</f>
        <v>0</v>
      </c>
      <c r="L39" s="112"/>
      <c r="M39" s="109"/>
      <c r="N39" s="129">
        <f t="shared" ref="N39" si="78">($I39+$K39)</f>
        <v>0</v>
      </c>
      <c r="O39" s="111">
        <f t="shared" ref="O39" si="79">MAX($N39:$N43)</f>
        <v>0</v>
      </c>
      <c r="P39" s="133">
        <f>IF($H39&gt;0,IF($O39&lt;=T_1,I_1,IF($O39&lt;=T_2,(($O39*M_1)+B_1),IF($O39&lt;=T_3,(($O39*M_2)+B_2),IF($O39&lt;=T_4,(($O39*M_3)+B_3),IF($O39&lt;=T_5,(($O39*M_4)+B_4),IF($O39&lt;=T_6,(($O39*M_5)+B_5),IF($O39&lt;=T_7,(($O39*M_6)+B_6),IF($O39&lt;=T_8,(($O39*M_7)+B_7),IF($O39&lt;=T_9,(($O39*M_8)+B_8),IF($O39&lt;=T_10,(($O39*M_9)+B_9))))))))))),0)</f>
        <v>0</v>
      </c>
      <c r="Q39" s="111">
        <f t="shared" ref="Q39" si="80">ROUND(($H39*$P39),2)</f>
        <v>0</v>
      </c>
      <c r="R39" s="107">
        <f>IF($Q39&gt;0,IF($Q39&lt;=UTH!$M$4,UTH!$J$4,IF($Q39&lt;=UTH!$M$5,UTH!$J$5,IF($Q39&lt;=UTH!$M$6,UTH!$J$6,IF($Q39&lt;=UTH!$M$7,UTH!$J$7,IF($Q39&lt;=UTH!$M$8,UTH!$J$8,IF($Q39&lt;=UTH!$M$9,UTH!$J$9,IF($Q39&lt;=UTH!$M$10,UTH!$J$10,IF($Q39&lt;=UTH!$M$11,UTH!$J$11,IF($Q39&lt;=UTH!$M$12,UTH!$J$12,IF($Q39&lt;=UTH!$M$13,UTH!$J$13,IF($Q39&lt;=UTH!$M$14,UTH!$J$14,IF($Q39&lt;=UTH!$M$15,UTH!$J$15,IF($Q39&lt;=UTH!$M$16,UTH!$J$16,IF($Q39&lt;=UTH!$M$17,UTH!$J$17,IF($Q39&lt;=UTH!$M$18,UTH!$J$18,IF($Q39&lt;=UTH!$M$19,UTH!$J$19,IF($Q39&lt;=UTH!$M$20,UTH!$J$20))))))))))))))))),0)</f>
        <v>0</v>
      </c>
      <c r="S39" s="107">
        <f>IF(Inverts!$D39="YES",Inverts!$C39,Inverts!$E39)</f>
        <v>0</v>
      </c>
      <c r="T39" s="108">
        <f>IF($S39,($Q39/(KQ*($S39^(8/3))))^2,0)</f>
        <v>0</v>
      </c>
      <c r="U39" s="108">
        <f>IF($S39,(Vmin/(KV*($S39^(2/3))))^2,0)</f>
        <v>0</v>
      </c>
      <c r="V39" s="108">
        <f>IF($Z39,ROUND(MinDrop_2/$Z39,4),0)</f>
        <v>0</v>
      </c>
      <c r="W39" s="108">
        <f t="shared" ref="W39" si="81">IF($S39=0,0,MAX($T39:$V39))</f>
        <v>0</v>
      </c>
      <c r="X39" s="108">
        <f>IF(Inverts!$H39="yes",Inverts!$G39,Inverts!$I39)</f>
        <v>0</v>
      </c>
      <c r="Y39" s="105">
        <f>ROUND(KV*($S39^(2/3))*($X39^(0.5)),2)</f>
        <v>0</v>
      </c>
      <c r="Z39" s="106">
        <f>INDEX(Tribs!$H$3:$H$102,MATCH($A39,Tribs!$A$3:$A$102,0))</f>
        <v>0</v>
      </c>
      <c r="AA39" s="105">
        <f t="shared" ref="AA39" si="82">IF($Y39,($Z39/$Y39)*(1/60),0)</f>
        <v>0</v>
      </c>
      <c r="AB39" s="111">
        <f>ROUND(KQ*($S39^(8/3))*($X39^(0.5)),2)</f>
        <v>0</v>
      </c>
      <c r="AC39" s="138" t="str">
        <f>IF(AND($AB39&gt;=($Q39-0.0049),$Y39&gt;=(Vmin-0.0049)),"OK","NG")</f>
        <v>NG</v>
      </c>
    </row>
    <row r="40" spans="1:29" x14ac:dyDescent="0.3">
      <c r="A40" s="121"/>
      <c r="B40" s="184"/>
      <c r="C40" s="54"/>
      <c r="D40" s="52"/>
      <c r="E40" s="52"/>
      <c r="F40" s="117"/>
      <c r="G40" s="119">
        <f t="shared" ref="G40" si="83">IF($B40,INDEX($H$4:$H$499,(MATCH($B40,$A$4:$A$499))),0)</f>
        <v>0</v>
      </c>
      <c r="H40" s="113"/>
      <c r="I40" s="52"/>
      <c r="J40" s="52"/>
      <c r="K40" s="123"/>
      <c r="L40" s="53">
        <f t="shared" ref="L40" si="84">IF($B40,INDEX($O$4:$O$499,MATCH($B40,$A$4:$A$499)),0)</f>
        <v>0</v>
      </c>
      <c r="M40" s="126">
        <f t="shared" ref="M40" si="85">IF($B40,INDEX($AA$4:$AA$499,MATCH($B40,$A$4:$A$499)),0)</f>
        <v>0</v>
      </c>
      <c r="N40" s="119">
        <f t="shared" ref="N40" si="86">($L40+$M40)</f>
        <v>0</v>
      </c>
      <c r="O40" s="130"/>
      <c r="P40" s="134"/>
      <c r="Q40" s="130"/>
      <c r="R40" s="52"/>
      <c r="S40" s="224">
        <f t="shared" ref="S40:S43" si="87">S39</f>
        <v>0</v>
      </c>
      <c r="T40" s="237"/>
      <c r="U40" s="237"/>
      <c r="V40" s="237"/>
      <c r="W40" s="237"/>
      <c r="X40" s="52"/>
      <c r="Y40" s="52"/>
      <c r="Z40" s="52"/>
      <c r="AA40" s="54"/>
      <c r="AB40" s="130"/>
      <c r="AC40" s="139"/>
    </row>
    <row r="41" spans="1:29" x14ac:dyDescent="0.3">
      <c r="A41" s="121"/>
      <c r="B41" s="184"/>
      <c r="C41" s="54"/>
      <c r="D41" s="52"/>
      <c r="E41" s="52"/>
      <c r="F41" s="117"/>
      <c r="G41" s="119">
        <f t="shared" si="0"/>
        <v>0</v>
      </c>
      <c r="H41" s="113"/>
      <c r="I41" s="52"/>
      <c r="J41" s="52"/>
      <c r="K41" s="124"/>
      <c r="L41" s="53">
        <f t="shared" si="19"/>
        <v>0</v>
      </c>
      <c r="M41" s="127">
        <f t="shared" si="20"/>
        <v>0</v>
      </c>
      <c r="N41" s="119">
        <f t="shared" si="21"/>
        <v>0</v>
      </c>
      <c r="O41" s="130"/>
      <c r="P41" s="134"/>
      <c r="Q41" s="130"/>
      <c r="R41" s="52"/>
      <c r="S41" s="224">
        <f t="shared" si="87"/>
        <v>0</v>
      </c>
      <c r="T41" s="237"/>
      <c r="U41" s="237"/>
      <c r="V41" s="237"/>
      <c r="W41" s="237"/>
      <c r="X41" s="52"/>
      <c r="Y41" s="52"/>
      <c r="Z41" s="52"/>
      <c r="AA41" s="54"/>
      <c r="AB41" s="130"/>
      <c r="AC41" s="139"/>
    </row>
    <row r="42" spans="1:29" x14ac:dyDescent="0.3">
      <c r="A42" s="121"/>
      <c r="B42" s="184"/>
      <c r="C42" s="54"/>
      <c r="D42" s="52"/>
      <c r="E42" s="52"/>
      <c r="F42" s="117"/>
      <c r="G42" s="119">
        <f t="shared" si="0"/>
        <v>0</v>
      </c>
      <c r="H42" s="113"/>
      <c r="I42" s="52"/>
      <c r="J42" s="52"/>
      <c r="K42" s="124"/>
      <c r="L42" s="53">
        <f t="shared" si="19"/>
        <v>0</v>
      </c>
      <c r="M42" s="127">
        <f t="shared" si="20"/>
        <v>0</v>
      </c>
      <c r="N42" s="119">
        <f t="shared" si="21"/>
        <v>0</v>
      </c>
      <c r="O42" s="130"/>
      <c r="P42" s="134"/>
      <c r="Q42" s="130"/>
      <c r="R42" s="52"/>
      <c r="S42" s="224">
        <f t="shared" si="87"/>
        <v>0</v>
      </c>
      <c r="T42" s="237"/>
      <c r="U42" s="237"/>
      <c r="V42" s="237"/>
      <c r="W42" s="237"/>
      <c r="X42" s="52"/>
      <c r="Y42" s="52"/>
      <c r="Z42" s="52"/>
      <c r="AA42" s="54"/>
      <c r="AB42" s="130"/>
      <c r="AC42" s="139"/>
    </row>
    <row r="43" spans="1:29" ht="15" thickBot="1" x14ac:dyDescent="0.35">
      <c r="A43" s="122"/>
      <c r="B43" s="185"/>
      <c r="C43" s="102"/>
      <c r="D43" s="101"/>
      <c r="E43" s="101"/>
      <c r="F43" s="118"/>
      <c r="G43" s="120">
        <f t="shared" si="0"/>
        <v>0</v>
      </c>
      <c r="H43" s="114"/>
      <c r="I43" s="101"/>
      <c r="J43" s="101"/>
      <c r="K43" s="125"/>
      <c r="L43" s="103">
        <f t="shared" si="19"/>
        <v>0</v>
      </c>
      <c r="M43" s="128">
        <f t="shared" si="20"/>
        <v>0</v>
      </c>
      <c r="N43" s="120">
        <f t="shared" si="21"/>
        <v>0</v>
      </c>
      <c r="O43" s="131"/>
      <c r="P43" s="135"/>
      <c r="Q43" s="131"/>
      <c r="R43" s="101"/>
      <c r="S43" s="104">
        <f t="shared" si="87"/>
        <v>0</v>
      </c>
      <c r="T43" s="238"/>
      <c r="U43" s="238"/>
      <c r="V43" s="238"/>
      <c r="W43" s="238"/>
      <c r="X43" s="101"/>
      <c r="Y43" s="101"/>
      <c r="Z43" s="101"/>
      <c r="AA43" s="102"/>
      <c r="AB43" s="131"/>
      <c r="AC43" s="140"/>
    </row>
    <row r="44" spans="1:29" x14ac:dyDescent="0.3">
      <c r="A44" s="115">
        <f t="shared" ref="A44" si="88">$A39+1</f>
        <v>9</v>
      </c>
      <c r="B44" s="186"/>
      <c r="C44" s="105">
        <f>INDEX(Tribs!$C$3:$C$102,MATCH($A44,Tribs!$A$3:$A$102,0))</f>
        <v>0</v>
      </c>
      <c r="D44" s="106">
        <f>INDEX(Tribs!$E$3:$E$102,MATCH($A44,Tribs!$A$3:$A$102,0))</f>
        <v>0</v>
      </c>
      <c r="E44" s="105">
        <f>INDEX(Tribs!$F$3:$F$102,MATCH($A44,Tribs!$A$3:$A$102,0))</f>
        <v>0</v>
      </c>
      <c r="F44" s="116">
        <f t="shared" ref="F44" si="89">($C44*$E44)</f>
        <v>0</v>
      </c>
      <c r="G44" s="110"/>
      <c r="H44" s="111">
        <f t="shared" ref="H44" si="90">($F44)+(SUM($G45:$G48))</f>
        <v>0</v>
      </c>
      <c r="I44" s="106">
        <f>INDEX(Tribs!$D$3:$D$102,MATCH($A44,Tribs!$A$3:$A$102,0))</f>
        <v>0</v>
      </c>
      <c r="J44" s="106">
        <f>INDEX(Tribs!$G$3:$G$102,MATCH($A44,Tribs!$A$3:$A$102,0))</f>
        <v>0</v>
      </c>
      <c r="K44" s="105">
        <f>($J44)/V_gutter*(1/60)</f>
        <v>0</v>
      </c>
      <c r="L44" s="112"/>
      <c r="M44" s="109"/>
      <c r="N44" s="129">
        <f t="shared" ref="N44" si="91">($I44+$K44)</f>
        <v>0</v>
      </c>
      <c r="O44" s="111">
        <f t="shared" ref="O44" si="92">MAX($N44:$N48)</f>
        <v>0</v>
      </c>
      <c r="P44" s="133">
        <f>IF($H44&gt;0,IF($O44&lt;=T_1,I_1,IF($O44&lt;=T_2,(($O44*M_1)+B_1),IF($O44&lt;=T_3,(($O44*M_2)+B_2),IF($O44&lt;=T_4,(($O44*M_3)+B_3),IF($O44&lt;=T_5,(($O44*M_4)+B_4),IF($O44&lt;=T_6,(($O44*M_5)+B_5),IF($O44&lt;=T_7,(($O44*M_6)+B_6),IF($O44&lt;=T_8,(($O44*M_7)+B_7),IF($O44&lt;=T_9,(($O44*M_8)+B_8),IF($O44&lt;=T_10,(($O44*M_9)+B_9))))))))))),0)</f>
        <v>0</v>
      </c>
      <c r="Q44" s="111">
        <f t="shared" ref="Q44" si="93">ROUND(($H44*$P44),2)</f>
        <v>0</v>
      </c>
      <c r="R44" s="107">
        <f>IF($Q44&gt;0,IF($Q44&lt;=UTH!$M$4,UTH!$J$4,IF($Q44&lt;=UTH!$M$5,UTH!$J$5,IF($Q44&lt;=UTH!$M$6,UTH!$J$6,IF($Q44&lt;=UTH!$M$7,UTH!$J$7,IF($Q44&lt;=UTH!$M$8,UTH!$J$8,IF($Q44&lt;=UTH!$M$9,UTH!$J$9,IF($Q44&lt;=UTH!$M$10,UTH!$J$10,IF($Q44&lt;=UTH!$M$11,UTH!$J$11,IF($Q44&lt;=UTH!$M$12,UTH!$J$12,IF($Q44&lt;=UTH!$M$13,UTH!$J$13,IF($Q44&lt;=UTH!$M$14,UTH!$J$14,IF($Q44&lt;=UTH!$M$15,UTH!$J$15,IF($Q44&lt;=UTH!$M$16,UTH!$J$16,IF($Q44&lt;=UTH!$M$17,UTH!$J$17,IF($Q44&lt;=UTH!$M$18,UTH!$J$18,IF($Q44&lt;=UTH!$M$19,UTH!$J$19,IF($Q44&lt;=UTH!$M$20,UTH!$J$20))))))))))))))))),0)</f>
        <v>0</v>
      </c>
      <c r="S44" s="107">
        <f>IF(Inverts!$D44="YES",Inverts!$C44,Inverts!$E44)</f>
        <v>0</v>
      </c>
      <c r="T44" s="108">
        <f>IF($S44,($Q44/(KQ*($S44^(8/3))))^2,0)</f>
        <v>0</v>
      </c>
      <c r="U44" s="108">
        <f>IF($S44,(Vmin/(KV*($S44^(2/3))))^2,0)</f>
        <v>0</v>
      </c>
      <c r="V44" s="108">
        <f>IF($Z44,ROUND(MinDrop_2/$Z44,4),0)</f>
        <v>0</v>
      </c>
      <c r="W44" s="108">
        <f t="shared" ref="W44" si="94">IF($S44=0,0,MAX($T44:$V44))</f>
        <v>0</v>
      </c>
      <c r="X44" s="108">
        <f>IF(Inverts!$H44="yes",Inverts!$G44,Inverts!$I44)</f>
        <v>0</v>
      </c>
      <c r="Y44" s="105">
        <f>ROUND(KV*($S44^(2/3))*($X44^(0.5)),2)</f>
        <v>0</v>
      </c>
      <c r="Z44" s="106">
        <f>INDEX(Tribs!$H$3:$H$102,MATCH($A44,Tribs!$A$3:$A$102,0))</f>
        <v>0</v>
      </c>
      <c r="AA44" s="105">
        <f t="shared" ref="AA44" si="95">IF($Y44,($Z44/$Y44)*(1/60),0)</f>
        <v>0</v>
      </c>
      <c r="AB44" s="111">
        <f>ROUND(KQ*($S44^(8/3))*($X44^(0.5)),2)</f>
        <v>0</v>
      </c>
      <c r="AC44" s="138" t="str">
        <f>IF(AND($AB44&gt;=($Q44-0.0049),$Y44&gt;=(Vmin-0.0049)),"OK","NG")</f>
        <v>NG</v>
      </c>
    </row>
    <row r="45" spans="1:29" x14ac:dyDescent="0.3">
      <c r="A45" s="121"/>
      <c r="B45" s="184"/>
      <c r="C45" s="54"/>
      <c r="D45" s="52"/>
      <c r="E45" s="52"/>
      <c r="F45" s="117"/>
      <c r="G45" s="119">
        <f t="shared" ref="G45" si="96">IF($B45,INDEX($H$4:$H$499,(MATCH($B45,$A$4:$A$499))),0)</f>
        <v>0</v>
      </c>
      <c r="H45" s="113"/>
      <c r="I45" s="52"/>
      <c r="J45" s="52"/>
      <c r="K45" s="123"/>
      <c r="L45" s="53">
        <f t="shared" ref="L45" si="97">IF($B45,INDEX($O$4:$O$499,MATCH($B45,$A$4:$A$499)),0)</f>
        <v>0</v>
      </c>
      <c r="M45" s="126">
        <f t="shared" ref="M45" si="98">IF($B45,INDEX($AA$4:$AA$499,MATCH($B45,$A$4:$A$499)),0)</f>
        <v>0</v>
      </c>
      <c r="N45" s="119">
        <f t="shared" ref="N45" si="99">($L45+$M45)</f>
        <v>0</v>
      </c>
      <c r="O45" s="130"/>
      <c r="P45" s="134"/>
      <c r="Q45" s="130"/>
      <c r="R45" s="52"/>
      <c r="S45" s="224">
        <f t="shared" ref="S45:S48" si="100">S44</f>
        <v>0</v>
      </c>
      <c r="T45" s="237"/>
      <c r="U45" s="237"/>
      <c r="V45" s="237"/>
      <c r="W45" s="237"/>
      <c r="X45" s="52"/>
      <c r="Y45" s="52"/>
      <c r="Z45" s="52"/>
      <c r="AA45" s="54"/>
      <c r="AB45" s="130"/>
      <c r="AC45" s="139"/>
    </row>
    <row r="46" spans="1:29" x14ac:dyDescent="0.3">
      <c r="A46" s="121"/>
      <c r="B46" s="184"/>
      <c r="C46" s="54"/>
      <c r="D46" s="52"/>
      <c r="E46" s="52"/>
      <c r="F46" s="117"/>
      <c r="G46" s="119">
        <f t="shared" si="0"/>
        <v>0</v>
      </c>
      <c r="H46" s="113"/>
      <c r="I46" s="52"/>
      <c r="J46" s="52"/>
      <c r="K46" s="124"/>
      <c r="L46" s="53">
        <f t="shared" si="19"/>
        <v>0</v>
      </c>
      <c r="M46" s="127">
        <f t="shared" si="20"/>
        <v>0</v>
      </c>
      <c r="N46" s="119">
        <f t="shared" si="21"/>
        <v>0</v>
      </c>
      <c r="O46" s="130"/>
      <c r="P46" s="134"/>
      <c r="Q46" s="130"/>
      <c r="R46" s="52"/>
      <c r="S46" s="224">
        <f t="shared" si="100"/>
        <v>0</v>
      </c>
      <c r="T46" s="237"/>
      <c r="U46" s="237"/>
      <c r="V46" s="237"/>
      <c r="W46" s="237"/>
      <c r="X46" s="52"/>
      <c r="Y46" s="52"/>
      <c r="Z46" s="52"/>
      <c r="AA46" s="54"/>
      <c r="AB46" s="130"/>
      <c r="AC46" s="139"/>
    </row>
    <row r="47" spans="1:29" x14ac:dyDescent="0.3">
      <c r="A47" s="121"/>
      <c r="B47" s="184"/>
      <c r="C47" s="54"/>
      <c r="D47" s="52"/>
      <c r="E47" s="52"/>
      <c r="F47" s="117"/>
      <c r="G47" s="119">
        <f t="shared" si="0"/>
        <v>0</v>
      </c>
      <c r="H47" s="113"/>
      <c r="I47" s="52"/>
      <c r="J47" s="52"/>
      <c r="K47" s="124"/>
      <c r="L47" s="53">
        <f t="shared" si="19"/>
        <v>0</v>
      </c>
      <c r="M47" s="127">
        <f t="shared" si="20"/>
        <v>0</v>
      </c>
      <c r="N47" s="119">
        <f t="shared" si="21"/>
        <v>0</v>
      </c>
      <c r="O47" s="130"/>
      <c r="P47" s="134"/>
      <c r="Q47" s="130"/>
      <c r="R47" s="52"/>
      <c r="S47" s="224">
        <f t="shared" si="100"/>
        <v>0</v>
      </c>
      <c r="T47" s="237"/>
      <c r="U47" s="237"/>
      <c r="V47" s="237"/>
      <c r="W47" s="237"/>
      <c r="X47" s="52"/>
      <c r="Y47" s="52"/>
      <c r="Z47" s="52"/>
      <c r="AA47" s="54"/>
      <c r="AB47" s="130"/>
      <c r="AC47" s="139"/>
    </row>
    <row r="48" spans="1:29" ht="15" thickBot="1" x14ac:dyDescent="0.35">
      <c r="A48" s="122"/>
      <c r="B48" s="185"/>
      <c r="C48" s="102"/>
      <c r="D48" s="101"/>
      <c r="E48" s="101"/>
      <c r="F48" s="118"/>
      <c r="G48" s="120">
        <f t="shared" si="0"/>
        <v>0</v>
      </c>
      <c r="H48" s="114"/>
      <c r="I48" s="101"/>
      <c r="J48" s="101"/>
      <c r="K48" s="125"/>
      <c r="L48" s="103">
        <f t="shared" si="19"/>
        <v>0</v>
      </c>
      <c r="M48" s="128">
        <f t="shared" si="20"/>
        <v>0</v>
      </c>
      <c r="N48" s="120">
        <f t="shared" si="21"/>
        <v>0</v>
      </c>
      <c r="O48" s="131"/>
      <c r="P48" s="135"/>
      <c r="Q48" s="131"/>
      <c r="R48" s="101"/>
      <c r="S48" s="104">
        <f t="shared" si="100"/>
        <v>0</v>
      </c>
      <c r="T48" s="238"/>
      <c r="U48" s="238"/>
      <c r="V48" s="238"/>
      <c r="W48" s="238"/>
      <c r="X48" s="101"/>
      <c r="Y48" s="101"/>
      <c r="Z48" s="101"/>
      <c r="AA48" s="102"/>
      <c r="AB48" s="131"/>
      <c r="AC48" s="140"/>
    </row>
    <row r="49" spans="1:29" x14ac:dyDescent="0.3">
      <c r="A49" s="115">
        <f t="shared" ref="A49" si="101">$A44+1</f>
        <v>10</v>
      </c>
      <c r="B49" s="186"/>
      <c r="C49" s="105">
        <f>INDEX(Tribs!$C$3:$C$102,MATCH($A49,Tribs!$A$3:$A$102,0))</f>
        <v>0</v>
      </c>
      <c r="D49" s="106">
        <f>INDEX(Tribs!$E$3:$E$102,MATCH($A49,Tribs!$A$3:$A$102,0))</f>
        <v>0</v>
      </c>
      <c r="E49" s="105">
        <f>INDEX(Tribs!$F$3:$F$102,MATCH($A49,Tribs!$A$3:$A$102,0))</f>
        <v>0</v>
      </c>
      <c r="F49" s="116">
        <f t="shared" ref="F49" si="102">($C49*$E49)</f>
        <v>0</v>
      </c>
      <c r="G49" s="110"/>
      <c r="H49" s="111">
        <f t="shared" ref="H49" si="103">($F49)+(SUM($G50:$G53))</f>
        <v>0</v>
      </c>
      <c r="I49" s="106">
        <f>INDEX(Tribs!$D$3:$D$102,MATCH($A49,Tribs!$A$3:$A$102,0))</f>
        <v>0</v>
      </c>
      <c r="J49" s="106">
        <f>INDEX(Tribs!$G$3:$G$102,MATCH($A49,Tribs!$A$3:$A$102,0))</f>
        <v>0</v>
      </c>
      <c r="K49" s="105">
        <f>($J49)/V_gutter*(1/60)</f>
        <v>0</v>
      </c>
      <c r="L49" s="112"/>
      <c r="M49" s="109"/>
      <c r="N49" s="129">
        <f t="shared" ref="N49" si="104">($I49+$K49)</f>
        <v>0</v>
      </c>
      <c r="O49" s="111">
        <f t="shared" ref="O49" si="105">MAX($N49:$N53)</f>
        <v>0</v>
      </c>
      <c r="P49" s="133">
        <f>IF($H49&gt;0,IF($O49&lt;=T_1,I_1,IF($O49&lt;=T_2,(($O49*M_1)+B_1),IF($O49&lt;=T_3,(($O49*M_2)+B_2),IF($O49&lt;=T_4,(($O49*M_3)+B_3),IF($O49&lt;=T_5,(($O49*M_4)+B_4),IF($O49&lt;=T_6,(($O49*M_5)+B_5),IF($O49&lt;=T_7,(($O49*M_6)+B_6),IF($O49&lt;=T_8,(($O49*M_7)+B_7),IF($O49&lt;=T_9,(($O49*M_8)+B_8),IF($O49&lt;=T_10,(($O49*M_9)+B_9))))))))))),0)</f>
        <v>0</v>
      </c>
      <c r="Q49" s="111">
        <f t="shared" ref="Q49" si="106">ROUND(($H49*$P49),2)</f>
        <v>0</v>
      </c>
      <c r="R49" s="107">
        <f>IF($Q49&gt;0,IF($Q49&lt;=UTH!$M$4,UTH!$J$4,IF($Q49&lt;=UTH!$M$5,UTH!$J$5,IF($Q49&lt;=UTH!$M$6,UTH!$J$6,IF($Q49&lt;=UTH!$M$7,UTH!$J$7,IF($Q49&lt;=UTH!$M$8,UTH!$J$8,IF($Q49&lt;=UTH!$M$9,UTH!$J$9,IF($Q49&lt;=UTH!$M$10,UTH!$J$10,IF($Q49&lt;=UTH!$M$11,UTH!$J$11,IF($Q49&lt;=UTH!$M$12,UTH!$J$12,IF($Q49&lt;=UTH!$M$13,UTH!$J$13,IF($Q49&lt;=UTH!$M$14,UTH!$J$14,IF($Q49&lt;=UTH!$M$15,UTH!$J$15,IF($Q49&lt;=UTH!$M$16,UTH!$J$16,IF($Q49&lt;=UTH!$M$17,UTH!$J$17,IF($Q49&lt;=UTH!$M$18,UTH!$J$18,IF($Q49&lt;=UTH!$M$19,UTH!$J$19,IF($Q49&lt;=UTH!$M$20,UTH!$J$20))))))))))))))))),0)</f>
        <v>0</v>
      </c>
      <c r="S49" s="107">
        <f>IF(Inverts!$D49="YES",Inverts!$C49,Inverts!$E49)</f>
        <v>0</v>
      </c>
      <c r="T49" s="108">
        <f>IF($S49,($Q49/(KQ*($S49^(8/3))))^2,0)</f>
        <v>0</v>
      </c>
      <c r="U49" s="108">
        <f>IF($S49,(Vmin/(KV*($S49^(2/3))))^2,0)</f>
        <v>0</v>
      </c>
      <c r="V49" s="108">
        <f>IF($Z49,ROUND(MinDrop_2/$Z49,4),0)</f>
        <v>0</v>
      </c>
      <c r="W49" s="108">
        <f t="shared" ref="W49" si="107">IF($S49=0,0,MAX($T49:$V49))</f>
        <v>0</v>
      </c>
      <c r="X49" s="108">
        <f>IF(Inverts!$H49="yes",Inverts!$G49,Inverts!$I49)</f>
        <v>0</v>
      </c>
      <c r="Y49" s="105">
        <f>ROUND(KV*($S49^(2/3))*($X49^(0.5)),2)</f>
        <v>0</v>
      </c>
      <c r="Z49" s="106">
        <f>INDEX(Tribs!$H$3:$H$102,MATCH($A49,Tribs!$A$3:$A$102,0))</f>
        <v>0</v>
      </c>
      <c r="AA49" s="105">
        <f t="shared" ref="AA49" si="108">IF($Y49,($Z49/$Y49)*(1/60),0)</f>
        <v>0</v>
      </c>
      <c r="AB49" s="111">
        <f>ROUND(KQ*($S49^(8/3))*($X49^(0.5)),2)</f>
        <v>0</v>
      </c>
      <c r="AC49" s="138" t="str">
        <f>IF(AND($AB49&gt;=($Q49-0.0049),$Y49&gt;=(Vmin-0.0049)),"OK","NG")</f>
        <v>NG</v>
      </c>
    </row>
    <row r="50" spans="1:29" x14ac:dyDescent="0.3">
      <c r="A50" s="121"/>
      <c r="B50" s="184"/>
      <c r="C50" s="54"/>
      <c r="D50" s="52"/>
      <c r="E50" s="52"/>
      <c r="F50" s="117"/>
      <c r="G50" s="119">
        <f t="shared" ref="G50" si="109">IF($B50,INDEX($H$4:$H$499,(MATCH($B50,$A$4:$A$499))),0)</f>
        <v>0</v>
      </c>
      <c r="H50" s="113"/>
      <c r="I50" s="52"/>
      <c r="J50" s="52"/>
      <c r="K50" s="123"/>
      <c r="L50" s="53">
        <f t="shared" ref="L50" si="110">IF($B50,INDEX($O$4:$O$499,MATCH($B50,$A$4:$A$499)),0)</f>
        <v>0</v>
      </c>
      <c r="M50" s="126">
        <f t="shared" ref="M50" si="111">IF($B50,INDEX($AA$4:$AA$499,MATCH($B50,$A$4:$A$499)),0)</f>
        <v>0</v>
      </c>
      <c r="N50" s="119">
        <f t="shared" ref="N50" si="112">($L50+$M50)</f>
        <v>0</v>
      </c>
      <c r="O50" s="130"/>
      <c r="P50" s="134"/>
      <c r="Q50" s="130"/>
      <c r="R50" s="52"/>
      <c r="S50" s="224">
        <f t="shared" ref="S50:S53" si="113">S49</f>
        <v>0</v>
      </c>
      <c r="T50" s="237"/>
      <c r="U50" s="237"/>
      <c r="V50" s="237"/>
      <c r="W50" s="237"/>
      <c r="X50" s="52"/>
      <c r="Y50" s="52"/>
      <c r="Z50" s="52"/>
      <c r="AA50" s="54"/>
      <c r="AB50" s="130"/>
      <c r="AC50" s="139"/>
    </row>
    <row r="51" spans="1:29" x14ac:dyDescent="0.3">
      <c r="A51" s="121"/>
      <c r="B51" s="184"/>
      <c r="C51" s="54"/>
      <c r="D51" s="52"/>
      <c r="E51" s="52"/>
      <c r="F51" s="117"/>
      <c r="G51" s="119">
        <f t="shared" si="0"/>
        <v>0</v>
      </c>
      <c r="H51" s="113"/>
      <c r="I51" s="52"/>
      <c r="J51" s="52"/>
      <c r="K51" s="124"/>
      <c r="L51" s="53">
        <f t="shared" si="19"/>
        <v>0</v>
      </c>
      <c r="M51" s="127">
        <f t="shared" si="20"/>
        <v>0</v>
      </c>
      <c r="N51" s="119">
        <f t="shared" si="21"/>
        <v>0</v>
      </c>
      <c r="O51" s="130"/>
      <c r="P51" s="134"/>
      <c r="Q51" s="130"/>
      <c r="R51" s="52"/>
      <c r="S51" s="224">
        <f t="shared" si="113"/>
        <v>0</v>
      </c>
      <c r="T51" s="237"/>
      <c r="U51" s="237"/>
      <c r="V51" s="237"/>
      <c r="W51" s="237"/>
      <c r="X51" s="52"/>
      <c r="Y51" s="52"/>
      <c r="Z51" s="52"/>
      <c r="AA51" s="54"/>
      <c r="AB51" s="130"/>
      <c r="AC51" s="139"/>
    </row>
    <row r="52" spans="1:29" x14ac:dyDescent="0.3">
      <c r="A52" s="121"/>
      <c r="B52" s="184"/>
      <c r="C52" s="54"/>
      <c r="D52" s="52"/>
      <c r="E52" s="52"/>
      <c r="F52" s="117"/>
      <c r="G52" s="119">
        <f t="shared" si="0"/>
        <v>0</v>
      </c>
      <c r="H52" s="113"/>
      <c r="I52" s="52"/>
      <c r="J52" s="52"/>
      <c r="K52" s="124"/>
      <c r="L52" s="53">
        <f t="shared" si="19"/>
        <v>0</v>
      </c>
      <c r="M52" s="127">
        <f t="shared" si="20"/>
        <v>0</v>
      </c>
      <c r="N52" s="119">
        <f t="shared" si="21"/>
        <v>0</v>
      </c>
      <c r="O52" s="130"/>
      <c r="P52" s="134"/>
      <c r="Q52" s="130"/>
      <c r="R52" s="52"/>
      <c r="S52" s="224">
        <f t="shared" si="113"/>
        <v>0</v>
      </c>
      <c r="T52" s="237"/>
      <c r="U52" s="237"/>
      <c r="V52" s="237"/>
      <c r="W52" s="237"/>
      <c r="X52" s="52"/>
      <c r="Y52" s="52"/>
      <c r="Z52" s="52"/>
      <c r="AA52" s="54"/>
      <c r="AB52" s="130"/>
      <c r="AC52" s="139"/>
    </row>
    <row r="53" spans="1:29" ht="15" thickBot="1" x14ac:dyDescent="0.35">
      <c r="A53" s="122"/>
      <c r="B53" s="185"/>
      <c r="C53" s="102"/>
      <c r="D53" s="101"/>
      <c r="E53" s="101"/>
      <c r="F53" s="118"/>
      <c r="G53" s="120">
        <f t="shared" si="0"/>
        <v>0</v>
      </c>
      <c r="H53" s="114"/>
      <c r="I53" s="101"/>
      <c r="J53" s="101"/>
      <c r="K53" s="125"/>
      <c r="L53" s="103">
        <f t="shared" si="19"/>
        <v>0</v>
      </c>
      <c r="M53" s="128">
        <f t="shared" si="20"/>
        <v>0</v>
      </c>
      <c r="N53" s="120">
        <f t="shared" si="21"/>
        <v>0</v>
      </c>
      <c r="O53" s="131"/>
      <c r="P53" s="135"/>
      <c r="Q53" s="131"/>
      <c r="R53" s="101"/>
      <c r="S53" s="104">
        <f t="shared" si="113"/>
        <v>0</v>
      </c>
      <c r="T53" s="238"/>
      <c r="U53" s="238"/>
      <c r="V53" s="238"/>
      <c r="W53" s="238"/>
      <c r="X53" s="101"/>
      <c r="Y53" s="101"/>
      <c r="Z53" s="101"/>
      <c r="AA53" s="102"/>
      <c r="AB53" s="131"/>
      <c r="AC53" s="140"/>
    </row>
    <row r="54" spans="1:29" x14ac:dyDescent="0.3">
      <c r="A54" s="115">
        <f t="shared" ref="A54" si="114">$A49+1</f>
        <v>11</v>
      </c>
      <c r="B54" s="186"/>
      <c r="C54" s="105">
        <f>INDEX(Tribs!$C$3:$C$102,MATCH($A54,Tribs!$A$3:$A$102,0))</f>
        <v>0</v>
      </c>
      <c r="D54" s="106">
        <f>INDEX(Tribs!$E$3:$E$102,MATCH($A54,Tribs!$A$3:$A$102,0))</f>
        <v>0</v>
      </c>
      <c r="E54" s="105">
        <f>INDEX(Tribs!$F$3:$F$102,MATCH($A54,Tribs!$A$3:$A$102,0))</f>
        <v>0</v>
      </c>
      <c r="F54" s="116">
        <f t="shared" ref="F54" si="115">($C54*$E54)</f>
        <v>0</v>
      </c>
      <c r="G54" s="110"/>
      <c r="H54" s="111">
        <f t="shared" ref="H54" si="116">($F54)+(SUM($G55:$G58))</f>
        <v>0</v>
      </c>
      <c r="I54" s="106">
        <f>INDEX(Tribs!$D$3:$D$102,MATCH($A54,Tribs!$A$3:$A$102,0))</f>
        <v>0</v>
      </c>
      <c r="J54" s="106">
        <f>INDEX(Tribs!$G$3:$G$102,MATCH($A54,Tribs!$A$3:$A$102,0))</f>
        <v>0</v>
      </c>
      <c r="K54" s="105">
        <f>($J54)/V_gutter*(1/60)</f>
        <v>0</v>
      </c>
      <c r="L54" s="112"/>
      <c r="M54" s="109"/>
      <c r="N54" s="129">
        <f t="shared" ref="N54" si="117">($I54+$K54)</f>
        <v>0</v>
      </c>
      <c r="O54" s="111">
        <f t="shared" ref="O54" si="118">MAX($N54:$N58)</f>
        <v>0</v>
      </c>
      <c r="P54" s="133">
        <f>IF($H54&gt;0,IF($O54&lt;=T_1,I_1,IF($O54&lt;=T_2,(($O54*M_1)+B_1),IF($O54&lt;=T_3,(($O54*M_2)+B_2),IF($O54&lt;=T_4,(($O54*M_3)+B_3),IF($O54&lt;=T_5,(($O54*M_4)+B_4),IF($O54&lt;=T_6,(($O54*M_5)+B_5),IF($O54&lt;=T_7,(($O54*M_6)+B_6),IF($O54&lt;=T_8,(($O54*M_7)+B_7),IF($O54&lt;=T_9,(($O54*M_8)+B_8),IF($O54&lt;=T_10,(($O54*M_9)+B_9))))))))))),0)</f>
        <v>0</v>
      </c>
      <c r="Q54" s="111">
        <f t="shared" ref="Q54" si="119">ROUND(($H54*$P54),2)</f>
        <v>0</v>
      </c>
      <c r="R54" s="107">
        <f>IF($Q54&gt;0,IF($Q54&lt;=UTH!$M$4,UTH!$J$4,IF($Q54&lt;=UTH!$M$5,UTH!$J$5,IF($Q54&lt;=UTH!$M$6,UTH!$J$6,IF($Q54&lt;=UTH!$M$7,UTH!$J$7,IF($Q54&lt;=UTH!$M$8,UTH!$J$8,IF($Q54&lt;=UTH!$M$9,UTH!$J$9,IF($Q54&lt;=UTH!$M$10,UTH!$J$10,IF($Q54&lt;=UTH!$M$11,UTH!$J$11,IF($Q54&lt;=UTH!$M$12,UTH!$J$12,IF($Q54&lt;=UTH!$M$13,UTH!$J$13,IF($Q54&lt;=UTH!$M$14,UTH!$J$14,IF($Q54&lt;=UTH!$M$15,UTH!$J$15,IF($Q54&lt;=UTH!$M$16,UTH!$J$16,IF($Q54&lt;=UTH!$M$17,UTH!$J$17,IF($Q54&lt;=UTH!$M$18,UTH!$J$18,IF($Q54&lt;=UTH!$M$19,UTH!$J$19,IF($Q54&lt;=UTH!$M$20,UTH!$J$20))))))))))))))))),0)</f>
        <v>0</v>
      </c>
      <c r="S54" s="107">
        <f>IF(Inverts!$D54="YES",Inverts!$C54,Inverts!$E54)</f>
        <v>0</v>
      </c>
      <c r="T54" s="108">
        <f>IF($S54,($Q54/(KQ*($S54^(8/3))))^2,0)</f>
        <v>0</v>
      </c>
      <c r="U54" s="108">
        <f>IF($S54,(Vmin/(KV*($S54^(2/3))))^2,0)</f>
        <v>0</v>
      </c>
      <c r="V54" s="108">
        <f>IF($Z54,ROUND(MinDrop_2/$Z54,4),0)</f>
        <v>0</v>
      </c>
      <c r="W54" s="108">
        <f t="shared" ref="W54" si="120">IF($S54=0,0,MAX($T54:$V54))</f>
        <v>0</v>
      </c>
      <c r="X54" s="108">
        <f>IF(Inverts!$H54="yes",Inverts!$G54,Inverts!$I54)</f>
        <v>0</v>
      </c>
      <c r="Y54" s="105">
        <f>ROUND(KV*($S54^(2/3))*($X54^(0.5)),2)</f>
        <v>0</v>
      </c>
      <c r="Z54" s="106">
        <f>INDEX(Tribs!$H$3:$H$102,MATCH($A54,Tribs!$A$3:$A$102,0))</f>
        <v>0</v>
      </c>
      <c r="AA54" s="105">
        <f t="shared" ref="AA54" si="121">IF($Y54,($Z54/$Y54)*(1/60),0)</f>
        <v>0</v>
      </c>
      <c r="AB54" s="111">
        <f>ROUND(KQ*($S54^(8/3))*($X54^(0.5)),2)</f>
        <v>0</v>
      </c>
      <c r="AC54" s="138" t="str">
        <f>IF(AND($AB54&gt;=($Q54-0.0049),$Y54&gt;=(Vmin-0.0049)),"OK","NG")</f>
        <v>NG</v>
      </c>
    </row>
    <row r="55" spans="1:29" x14ac:dyDescent="0.3">
      <c r="A55" s="121"/>
      <c r="B55" s="184"/>
      <c r="C55" s="54"/>
      <c r="D55" s="52"/>
      <c r="E55" s="52"/>
      <c r="F55" s="117"/>
      <c r="G55" s="119">
        <f t="shared" ref="G55" si="122">IF($B55,INDEX($H$4:$H$499,(MATCH($B55,$A$4:$A$499))),0)</f>
        <v>0</v>
      </c>
      <c r="H55" s="113"/>
      <c r="I55" s="52"/>
      <c r="J55" s="52"/>
      <c r="K55" s="123"/>
      <c r="L55" s="53">
        <f t="shared" ref="L55" si="123">IF($B55,INDEX($O$4:$O$499,MATCH($B55,$A$4:$A$499)),0)</f>
        <v>0</v>
      </c>
      <c r="M55" s="126">
        <f t="shared" ref="M55" si="124">IF($B55,INDEX($AA$4:$AA$499,MATCH($B55,$A$4:$A$499)),0)</f>
        <v>0</v>
      </c>
      <c r="N55" s="119">
        <f t="shared" ref="N55" si="125">($L55+$M55)</f>
        <v>0</v>
      </c>
      <c r="O55" s="130"/>
      <c r="P55" s="134"/>
      <c r="Q55" s="130"/>
      <c r="R55" s="52"/>
      <c r="S55" s="224">
        <f t="shared" ref="S55:S58" si="126">S54</f>
        <v>0</v>
      </c>
      <c r="T55" s="237"/>
      <c r="U55" s="237"/>
      <c r="V55" s="237"/>
      <c r="W55" s="237"/>
      <c r="X55" s="52"/>
      <c r="Y55" s="52"/>
      <c r="Z55" s="52"/>
      <c r="AA55" s="54"/>
      <c r="AB55" s="130"/>
      <c r="AC55" s="139"/>
    </row>
    <row r="56" spans="1:29" x14ac:dyDescent="0.3">
      <c r="A56" s="121"/>
      <c r="B56" s="184"/>
      <c r="C56" s="54"/>
      <c r="D56" s="52"/>
      <c r="E56" s="52"/>
      <c r="F56" s="117"/>
      <c r="G56" s="119">
        <f t="shared" si="0"/>
        <v>0</v>
      </c>
      <c r="H56" s="113"/>
      <c r="I56" s="52"/>
      <c r="J56" s="52"/>
      <c r="K56" s="124"/>
      <c r="L56" s="53">
        <f t="shared" si="19"/>
        <v>0</v>
      </c>
      <c r="M56" s="127">
        <f t="shared" si="20"/>
        <v>0</v>
      </c>
      <c r="N56" s="119">
        <f t="shared" si="21"/>
        <v>0</v>
      </c>
      <c r="O56" s="130"/>
      <c r="P56" s="134"/>
      <c r="Q56" s="130"/>
      <c r="R56" s="52"/>
      <c r="S56" s="224">
        <f t="shared" si="126"/>
        <v>0</v>
      </c>
      <c r="T56" s="237"/>
      <c r="U56" s="237"/>
      <c r="V56" s="237"/>
      <c r="W56" s="237"/>
      <c r="X56" s="52"/>
      <c r="Y56" s="52"/>
      <c r="Z56" s="52"/>
      <c r="AA56" s="54"/>
      <c r="AB56" s="130"/>
      <c r="AC56" s="139"/>
    </row>
    <row r="57" spans="1:29" x14ac:dyDescent="0.3">
      <c r="A57" s="121"/>
      <c r="B57" s="184"/>
      <c r="C57" s="54"/>
      <c r="D57" s="52"/>
      <c r="E57" s="52"/>
      <c r="F57" s="117"/>
      <c r="G57" s="119">
        <f t="shared" si="0"/>
        <v>0</v>
      </c>
      <c r="H57" s="113"/>
      <c r="I57" s="52"/>
      <c r="J57" s="52"/>
      <c r="K57" s="124"/>
      <c r="L57" s="53">
        <f t="shared" si="19"/>
        <v>0</v>
      </c>
      <c r="M57" s="127">
        <f t="shared" si="20"/>
        <v>0</v>
      </c>
      <c r="N57" s="119">
        <f t="shared" si="21"/>
        <v>0</v>
      </c>
      <c r="O57" s="130"/>
      <c r="P57" s="134"/>
      <c r="Q57" s="130"/>
      <c r="R57" s="52"/>
      <c r="S57" s="224">
        <f t="shared" si="126"/>
        <v>0</v>
      </c>
      <c r="T57" s="237"/>
      <c r="U57" s="237"/>
      <c r="V57" s="237"/>
      <c r="W57" s="237"/>
      <c r="X57" s="52"/>
      <c r="Y57" s="52"/>
      <c r="Z57" s="52"/>
      <c r="AA57" s="54"/>
      <c r="AB57" s="130"/>
      <c r="AC57" s="139"/>
    </row>
    <row r="58" spans="1:29" ht="15" thickBot="1" x14ac:dyDescent="0.35">
      <c r="A58" s="122"/>
      <c r="B58" s="185"/>
      <c r="C58" s="102"/>
      <c r="D58" s="101"/>
      <c r="E58" s="101"/>
      <c r="F58" s="118"/>
      <c r="G58" s="120">
        <f t="shared" si="0"/>
        <v>0</v>
      </c>
      <c r="H58" s="114"/>
      <c r="I58" s="101"/>
      <c r="J58" s="101"/>
      <c r="K58" s="125"/>
      <c r="L58" s="103">
        <f t="shared" si="19"/>
        <v>0</v>
      </c>
      <c r="M58" s="128">
        <f t="shared" si="20"/>
        <v>0</v>
      </c>
      <c r="N58" s="120">
        <f t="shared" si="21"/>
        <v>0</v>
      </c>
      <c r="O58" s="131"/>
      <c r="P58" s="135"/>
      <c r="Q58" s="131"/>
      <c r="R58" s="101"/>
      <c r="S58" s="104">
        <f t="shared" si="126"/>
        <v>0</v>
      </c>
      <c r="T58" s="238"/>
      <c r="U58" s="238"/>
      <c r="V58" s="238"/>
      <c r="W58" s="238"/>
      <c r="X58" s="101"/>
      <c r="Y58" s="101"/>
      <c r="Z58" s="101"/>
      <c r="AA58" s="102"/>
      <c r="AB58" s="131"/>
      <c r="AC58" s="140"/>
    </row>
    <row r="59" spans="1:29" x14ac:dyDescent="0.3">
      <c r="A59" s="115">
        <f t="shared" ref="A59" si="127">$A54+1</f>
        <v>12</v>
      </c>
      <c r="B59" s="186"/>
      <c r="C59" s="105">
        <f>INDEX(Tribs!$C$3:$C$102,MATCH($A59,Tribs!$A$3:$A$102,0))</f>
        <v>0</v>
      </c>
      <c r="D59" s="106">
        <f>INDEX(Tribs!$E$3:$E$102,MATCH($A59,Tribs!$A$3:$A$102,0))</f>
        <v>0</v>
      </c>
      <c r="E59" s="105">
        <f>INDEX(Tribs!$F$3:$F$102,MATCH($A59,Tribs!$A$3:$A$102,0))</f>
        <v>0</v>
      </c>
      <c r="F59" s="116">
        <f t="shared" ref="F59" si="128">($C59*$E59)</f>
        <v>0</v>
      </c>
      <c r="G59" s="110"/>
      <c r="H59" s="111">
        <f t="shared" ref="H59" si="129">($F59)+(SUM($G60:$G63))</f>
        <v>0</v>
      </c>
      <c r="I59" s="106">
        <f>INDEX(Tribs!$D$3:$D$102,MATCH($A59,Tribs!$A$3:$A$102,0))</f>
        <v>0</v>
      </c>
      <c r="J59" s="106">
        <f>INDEX(Tribs!$G$3:$G$102,MATCH($A59,Tribs!$A$3:$A$102,0))</f>
        <v>0</v>
      </c>
      <c r="K59" s="105">
        <f>($J59)/V_gutter*(1/60)</f>
        <v>0</v>
      </c>
      <c r="L59" s="112"/>
      <c r="M59" s="109"/>
      <c r="N59" s="129">
        <f t="shared" ref="N59" si="130">($I59+$K59)</f>
        <v>0</v>
      </c>
      <c r="O59" s="111">
        <f t="shared" ref="O59" si="131">MAX($N59:$N63)</f>
        <v>0</v>
      </c>
      <c r="P59" s="133">
        <f>IF($H59&gt;0,IF($O59&lt;=T_1,I_1,IF($O59&lt;=T_2,(($O59*M_1)+B_1),IF($O59&lt;=T_3,(($O59*M_2)+B_2),IF($O59&lt;=T_4,(($O59*M_3)+B_3),IF($O59&lt;=T_5,(($O59*M_4)+B_4),IF($O59&lt;=T_6,(($O59*M_5)+B_5),IF($O59&lt;=T_7,(($O59*M_6)+B_6),IF($O59&lt;=T_8,(($O59*M_7)+B_7),IF($O59&lt;=T_9,(($O59*M_8)+B_8),IF($O59&lt;=T_10,(($O59*M_9)+B_9))))))))))),0)</f>
        <v>0</v>
      </c>
      <c r="Q59" s="111">
        <f t="shared" ref="Q59" si="132">ROUND(($H59*$P59),2)</f>
        <v>0</v>
      </c>
      <c r="R59" s="107">
        <f>IF($Q59&gt;0,IF($Q59&lt;=UTH!$M$4,UTH!$J$4,IF($Q59&lt;=UTH!$M$5,UTH!$J$5,IF($Q59&lt;=UTH!$M$6,UTH!$J$6,IF($Q59&lt;=UTH!$M$7,UTH!$J$7,IF($Q59&lt;=UTH!$M$8,UTH!$J$8,IF($Q59&lt;=UTH!$M$9,UTH!$J$9,IF($Q59&lt;=UTH!$M$10,UTH!$J$10,IF($Q59&lt;=UTH!$M$11,UTH!$J$11,IF($Q59&lt;=UTH!$M$12,UTH!$J$12,IF($Q59&lt;=UTH!$M$13,UTH!$J$13,IF($Q59&lt;=UTH!$M$14,UTH!$J$14,IF($Q59&lt;=UTH!$M$15,UTH!$J$15,IF($Q59&lt;=UTH!$M$16,UTH!$J$16,IF($Q59&lt;=UTH!$M$17,UTH!$J$17,IF($Q59&lt;=UTH!$M$18,UTH!$J$18,IF($Q59&lt;=UTH!$M$19,UTH!$J$19,IF($Q59&lt;=UTH!$M$20,UTH!$J$20))))))))))))))))),0)</f>
        <v>0</v>
      </c>
      <c r="S59" s="107">
        <f>IF(Inverts!$D59="YES",Inverts!$C59,Inverts!$E59)</f>
        <v>0</v>
      </c>
      <c r="T59" s="108">
        <f>IF($S59,($Q59/(KQ*($S59^(8/3))))^2,0)</f>
        <v>0</v>
      </c>
      <c r="U59" s="108">
        <f>IF($S59,(Vmin/(KV*($S59^(2/3))))^2,0)</f>
        <v>0</v>
      </c>
      <c r="V59" s="108">
        <f>IF($Z59,ROUND(MinDrop_2/$Z59,4),0)</f>
        <v>0</v>
      </c>
      <c r="W59" s="108">
        <f t="shared" ref="W59" si="133">IF($S59=0,0,MAX($T59:$V59))</f>
        <v>0</v>
      </c>
      <c r="X59" s="108">
        <f>IF(Inverts!$H59="yes",Inverts!$G59,Inverts!$I59)</f>
        <v>0</v>
      </c>
      <c r="Y59" s="105">
        <f>ROUND(KV*($S59^(2/3))*($X59^(0.5)),2)</f>
        <v>0</v>
      </c>
      <c r="Z59" s="106">
        <f>INDEX(Tribs!$H$3:$H$102,MATCH($A59,Tribs!$A$3:$A$102,0))</f>
        <v>0</v>
      </c>
      <c r="AA59" s="105">
        <f t="shared" ref="AA59" si="134">IF($Y59,($Z59/$Y59)*(1/60),0)</f>
        <v>0</v>
      </c>
      <c r="AB59" s="111">
        <f>ROUND(KQ*($S59^(8/3))*($X59^(0.5)),2)</f>
        <v>0</v>
      </c>
      <c r="AC59" s="138" t="str">
        <f>IF(AND($AB59&gt;=($Q59-0.0049),$Y59&gt;=(Vmin-0.0049)),"OK","NG")</f>
        <v>NG</v>
      </c>
    </row>
    <row r="60" spans="1:29" x14ac:dyDescent="0.3">
      <c r="A60" s="121"/>
      <c r="B60" s="184"/>
      <c r="C60" s="54"/>
      <c r="D60" s="52"/>
      <c r="E60" s="52"/>
      <c r="F60" s="117"/>
      <c r="G60" s="119">
        <f t="shared" ref="G60" si="135">IF($B60,INDEX($H$4:$H$499,(MATCH($B60,$A$4:$A$499))),0)</f>
        <v>0</v>
      </c>
      <c r="H60" s="113"/>
      <c r="I60" s="52"/>
      <c r="J60" s="52"/>
      <c r="K60" s="123"/>
      <c r="L60" s="53">
        <f t="shared" ref="L60" si="136">IF($B60,INDEX($O$4:$O$499,MATCH($B60,$A$4:$A$499)),0)</f>
        <v>0</v>
      </c>
      <c r="M60" s="126">
        <f t="shared" ref="M60" si="137">IF($B60,INDEX($AA$4:$AA$499,MATCH($B60,$A$4:$A$499)),0)</f>
        <v>0</v>
      </c>
      <c r="N60" s="119">
        <f t="shared" ref="N60" si="138">($L60+$M60)</f>
        <v>0</v>
      </c>
      <c r="O60" s="130"/>
      <c r="P60" s="134"/>
      <c r="Q60" s="130"/>
      <c r="R60" s="52"/>
      <c r="S60" s="224">
        <f t="shared" ref="S60:S63" si="139">S59</f>
        <v>0</v>
      </c>
      <c r="T60" s="237"/>
      <c r="U60" s="237"/>
      <c r="V60" s="237"/>
      <c r="W60" s="237"/>
      <c r="X60" s="52"/>
      <c r="Y60" s="52"/>
      <c r="Z60" s="52"/>
      <c r="AA60" s="54"/>
      <c r="AB60" s="130"/>
      <c r="AC60" s="139"/>
    </row>
    <row r="61" spans="1:29" x14ac:dyDescent="0.3">
      <c r="A61" s="121"/>
      <c r="B61" s="184"/>
      <c r="C61" s="54"/>
      <c r="D61" s="52"/>
      <c r="E61" s="52"/>
      <c r="F61" s="117"/>
      <c r="G61" s="119">
        <f t="shared" si="0"/>
        <v>0</v>
      </c>
      <c r="H61" s="113"/>
      <c r="I61" s="52"/>
      <c r="J61" s="52"/>
      <c r="K61" s="124"/>
      <c r="L61" s="53">
        <f t="shared" si="19"/>
        <v>0</v>
      </c>
      <c r="M61" s="127">
        <f t="shared" si="20"/>
        <v>0</v>
      </c>
      <c r="N61" s="119">
        <f t="shared" si="21"/>
        <v>0</v>
      </c>
      <c r="O61" s="130"/>
      <c r="P61" s="134"/>
      <c r="Q61" s="130"/>
      <c r="R61" s="52"/>
      <c r="S61" s="224">
        <f t="shared" si="139"/>
        <v>0</v>
      </c>
      <c r="T61" s="237"/>
      <c r="U61" s="237"/>
      <c r="V61" s="237"/>
      <c r="W61" s="237"/>
      <c r="X61" s="52"/>
      <c r="Y61" s="52"/>
      <c r="Z61" s="52"/>
      <c r="AA61" s="54"/>
      <c r="AB61" s="130"/>
      <c r="AC61" s="139"/>
    </row>
    <row r="62" spans="1:29" x14ac:dyDescent="0.3">
      <c r="A62" s="121"/>
      <c r="B62" s="184"/>
      <c r="C62" s="54"/>
      <c r="D62" s="52"/>
      <c r="E62" s="52"/>
      <c r="F62" s="117"/>
      <c r="G62" s="119">
        <f t="shared" si="0"/>
        <v>0</v>
      </c>
      <c r="H62" s="113"/>
      <c r="I62" s="52"/>
      <c r="J62" s="52"/>
      <c r="K62" s="124"/>
      <c r="L62" s="53">
        <f t="shared" si="19"/>
        <v>0</v>
      </c>
      <c r="M62" s="127">
        <f t="shared" si="20"/>
        <v>0</v>
      </c>
      <c r="N62" s="119">
        <f t="shared" si="21"/>
        <v>0</v>
      </c>
      <c r="O62" s="130"/>
      <c r="P62" s="134"/>
      <c r="Q62" s="130"/>
      <c r="R62" s="52"/>
      <c r="S62" s="224">
        <f t="shared" si="139"/>
        <v>0</v>
      </c>
      <c r="T62" s="237"/>
      <c r="U62" s="237"/>
      <c r="V62" s="237"/>
      <c r="W62" s="237"/>
      <c r="X62" s="52"/>
      <c r="Y62" s="52"/>
      <c r="Z62" s="52"/>
      <c r="AA62" s="54"/>
      <c r="AB62" s="130"/>
      <c r="AC62" s="139"/>
    </row>
    <row r="63" spans="1:29" ht="15" thickBot="1" x14ac:dyDescent="0.35">
      <c r="A63" s="122"/>
      <c r="B63" s="185"/>
      <c r="C63" s="102"/>
      <c r="D63" s="101"/>
      <c r="E63" s="101"/>
      <c r="F63" s="118"/>
      <c r="G63" s="120">
        <f t="shared" si="0"/>
        <v>0</v>
      </c>
      <c r="H63" s="114"/>
      <c r="I63" s="101"/>
      <c r="J63" s="101"/>
      <c r="K63" s="125"/>
      <c r="L63" s="103">
        <f t="shared" si="19"/>
        <v>0</v>
      </c>
      <c r="M63" s="128">
        <f t="shared" si="20"/>
        <v>0</v>
      </c>
      <c r="N63" s="120">
        <f t="shared" si="21"/>
        <v>0</v>
      </c>
      <c r="O63" s="131"/>
      <c r="P63" s="135"/>
      <c r="Q63" s="131"/>
      <c r="R63" s="101"/>
      <c r="S63" s="104">
        <f t="shared" si="139"/>
        <v>0</v>
      </c>
      <c r="T63" s="238"/>
      <c r="U63" s="238"/>
      <c r="V63" s="238"/>
      <c r="W63" s="238"/>
      <c r="X63" s="101"/>
      <c r="Y63" s="101"/>
      <c r="Z63" s="101"/>
      <c r="AA63" s="102"/>
      <c r="AB63" s="131"/>
      <c r="AC63" s="140"/>
    </row>
    <row r="64" spans="1:29" x14ac:dyDescent="0.3">
      <c r="A64" s="115">
        <f t="shared" ref="A64" si="140">$A59+1</f>
        <v>13</v>
      </c>
      <c r="B64" s="186"/>
      <c r="C64" s="105">
        <f>INDEX(Tribs!$C$3:$C$102,MATCH($A64,Tribs!$A$3:$A$102,0))</f>
        <v>0</v>
      </c>
      <c r="D64" s="106">
        <f>INDEX(Tribs!$E$3:$E$102,MATCH($A64,Tribs!$A$3:$A$102,0))</f>
        <v>0</v>
      </c>
      <c r="E64" s="105">
        <f>INDEX(Tribs!$F$3:$F$102,MATCH($A64,Tribs!$A$3:$A$102,0))</f>
        <v>0</v>
      </c>
      <c r="F64" s="116">
        <f t="shared" ref="F64" si="141">($C64*$E64)</f>
        <v>0</v>
      </c>
      <c r="G64" s="110"/>
      <c r="H64" s="111">
        <f t="shared" ref="H64" si="142">($F64)+(SUM($G65:$G68))</f>
        <v>0</v>
      </c>
      <c r="I64" s="106">
        <f>INDEX(Tribs!$D$3:$D$102,MATCH($A64,Tribs!$A$3:$A$102,0))</f>
        <v>0</v>
      </c>
      <c r="J64" s="106">
        <f>INDEX(Tribs!$G$3:$G$102,MATCH($A64,Tribs!$A$3:$A$102,0))</f>
        <v>0</v>
      </c>
      <c r="K64" s="105">
        <f>($J64)/V_gutter*(1/60)</f>
        <v>0</v>
      </c>
      <c r="L64" s="112"/>
      <c r="M64" s="109"/>
      <c r="N64" s="129">
        <f t="shared" ref="N64" si="143">($I64+$K64)</f>
        <v>0</v>
      </c>
      <c r="O64" s="111">
        <f t="shared" ref="O64" si="144">MAX($N64:$N68)</f>
        <v>0</v>
      </c>
      <c r="P64" s="133">
        <f>IF($H64&gt;0,IF($O64&lt;=T_1,I_1,IF($O64&lt;=T_2,(($O64*M_1)+B_1),IF($O64&lt;=T_3,(($O64*M_2)+B_2),IF($O64&lt;=T_4,(($O64*M_3)+B_3),IF($O64&lt;=T_5,(($O64*M_4)+B_4),IF($O64&lt;=T_6,(($O64*M_5)+B_5),IF($O64&lt;=T_7,(($O64*M_6)+B_6),IF($O64&lt;=T_8,(($O64*M_7)+B_7),IF($O64&lt;=T_9,(($O64*M_8)+B_8),IF($O64&lt;=T_10,(($O64*M_9)+B_9))))))))))),0)</f>
        <v>0</v>
      </c>
      <c r="Q64" s="111">
        <f t="shared" ref="Q64" si="145">ROUND(($H64*$P64),2)</f>
        <v>0</v>
      </c>
      <c r="R64" s="107">
        <f>IF($Q64&gt;0,IF($Q64&lt;=UTH!$M$4,UTH!$J$4,IF($Q64&lt;=UTH!$M$5,UTH!$J$5,IF($Q64&lt;=UTH!$M$6,UTH!$J$6,IF($Q64&lt;=UTH!$M$7,UTH!$J$7,IF($Q64&lt;=UTH!$M$8,UTH!$J$8,IF($Q64&lt;=UTH!$M$9,UTH!$J$9,IF($Q64&lt;=UTH!$M$10,UTH!$J$10,IF($Q64&lt;=UTH!$M$11,UTH!$J$11,IF($Q64&lt;=UTH!$M$12,UTH!$J$12,IF($Q64&lt;=UTH!$M$13,UTH!$J$13,IF($Q64&lt;=UTH!$M$14,UTH!$J$14,IF($Q64&lt;=UTH!$M$15,UTH!$J$15,IF($Q64&lt;=UTH!$M$16,UTH!$J$16,IF($Q64&lt;=UTH!$M$17,UTH!$J$17,IF($Q64&lt;=UTH!$M$18,UTH!$J$18,IF($Q64&lt;=UTH!$M$19,UTH!$J$19,IF($Q64&lt;=UTH!$M$20,UTH!$J$20))))))))))))))))),0)</f>
        <v>0</v>
      </c>
      <c r="S64" s="107">
        <f>IF(Inverts!$D64="YES",Inverts!$C64,Inverts!$E64)</f>
        <v>0</v>
      </c>
      <c r="T64" s="108">
        <f>IF($S64,($Q64/(KQ*($S64^(8/3))))^2,0)</f>
        <v>0</v>
      </c>
      <c r="U64" s="108">
        <f>IF($S64,(Vmin/(KV*($S64^(2/3))))^2,0)</f>
        <v>0</v>
      </c>
      <c r="V64" s="108">
        <f>IF($Z64,ROUND(MinDrop_2/$Z64,4),0)</f>
        <v>0</v>
      </c>
      <c r="W64" s="108">
        <f t="shared" ref="W64" si="146">IF($S64=0,0,MAX($T64:$V64))</f>
        <v>0</v>
      </c>
      <c r="X64" s="108">
        <f>IF(Inverts!$H64="yes",Inverts!$G64,Inverts!$I64)</f>
        <v>0</v>
      </c>
      <c r="Y64" s="105">
        <f>ROUND(KV*($S64^(2/3))*($X64^(0.5)),2)</f>
        <v>0</v>
      </c>
      <c r="Z64" s="106">
        <f>INDEX(Tribs!$H$3:$H$102,MATCH($A64,Tribs!$A$3:$A$102,0))</f>
        <v>0</v>
      </c>
      <c r="AA64" s="105">
        <f t="shared" ref="AA64" si="147">IF($Y64,($Z64/$Y64)*(1/60),0)</f>
        <v>0</v>
      </c>
      <c r="AB64" s="111">
        <f>ROUND(KQ*($S64^(8/3))*($X64^(0.5)),2)</f>
        <v>0</v>
      </c>
      <c r="AC64" s="138" t="str">
        <f>IF(AND($AB64&gt;=($Q64-0.0049),$Y64&gt;=(Vmin-0.0049)),"OK","NG")</f>
        <v>NG</v>
      </c>
    </row>
    <row r="65" spans="1:29" x14ac:dyDescent="0.3">
      <c r="A65" s="121"/>
      <c r="B65" s="184"/>
      <c r="C65" s="54"/>
      <c r="D65" s="52"/>
      <c r="E65" s="52"/>
      <c r="F65" s="117"/>
      <c r="G65" s="119">
        <f t="shared" ref="G65" si="148">IF($B65,INDEX($H$4:$H$499,(MATCH($B65,$A$4:$A$499))),0)</f>
        <v>0</v>
      </c>
      <c r="H65" s="113"/>
      <c r="I65" s="52"/>
      <c r="J65" s="52"/>
      <c r="K65" s="123"/>
      <c r="L65" s="53">
        <f t="shared" ref="L65" si="149">IF($B65,INDEX($O$4:$O$499,MATCH($B65,$A$4:$A$499)),0)</f>
        <v>0</v>
      </c>
      <c r="M65" s="126">
        <f t="shared" ref="M65" si="150">IF($B65,INDEX($AA$4:$AA$499,MATCH($B65,$A$4:$A$499)),0)</f>
        <v>0</v>
      </c>
      <c r="N65" s="119">
        <f t="shared" ref="N65" si="151">($L65+$M65)</f>
        <v>0</v>
      </c>
      <c r="O65" s="130"/>
      <c r="P65" s="134"/>
      <c r="Q65" s="130"/>
      <c r="R65" s="52"/>
      <c r="S65" s="224">
        <f t="shared" ref="S65:S68" si="152">S64</f>
        <v>0</v>
      </c>
      <c r="T65" s="237"/>
      <c r="U65" s="237"/>
      <c r="V65" s="237"/>
      <c r="W65" s="237"/>
      <c r="X65" s="52"/>
      <c r="Y65" s="52"/>
      <c r="Z65" s="52"/>
      <c r="AA65" s="54"/>
      <c r="AB65" s="130"/>
      <c r="AC65" s="139"/>
    </row>
    <row r="66" spans="1:29" x14ac:dyDescent="0.3">
      <c r="A66" s="121"/>
      <c r="B66" s="184"/>
      <c r="C66" s="54"/>
      <c r="D66" s="52"/>
      <c r="E66" s="52"/>
      <c r="F66" s="117"/>
      <c r="G66" s="119">
        <f t="shared" si="0"/>
        <v>0</v>
      </c>
      <c r="H66" s="113"/>
      <c r="I66" s="52"/>
      <c r="J66" s="52"/>
      <c r="K66" s="124"/>
      <c r="L66" s="53">
        <f t="shared" si="19"/>
        <v>0</v>
      </c>
      <c r="M66" s="127">
        <f t="shared" si="20"/>
        <v>0</v>
      </c>
      <c r="N66" s="119">
        <f t="shared" si="21"/>
        <v>0</v>
      </c>
      <c r="O66" s="130"/>
      <c r="P66" s="134"/>
      <c r="Q66" s="130"/>
      <c r="R66" s="52"/>
      <c r="S66" s="224">
        <f t="shared" si="152"/>
        <v>0</v>
      </c>
      <c r="T66" s="237"/>
      <c r="U66" s="237"/>
      <c r="V66" s="237"/>
      <c r="W66" s="237"/>
      <c r="X66" s="52"/>
      <c r="Y66" s="52"/>
      <c r="Z66" s="52"/>
      <c r="AA66" s="54"/>
      <c r="AB66" s="130"/>
      <c r="AC66" s="139"/>
    </row>
    <row r="67" spans="1:29" x14ac:dyDescent="0.3">
      <c r="A67" s="121"/>
      <c r="B67" s="184"/>
      <c r="C67" s="54"/>
      <c r="D67" s="52"/>
      <c r="E67" s="52"/>
      <c r="F67" s="117"/>
      <c r="G67" s="119">
        <f t="shared" si="0"/>
        <v>0</v>
      </c>
      <c r="H67" s="113"/>
      <c r="I67" s="52"/>
      <c r="J67" s="52"/>
      <c r="K67" s="124"/>
      <c r="L67" s="53">
        <f t="shared" si="19"/>
        <v>0</v>
      </c>
      <c r="M67" s="127">
        <f t="shared" si="20"/>
        <v>0</v>
      </c>
      <c r="N67" s="119">
        <f t="shared" si="21"/>
        <v>0</v>
      </c>
      <c r="O67" s="130"/>
      <c r="P67" s="134"/>
      <c r="Q67" s="130"/>
      <c r="R67" s="52"/>
      <c r="S67" s="224">
        <f t="shared" si="152"/>
        <v>0</v>
      </c>
      <c r="T67" s="237"/>
      <c r="U67" s="237"/>
      <c r="V67" s="237"/>
      <c r="W67" s="237"/>
      <c r="X67" s="52"/>
      <c r="Y67" s="52"/>
      <c r="Z67" s="52"/>
      <c r="AA67" s="54"/>
      <c r="AB67" s="130"/>
      <c r="AC67" s="139"/>
    </row>
    <row r="68" spans="1:29" ht="15" thickBot="1" x14ac:dyDescent="0.35">
      <c r="A68" s="122"/>
      <c r="B68" s="185"/>
      <c r="C68" s="102"/>
      <c r="D68" s="101"/>
      <c r="E68" s="101"/>
      <c r="F68" s="118"/>
      <c r="G68" s="120">
        <f t="shared" si="0"/>
        <v>0</v>
      </c>
      <c r="H68" s="114"/>
      <c r="I68" s="101"/>
      <c r="J68" s="101"/>
      <c r="K68" s="125"/>
      <c r="L68" s="103">
        <f t="shared" si="19"/>
        <v>0</v>
      </c>
      <c r="M68" s="128">
        <f t="shared" si="20"/>
        <v>0</v>
      </c>
      <c r="N68" s="120">
        <f t="shared" si="21"/>
        <v>0</v>
      </c>
      <c r="O68" s="131"/>
      <c r="P68" s="135"/>
      <c r="Q68" s="131"/>
      <c r="R68" s="101"/>
      <c r="S68" s="104">
        <f t="shared" si="152"/>
        <v>0</v>
      </c>
      <c r="T68" s="238"/>
      <c r="U68" s="238"/>
      <c r="V68" s="238"/>
      <c r="W68" s="238"/>
      <c r="X68" s="101"/>
      <c r="Y68" s="101"/>
      <c r="Z68" s="101"/>
      <c r="AA68" s="102"/>
      <c r="AB68" s="131"/>
      <c r="AC68" s="140"/>
    </row>
    <row r="69" spans="1:29" x14ac:dyDescent="0.3">
      <c r="A69" s="115">
        <f t="shared" ref="A69" si="153">$A64+1</f>
        <v>14</v>
      </c>
      <c r="B69" s="186"/>
      <c r="C69" s="105">
        <f>INDEX(Tribs!$C$3:$C$102,MATCH($A69,Tribs!$A$3:$A$102,0))</f>
        <v>0</v>
      </c>
      <c r="D69" s="106">
        <f>INDEX(Tribs!$E$3:$E$102,MATCH($A69,Tribs!$A$3:$A$102,0))</f>
        <v>0</v>
      </c>
      <c r="E69" s="105">
        <f>INDEX(Tribs!$F$3:$F$102,MATCH($A69,Tribs!$A$3:$A$102,0))</f>
        <v>0</v>
      </c>
      <c r="F69" s="116">
        <f t="shared" ref="F69" si="154">($C69*$E69)</f>
        <v>0</v>
      </c>
      <c r="G69" s="110"/>
      <c r="H69" s="111">
        <f t="shared" ref="H69" si="155">($F69)+(SUM($G70:$G73))</f>
        <v>0</v>
      </c>
      <c r="I69" s="106">
        <f>INDEX(Tribs!$D$3:$D$102,MATCH($A69,Tribs!$A$3:$A$102,0))</f>
        <v>0</v>
      </c>
      <c r="J69" s="106">
        <f>INDEX(Tribs!$G$3:$G$102,MATCH($A69,Tribs!$A$3:$A$102,0))</f>
        <v>0</v>
      </c>
      <c r="K69" s="105">
        <f>($J69)/V_gutter*(1/60)</f>
        <v>0</v>
      </c>
      <c r="L69" s="112"/>
      <c r="M69" s="109"/>
      <c r="N69" s="129">
        <f t="shared" ref="N69" si="156">($I69+$K69)</f>
        <v>0</v>
      </c>
      <c r="O69" s="111">
        <f t="shared" ref="O69" si="157">MAX($N69:$N73)</f>
        <v>0</v>
      </c>
      <c r="P69" s="133">
        <f>IF($H69&gt;0,IF($O69&lt;=T_1,I_1,IF($O69&lt;=T_2,(($O69*M_1)+B_1),IF($O69&lt;=T_3,(($O69*M_2)+B_2),IF($O69&lt;=T_4,(($O69*M_3)+B_3),IF($O69&lt;=T_5,(($O69*M_4)+B_4),IF($O69&lt;=T_6,(($O69*M_5)+B_5),IF($O69&lt;=T_7,(($O69*M_6)+B_6),IF($O69&lt;=T_8,(($O69*M_7)+B_7),IF($O69&lt;=T_9,(($O69*M_8)+B_8),IF($O69&lt;=T_10,(($O69*M_9)+B_9))))))))))),0)</f>
        <v>0</v>
      </c>
      <c r="Q69" s="111">
        <f t="shared" ref="Q69" si="158">ROUND(($H69*$P69),2)</f>
        <v>0</v>
      </c>
      <c r="R69" s="107">
        <f>IF($Q69&gt;0,IF($Q69&lt;=UTH!$M$4,UTH!$J$4,IF($Q69&lt;=UTH!$M$5,UTH!$J$5,IF($Q69&lt;=UTH!$M$6,UTH!$J$6,IF($Q69&lt;=UTH!$M$7,UTH!$J$7,IF($Q69&lt;=UTH!$M$8,UTH!$J$8,IF($Q69&lt;=UTH!$M$9,UTH!$J$9,IF($Q69&lt;=UTH!$M$10,UTH!$J$10,IF($Q69&lt;=UTH!$M$11,UTH!$J$11,IF($Q69&lt;=UTH!$M$12,UTH!$J$12,IF($Q69&lt;=UTH!$M$13,UTH!$J$13,IF($Q69&lt;=UTH!$M$14,UTH!$J$14,IF($Q69&lt;=UTH!$M$15,UTH!$J$15,IF($Q69&lt;=UTH!$M$16,UTH!$J$16,IF($Q69&lt;=UTH!$M$17,UTH!$J$17,IF($Q69&lt;=UTH!$M$18,UTH!$J$18,IF($Q69&lt;=UTH!$M$19,UTH!$J$19,IF($Q69&lt;=UTH!$M$20,UTH!$J$20))))))))))))))))),0)</f>
        <v>0</v>
      </c>
      <c r="S69" s="107">
        <f>IF(Inverts!$D69="YES",Inverts!$C69,Inverts!$E69)</f>
        <v>0</v>
      </c>
      <c r="T69" s="108">
        <f>IF($S69,($Q69/(KQ*($S69^(8/3))))^2,0)</f>
        <v>0</v>
      </c>
      <c r="U69" s="108">
        <f>IF($S69,(Vmin/(KV*($S69^(2/3))))^2,0)</f>
        <v>0</v>
      </c>
      <c r="V69" s="108">
        <f>IF($Z69,ROUND(MinDrop_2/$Z69,4),0)</f>
        <v>0</v>
      </c>
      <c r="W69" s="108">
        <f t="shared" ref="W69" si="159">IF($S69=0,0,MAX($T69:$V69))</f>
        <v>0</v>
      </c>
      <c r="X69" s="108">
        <f>IF(Inverts!$H69="yes",Inverts!$G69,Inverts!$I69)</f>
        <v>0</v>
      </c>
      <c r="Y69" s="105">
        <f>ROUND(KV*($S69^(2/3))*($X69^(0.5)),2)</f>
        <v>0</v>
      </c>
      <c r="Z69" s="106">
        <f>INDEX(Tribs!$H$3:$H$102,MATCH($A69,Tribs!$A$3:$A$102,0))</f>
        <v>0</v>
      </c>
      <c r="AA69" s="105">
        <f t="shared" ref="AA69" si="160">IF($Y69,($Z69/$Y69)*(1/60),0)</f>
        <v>0</v>
      </c>
      <c r="AB69" s="111">
        <f>ROUND(KQ*($S69^(8/3))*($X69^(0.5)),2)</f>
        <v>0</v>
      </c>
      <c r="AC69" s="138" t="str">
        <f>IF(AND($AB69&gt;=($Q69-0.0049),$Y69&gt;=(Vmin-0.0049)),"OK","NG")</f>
        <v>NG</v>
      </c>
    </row>
    <row r="70" spans="1:29" x14ac:dyDescent="0.3">
      <c r="A70" s="121"/>
      <c r="B70" s="184"/>
      <c r="C70" s="54"/>
      <c r="D70" s="52"/>
      <c r="E70" s="52"/>
      <c r="F70" s="117"/>
      <c r="G70" s="119">
        <f t="shared" ref="G70:G133" si="161">IF($B70,INDEX($H$4:$H$499,(MATCH($B70,$A$4:$A$499))),0)</f>
        <v>0</v>
      </c>
      <c r="H70" s="113"/>
      <c r="I70" s="52"/>
      <c r="J70" s="52"/>
      <c r="K70" s="123"/>
      <c r="L70" s="53">
        <f t="shared" ref="L70" si="162">IF($B70,INDEX($O$4:$O$499,MATCH($B70,$A$4:$A$499)),0)</f>
        <v>0</v>
      </c>
      <c r="M70" s="126">
        <f t="shared" ref="M70" si="163">IF($B70,INDEX($AA$4:$AA$499,MATCH($B70,$A$4:$A$499)),0)</f>
        <v>0</v>
      </c>
      <c r="N70" s="119">
        <f t="shared" ref="N70" si="164">($L70+$M70)</f>
        <v>0</v>
      </c>
      <c r="O70" s="130"/>
      <c r="P70" s="134"/>
      <c r="Q70" s="130"/>
      <c r="R70" s="52"/>
      <c r="S70" s="224">
        <f t="shared" ref="S70:S73" si="165">S69</f>
        <v>0</v>
      </c>
      <c r="T70" s="237"/>
      <c r="U70" s="237"/>
      <c r="V70" s="237"/>
      <c r="W70" s="237"/>
      <c r="X70" s="52"/>
      <c r="Y70" s="52"/>
      <c r="Z70" s="52"/>
      <c r="AA70" s="54"/>
      <c r="AB70" s="130"/>
      <c r="AC70" s="139"/>
    </row>
    <row r="71" spans="1:29" x14ac:dyDescent="0.3">
      <c r="A71" s="121"/>
      <c r="B71" s="184"/>
      <c r="C71" s="54"/>
      <c r="D71" s="52"/>
      <c r="E71" s="52"/>
      <c r="F71" s="117"/>
      <c r="G71" s="119">
        <f t="shared" si="161"/>
        <v>0</v>
      </c>
      <c r="H71" s="113"/>
      <c r="I71" s="52"/>
      <c r="J71" s="52"/>
      <c r="K71" s="124"/>
      <c r="L71" s="53">
        <f t="shared" si="19"/>
        <v>0</v>
      </c>
      <c r="M71" s="127">
        <f t="shared" si="20"/>
        <v>0</v>
      </c>
      <c r="N71" s="119">
        <f t="shared" si="21"/>
        <v>0</v>
      </c>
      <c r="O71" s="130"/>
      <c r="P71" s="134"/>
      <c r="Q71" s="130"/>
      <c r="R71" s="52"/>
      <c r="S71" s="224">
        <f t="shared" si="165"/>
        <v>0</v>
      </c>
      <c r="T71" s="237"/>
      <c r="U71" s="237"/>
      <c r="V71" s="237"/>
      <c r="W71" s="237"/>
      <c r="X71" s="52"/>
      <c r="Y71" s="52"/>
      <c r="Z71" s="52"/>
      <c r="AA71" s="54"/>
      <c r="AB71" s="130"/>
      <c r="AC71" s="139"/>
    </row>
    <row r="72" spans="1:29" x14ac:dyDescent="0.3">
      <c r="A72" s="121"/>
      <c r="B72" s="184"/>
      <c r="C72" s="54"/>
      <c r="D72" s="52"/>
      <c r="E72" s="52"/>
      <c r="F72" s="117"/>
      <c r="G72" s="119">
        <f t="shared" si="161"/>
        <v>0</v>
      </c>
      <c r="H72" s="113"/>
      <c r="I72" s="52"/>
      <c r="J72" s="52"/>
      <c r="K72" s="124"/>
      <c r="L72" s="53">
        <f t="shared" si="19"/>
        <v>0</v>
      </c>
      <c r="M72" s="127">
        <f t="shared" si="20"/>
        <v>0</v>
      </c>
      <c r="N72" s="119">
        <f t="shared" si="21"/>
        <v>0</v>
      </c>
      <c r="O72" s="130"/>
      <c r="P72" s="134"/>
      <c r="Q72" s="130"/>
      <c r="R72" s="52"/>
      <c r="S72" s="224">
        <f t="shared" si="165"/>
        <v>0</v>
      </c>
      <c r="T72" s="237"/>
      <c r="U72" s="237"/>
      <c r="V72" s="237"/>
      <c r="W72" s="237"/>
      <c r="X72" s="52"/>
      <c r="Y72" s="52"/>
      <c r="Z72" s="52"/>
      <c r="AA72" s="54"/>
      <c r="AB72" s="130"/>
      <c r="AC72" s="139"/>
    </row>
    <row r="73" spans="1:29" ht="15" thickBot="1" x14ac:dyDescent="0.35">
      <c r="A73" s="122"/>
      <c r="B73" s="185"/>
      <c r="C73" s="102"/>
      <c r="D73" s="101"/>
      <c r="E73" s="101"/>
      <c r="F73" s="118"/>
      <c r="G73" s="120">
        <f t="shared" si="161"/>
        <v>0</v>
      </c>
      <c r="H73" s="114"/>
      <c r="I73" s="101"/>
      <c r="J73" s="101"/>
      <c r="K73" s="125"/>
      <c r="L73" s="103">
        <f t="shared" si="19"/>
        <v>0</v>
      </c>
      <c r="M73" s="128">
        <f t="shared" si="20"/>
        <v>0</v>
      </c>
      <c r="N73" s="120">
        <f t="shared" si="21"/>
        <v>0</v>
      </c>
      <c r="O73" s="131"/>
      <c r="P73" s="135"/>
      <c r="Q73" s="131"/>
      <c r="R73" s="101"/>
      <c r="S73" s="104">
        <f t="shared" si="165"/>
        <v>0</v>
      </c>
      <c r="T73" s="238"/>
      <c r="U73" s="238"/>
      <c r="V73" s="238"/>
      <c r="W73" s="238"/>
      <c r="X73" s="101"/>
      <c r="Y73" s="101"/>
      <c r="Z73" s="101"/>
      <c r="AA73" s="102"/>
      <c r="AB73" s="131"/>
      <c r="AC73" s="140"/>
    </row>
    <row r="74" spans="1:29" x14ac:dyDescent="0.3">
      <c r="A74" s="115">
        <f t="shared" ref="A74" si="166">$A69+1</f>
        <v>15</v>
      </c>
      <c r="B74" s="186"/>
      <c r="C74" s="105">
        <f>INDEX(Tribs!$C$3:$C$102,MATCH($A74,Tribs!$A$3:$A$102,0))</f>
        <v>0</v>
      </c>
      <c r="D74" s="106">
        <f>INDEX(Tribs!$E$3:$E$102,MATCH($A74,Tribs!$A$3:$A$102,0))</f>
        <v>0</v>
      </c>
      <c r="E74" s="105">
        <f>INDEX(Tribs!$F$3:$F$102,MATCH($A74,Tribs!$A$3:$A$102,0))</f>
        <v>0</v>
      </c>
      <c r="F74" s="116">
        <f t="shared" ref="F74" si="167">($C74*$E74)</f>
        <v>0</v>
      </c>
      <c r="G74" s="110"/>
      <c r="H74" s="111">
        <f t="shared" ref="H74" si="168">($F74)+(SUM($G75:$G78))</f>
        <v>0</v>
      </c>
      <c r="I74" s="106">
        <f>INDEX(Tribs!$D$3:$D$102,MATCH($A74,Tribs!$A$3:$A$102,0))</f>
        <v>0</v>
      </c>
      <c r="J74" s="106">
        <f>INDEX(Tribs!$G$3:$G$102,MATCH($A74,Tribs!$A$3:$A$102,0))</f>
        <v>0</v>
      </c>
      <c r="K74" s="105">
        <f>($J74)/V_gutter*(1/60)</f>
        <v>0</v>
      </c>
      <c r="L74" s="112"/>
      <c r="M74" s="109"/>
      <c r="N74" s="129">
        <f t="shared" ref="N74" si="169">($I74+$K74)</f>
        <v>0</v>
      </c>
      <c r="O74" s="111">
        <f t="shared" ref="O74" si="170">MAX($N74:$N78)</f>
        <v>0</v>
      </c>
      <c r="P74" s="133">
        <f>IF($H74&gt;0,IF($O74&lt;=T_1,I_1,IF($O74&lt;=T_2,(($O74*M_1)+B_1),IF($O74&lt;=T_3,(($O74*M_2)+B_2),IF($O74&lt;=T_4,(($O74*M_3)+B_3),IF($O74&lt;=T_5,(($O74*M_4)+B_4),IF($O74&lt;=T_6,(($O74*M_5)+B_5),IF($O74&lt;=T_7,(($O74*M_6)+B_6),IF($O74&lt;=T_8,(($O74*M_7)+B_7),IF($O74&lt;=T_9,(($O74*M_8)+B_8),IF($O74&lt;=T_10,(($O74*M_9)+B_9))))))))))),0)</f>
        <v>0</v>
      </c>
      <c r="Q74" s="111">
        <f t="shared" ref="Q74" si="171">ROUND(($H74*$P74),2)</f>
        <v>0</v>
      </c>
      <c r="R74" s="107">
        <f>IF($Q74&gt;0,IF($Q74&lt;=UTH!$M$4,UTH!$J$4,IF($Q74&lt;=UTH!$M$5,UTH!$J$5,IF($Q74&lt;=UTH!$M$6,UTH!$J$6,IF($Q74&lt;=UTH!$M$7,UTH!$J$7,IF($Q74&lt;=UTH!$M$8,UTH!$J$8,IF($Q74&lt;=UTH!$M$9,UTH!$J$9,IF($Q74&lt;=UTH!$M$10,UTH!$J$10,IF($Q74&lt;=UTH!$M$11,UTH!$J$11,IF($Q74&lt;=UTH!$M$12,UTH!$J$12,IF($Q74&lt;=UTH!$M$13,UTH!$J$13,IF($Q74&lt;=UTH!$M$14,UTH!$J$14,IF($Q74&lt;=UTH!$M$15,UTH!$J$15,IF($Q74&lt;=UTH!$M$16,UTH!$J$16,IF($Q74&lt;=UTH!$M$17,UTH!$J$17,IF($Q74&lt;=UTH!$M$18,UTH!$J$18,IF($Q74&lt;=UTH!$M$19,UTH!$J$19,IF($Q74&lt;=UTH!$M$20,UTH!$J$20))))))))))))))))),0)</f>
        <v>0</v>
      </c>
      <c r="S74" s="107">
        <f>IF(Inverts!$D74="YES",Inverts!$C74,Inverts!$E74)</f>
        <v>0</v>
      </c>
      <c r="T74" s="108">
        <f>IF($S74,($Q74/(KQ*($S74^(8/3))))^2,0)</f>
        <v>0</v>
      </c>
      <c r="U74" s="108">
        <f>IF($S74,(Vmin/(KV*($S74^(2/3))))^2,0)</f>
        <v>0</v>
      </c>
      <c r="V74" s="108">
        <f>IF($Z74,ROUND(MinDrop_2/$Z74,4),0)</f>
        <v>0</v>
      </c>
      <c r="W74" s="108">
        <f t="shared" ref="W74" si="172">IF($S74=0,0,MAX($T74:$V74))</f>
        <v>0</v>
      </c>
      <c r="X74" s="108">
        <f>IF(Inverts!$H74="yes",Inverts!$G74,Inverts!$I74)</f>
        <v>0</v>
      </c>
      <c r="Y74" s="105">
        <f>ROUND(KV*($S74^(2/3))*($X74^(0.5)),2)</f>
        <v>0</v>
      </c>
      <c r="Z74" s="106">
        <f>INDEX(Tribs!$H$3:$H$102,MATCH($A74,Tribs!$A$3:$A$102,0))</f>
        <v>0</v>
      </c>
      <c r="AA74" s="105">
        <f t="shared" ref="AA74" si="173">IF($Y74,($Z74/$Y74)*(1/60),0)</f>
        <v>0</v>
      </c>
      <c r="AB74" s="111">
        <f>ROUND(KQ*($S74^(8/3))*($X74^(0.5)),2)</f>
        <v>0</v>
      </c>
      <c r="AC74" s="138" t="str">
        <f>IF(AND($AB74&gt;=($Q74-0.0049),$Y74&gt;=(Vmin-0.0049)),"OK","NG")</f>
        <v>NG</v>
      </c>
    </row>
    <row r="75" spans="1:29" x14ac:dyDescent="0.3">
      <c r="A75" s="121"/>
      <c r="B75" s="184"/>
      <c r="C75" s="54"/>
      <c r="D75" s="52"/>
      <c r="E75" s="52"/>
      <c r="F75" s="117"/>
      <c r="G75" s="119">
        <f t="shared" ref="G75" si="174">IF($B75,INDEX($H$4:$H$499,(MATCH($B75,$A$4:$A$499))),0)</f>
        <v>0</v>
      </c>
      <c r="H75" s="113"/>
      <c r="I75" s="52"/>
      <c r="J75" s="52"/>
      <c r="K75" s="123"/>
      <c r="L75" s="53">
        <f t="shared" ref="L75" si="175">IF($B75,INDEX($O$4:$O$499,MATCH($B75,$A$4:$A$499)),0)</f>
        <v>0</v>
      </c>
      <c r="M75" s="126">
        <f t="shared" ref="M75" si="176">IF($B75,INDEX($AA$4:$AA$499,MATCH($B75,$A$4:$A$499)),0)</f>
        <v>0</v>
      </c>
      <c r="N75" s="119">
        <f t="shared" ref="N75" si="177">($L75+$M75)</f>
        <v>0</v>
      </c>
      <c r="O75" s="130"/>
      <c r="P75" s="134"/>
      <c r="Q75" s="130"/>
      <c r="R75" s="52"/>
      <c r="S75" s="224">
        <f t="shared" ref="S75:S78" si="178">S74</f>
        <v>0</v>
      </c>
      <c r="T75" s="237"/>
      <c r="U75" s="237"/>
      <c r="V75" s="237"/>
      <c r="W75" s="237"/>
      <c r="X75" s="52"/>
      <c r="Y75" s="52"/>
      <c r="Z75" s="52"/>
      <c r="AA75" s="54"/>
      <c r="AB75" s="130"/>
      <c r="AC75" s="139"/>
    </row>
    <row r="76" spans="1:29" x14ac:dyDescent="0.3">
      <c r="A76" s="121"/>
      <c r="B76" s="184"/>
      <c r="C76" s="54"/>
      <c r="D76" s="52"/>
      <c r="E76" s="52"/>
      <c r="F76" s="117"/>
      <c r="G76" s="119">
        <f t="shared" si="161"/>
        <v>0</v>
      </c>
      <c r="H76" s="113"/>
      <c r="I76" s="52"/>
      <c r="J76" s="52"/>
      <c r="K76" s="124"/>
      <c r="L76" s="53">
        <f t="shared" si="19"/>
        <v>0</v>
      </c>
      <c r="M76" s="127">
        <f t="shared" si="20"/>
        <v>0</v>
      </c>
      <c r="N76" s="119">
        <f t="shared" si="21"/>
        <v>0</v>
      </c>
      <c r="O76" s="130"/>
      <c r="P76" s="134"/>
      <c r="Q76" s="130"/>
      <c r="R76" s="52"/>
      <c r="S76" s="224">
        <f t="shared" si="178"/>
        <v>0</v>
      </c>
      <c r="T76" s="237"/>
      <c r="U76" s="237"/>
      <c r="V76" s="237"/>
      <c r="W76" s="237"/>
      <c r="X76" s="52"/>
      <c r="Y76" s="52"/>
      <c r="Z76" s="52"/>
      <c r="AA76" s="54"/>
      <c r="AB76" s="130"/>
      <c r="AC76" s="139"/>
    </row>
    <row r="77" spans="1:29" x14ac:dyDescent="0.3">
      <c r="A77" s="121"/>
      <c r="B77" s="184"/>
      <c r="C77" s="54"/>
      <c r="D77" s="52"/>
      <c r="E77" s="52"/>
      <c r="F77" s="117"/>
      <c r="G77" s="119">
        <f t="shared" si="161"/>
        <v>0</v>
      </c>
      <c r="H77" s="113"/>
      <c r="I77" s="52"/>
      <c r="J77" s="52"/>
      <c r="K77" s="124"/>
      <c r="L77" s="53">
        <f t="shared" si="19"/>
        <v>0</v>
      </c>
      <c r="M77" s="127">
        <f t="shared" si="20"/>
        <v>0</v>
      </c>
      <c r="N77" s="119">
        <f t="shared" si="21"/>
        <v>0</v>
      </c>
      <c r="O77" s="130"/>
      <c r="P77" s="134"/>
      <c r="Q77" s="130"/>
      <c r="R77" s="52"/>
      <c r="S77" s="224">
        <f t="shared" si="178"/>
        <v>0</v>
      </c>
      <c r="T77" s="237"/>
      <c r="U77" s="237"/>
      <c r="V77" s="237"/>
      <c r="W77" s="237"/>
      <c r="X77" s="52"/>
      <c r="Y77" s="52"/>
      <c r="Z77" s="52"/>
      <c r="AA77" s="54"/>
      <c r="AB77" s="130"/>
      <c r="AC77" s="139"/>
    </row>
    <row r="78" spans="1:29" ht="15" thickBot="1" x14ac:dyDescent="0.35">
      <c r="A78" s="122"/>
      <c r="B78" s="185"/>
      <c r="C78" s="102"/>
      <c r="D78" s="101"/>
      <c r="E78" s="101"/>
      <c r="F78" s="118"/>
      <c r="G78" s="120">
        <f t="shared" si="161"/>
        <v>0</v>
      </c>
      <c r="H78" s="114"/>
      <c r="I78" s="101"/>
      <c r="J78" s="101"/>
      <c r="K78" s="125"/>
      <c r="L78" s="103">
        <f t="shared" si="19"/>
        <v>0</v>
      </c>
      <c r="M78" s="128">
        <f t="shared" si="20"/>
        <v>0</v>
      </c>
      <c r="N78" s="120">
        <f t="shared" si="21"/>
        <v>0</v>
      </c>
      <c r="O78" s="131"/>
      <c r="P78" s="135"/>
      <c r="Q78" s="131"/>
      <c r="R78" s="101"/>
      <c r="S78" s="104">
        <f t="shared" si="178"/>
        <v>0</v>
      </c>
      <c r="T78" s="238"/>
      <c r="U78" s="238"/>
      <c r="V78" s="238"/>
      <c r="W78" s="238"/>
      <c r="X78" s="101"/>
      <c r="Y78" s="101"/>
      <c r="Z78" s="101"/>
      <c r="AA78" s="102"/>
      <c r="AB78" s="131"/>
      <c r="AC78" s="140"/>
    </row>
    <row r="79" spans="1:29" x14ac:dyDescent="0.3">
      <c r="A79" s="115">
        <f t="shared" ref="A79" si="179">$A74+1</f>
        <v>16</v>
      </c>
      <c r="B79" s="186"/>
      <c r="C79" s="105">
        <f>INDEX(Tribs!$C$3:$C$102,MATCH($A79,Tribs!$A$3:$A$102,0))</f>
        <v>0</v>
      </c>
      <c r="D79" s="106">
        <f>INDEX(Tribs!$E$3:$E$102,MATCH($A79,Tribs!$A$3:$A$102,0))</f>
        <v>0</v>
      </c>
      <c r="E79" s="105">
        <f>INDEX(Tribs!$F$3:$F$102,MATCH($A79,Tribs!$A$3:$A$102,0))</f>
        <v>0</v>
      </c>
      <c r="F79" s="116">
        <f t="shared" ref="F79" si="180">($C79*$E79)</f>
        <v>0</v>
      </c>
      <c r="G79" s="110"/>
      <c r="H79" s="111">
        <f t="shared" ref="H79" si="181">($F79)+(SUM($G80:$G83))</f>
        <v>0</v>
      </c>
      <c r="I79" s="106">
        <f>INDEX(Tribs!$D$3:$D$102,MATCH($A79,Tribs!$A$3:$A$102,0))</f>
        <v>0</v>
      </c>
      <c r="J79" s="106">
        <f>INDEX(Tribs!$G$3:$G$102,MATCH($A79,Tribs!$A$3:$A$102,0))</f>
        <v>0</v>
      </c>
      <c r="K79" s="105">
        <f>($J79)/V_gutter*(1/60)</f>
        <v>0</v>
      </c>
      <c r="L79" s="112"/>
      <c r="M79" s="109"/>
      <c r="N79" s="129">
        <f t="shared" ref="N79" si="182">($I79+$K79)</f>
        <v>0</v>
      </c>
      <c r="O79" s="111">
        <f t="shared" ref="O79" si="183">MAX($N79:$N83)</f>
        <v>0</v>
      </c>
      <c r="P79" s="133">
        <f>IF($H79&gt;0,IF($O79&lt;=T_1,I_1,IF($O79&lt;=T_2,(($O79*M_1)+B_1),IF($O79&lt;=T_3,(($O79*M_2)+B_2),IF($O79&lt;=T_4,(($O79*M_3)+B_3),IF($O79&lt;=T_5,(($O79*M_4)+B_4),IF($O79&lt;=T_6,(($O79*M_5)+B_5),IF($O79&lt;=T_7,(($O79*M_6)+B_6),IF($O79&lt;=T_8,(($O79*M_7)+B_7),IF($O79&lt;=T_9,(($O79*M_8)+B_8),IF($O79&lt;=T_10,(($O79*M_9)+B_9))))))))))),0)</f>
        <v>0</v>
      </c>
      <c r="Q79" s="111">
        <f t="shared" ref="Q79" si="184">ROUND(($H79*$P79),2)</f>
        <v>0</v>
      </c>
      <c r="R79" s="107">
        <f>IF($Q79&gt;0,IF($Q79&lt;=UTH!$M$4,UTH!$J$4,IF($Q79&lt;=UTH!$M$5,UTH!$J$5,IF($Q79&lt;=UTH!$M$6,UTH!$J$6,IF($Q79&lt;=UTH!$M$7,UTH!$J$7,IF($Q79&lt;=UTH!$M$8,UTH!$J$8,IF($Q79&lt;=UTH!$M$9,UTH!$J$9,IF($Q79&lt;=UTH!$M$10,UTH!$J$10,IF($Q79&lt;=UTH!$M$11,UTH!$J$11,IF($Q79&lt;=UTH!$M$12,UTH!$J$12,IF($Q79&lt;=UTH!$M$13,UTH!$J$13,IF($Q79&lt;=UTH!$M$14,UTH!$J$14,IF($Q79&lt;=UTH!$M$15,UTH!$J$15,IF($Q79&lt;=UTH!$M$16,UTH!$J$16,IF($Q79&lt;=UTH!$M$17,UTH!$J$17,IF($Q79&lt;=UTH!$M$18,UTH!$J$18,IF($Q79&lt;=UTH!$M$19,UTH!$J$19,IF($Q79&lt;=UTH!$M$20,UTH!$J$20))))))))))))))))),0)</f>
        <v>0</v>
      </c>
      <c r="S79" s="107">
        <f>IF(Inverts!$D79="YES",Inverts!$C79,Inverts!$E79)</f>
        <v>0</v>
      </c>
      <c r="T79" s="108">
        <f>IF($S79,($Q79/(KQ*($S79^(8/3))))^2,0)</f>
        <v>0</v>
      </c>
      <c r="U79" s="108">
        <f>IF($S79,(Vmin/(KV*($S79^(2/3))))^2,0)</f>
        <v>0</v>
      </c>
      <c r="V79" s="108">
        <f>IF($Z79,ROUND(MinDrop_2/$Z79,4),0)</f>
        <v>0</v>
      </c>
      <c r="W79" s="108">
        <f t="shared" ref="W79" si="185">IF($S79=0,0,MAX($T79:$V79))</f>
        <v>0</v>
      </c>
      <c r="X79" s="108">
        <f>IF(Inverts!$H79="yes",Inverts!$G79,Inverts!$I79)</f>
        <v>0</v>
      </c>
      <c r="Y79" s="105">
        <f>ROUND(KV*($S79^(2/3))*($X79^(0.5)),2)</f>
        <v>0</v>
      </c>
      <c r="Z79" s="106">
        <f>INDEX(Tribs!$H$3:$H$102,MATCH($A79,Tribs!$A$3:$A$102,0))</f>
        <v>0</v>
      </c>
      <c r="AA79" s="105">
        <f t="shared" ref="AA79" si="186">IF($Y79,($Z79/$Y79)*(1/60),0)</f>
        <v>0</v>
      </c>
      <c r="AB79" s="111">
        <f>ROUND(KQ*($S79^(8/3))*($X79^(0.5)),2)</f>
        <v>0</v>
      </c>
      <c r="AC79" s="138" t="str">
        <f>IF(AND($AB79&gt;=($Q79-0.0049),$Y79&gt;=(Vmin-0.0049)),"OK","NG")</f>
        <v>NG</v>
      </c>
    </row>
    <row r="80" spans="1:29" x14ac:dyDescent="0.3">
      <c r="A80" s="121"/>
      <c r="B80" s="184"/>
      <c r="C80" s="54"/>
      <c r="D80" s="52"/>
      <c r="E80" s="52"/>
      <c r="F80" s="117"/>
      <c r="G80" s="119">
        <f t="shared" ref="G80" si="187">IF($B80,INDEX($H$4:$H$499,(MATCH($B80,$A$4:$A$499))),0)</f>
        <v>0</v>
      </c>
      <c r="H80" s="113"/>
      <c r="I80" s="52"/>
      <c r="J80" s="52"/>
      <c r="K80" s="123"/>
      <c r="L80" s="53">
        <f t="shared" ref="L80:L143" si="188">IF($B80,INDEX($O$4:$O$499,MATCH($B80,$A$4:$A$499)),0)</f>
        <v>0</v>
      </c>
      <c r="M80" s="126">
        <f t="shared" ref="M80:M143" si="189">IF($B80,INDEX($AA$4:$AA$499,MATCH($B80,$A$4:$A$499)),0)</f>
        <v>0</v>
      </c>
      <c r="N80" s="119">
        <f t="shared" ref="N80:N143" si="190">($L80+$M80)</f>
        <v>0</v>
      </c>
      <c r="O80" s="130"/>
      <c r="P80" s="134"/>
      <c r="Q80" s="130"/>
      <c r="R80" s="52"/>
      <c r="S80" s="224">
        <f t="shared" ref="S80:S83" si="191">S79</f>
        <v>0</v>
      </c>
      <c r="T80" s="237"/>
      <c r="U80" s="237"/>
      <c r="V80" s="237"/>
      <c r="W80" s="237"/>
      <c r="X80" s="52"/>
      <c r="Y80" s="52"/>
      <c r="Z80" s="52"/>
      <c r="AA80" s="54"/>
      <c r="AB80" s="130"/>
      <c r="AC80" s="139"/>
    </row>
    <row r="81" spans="1:29" x14ac:dyDescent="0.3">
      <c r="A81" s="121"/>
      <c r="B81" s="184"/>
      <c r="C81" s="54"/>
      <c r="D81" s="52"/>
      <c r="E81" s="52"/>
      <c r="F81" s="117"/>
      <c r="G81" s="119">
        <f t="shared" si="161"/>
        <v>0</v>
      </c>
      <c r="H81" s="113"/>
      <c r="I81" s="52"/>
      <c r="J81" s="52"/>
      <c r="K81" s="124"/>
      <c r="L81" s="53">
        <f t="shared" si="188"/>
        <v>0</v>
      </c>
      <c r="M81" s="127">
        <f t="shared" si="189"/>
        <v>0</v>
      </c>
      <c r="N81" s="119">
        <f t="shared" si="190"/>
        <v>0</v>
      </c>
      <c r="O81" s="130"/>
      <c r="P81" s="134"/>
      <c r="Q81" s="130"/>
      <c r="R81" s="52"/>
      <c r="S81" s="224">
        <f t="shared" si="191"/>
        <v>0</v>
      </c>
      <c r="T81" s="237"/>
      <c r="U81" s="237"/>
      <c r="V81" s="237"/>
      <c r="W81" s="237"/>
      <c r="X81" s="52"/>
      <c r="Y81" s="52"/>
      <c r="Z81" s="52"/>
      <c r="AA81" s="54"/>
      <c r="AB81" s="130"/>
      <c r="AC81" s="139"/>
    </row>
    <row r="82" spans="1:29" x14ac:dyDescent="0.3">
      <c r="A82" s="121"/>
      <c r="B82" s="184"/>
      <c r="C82" s="54"/>
      <c r="D82" s="52"/>
      <c r="E82" s="52"/>
      <c r="F82" s="117"/>
      <c r="G82" s="119">
        <f t="shared" si="161"/>
        <v>0</v>
      </c>
      <c r="H82" s="113"/>
      <c r="I82" s="52"/>
      <c r="J82" s="52"/>
      <c r="K82" s="124"/>
      <c r="L82" s="53">
        <f t="shared" si="188"/>
        <v>0</v>
      </c>
      <c r="M82" s="127">
        <f t="shared" si="189"/>
        <v>0</v>
      </c>
      <c r="N82" s="119">
        <f t="shared" si="190"/>
        <v>0</v>
      </c>
      <c r="O82" s="130"/>
      <c r="P82" s="134"/>
      <c r="Q82" s="130"/>
      <c r="R82" s="52"/>
      <c r="S82" s="224">
        <f t="shared" si="191"/>
        <v>0</v>
      </c>
      <c r="T82" s="237"/>
      <c r="U82" s="237"/>
      <c r="V82" s="237"/>
      <c r="W82" s="237"/>
      <c r="X82" s="52"/>
      <c r="Y82" s="52"/>
      <c r="Z82" s="52"/>
      <c r="AA82" s="54"/>
      <c r="AB82" s="130"/>
      <c r="AC82" s="139"/>
    </row>
    <row r="83" spans="1:29" ht="15" thickBot="1" x14ac:dyDescent="0.35">
      <c r="A83" s="122"/>
      <c r="B83" s="185"/>
      <c r="C83" s="102"/>
      <c r="D83" s="101"/>
      <c r="E83" s="101"/>
      <c r="F83" s="118"/>
      <c r="G83" s="120">
        <f t="shared" si="161"/>
        <v>0</v>
      </c>
      <c r="H83" s="114"/>
      <c r="I83" s="101"/>
      <c r="J83" s="101"/>
      <c r="K83" s="125"/>
      <c r="L83" s="103">
        <f t="shared" si="188"/>
        <v>0</v>
      </c>
      <c r="M83" s="128">
        <f t="shared" si="189"/>
        <v>0</v>
      </c>
      <c r="N83" s="120">
        <f t="shared" si="190"/>
        <v>0</v>
      </c>
      <c r="O83" s="131"/>
      <c r="P83" s="135"/>
      <c r="Q83" s="131"/>
      <c r="R83" s="101"/>
      <c r="S83" s="104">
        <f t="shared" si="191"/>
        <v>0</v>
      </c>
      <c r="T83" s="238"/>
      <c r="U83" s="238"/>
      <c r="V83" s="238"/>
      <c r="W83" s="238"/>
      <c r="X83" s="101"/>
      <c r="Y83" s="101"/>
      <c r="Z83" s="101"/>
      <c r="AA83" s="102"/>
      <c r="AB83" s="131"/>
      <c r="AC83" s="140"/>
    </row>
    <row r="84" spans="1:29" x14ac:dyDescent="0.3">
      <c r="A84" s="115">
        <f t="shared" ref="A84" si="192">$A79+1</f>
        <v>17</v>
      </c>
      <c r="B84" s="186"/>
      <c r="C84" s="105">
        <f>INDEX(Tribs!$C$3:$C$102,MATCH($A84,Tribs!$A$3:$A$102,0))</f>
        <v>0</v>
      </c>
      <c r="D84" s="106">
        <f>INDEX(Tribs!$E$3:$E$102,MATCH($A84,Tribs!$A$3:$A$102,0))</f>
        <v>0</v>
      </c>
      <c r="E84" s="105">
        <f>INDEX(Tribs!$F$3:$F$102,MATCH($A84,Tribs!$A$3:$A$102,0))</f>
        <v>0</v>
      </c>
      <c r="F84" s="116">
        <f t="shared" ref="F84" si="193">($C84*$E84)</f>
        <v>0</v>
      </c>
      <c r="G84" s="110"/>
      <c r="H84" s="111">
        <f t="shared" ref="H84" si="194">($F84)+(SUM($G85:$G88))</f>
        <v>0</v>
      </c>
      <c r="I84" s="106">
        <f>INDEX(Tribs!$D$3:$D$102,MATCH($A84,Tribs!$A$3:$A$102,0))</f>
        <v>0</v>
      </c>
      <c r="J84" s="106">
        <f>INDEX(Tribs!$G$3:$G$102,MATCH($A84,Tribs!$A$3:$A$102,0))</f>
        <v>0</v>
      </c>
      <c r="K84" s="105">
        <f>($J84)/V_gutter*(1/60)</f>
        <v>0</v>
      </c>
      <c r="L84" s="112"/>
      <c r="M84" s="109"/>
      <c r="N84" s="129">
        <f t="shared" ref="N84" si="195">($I84+$K84)</f>
        <v>0</v>
      </c>
      <c r="O84" s="111">
        <f t="shared" ref="O84" si="196">MAX($N84:$N88)</f>
        <v>0</v>
      </c>
      <c r="P84" s="133">
        <f>IF($H84&gt;0,IF($O84&lt;=T_1,I_1,IF($O84&lt;=T_2,(($O84*M_1)+B_1),IF($O84&lt;=T_3,(($O84*M_2)+B_2),IF($O84&lt;=T_4,(($O84*M_3)+B_3),IF($O84&lt;=T_5,(($O84*M_4)+B_4),IF($O84&lt;=T_6,(($O84*M_5)+B_5),IF($O84&lt;=T_7,(($O84*M_6)+B_6),IF($O84&lt;=T_8,(($O84*M_7)+B_7),IF($O84&lt;=T_9,(($O84*M_8)+B_8),IF($O84&lt;=T_10,(($O84*M_9)+B_9))))))))))),0)</f>
        <v>0</v>
      </c>
      <c r="Q84" s="111">
        <f t="shared" ref="Q84" si="197">ROUND(($H84*$P84),2)</f>
        <v>0</v>
      </c>
      <c r="R84" s="107">
        <f>IF($Q84&gt;0,IF($Q84&lt;=UTH!$M$4,UTH!$J$4,IF($Q84&lt;=UTH!$M$5,UTH!$J$5,IF($Q84&lt;=UTH!$M$6,UTH!$J$6,IF($Q84&lt;=UTH!$M$7,UTH!$J$7,IF($Q84&lt;=UTH!$M$8,UTH!$J$8,IF($Q84&lt;=UTH!$M$9,UTH!$J$9,IF($Q84&lt;=UTH!$M$10,UTH!$J$10,IF($Q84&lt;=UTH!$M$11,UTH!$J$11,IF($Q84&lt;=UTH!$M$12,UTH!$J$12,IF($Q84&lt;=UTH!$M$13,UTH!$J$13,IF($Q84&lt;=UTH!$M$14,UTH!$J$14,IF($Q84&lt;=UTH!$M$15,UTH!$J$15,IF($Q84&lt;=UTH!$M$16,UTH!$J$16,IF($Q84&lt;=UTH!$M$17,UTH!$J$17,IF($Q84&lt;=UTH!$M$18,UTH!$J$18,IF($Q84&lt;=UTH!$M$19,UTH!$J$19,IF($Q84&lt;=UTH!$M$20,UTH!$J$20))))))))))))))))),0)</f>
        <v>0</v>
      </c>
      <c r="S84" s="107">
        <f>IF(Inverts!$D84="YES",Inverts!$C84,Inverts!$E84)</f>
        <v>0</v>
      </c>
      <c r="T84" s="108">
        <f>IF($S84,($Q84/(KQ*($S84^(8/3))))^2,0)</f>
        <v>0</v>
      </c>
      <c r="U84" s="108">
        <f>IF($S84,(Vmin/(KV*($S84^(2/3))))^2,0)</f>
        <v>0</v>
      </c>
      <c r="V84" s="108">
        <f>IF($Z84,ROUND(MinDrop_2/$Z84,4),0)</f>
        <v>0</v>
      </c>
      <c r="W84" s="108">
        <f t="shared" ref="W84" si="198">IF($S84=0,0,MAX($T84:$V84))</f>
        <v>0</v>
      </c>
      <c r="X84" s="108">
        <f>IF(Inverts!$H84="yes",Inverts!$G84,Inverts!$I84)</f>
        <v>0</v>
      </c>
      <c r="Y84" s="105">
        <f>ROUND(KV*($S84^(2/3))*($X84^(0.5)),2)</f>
        <v>0</v>
      </c>
      <c r="Z84" s="106">
        <f>INDEX(Tribs!$H$3:$H$102,MATCH($A84,Tribs!$A$3:$A$102,0))</f>
        <v>0</v>
      </c>
      <c r="AA84" s="105">
        <f t="shared" ref="AA84" si="199">IF($Y84,($Z84/$Y84)*(1/60),0)</f>
        <v>0</v>
      </c>
      <c r="AB84" s="111">
        <f>ROUND(KQ*($S84^(8/3))*($X84^(0.5)),2)</f>
        <v>0</v>
      </c>
      <c r="AC84" s="138" t="str">
        <f>IF(AND($AB84&gt;=($Q84-0.0049),$Y84&gt;=(Vmin-0.0049)),"OK","NG")</f>
        <v>NG</v>
      </c>
    </row>
    <row r="85" spans="1:29" x14ac:dyDescent="0.3">
      <c r="A85" s="121"/>
      <c r="B85" s="184"/>
      <c r="C85" s="54"/>
      <c r="D85" s="52"/>
      <c r="E85" s="52"/>
      <c r="F85" s="117"/>
      <c r="G85" s="119">
        <f t="shared" ref="G85" si="200">IF($B85,INDEX($H$4:$H$499,(MATCH($B85,$A$4:$A$499))),0)</f>
        <v>0</v>
      </c>
      <c r="H85" s="113"/>
      <c r="I85" s="52"/>
      <c r="J85" s="52"/>
      <c r="K85" s="123"/>
      <c r="L85" s="53">
        <f t="shared" ref="L85" si="201">IF($B85,INDEX($O$4:$O$499,MATCH($B85,$A$4:$A$499)),0)</f>
        <v>0</v>
      </c>
      <c r="M85" s="126">
        <f t="shared" ref="M85" si="202">IF($B85,INDEX($AA$4:$AA$499,MATCH($B85,$A$4:$A$499)),0)</f>
        <v>0</v>
      </c>
      <c r="N85" s="119">
        <f t="shared" ref="N85" si="203">($L85+$M85)</f>
        <v>0</v>
      </c>
      <c r="O85" s="130"/>
      <c r="P85" s="134"/>
      <c r="Q85" s="130"/>
      <c r="R85" s="52"/>
      <c r="S85" s="224">
        <f t="shared" ref="S85:S88" si="204">S84</f>
        <v>0</v>
      </c>
      <c r="T85" s="237"/>
      <c r="U85" s="237"/>
      <c r="V85" s="237"/>
      <c r="W85" s="237"/>
      <c r="X85" s="52"/>
      <c r="Y85" s="52"/>
      <c r="Z85" s="52"/>
      <c r="AA85" s="54"/>
      <c r="AB85" s="130"/>
      <c r="AC85" s="139"/>
    </row>
    <row r="86" spans="1:29" x14ac:dyDescent="0.3">
      <c r="A86" s="121"/>
      <c r="B86" s="184"/>
      <c r="C86" s="54"/>
      <c r="D86" s="52"/>
      <c r="E86" s="52"/>
      <c r="F86" s="117"/>
      <c r="G86" s="119">
        <f t="shared" si="161"/>
        <v>0</v>
      </c>
      <c r="H86" s="113"/>
      <c r="I86" s="52"/>
      <c r="J86" s="52"/>
      <c r="K86" s="124"/>
      <c r="L86" s="53">
        <f t="shared" si="188"/>
        <v>0</v>
      </c>
      <c r="M86" s="127">
        <f t="shared" si="189"/>
        <v>0</v>
      </c>
      <c r="N86" s="119">
        <f t="shared" si="190"/>
        <v>0</v>
      </c>
      <c r="O86" s="130"/>
      <c r="P86" s="134"/>
      <c r="Q86" s="130"/>
      <c r="R86" s="52"/>
      <c r="S86" s="224">
        <f t="shared" si="204"/>
        <v>0</v>
      </c>
      <c r="T86" s="237"/>
      <c r="U86" s="237"/>
      <c r="V86" s="237"/>
      <c r="W86" s="237"/>
      <c r="X86" s="52"/>
      <c r="Y86" s="52"/>
      <c r="Z86" s="52"/>
      <c r="AA86" s="54"/>
      <c r="AB86" s="130"/>
      <c r="AC86" s="139"/>
    </row>
    <row r="87" spans="1:29" x14ac:dyDescent="0.3">
      <c r="A87" s="121"/>
      <c r="B87" s="184"/>
      <c r="C87" s="54"/>
      <c r="D87" s="52"/>
      <c r="E87" s="52"/>
      <c r="F87" s="117"/>
      <c r="G87" s="119">
        <f t="shared" si="161"/>
        <v>0</v>
      </c>
      <c r="H87" s="113"/>
      <c r="I87" s="52"/>
      <c r="J87" s="52"/>
      <c r="K87" s="124"/>
      <c r="L87" s="53">
        <f t="shared" si="188"/>
        <v>0</v>
      </c>
      <c r="M87" s="127">
        <f t="shared" si="189"/>
        <v>0</v>
      </c>
      <c r="N87" s="119">
        <f t="shared" si="190"/>
        <v>0</v>
      </c>
      <c r="O87" s="130"/>
      <c r="P87" s="134"/>
      <c r="Q87" s="130"/>
      <c r="R87" s="52"/>
      <c r="S87" s="224">
        <f t="shared" si="204"/>
        <v>0</v>
      </c>
      <c r="T87" s="237"/>
      <c r="U87" s="237"/>
      <c r="V87" s="237"/>
      <c r="W87" s="237"/>
      <c r="X87" s="52"/>
      <c r="Y87" s="52"/>
      <c r="Z87" s="52"/>
      <c r="AA87" s="54"/>
      <c r="AB87" s="130"/>
      <c r="AC87" s="139"/>
    </row>
    <row r="88" spans="1:29" ht="15" thickBot="1" x14ac:dyDescent="0.35">
      <c r="A88" s="122"/>
      <c r="B88" s="185"/>
      <c r="C88" s="102"/>
      <c r="D88" s="101"/>
      <c r="E88" s="101"/>
      <c r="F88" s="118"/>
      <c r="G88" s="120">
        <f t="shared" si="161"/>
        <v>0</v>
      </c>
      <c r="H88" s="114"/>
      <c r="I88" s="101"/>
      <c r="J88" s="101"/>
      <c r="K88" s="125"/>
      <c r="L88" s="103">
        <f t="shared" si="188"/>
        <v>0</v>
      </c>
      <c r="M88" s="128">
        <f t="shared" si="189"/>
        <v>0</v>
      </c>
      <c r="N88" s="120">
        <f t="shared" si="190"/>
        <v>0</v>
      </c>
      <c r="O88" s="131"/>
      <c r="P88" s="135"/>
      <c r="Q88" s="131"/>
      <c r="R88" s="101"/>
      <c r="S88" s="104">
        <f t="shared" si="204"/>
        <v>0</v>
      </c>
      <c r="T88" s="238"/>
      <c r="U88" s="238"/>
      <c r="V88" s="238"/>
      <c r="W88" s="238"/>
      <c r="X88" s="101"/>
      <c r="Y88" s="101"/>
      <c r="Z88" s="101"/>
      <c r="AA88" s="102"/>
      <c r="AB88" s="131"/>
      <c r="AC88" s="140"/>
    </row>
    <row r="89" spans="1:29" x14ac:dyDescent="0.3">
      <c r="A89" s="115">
        <f t="shared" ref="A89" si="205">$A84+1</f>
        <v>18</v>
      </c>
      <c r="B89" s="186"/>
      <c r="C89" s="105">
        <f>INDEX(Tribs!$C$3:$C$102,MATCH($A89,Tribs!$A$3:$A$102,0))</f>
        <v>0</v>
      </c>
      <c r="D89" s="106">
        <f>INDEX(Tribs!$E$3:$E$102,MATCH($A89,Tribs!$A$3:$A$102,0))</f>
        <v>0</v>
      </c>
      <c r="E89" s="105">
        <f>INDEX(Tribs!$F$3:$F$102,MATCH($A89,Tribs!$A$3:$A$102,0))</f>
        <v>0</v>
      </c>
      <c r="F89" s="116">
        <f t="shared" ref="F89" si="206">($C89*$E89)</f>
        <v>0</v>
      </c>
      <c r="G89" s="110"/>
      <c r="H89" s="111">
        <f t="shared" ref="H89" si="207">($F89)+(SUM($G90:$G93))</f>
        <v>0</v>
      </c>
      <c r="I89" s="106">
        <f>INDEX(Tribs!$D$3:$D$102,MATCH($A89,Tribs!$A$3:$A$102,0))</f>
        <v>0</v>
      </c>
      <c r="J89" s="106">
        <f>INDEX(Tribs!$G$3:$G$102,MATCH($A89,Tribs!$A$3:$A$102,0))</f>
        <v>0</v>
      </c>
      <c r="K89" s="105">
        <f>($J89)/V_gutter*(1/60)</f>
        <v>0</v>
      </c>
      <c r="L89" s="112"/>
      <c r="M89" s="109"/>
      <c r="N89" s="129">
        <f t="shared" ref="N89" si="208">($I89+$K89)</f>
        <v>0</v>
      </c>
      <c r="O89" s="111">
        <f t="shared" ref="O89" si="209">MAX($N89:$N93)</f>
        <v>0</v>
      </c>
      <c r="P89" s="133">
        <f>IF($H89&gt;0,IF($O89&lt;=T_1,I_1,IF($O89&lt;=T_2,(($O89*M_1)+B_1),IF($O89&lt;=T_3,(($O89*M_2)+B_2),IF($O89&lt;=T_4,(($O89*M_3)+B_3),IF($O89&lt;=T_5,(($O89*M_4)+B_4),IF($O89&lt;=T_6,(($O89*M_5)+B_5),IF($O89&lt;=T_7,(($O89*M_6)+B_6),IF($O89&lt;=T_8,(($O89*M_7)+B_7),IF($O89&lt;=T_9,(($O89*M_8)+B_8),IF($O89&lt;=T_10,(($O89*M_9)+B_9))))))))))),0)</f>
        <v>0</v>
      </c>
      <c r="Q89" s="111">
        <f t="shared" ref="Q89" si="210">ROUND(($H89*$P89),2)</f>
        <v>0</v>
      </c>
      <c r="R89" s="107">
        <f>IF($Q89&gt;0,IF($Q89&lt;=UTH!$M$4,UTH!$J$4,IF($Q89&lt;=UTH!$M$5,UTH!$J$5,IF($Q89&lt;=UTH!$M$6,UTH!$J$6,IF($Q89&lt;=UTH!$M$7,UTH!$J$7,IF($Q89&lt;=UTH!$M$8,UTH!$J$8,IF($Q89&lt;=UTH!$M$9,UTH!$J$9,IF($Q89&lt;=UTH!$M$10,UTH!$J$10,IF($Q89&lt;=UTH!$M$11,UTH!$J$11,IF($Q89&lt;=UTH!$M$12,UTH!$J$12,IF($Q89&lt;=UTH!$M$13,UTH!$J$13,IF($Q89&lt;=UTH!$M$14,UTH!$J$14,IF($Q89&lt;=UTH!$M$15,UTH!$J$15,IF($Q89&lt;=UTH!$M$16,UTH!$J$16,IF($Q89&lt;=UTH!$M$17,UTH!$J$17,IF($Q89&lt;=UTH!$M$18,UTH!$J$18,IF($Q89&lt;=UTH!$M$19,UTH!$J$19,IF($Q89&lt;=UTH!$M$20,UTH!$J$20))))))))))))))))),0)</f>
        <v>0</v>
      </c>
      <c r="S89" s="107">
        <f>IF(Inverts!$D89="YES",Inverts!$C89,Inverts!$E89)</f>
        <v>0</v>
      </c>
      <c r="T89" s="108">
        <f>IF($S89,($Q89/(KQ*($S89^(8/3))))^2,0)</f>
        <v>0</v>
      </c>
      <c r="U89" s="108">
        <f>IF($S89,(Vmin/(KV*($S89^(2/3))))^2,0)</f>
        <v>0</v>
      </c>
      <c r="V89" s="108">
        <f>IF($Z89,ROUND(MinDrop_2/$Z89,4),0)</f>
        <v>0</v>
      </c>
      <c r="W89" s="108">
        <f t="shared" ref="W89" si="211">IF($S89=0,0,MAX($T89:$V89))</f>
        <v>0</v>
      </c>
      <c r="X89" s="108">
        <f>IF(Inverts!$H89="yes",Inverts!$G89,Inverts!$I89)</f>
        <v>0</v>
      </c>
      <c r="Y89" s="105">
        <f>ROUND(KV*($S89^(2/3))*($X89^(0.5)),2)</f>
        <v>0</v>
      </c>
      <c r="Z89" s="106">
        <f>INDEX(Tribs!$H$3:$H$102,MATCH($A89,Tribs!$A$3:$A$102,0))</f>
        <v>0</v>
      </c>
      <c r="AA89" s="105">
        <f t="shared" ref="AA89" si="212">IF($Y89,($Z89/$Y89)*(1/60),0)</f>
        <v>0</v>
      </c>
      <c r="AB89" s="111">
        <f>ROUND(KQ*($S89^(8/3))*($X89^(0.5)),2)</f>
        <v>0</v>
      </c>
      <c r="AC89" s="138" t="str">
        <f>IF(AND($AB89&gt;=($Q89-0.0049),$Y89&gt;=(Vmin-0.0049)),"OK","NG")</f>
        <v>NG</v>
      </c>
    </row>
    <row r="90" spans="1:29" x14ac:dyDescent="0.3">
      <c r="A90" s="121"/>
      <c r="B90" s="184"/>
      <c r="C90" s="54"/>
      <c r="D90" s="52"/>
      <c r="E90" s="52"/>
      <c r="F90" s="117"/>
      <c r="G90" s="119">
        <f t="shared" ref="G90" si="213">IF($B90,INDEX($H$4:$H$499,(MATCH($B90,$A$4:$A$499))),0)</f>
        <v>0</v>
      </c>
      <c r="H90" s="113"/>
      <c r="I90" s="52"/>
      <c r="J90" s="52"/>
      <c r="K90" s="123"/>
      <c r="L90" s="53">
        <f t="shared" ref="L90" si="214">IF($B90,INDEX($O$4:$O$499,MATCH($B90,$A$4:$A$499)),0)</f>
        <v>0</v>
      </c>
      <c r="M90" s="126">
        <f t="shared" ref="M90" si="215">IF($B90,INDEX($AA$4:$AA$499,MATCH($B90,$A$4:$A$499)),0)</f>
        <v>0</v>
      </c>
      <c r="N90" s="119">
        <f t="shared" ref="N90" si="216">($L90+$M90)</f>
        <v>0</v>
      </c>
      <c r="O90" s="130"/>
      <c r="P90" s="134"/>
      <c r="Q90" s="130"/>
      <c r="R90" s="52"/>
      <c r="S90" s="224">
        <f t="shared" ref="S90:S93" si="217">S89</f>
        <v>0</v>
      </c>
      <c r="T90" s="237"/>
      <c r="U90" s="237"/>
      <c r="V90" s="237"/>
      <c r="W90" s="237"/>
      <c r="X90" s="52"/>
      <c r="Y90" s="52"/>
      <c r="Z90" s="52"/>
      <c r="AA90" s="54"/>
      <c r="AB90" s="130"/>
      <c r="AC90" s="139"/>
    </row>
    <row r="91" spans="1:29" x14ac:dyDescent="0.3">
      <c r="A91" s="121"/>
      <c r="B91" s="184"/>
      <c r="C91" s="54"/>
      <c r="D91" s="52"/>
      <c r="E91" s="52"/>
      <c r="F91" s="117"/>
      <c r="G91" s="119">
        <f t="shared" si="161"/>
        <v>0</v>
      </c>
      <c r="H91" s="113"/>
      <c r="I91" s="52"/>
      <c r="J91" s="52"/>
      <c r="K91" s="124"/>
      <c r="L91" s="53">
        <f t="shared" si="188"/>
        <v>0</v>
      </c>
      <c r="M91" s="127">
        <f t="shared" si="189"/>
        <v>0</v>
      </c>
      <c r="N91" s="119">
        <f t="shared" si="190"/>
        <v>0</v>
      </c>
      <c r="O91" s="130"/>
      <c r="P91" s="134"/>
      <c r="Q91" s="130"/>
      <c r="R91" s="52"/>
      <c r="S91" s="224">
        <f t="shared" si="217"/>
        <v>0</v>
      </c>
      <c r="T91" s="237"/>
      <c r="U91" s="237"/>
      <c r="V91" s="237"/>
      <c r="W91" s="237"/>
      <c r="X91" s="52"/>
      <c r="Y91" s="52"/>
      <c r="Z91" s="52"/>
      <c r="AA91" s="54"/>
      <c r="AB91" s="130"/>
      <c r="AC91" s="139"/>
    </row>
    <row r="92" spans="1:29" x14ac:dyDescent="0.3">
      <c r="A92" s="121"/>
      <c r="B92" s="184"/>
      <c r="C92" s="54"/>
      <c r="D92" s="52"/>
      <c r="E92" s="52"/>
      <c r="F92" s="117"/>
      <c r="G92" s="119">
        <f t="shared" si="161"/>
        <v>0</v>
      </c>
      <c r="H92" s="113"/>
      <c r="I92" s="52"/>
      <c r="J92" s="52"/>
      <c r="K92" s="124"/>
      <c r="L92" s="53">
        <f t="shared" si="188"/>
        <v>0</v>
      </c>
      <c r="M92" s="127">
        <f t="shared" si="189"/>
        <v>0</v>
      </c>
      <c r="N92" s="119">
        <f t="shared" si="190"/>
        <v>0</v>
      </c>
      <c r="O92" s="130"/>
      <c r="P92" s="134"/>
      <c r="Q92" s="130"/>
      <c r="R92" s="52"/>
      <c r="S92" s="224">
        <f t="shared" si="217"/>
        <v>0</v>
      </c>
      <c r="T92" s="237"/>
      <c r="U92" s="237"/>
      <c r="V92" s="237"/>
      <c r="W92" s="237"/>
      <c r="X92" s="52"/>
      <c r="Y92" s="52"/>
      <c r="Z92" s="52"/>
      <c r="AA92" s="54"/>
      <c r="AB92" s="130"/>
      <c r="AC92" s="139"/>
    </row>
    <row r="93" spans="1:29" ht="15" thickBot="1" x14ac:dyDescent="0.35">
      <c r="A93" s="122"/>
      <c r="B93" s="185"/>
      <c r="C93" s="102"/>
      <c r="D93" s="101"/>
      <c r="E93" s="101"/>
      <c r="F93" s="118"/>
      <c r="G93" s="120">
        <f t="shared" si="161"/>
        <v>0</v>
      </c>
      <c r="H93" s="114"/>
      <c r="I93" s="101"/>
      <c r="J93" s="101"/>
      <c r="K93" s="125"/>
      <c r="L93" s="103">
        <f t="shared" si="188"/>
        <v>0</v>
      </c>
      <c r="M93" s="128">
        <f t="shared" si="189"/>
        <v>0</v>
      </c>
      <c r="N93" s="120">
        <f t="shared" si="190"/>
        <v>0</v>
      </c>
      <c r="O93" s="131"/>
      <c r="P93" s="135"/>
      <c r="Q93" s="131"/>
      <c r="R93" s="101"/>
      <c r="S93" s="104">
        <f t="shared" si="217"/>
        <v>0</v>
      </c>
      <c r="T93" s="238"/>
      <c r="U93" s="238"/>
      <c r="V93" s="238"/>
      <c r="W93" s="238"/>
      <c r="X93" s="101"/>
      <c r="Y93" s="101"/>
      <c r="Z93" s="101"/>
      <c r="AA93" s="102"/>
      <c r="AB93" s="131"/>
      <c r="AC93" s="140"/>
    </row>
    <row r="94" spans="1:29" x14ac:dyDescent="0.3">
      <c r="A94" s="115">
        <f t="shared" ref="A94" si="218">$A89+1</f>
        <v>19</v>
      </c>
      <c r="B94" s="186"/>
      <c r="C94" s="105">
        <f>INDEX(Tribs!$C$3:$C$102,MATCH($A94,Tribs!$A$3:$A$102,0))</f>
        <v>0</v>
      </c>
      <c r="D94" s="106">
        <f>INDEX(Tribs!$E$3:$E$102,MATCH($A94,Tribs!$A$3:$A$102,0))</f>
        <v>0</v>
      </c>
      <c r="E94" s="105">
        <f>INDEX(Tribs!$F$3:$F$102,MATCH($A94,Tribs!$A$3:$A$102,0))</f>
        <v>0</v>
      </c>
      <c r="F94" s="116">
        <f t="shared" ref="F94" si="219">($C94*$E94)</f>
        <v>0</v>
      </c>
      <c r="G94" s="110"/>
      <c r="H94" s="111">
        <f t="shared" ref="H94" si="220">($F94)+(SUM($G95:$G98))</f>
        <v>0</v>
      </c>
      <c r="I94" s="106">
        <f>INDEX(Tribs!$D$3:$D$102,MATCH($A94,Tribs!$A$3:$A$102,0))</f>
        <v>0</v>
      </c>
      <c r="J94" s="106">
        <f>INDEX(Tribs!$G$3:$G$102,MATCH($A94,Tribs!$A$3:$A$102,0))</f>
        <v>0</v>
      </c>
      <c r="K94" s="105">
        <f>($J94)/V_gutter*(1/60)</f>
        <v>0</v>
      </c>
      <c r="L94" s="112"/>
      <c r="M94" s="109"/>
      <c r="N94" s="129">
        <f t="shared" ref="N94" si="221">($I94+$K94)</f>
        <v>0</v>
      </c>
      <c r="O94" s="111">
        <f t="shared" ref="O94" si="222">MAX($N94:$N98)</f>
        <v>0</v>
      </c>
      <c r="P94" s="133">
        <f>IF($H94&gt;0,IF($O94&lt;=T_1,I_1,IF($O94&lt;=T_2,(($O94*M_1)+B_1),IF($O94&lt;=T_3,(($O94*M_2)+B_2),IF($O94&lt;=T_4,(($O94*M_3)+B_3),IF($O94&lt;=T_5,(($O94*M_4)+B_4),IF($O94&lt;=T_6,(($O94*M_5)+B_5),IF($O94&lt;=T_7,(($O94*M_6)+B_6),IF($O94&lt;=T_8,(($O94*M_7)+B_7),IF($O94&lt;=T_9,(($O94*M_8)+B_8),IF($O94&lt;=T_10,(($O94*M_9)+B_9))))))))))),0)</f>
        <v>0</v>
      </c>
      <c r="Q94" s="111">
        <f t="shared" ref="Q94" si="223">ROUND(($H94*$P94),2)</f>
        <v>0</v>
      </c>
      <c r="R94" s="107">
        <f>IF($Q94&gt;0,IF($Q94&lt;=UTH!$M$4,UTH!$J$4,IF($Q94&lt;=UTH!$M$5,UTH!$J$5,IF($Q94&lt;=UTH!$M$6,UTH!$J$6,IF($Q94&lt;=UTH!$M$7,UTH!$J$7,IF($Q94&lt;=UTH!$M$8,UTH!$J$8,IF($Q94&lt;=UTH!$M$9,UTH!$J$9,IF($Q94&lt;=UTH!$M$10,UTH!$J$10,IF($Q94&lt;=UTH!$M$11,UTH!$J$11,IF($Q94&lt;=UTH!$M$12,UTH!$J$12,IF($Q94&lt;=UTH!$M$13,UTH!$J$13,IF($Q94&lt;=UTH!$M$14,UTH!$J$14,IF($Q94&lt;=UTH!$M$15,UTH!$J$15,IF($Q94&lt;=UTH!$M$16,UTH!$J$16,IF($Q94&lt;=UTH!$M$17,UTH!$J$17,IF($Q94&lt;=UTH!$M$18,UTH!$J$18,IF($Q94&lt;=UTH!$M$19,UTH!$J$19,IF($Q94&lt;=UTH!$M$20,UTH!$J$20))))))))))))))))),0)</f>
        <v>0</v>
      </c>
      <c r="S94" s="107">
        <f>IF(Inverts!$D94="YES",Inverts!$C94,Inverts!$E94)</f>
        <v>0</v>
      </c>
      <c r="T94" s="108">
        <f>IF($S94,($Q94/(KQ*($S94^(8/3))))^2,0)</f>
        <v>0</v>
      </c>
      <c r="U94" s="108">
        <f>IF($S94,(Vmin/(KV*($S94^(2/3))))^2,0)</f>
        <v>0</v>
      </c>
      <c r="V94" s="108">
        <f>IF($Z94,ROUND(MinDrop_2/$Z94,4),0)</f>
        <v>0</v>
      </c>
      <c r="W94" s="108">
        <f t="shared" ref="W94" si="224">IF($S94=0,0,MAX($T94:$V94))</f>
        <v>0</v>
      </c>
      <c r="X94" s="108">
        <f>IF(Inverts!$H94="yes",Inverts!$G94,Inverts!$I94)</f>
        <v>0</v>
      </c>
      <c r="Y94" s="105">
        <f>ROUND(KV*($S94^(2/3))*($X94^(0.5)),2)</f>
        <v>0</v>
      </c>
      <c r="Z94" s="106">
        <f>INDEX(Tribs!$H$3:$H$102,MATCH($A94,Tribs!$A$3:$A$102,0))</f>
        <v>0</v>
      </c>
      <c r="AA94" s="105">
        <f t="shared" ref="AA94" si="225">IF($Y94,($Z94/$Y94)*(1/60),0)</f>
        <v>0</v>
      </c>
      <c r="AB94" s="111">
        <f>ROUND(KQ*($S94^(8/3))*($X94^(0.5)),2)</f>
        <v>0</v>
      </c>
      <c r="AC94" s="138" t="str">
        <f>IF(AND($AB94&gt;=($Q94-0.0049),$Y94&gt;=(Vmin-0.0049)),"OK","NG")</f>
        <v>NG</v>
      </c>
    </row>
    <row r="95" spans="1:29" x14ac:dyDescent="0.3">
      <c r="A95" s="121"/>
      <c r="B95" s="184"/>
      <c r="C95" s="54"/>
      <c r="D95" s="52"/>
      <c r="E95" s="52"/>
      <c r="F95" s="117"/>
      <c r="G95" s="119">
        <f t="shared" ref="G95" si="226">IF($B95,INDEX($H$4:$H$499,(MATCH($B95,$A$4:$A$499))),0)</f>
        <v>0</v>
      </c>
      <c r="H95" s="113"/>
      <c r="I95" s="52"/>
      <c r="J95" s="52"/>
      <c r="K95" s="123"/>
      <c r="L95" s="53">
        <f t="shared" ref="L95" si="227">IF($B95,INDEX($O$4:$O$499,MATCH($B95,$A$4:$A$499)),0)</f>
        <v>0</v>
      </c>
      <c r="M95" s="126">
        <f t="shared" ref="M95" si="228">IF($B95,INDEX($AA$4:$AA$499,MATCH($B95,$A$4:$A$499)),0)</f>
        <v>0</v>
      </c>
      <c r="N95" s="119">
        <f t="shared" ref="N95" si="229">($L95+$M95)</f>
        <v>0</v>
      </c>
      <c r="O95" s="130"/>
      <c r="P95" s="134"/>
      <c r="Q95" s="130"/>
      <c r="R95" s="52"/>
      <c r="S95" s="224">
        <f t="shared" ref="S95:S98" si="230">S94</f>
        <v>0</v>
      </c>
      <c r="T95" s="237"/>
      <c r="U95" s="237"/>
      <c r="V95" s="237"/>
      <c r="W95" s="237"/>
      <c r="X95" s="52"/>
      <c r="Y95" s="52"/>
      <c r="Z95" s="52"/>
      <c r="AA95" s="54"/>
      <c r="AB95" s="130"/>
      <c r="AC95" s="139"/>
    </row>
    <row r="96" spans="1:29" x14ac:dyDescent="0.3">
      <c r="A96" s="121"/>
      <c r="B96" s="184"/>
      <c r="C96" s="54"/>
      <c r="D96" s="52"/>
      <c r="E96" s="52"/>
      <c r="F96" s="117"/>
      <c r="G96" s="119">
        <f t="shared" si="161"/>
        <v>0</v>
      </c>
      <c r="H96" s="113"/>
      <c r="I96" s="52"/>
      <c r="J96" s="52"/>
      <c r="K96" s="124"/>
      <c r="L96" s="53">
        <f t="shared" si="188"/>
        <v>0</v>
      </c>
      <c r="M96" s="127">
        <f t="shared" si="189"/>
        <v>0</v>
      </c>
      <c r="N96" s="119">
        <f t="shared" si="190"/>
        <v>0</v>
      </c>
      <c r="O96" s="130"/>
      <c r="P96" s="134"/>
      <c r="Q96" s="130"/>
      <c r="R96" s="52"/>
      <c r="S96" s="224">
        <f t="shared" si="230"/>
        <v>0</v>
      </c>
      <c r="T96" s="237"/>
      <c r="U96" s="237"/>
      <c r="V96" s="237"/>
      <c r="W96" s="237"/>
      <c r="X96" s="52"/>
      <c r="Y96" s="52"/>
      <c r="Z96" s="52"/>
      <c r="AA96" s="54"/>
      <c r="AB96" s="130"/>
      <c r="AC96" s="139"/>
    </row>
    <row r="97" spans="1:29" x14ac:dyDescent="0.3">
      <c r="A97" s="121"/>
      <c r="B97" s="184"/>
      <c r="C97" s="54"/>
      <c r="D97" s="52"/>
      <c r="E97" s="52"/>
      <c r="F97" s="117"/>
      <c r="G97" s="119">
        <f t="shared" si="161"/>
        <v>0</v>
      </c>
      <c r="H97" s="113"/>
      <c r="I97" s="52"/>
      <c r="J97" s="52"/>
      <c r="K97" s="124"/>
      <c r="L97" s="53">
        <f t="shared" si="188"/>
        <v>0</v>
      </c>
      <c r="M97" s="127">
        <f t="shared" si="189"/>
        <v>0</v>
      </c>
      <c r="N97" s="119">
        <f t="shared" si="190"/>
        <v>0</v>
      </c>
      <c r="O97" s="130"/>
      <c r="P97" s="134"/>
      <c r="Q97" s="130"/>
      <c r="R97" s="52"/>
      <c r="S97" s="224">
        <f t="shared" si="230"/>
        <v>0</v>
      </c>
      <c r="T97" s="237"/>
      <c r="U97" s="237"/>
      <c r="V97" s="237"/>
      <c r="W97" s="237"/>
      <c r="X97" s="52"/>
      <c r="Y97" s="52"/>
      <c r="Z97" s="52"/>
      <c r="AA97" s="54"/>
      <c r="AB97" s="130"/>
      <c r="AC97" s="139"/>
    </row>
    <row r="98" spans="1:29" ht="15" thickBot="1" x14ac:dyDescent="0.35">
      <c r="A98" s="122"/>
      <c r="B98" s="185"/>
      <c r="C98" s="102"/>
      <c r="D98" s="101"/>
      <c r="E98" s="101"/>
      <c r="F98" s="118"/>
      <c r="G98" s="120">
        <f t="shared" si="161"/>
        <v>0</v>
      </c>
      <c r="H98" s="114"/>
      <c r="I98" s="101"/>
      <c r="J98" s="101"/>
      <c r="K98" s="125"/>
      <c r="L98" s="103">
        <f t="shared" si="188"/>
        <v>0</v>
      </c>
      <c r="M98" s="128">
        <f t="shared" si="189"/>
        <v>0</v>
      </c>
      <c r="N98" s="120">
        <f t="shared" si="190"/>
        <v>0</v>
      </c>
      <c r="O98" s="131"/>
      <c r="P98" s="135"/>
      <c r="Q98" s="131"/>
      <c r="R98" s="101"/>
      <c r="S98" s="104">
        <f t="shared" si="230"/>
        <v>0</v>
      </c>
      <c r="T98" s="238"/>
      <c r="U98" s="238"/>
      <c r="V98" s="238"/>
      <c r="W98" s="238"/>
      <c r="X98" s="101"/>
      <c r="Y98" s="101"/>
      <c r="Z98" s="101"/>
      <c r="AA98" s="102"/>
      <c r="AB98" s="131"/>
      <c r="AC98" s="140"/>
    </row>
    <row r="99" spans="1:29" x14ac:dyDescent="0.3">
      <c r="A99" s="115">
        <f t="shared" ref="A99" si="231">$A94+1</f>
        <v>20</v>
      </c>
      <c r="B99" s="186"/>
      <c r="C99" s="105">
        <f>INDEX(Tribs!$C$3:$C$102,MATCH($A99,Tribs!$A$3:$A$102,0))</f>
        <v>0</v>
      </c>
      <c r="D99" s="106">
        <f>INDEX(Tribs!$E$3:$E$102,MATCH($A99,Tribs!$A$3:$A$102,0))</f>
        <v>0</v>
      </c>
      <c r="E99" s="105">
        <f>INDEX(Tribs!$F$3:$F$102,MATCH($A99,Tribs!$A$3:$A$102,0))</f>
        <v>0</v>
      </c>
      <c r="F99" s="116">
        <f t="shared" ref="F99" si="232">($C99*$E99)</f>
        <v>0</v>
      </c>
      <c r="G99" s="110"/>
      <c r="H99" s="111">
        <f t="shared" ref="H99" si="233">($F99)+(SUM($G100:$G103))</f>
        <v>0</v>
      </c>
      <c r="I99" s="106">
        <f>INDEX(Tribs!$D$3:$D$102,MATCH($A99,Tribs!$A$3:$A$102,0))</f>
        <v>0</v>
      </c>
      <c r="J99" s="106">
        <f>INDEX(Tribs!$G$3:$G$102,MATCH($A99,Tribs!$A$3:$A$102,0))</f>
        <v>0</v>
      </c>
      <c r="K99" s="105">
        <f>($J99)/V_gutter*(1/60)</f>
        <v>0</v>
      </c>
      <c r="L99" s="112"/>
      <c r="M99" s="109"/>
      <c r="N99" s="129">
        <f t="shared" ref="N99" si="234">($I99+$K99)</f>
        <v>0</v>
      </c>
      <c r="O99" s="111">
        <f t="shared" ref="O99" si="235">MAX($N99:$N103)</f>
        <v>0</v>
      </c>
      <c r="P99" s="133">
        <f>IF($H99&gt;0,IF($O99&lt;=T_1,I_1,IF($O99&lt;=T_2,(($O99*M_1)+B_1),IF($O99&lt;=T_3,(($O99*M_2)+B_2),IF($O99&lt;=T_4,(($O99*M_3)+B_3),IF($O99&lt;=T_5,(($O99*M_4)+B_4),IF($O99&lt;=T_6,(($O99*M_5)+B_5),IF($O99&lt;=T_7,(($O99*M_6)+B_6),IF($O99&lt;=T_8,(($O99*M_7)+B_7),IF($O99&lt;=T_9,(($O99*M_8)+B_8),IF($O99&lt;=T_10,(($O99*M_9)+B_9))))))))))),0)</f>
        <v>0</v>
      </c>
      <c r="Q99" s="111">
        <f t="shared" ref="Q99" si="236">ROUND(($H99*$P99),2)</f>
        <v>0</v>
      </c>
      <c r="R99" s="107">
        <f>IF($Q99&gt;0,IF($Q99&lt;=UTH!$M$4,UTH!$J$4,IF($Q99&lt;=UTH!$M$5,UTH!$J$5,IF($Q99&lt;=UTH!$M$6,UTH!$J$6,IF($Q99&lt;=UTH!$M$7,UTH!$J$7,IF($Q99&lt;=UTH!$M$8,UTH!$J$8,IF($Q99&lt;=UTH!$M$9,UTH!$J$9,IF($Q99&lt;=UTH!$M$10,UTH!$J$10,IF($Q99&lt;=UTH!$M$11,UTH!$J$11,IF($Q99&lt;=UTH!$M$12,UTH!$J$12,IF($Q99&lt;=UTH!$M$13,UTH!$J$13,IF($Q99&lt;=UTH!$M$14,UTH!$J$14,IF($Q99&lt;=UTH!$M$15,UTH!$J$15,IF($Q99&lt;=UTH!$M$16,UTH!$J$16,IF($Q99&lt;=UTH!$M$17,UTH!$J$17,IF($Q99&lt;=UTH!$M$18,UTH!$J$18,IF($Q99&lt;=UTH!$M$19,UTH!$J$19,IF($Q99&lt;=UTH!$M$20,UTH!$J$20))))))))))))))))),0)</f>
        <v>0</v>
      </c>
      <c r="S99" s="107">
        <f>IF(Inverts!$D99="YES",Inverts!$C99,Inverts!$E99)</f>
        <v>0</v>
      </c>
      <c r="T99" s="108">
        <f>IF($S99,($Q99/(KQ*($S99^(8/3))))^2,0)</f>
        <v>0</v>
      </c>
      <c r="U99" s="108">
        <f>IF($S99,(Vmin/(KV*($S99^(2/3))))^2,0)</f>
        <v>0</v>
      </c>
      <c r="V99" s="108">
        <f>IF($Z99,ROUND(MinDrop_2/$Z99,4),0)</f>
        <v>0</v>
      </c>
      <c r="W99" s="108">
        <f t="shared" ref="W99" si="237">IF($S99=0,0,MAX($T99:$V99))</f>
        <v>0</v>
      </c>
      <c r="X99" s="108">
        <f>IF(Inverts!$H99="yes",Inverts!$G99,Inverts!$I99)</f>
        <v>0</v>
      </c>
      <c r="Y99" s="105">
        <f>ROUND(KV*($S99^(2/3))*($X99^(0.5)),2)</f>
        <v>0</v>
      </c>
      <c r="Z99" s="106">
        <f>INDEX(Tribs!$H$3:$H$102,MATCH($A99,Tribs!$A$3:$A$102,0))</f>
        <v>0</v>
      </c>
      <c r="AA99" s="105">
        <f t="shared" ref="AA99" si="238">IF($Y99,($Z99/$Y99)*(1/60),0)</f>
        <v>0</v>
      </c>
      <c r="AB99" s="111">
        <f>ROUND(KQ*($S99^(8/3))*($X99^(0.5)),2)</f>
        <v>0</v>
      </c>
      <c r="AC99" s="138" t="str">
        <f>IF(AND($AB99&gt;=($Q99-0.0049),$Y99&gt;=(Vmin-0.0049)),"OK","NG")</f>
        <v>NG</v>
      </c>
    </row>
    <row r="100" spans="1:29" x14ac:dyDescent="0.3">
      <c r="A100" s="121"/>
      <c r="B100" s="184"/>
      <c r="C100" s="54"/>
      <c r="D100" s="52"/>
      <c r="E100" s="52"/>
      <c r="F100" s="117"/>
      <c r="G100" s="119">
        <f t="shared" ref="G100" si="239">IF($B100,INDEX($H$4:$H$499,(MATCH($B100,$A$4:$A$499))),0)</f>
        <v>0</v>
      </c>
      <c r="H100" s="113"/>
      <c r="I100" s="52"/>
      <c r="J100" s="52"/>
      <c r="K100" s="123"/>
      <c r="L100" s="53">
        <f t="shared" ref="L100" si="240">IF($B100,INDEX($O$4:$O$499,MATCH($B100,$A$4:$A$499)),0)</f>
        <v>0</v>
      </c>
      <c r="M100" s="126">
        <f t="shared" ref="M100" si="241">IF($B100,INDEX($AA$4:$AA$499,MATCH($B100,$A$4:$A$499)),0)</f>
        <v>0</v>
      </c>
      <c r="N100" s="119">
        <f t="shared" ref="N100" si="242">($L100+$M100)</f>
        <v>0</v>
      </c>
      <c r="O100" s="130"/>
      <c r="P100" s="134"/>
      <c r="Q100" s="130"/>
      <c r="R100" s="52"/>
      <c r="S100" s="224">
        <f t="shared" ref="S100:S103" si="243">S99</f>
        <v>0</v>
      </c>
      <c r="T100" s="237"/>
      <c r="U100" s="237"/>
      <c r="V100" s="237"/>
      <c r="W100" s="237"/>
      <c r="X100" s="52"/>
      <c r="Y100" s="52"/>
      <c r="Z100" s="52"/>
      <c r="AA100" s="54"/>
      <c r="AB100" s="130"/>
      <c r="AC100" s="139"/>
    </row>
    <row r="101" spans="1:29" x14ac:dyDescent="0.3">
      <c r="A101" s="121"/>
      <c r="B101" s="184"/>
      <c r="C101" s="54"/>
      <c r="D101" s="52"/>
      <c r="E101" s="52"/>
      <c r="F101" s="117"/>
      <c r="G101" s="119">
        <f t="shared" si="161"/>
        <v>0</v>
      </c>
      <c r="H101" s="113"/>
      <c r="I101" s="52"/>
      <c r="J101" s="52"/>
      <c r="K101" s="124"/>
      <c r="L101" s="53">
        <f t="shared" si="188"/>
        <v>0</v>
      </c>
      <c r="M101" s="127">
        <f t="shared" si="189"/>
        <v>0</v>
      </c>
      <c r="N101" s="119">
        <f t="shared" si="190"/>
        <v>0</v>
      </c>
      <c r="O101" s="130"/>
      <c r="P101" s="134"/>
      <c r="Q101" s="130"/>
      <c r="R101" s="52"/>
      <c r="S101" s="224">
        <f t="shared" si="243"/>
        <v>0</v>
      </c>
      <c r="T101" s="237"/>
      <c r="U101" s="237"/>
      <c r="V101" s="237"/>
      <c r="W101" s="237"/>
      <c r="X101" s="52"/>
      <c r="Y101" s="52"/>
      <c r="Z101" s="52"/>
      <c r="AA101" s="54"/>
      <c r="AB101" s="130"/>
      <c r="AC101" s="139"/>
    </row>
    <row r="102" spans="1:29" x14ac:dyDescent="0.3">
      <c r="A102" s="121"/>
      <c r="B102" s="184"/>
      <c r="C102" s="54"/>
      <c r="D102" s="52"/>
      <c r="E102" s="52"/>
      <c r="F102" s="117"/>
      <c r="G102" s="119">
        <f t="shared" si="161"/>
        <v>0</v>
      </c>
      <c r="H102" s="113"/>
      <c r="I102" s="52"/>
      <c r="J102" s="52"/>
      <c r="K102" s="124"/>
      <c r="L102" s="53">
        <f t="shared" si="188"/>
        <v>0</v>
      </c>
      <c r="M102" s="127">
        <f t="shared" si="189"/>
        <v>0</v>
      </c>
      <c r="N102" s="119">
        <f t="shared" si="190"/>
        <v>0</v>
      </c>
      <c r="O102" s="130"/>
      <c r="P102" s="134"/>
      <c r="Q102" s="130"/>
      <c r="R102" s="52"/>
      <c r="S102" s="224">
        <f t="shared" si="243"/>
        <v>0</v>
      </c>
      <c r="T102" s="237"/>
      <c r="U102" s="237"/>
      <c r="V102" s="237"/>
      <c r="W102" s="237"/>
      <c r="X102" s="52"/>
      <c r="Y102" s="52"/>
      <c r="Z102" s="52"/>
      <c r="AA102" s="54"/>
      <c r="AB102" s="130"/>
      <c r="AC102" s="139"/>
    </row>
    <row r="103" spans="1:29" ht="15" thickBot="1" x14ac:dyDescent="0.35">
      <c r="A103" s="122"/>
      <c r="B103" s="185"/>
      <c r="C103" s="102"/>
      <c r="D103" s="101"/>
      <c r="E103" s="101"/>
      <c r="F103" s="118"/>
      <c r="G103" s="120">
        <f t="shared" si="161"/>
        <v>0</v>
      </c>
      <c r="H103" s="114"/>
      <c r="I103" s="101"/>
      <c r="J103" s="101"/>
      <c r="K103" s="125"/>
      <c r="L103" s="103">
        <f t="shared" si="188"/>
        <v>0</v>
      </c>
      <c r="M103" s="128">
        <f t="shared" si="189"/>
        <v>0</v>
      </c>
      <c r="N103" s="120">
        <f t="shared" si="190"/>
        <v>0</v>
      </c>
      <c r="O103" s="131"/>
      <c r="P103" s="135"/>
      <c r="Q103" s="131"/>
      <c r="R103" s="101"/>
      <c r="S103" s="104">
        <f t="shared" si="243"/>
        <v>0</v>
      </c>
      <c r="T103" s="238"/>
      <c r="U103" s="238"/>
      <c r="V103" s="238"/>
      <c r="W103" s="238"/>
      <c r="X103" s="101"/>
      <c r="Y103" s="101"/>
      <c r="Z103" s="101"/>
      <c r="AA103" s="102"/>
      <c r="AB103" s="131"/>
      <c r="AC103" s="140"/>
    </row>
    <row r="104" spans="1:29" x14ac:dyDescent="0.3">
      <c r="A104" s="115">
        <f t="shared" ref="A104" si="244">$A99+1</f>
        <v>21</v>
      </c>
      <c r="B104" s="186"/>
      <c r="C104" s="105">
        <f>INDEX(Tribs!$C$3:$C$102,MATCH($A104,Tribs!$A$3:$A$102,0))</f>
        <v>0</v>
      </c>
      <c r="D104" s="106">
        <f>INDEX(Tribs!$E$3:$E$102,MATCH($A104,Tribs!$A$3:$A$102,0))</f>
        <v>0</v>
      </c>
      <c r="E104" s="105">
        <f>INDEX(Tribs!$F$3:$F$102,MATCH($A104,Tribs!$A$3:$A$102,0))</f>
        <v>0</v>
      </c>
      <c r="F104" s="116">
        <f t="shared" ref="F104" si="245">($C104*$E104)</f>
        <v>0</v>
      </c>
      <c r="G104" s="110"/>
      <c r="H104" s="111">
        <f t="shared" ref="H104" si="246">($F104)+(SUM($G105:$G108))</f>
        <v>0</v>
      </c>
      <c r="I104" s="106">
        <f>INDEX(Tribs!$D$3:$D$102,MATCH($A104,Tribs!$A$3:$A$102,0))</f>
        <v>0</v>
      </c>
      <c r="J104" s="106">
        <f>INDEX(Tribs!$G$3:$G$102,MATCH($A104,Tribs!$A$3:$A$102,0))</f>
        <v>0</v>
      </c>
      <c r="K104" s="105">
        <f>($J104)/V_gutter*(1/60)</f>
        <v>0</v>
      </c>
      <c r="L104" s="112"/>
      <c r="M104" s="109"/>
      <c r="N104" s="129">
        <f t="shared" ref="N104" si="247">($I104+$K104)</f>
        <v>0</v>
      </c>
      <c r="O104" s="111">
        <f t="shared" ref="O104" si="248">MAX($N104:$N108)</f>
        <v>0</v>
      </c>
      <c r="P104" s="133">
        <f>IF($H104&gt;0,IF($O104&lt;=T_1,I_1,IF($O104&lt;=T_2,(($O104*M_1)+B_1),IF($O104&lt;=T_3,(($O104*M_2)+B_2),IF($O104&lt;=T_4,(($O104*M_3)+B_3),IF($O104&lt;=T_5,(($O104*M_4)+B_4),IF($O104&lt;=T_6,(($O104*M_5)+B_5),IF($O104&lt;=T_7,(($O104*M_6)+B_6),IF($O104&lt;=T_8,(($O104*M_7)+B_7),IF($O104&lt;=T_9,(($O104*M_8)+B_8),IF($O104&lt;=T_10,(($O104*M_9)+B_9))))))))))),0)</f>
        <v>0</v>
      </c>
      <c r="Q104" s="111">
        <f t="shared" ref="Q104" si="249">ROUND(($H104*$P104),2)</f>
        <v>0</v>
      </c>
      <c r="R104" s="107">
        <f>IF($Q104&gt;0,IF($Q104&lt;=UTH!$M$4,UTH!$J$4,IF($Q104&lt;=UTH!$M$5,UTH!$J$5,IF($Q104&lt;=UTH!$M$6,UTH!$J$6,IF($Q104&lt;=UTH!$M$7,UTH!$J$7,IF($Q104&lt;=UTH!$M$8,UTH!$J$8,IF($Q104&lt;=UTH!$M$9,UTH!$J$9,IF($Q104&lt;=UTH!$M$10,UTH!$J$10,IF($Q104&lt;=UTH!$M$11,UTH!$J$11,IF($Q104&lt;=UTH!$M$12,UTH!$J$12,IF($Q104&lt;=UTH!$M$13,UTH!$J$13,IF($Q104&lt;=UTH!$M$14,UTH!$J$14,IF($Q104&lt;=UTH!$M$15,UTH!$J$15,IF($Q104&lt;=UTH!$M$16,UTH!$J$16,IF($Q104&lt;=UTH!$M$17,UTH!$J$17,IF($Q104&lt;=UTH!$M$18,UTH!$J$18,IF($Q104&lt;=UTH!$M$19,UTH!$J$19,IF($Q104&lt;=UTH!$M$20,UTH!$J$20))))))))))))))))),0)</f>
        <v>0</v>
      </c>
      <c r="S104" s="107">
        <f>IF(Inverts!$D104="YES",Inverts!$C104,Inverts!$E104)</f>
        <v>0</v>
      </c>
      <c r="T104" s="108">
        <f>IF($S104,($Q104/(KQ*($S104^(8/3))))^2,0)</f>
        <v>0</v>
      </c>
      <c r="U104" s="108">
        <f>IF($S104,(Vmin/(KV*($S104^(2/3))))^2,0)</f>
        <v>0</v>
      </c>
      <c r="V104" s="108">
        <f>IF($Z104,ROUND(MinDrop_2/$Z104,4),0)</f>
        <v>0</v>
      </c>
      <c r="W104" s="108">
        <f t="shared" ref="W104" si="250">IF($S104=0,0,MAX($T104:$V104))</f>
        <v>0</v>
      </c>
      <c r="X104" s="108">
        <f>IF(Inverts!$H104="yes",Inverts!$G104,Inverts!$I104)</f>
        <v>0</v>
      </c>
      <c r="Y104" s="105">
        <f>ROUND(KV*($S104^(2/3))*($X104^(0.5)),2)</f>
        <v>0</v>
      </c>
      <c r="Z104" s="106">
        <f>INDEX(Tribs!$H$3:$H$102,MATCH($A104,Tribs!$A$3:$A$102,0))</f>
        <v>0</v>
      </c>
      <c r="AA104" s="105">
        <f t="shared" ref="AA104" si="251">IF($Y104,($Z104/$Y104)*(1/60),0)</f>
        <v>0</v>
      </c>
      <c r="AB104" s="111">
        <f>ROUND(KQ*($S104^(8/3))*($X104^(0.5)),2)</f>
        <v>0</v>
      </c>
      <c r="AC104" s="138" t="str">
        <f>IF(AND($AB104&gt;=($Q104-0.0049),$Y104&gt;=(Vmin-0.0049)),"OK","NG")</f>
        <v>NG</v>
      </c>
    </row>
    <row r="105" spans="1:29" x14ac:dyDescent="0.3">
      <c r="A105" s="121"/>
      <c r="B105" s="184"/>
      <c r="C105" s="54"/>
      <c r="D105" s="52"/>
      <c r="E105" s="52"/>
      <c r="F105" s="117"/>
      <c r="G105" s="119">
        <f t="shared" ref="G105" si="252">IF($B105,INDEX($H$4:$H$499,(MATCH($B105,$A$4:$A$499))),0)</f>
        <v>0</v>
      </c>
      <c r="H105" s="113"/>
      <c r="I105" s="52"/>
      <c r="J105" s="52"/>
      <c r="K105" s="123"/>
      <c r="L105" s="53">
        <f t="shared" ref="L105" si="253">IF($B105,INDEX($O$4:$O$499,MATCH($B105,$A$4:$A$499)),0)</f>
        <v>0</v>
      </c>
      <c r="M105" s="126">
        <f t="shared" ref="M105" si="254">IF($B105,INDEX($AA$4:$AA$499,MATCH($B105,$A$4:$A$499)),0)</f>
        <v>0</v>
      </c>
      <c r="N105" s="119">
        <f t="shared" ref="N105" si="255">($L105+$M105)</f>
        <v>0</v>
      </c>
      <c r="O105" s="130"/>
      <c r="P105" s="134"/>
      <c r="Q105" s="130"/>
      <c r="R105" s="52"/>
      <c r="S105" s="224">
        <f t="shared" ref="S105:S108" si="256">S104</f>
        <v>0</v>
      </c>
      <c r="T105" s="237"/>
      <c r="U105" s="237"/>
      <c r="V105" s="237"/>
      <c r="W105" s="237"/>
      <c r="X105" s="52"/>
      <c r="Y105" s="52"/>
      <c r="Z105" s="52"/>
      <c r="AA105" s="54"/>
      <c r="AB105" s="130"/>
      <c r="AC105" s="139"/>
    </row>
    <row r="106" spans="1:29" x14ac:dyDescent="0.3">
      <c r="A106" s="121"/>
      <c r="B106" s="184"/>
      <c r="C106" s="54"/>
      <c r="D106" s="52"/>
      <c r="E106" s="52"/>
      <c r="F106" s="117"/>
      <c r="G106" s="119">
        <f t="shared" si="161"/>
        <v>0</v>
      </c>
      <c r="H106" s="113"/>
      <c r="I106" s="52"/>
      <c r="J106" s="52"/>
      <c r="K106" s="124"/>
      <c r="L106" s="53">
        <f t="shared" si="188"/>
        <v>0</v>
      </c>
      <c r="M106" s="127">
        <f t="shared" si="189"/>
        <v>0</v>
      </c>
      <c r="N106" s="119">
        <f t="shared" si="190"/>
        <v>0</v>
      </c>
      <c r="O106" s="130"/>
      <c r="P106" s="134"/>
      <c r="Q106" s="130"/>
      <c r="R106" s="52"/>
      <c r="S106" s="224">
        <f t="shared" si="256"/>
        <v>0</v>
      </c>
      <c r="T106" s="237"/>
      <c r="U106" s="237"/>
      <c r="V106" s="237"/>
      <c r="W106" s="237"/>
      <c r="X106" s="52"/>
      <c r="Y106" s="52"/>
      <c r="Z106" s="52"/>
      <c r="AA106" s="54"/>
      <c r="AB106" s="130"/>
      <c r="AC106" s="139"/>
    </row>
    <row r="107" spans="1:29" x14ac:dyDescent="0.3">
      <c r="A107" s="121"/>
      <c r="B107" s="184"/>
      <c r="C107" s="54"/>
      <c r="D107" s="52"/>
      <c r="E107" s="52"/>
      <c r="F107" s="117"/>
      <c r="G107" s="119">
        <f t="shared" si="161"/>
        <v>0</v>
      </c>
      <c r="H107" s="113"/>
      <c r="I107" s="52"/>
      <c r="J107" s="52"/>
      <c r="K107" s="124"/>
      <c r="L107" s="53">
        <f t="shared" si="188"/>
        <v>0</v>
      </c>
      <c r="M107" s="127">
        <f t="shared" si="189"/>
        <v>0</v>
      </c>
      <c r="N107" s="119">
        <f t="shared" si="190"/>
        <v>0</v>
      </c>
      <c r="O107" s="130"/>
      <c r="P107" s="134"/>
      <c r="Q107" s="130"/>
      <c r="R107" s="52"/>
      <c r="S107" s="224">
        <f t="shared" si="256"/>
        <v>0</v>
      </c>
      <c r="T107" s="237"/>
      <c r="U107" s="237"/>
      <c r="V107" s="237"/>
      <c r="W107" s="237"/>
      <c r="X107" s="52"/>
      <c r="Y107" s="52"/>
      <c r="Z107" s="52"/>
      <c r="AA107" s="54"/>
      <c r="AB107" s="130"/>
      <c r="AC107" s="139"/>
    </row>
    <row r="108" spans="1:29" ht="15" thickBot="1" x14ac:dyDescent="0.35">
      <c r="A108" s="122"/>
      <c r="B108" s="185"/>
      <c r="C108" s="102"/>
      <c r="D108" s="101"/>
      <c r="E108" s="101"/>
      <c r="F108" s="118"/>
      <c r="G108" s="120">
        <f t="shared" si="161"/>
        <v>0</v>
      </c>
      <c r="H108" s="114"/>
      <c r="I108" s="101"/>
      <c r="J108" s="101"/>
      <c r="K108" s="125"/>
      <c r="L108" s="103">
        <f t="shared" si="188"/>
        <v>0</v>
      </c>
      <c r="M108" s="128">
        <f t="shared" si="189"/>
        <v>0</v>
      </c>
      <c r="N108" s="120">
        <f t="shared" si="190"/>
        <v>0</v>
      </c>
      <c r="O108" s="131"/>
      <c r="P108" s="135"/>
      <c r="Q108" s="131"/>
      <c r="R108" s="101"/>
      <c r="S108" s="104">
        <f t="shared" si="256"/>
        <v>0</v>
      </c>
      <c r="T108" s="238"/>
      <c r="U108" s="238"/>
      <c r="V108" s="238"/>
      <c r="W108" s="238"/>
      <c r="X108" s="101"/>
      <c r="Y108" s="101"/>
      <c r="Z108" s="101"/>
      <c r="AA108" s="102"/>
      <c r="AB108" s="131"/>
      <c r="AC108" s="140"/>
    </row>
    <row r="109" spans="1:29" x14ac:dyDescent="0.3">
      <c r="A109" s="115">
        <f t="shared" ref="A109" si="257">$A104+1</f>
        <v>22</v>
      </c>
      <c r="B109" s="186"/>
      <c r="C109" s="105">
        <f>INDEX(Tribs!$C$3:$C$102,MATCH($A109,Tribs!$A$3:$A$102,0))</f>
        <v>0</v>
      </c>
      <c r="D109" s="106">
        <f>INDEX(Tribs!$E$3:$E$102,MATCH($A109,Tribs!$A$3:$A$102,0))</f>
        <v>0</v>
      </c>
      <c r="E109" s="105">
        <f>INDEX(Tribs!$F$3:$F$102,MATCH($A109,Tribs!$A$3:$A$102,0))</f>
        <v>0</v>
      </c>
      <c r="F109" s="116">
        <f t="shared" ref="F109" si="258">($C109*$E109)</f>
        <v>0</v>
      </c>
      <c r="G109" s="110"/>
      <c r="H109" s="111">
        <f t="shared" ref="H109" si="259">($F109)+(SUM($G110:$G113))</f>
        <v>0</v>
      </c>
      <c r="I109" s="106">
        <f>INDEX(Tribs!$D$3:$D$102,MATCH($A109,Tribs!$A$3:$A$102,0))</f>
        <v>0</v>
      </c>
      <c r="J109" s="106">
        <f>INDEX(Tribs!$G$3:$G$102,MATCH($A109,Tribs!$A$3:$A$102,0))</f>
        <v>0</v>
      </c>
      <c r="K109" s="105">
        <f>($J109)/V_gutter*(1/60)</f>
        <v>0</v>
      </c>
      <c r="L109" s="112"/>
      <c r="M109" s="109"/>
      <c r="N109" s="129">
        <f t="shared" ref="N109" si="260">($I109+$K109)</f>
        <v>0</v>
      </c>
      <c r="O109" s="111">
        <f t="shared" ref="O109" si="261">MAX($N109:$N113)</f>
        <v>0</v>
      </c>
      <c r="P109" s="133">
        <f>IF($H109&gt;0,IF($O109&lt;=T_1,I_1,IF($O109&lt;=T_2,(($O109*M_1)+B_1),IF($O109&lt;=T_3,(($O109*M_2)+B_2),IF($O109&lt;=T_4,(($O109*M_3)+B_3),IF($O109&lt;=T_5,(($O109*M_4)+B_4),IF($O109&lt;=T_6,(($O109*M_5)+B_5),IF($O109&lt;=T_7,(($O109*M_6)+B_6),IF($O109&lt;=T_8,(($O109*M_7)+B_7),IF($O109&lt;=T_9,(($O109*M_8)+B_8),IF($O109&lt;=T_10,(($O109*M_9)+B_9))))))))))),0)</f>
        <v>0</v>
      </c>
      <c r="Q109" s="111">
        <f t="shared" ref="Q109" si="262">ROUND(($H109*$P109),2)</f>
        <v>0</v>
      </c>
      <c r="R109" s="107">
        <f>IF($Q109&gt;0,IF($Q109&lt;=UTH!$M$4,UTH!$J$4,IF($Q109&lt;=UTH!$M$5,UTH!$J$5,IF($Q109&lt;=UTH!$M$6,UTH!$J$6,IF($Q109&lt;=UTH!$M$7,UTH!$J$7,IF($Q109&lt;=UTH!$M$8,UTH!$J$8,IF($Q109&lt;=UTH!$M$9,UTH!$J$9,IF($Q109&lt;=UTH!$M$10,UTH!$J$10,IF($Q109&lt;=UTH!$M$11,UTH!$J$11,IF($Q109&lt;=UTH!$M$12,UTH!$J$12,IF($Q109&lt;=UTH!$M$13,UTH!$J$13,IF($Q109&lt;=UTH!$M$14,UTH!$J$14,IF($Q109&lt;=UTH!$M$15,UTH!$J$15,IF($Q109&lt;=UTH!$M$16,UTH!$J$16,IF($Q109&lt;=UTH!$M$17,UTH!$J$17,IF($Q109&lt;=UTH!$M$18,UTH!$J$18,IF($Q109&lt;=UTH!$M$19,UTH!$J$19,IF($Q109&lt;=UTH!$M$20,UTH!$J$20))))))))))))))))),0)</f>
        <v>0</v>
      </c>
      <c r="S109" s="107">
        <f>IF(Inverts!$D109="YES",Inverts!$C109,Inverts!$E109)</f>
        <v>0</v>
      </c>
      <c r="T109" s="108">
        <f>IF($S109,($Q109/(KQ*($S109^(8/3))))^2,0)</f>
        <v>0</v>
      </c>
      <c r="U109" s="108">
        <f>IF($S109,(Vmin/(KV*($S109^(2/3))))^2,0)</f>
        <v>0</v>
      </c>
      <c r="V109" s="108">
        <f>IF($Z109,ROUND(MinDrop_2/$Z109,4),0)</f>
        <v>0</v>
      </c>
      <c r="W109" s="108">
        <f t="shared" ref="W109" si="263">IF($S109=0,0,MAX($T109:$V109))</f>
        <v>0</v>
      </c>
      <c r="X109" s="108">
        <f>IF(Inverts!$H109="yes",Inverts!$G109,Inverts!$I109)</f>
        <v>0</v>
      </c>
      <c r="Y109" s="105">
        <f>ROUND(KV*($S109^(2/3))*($X109^(0.5)),2)</f>
        <v>0</v>
      </c>
      <c r="Z109" s="106">
        <f>INDEX(Tribs!$H$3:$H$102,MATCH($A109,Tribs!$A$3:$A$102,0))</f>
        <v>0</v>
      </c>
      <c r="AA109" s="105">
        <f t="shared" ref="AA109" si="264">IF($Y109,($Z109/$Y109)*(1/60),0)</f>
        <v>0</v>
      </c>
      <c r="AB109" s="111">
        <f>ROUND(KQ*($S109^(8/3))*($X109^(0.5)),2)</f>
        <v>0</v>
      </c>
      <c r="AC109" s="138" t="str">
        <f>IF(AND($AB109&gt;=($Q109-0.0049),$Y109&gt;=(Vmin-0.0049)),"OK","NG")</f>
        <v>NG</v>
      </c>
    </row>
    <row r="110" spans="1:29" x14ac:dyDescent="0.3">
      <c r="A110" s="121"/>
      <c r="B110" s="184"/>
      <c r="C110" s="54"/>
      <c r="D110" s="52"/>
      <c r="E110" s="52"/>
      <c r="F110" s="117"/>
      <c r="G110" s="119">
        <f t="shared" ref="G110" si="265">IF($B110,INDEX($H$4:$H$499,(MATCH($B110,$A$4:$A$499))),0)</f>
        <v>0</v>
      </c>
      <c r="H110" s="113"/>
      <c r="I110" s="52"/>
      <c r="J110" s="52"/>
      <c r="K110" s="123"/>
      <c r="L110" s="53">
        <f t="shared" ref="L110" si="266">IF($B110,INDEX($O$4:$O$499,MATCH($B110,$A$4:$A$499)),0)</f>
        <v>0</v>
      </c>
      <c r="M110" s="126">
        <f t="shared" ref="M110" si="267">IF($B110,INDEX($AA$4:$AA$499,MATCH($B110,$A$4:$A$499)),0)</f>
        <v>0</v>
      </c>
      <c r="N110" s="119">
        <f t="shared" ref="N110" si="268">($L110+$M110)</f>
        <v>0</v>
      </c>
      <c r="O110" s="130"/>
      <c r="P110" s="134"/>
      <c r="Q110" s="130"/>
      <c r="R110" s="52"/>
      <c r="S110" s="224">
        <f t="shared" ref="S110:S113" si="269">S109</f>
        <v>0</v>
      </c>
      <c r="T110" s="237"/>
      <c r="U110" s="237"/>
      <c r="V110" s="237"/>
      <c r="W110" s="237"/>
      <c r="X110" s="52"/>
      <c r="Y110" s="52"/>
      <c r="Z110" s="52"/>
      <c r="AA110" s="54"/>
      <c r="AB110" s="130"/>
      <c r="AC110" s="139"/>
    </row>
    <row r="111" spans="1:29" x14ac:dyDescent="0.3">
      <c r="A111" s="121"/>
      <c r="B111" s="184"/>
      <c r="C111" s="54"/>
      <c r="D111" s="52"/>
      <c r="E111" s="52"/>
      <c r="F111" s="117"/>
      <c r="G111" s="119">
        <f t="shared" si="161"/>
        <v>0</v>
      </c>
      <c r="H111" s="113"/>
      <c r="I111" s="52"/>
      <c r="J111" s="52"/>
      <c r="K111" s="124"/>
      <c r="L111" s="53">
        <f t="shared" si="188"/>
        <v>0</v>
      </c>
      <c r="M111" s="127">
        <f t="shared" si="189"/>
        <v>0</v>
      </c>
      <c r="N111" s="119">
        <f t="shared" si="190"/>
        <v>0</v>
      </c>
      <c r="O111" s="130"/>
      <c r="P111" s="134"/>
      <c r="Q111" s="130"/>
      <c r="R111" s="52"/>
      <c r="S111" s="224">
        <f t="shared" si="269"/>
        <v>0</v>
      </c>
      <c r="T111" s="237"/>
      <c r="U111" s="237"/>
      <c r="V111" s="237"/>
      <c r="W111" s="237"/>
      <c r="X111" s="52"/>
      <c r="Y111" s="52"/>
      <c r="Z111" s="52"/>
      <c r="AA111" s="54"/>
      <c r="AB111" s="130"/>
      <c r="AC111" s="139"/>
    </row>
    <row r="112" spans="1:29" x14ac:dyDescent="0.3">
      <c r="A112" s="121"/>
      <c r="B112" s="184"/>
      <c r="C112" s="54"/>
      <c r="D112" s="52"/>
      <c r="E112" s="52"/>
      <c r="F112" s="117"/>
      <c r="G112" s="119">
        <f t="shared" si="161"/>
        <v>0</v>
      </c>
      <c r="H112" s="113"/>
      <c r="I112" s="52"/>
      <c r="J112" s="52"/>
      <c r="K112" s="124"/>
      <c r="L112" s="53">
        <f t="shared" si="188"/>
        <v>0</v>
      </c>
      <c r="M112" s="127">
        <f t="shared" si="189"/>
        <v>0</v>
      </c>
      <c r="N112" s="119">
        <f t="shared" si="190"/>
        <v>0</v>
      </c>
      <c r="O112" s="130"/>
      <c r="P112" s="134"/>
      <c r="Q112" s="130"/>
      <c r="R112" s="52"/>
      <c r="S112" s="224">
        <f t="shared" si="269"/>
        <v>0</v>
      </c>
      <c r="T112" s="237"/>
      <c r="U112" s="237"/>
      <c r="V112" s="237"/>
      <c r="W112" s="237"/>
      <c r="X112" s="52"/>
      <c r="Y112" s="52"/>
      <c r="Z112" s="52"/>
      <c r="AA112" s="54"/>
      <c r="AB112" s="130"/>
      <c r="AC112" s="139"/>
    </row>
    <row r="113" spans="1:29" ht="15" thickBot="1" x14ac:dyDescent="0.35">
      <c r="A113" s="122"/>
      <c r="B113" s="185"/>
      <c r="C113" s="102"/>
      <c r="D113" s="101"/>
      <c r="E113" s="101"/>
      <c r="F113" s="118"/>
      <c r="G113" s="120">
        <f t="shared" si="161"/>
        <v>0</v>
      </c>
      <c r="H113" s="114"/>
      <c r="I113" s="101"/>
      <c r="J113" s="101"/>
      <c r="K113" s="125"/>
      <c r="L113" s="103">
        <f t="shared" si="188"/>
        <v>0</v>
      </c>
      <c r="M113" s="128">
        <f t="shared" si="189"/>
        <v>0</v>
      </c>
      <c r="N113" s="120">
        <f t="shared" si="190"/>
        <v>0</v>
      </c>
      <c r="O113" s="131"/>
      <c r="P113" s="135"/>
      <c r="Q113" s="131"/>
      <c r="R113" s="101"/>
      <c r="S113" s="104">
        <f t="shared" si="269"/>
        <v>0</v>
      </c>
      <c r="T113" s="238"/>
      <c r="U113" s="238"/>
      <c r="V113" s="238"/>
      <c r="W113" s="238"/>
      <c r="X113" s="101"/>
      <c r="Y113" s="101"/>
      <c r="Z113" s="101"/>
      <c r="AA113" s="102"/>
      <c r="AB113" s="131"/>
      <c r="AC113" s="140"/>
    </row>
    <row r="114" spans="1:29" x14ac:dyDescent="0.3">
      <c r="A114" s="115">
        <f t="shared" ref="A114" si="270">$A109+1</f>
        <v>23</v>
      </c>
      <c r="B114" s="186"/>
      <c r="C114" s="105">
        <f>INDEX(Tribs!$C$3:$C$102,MATCH($A114,Tribs!$A$3:$A$102,0))</f>
        <v>0</v>
      </c>
      <c r="D114" s="106">
        <f>INDEX(Tribs!$E$3:$E$102,MATCH($A114,Tribs!$A$3:$A$102,0))</f>
        <v>0</v>
      </c>
      <c r="E114" s="105">
        <f>INDEX(Tribs!$F$3:$F$102,MATCH($A114,Tribs!$A$3:$A$102,0))</f>
        <v>0</v>
      </c>
      <c r="F114" s="116">
        <f t="shared" ref="F114" si="271">($C114*$E114)</f>
        <v>0</v>
      </c>
      <c r="G114" s="110"/>
      <c r="H114" s="111">
        <f t="shared" ref="H114" si="272">($F114)+(SUM($G115:$G118))</f>
        <v>0</v>
      </c>
      <c r="I114" s="106">
        <f>INDEX(Tribs!$D$3:$D$102,MATCH($A114,Tribs!$A$3:$A$102,0))</f>
        <v>0</v>
      </c>
      <c r="J114" s="106">
        <f>INDEX(Tribs!$G$3:$G$102,MATCH($A114,Tribs!$A$3:$A$102,0))</f>
        <v>0</v>
      </c>
      <c r="K114" s="105">
        <f>($J114)/V_gutter*(1/60)</f>
        <v>0</v>
      </c>
      <c r="L114" s="112"/>
      <c r="M114" s="109"/>
      <c r="N114" s="129">
        <f t="shared" ref="N114" si="273">($I114+$K114)</f>
        <v>0</v>
      </c>
      <c r="O114" s="111">
        <f t="shared" ref="O114" si="274">MAX($N114:$N118)</f>
        <v>0</v>
      </c>
      <c r="P114" s="133">
        <f>IF($H114&gt;0,IF($O114&lt;=T_1,I_1,IF($O114&lt;=T_2,(($O114*M_1)+B_1),IF($O114&lt;=T_3,(($O114*M_2)+B_2),IF($O114&lt;=T_4,(($O114*M_3)+B_3),IF($O114&lt;=T_5,(($O114*M_4)+B_4),IF($O114&lt;=T_6,(($O114*M_5)+B_5),IF($O114&lt;=T_7,(($O114*M_6)+B_6),IF($O114&lt;=T_8,(($O114*M_7)+B_7),IF($O114&lt;=T_9,(($O114*M_8)+B_8),IF($O114&lt;=T_10,(($O114*M_9)+B_9))))))))))),0)</f>
        <v>0</v>
      </c>
      <c r="Q114" s="111">
        <f t="shared" ref="Q114" si="275">ROUND(($H114*$P114),2)</f>
        <v>0</v>
      </c>
      <c r="R114" s="107">
        <f>IF($Q114&gt;0,IF($Q114&lt;=UTH!$M$4,UTH!$J$4,IF($Q114&lt;=UTH!$M$5,UTH!$J$5,IF($Q114&lt;=UTH!$M$6,UTH!$J$6,IF($Q114&lt;=UTH!$M$7,UTH!$J$7,IF($Q114&lt;=UTH!$M$8,UTH!$J$8,IF($Q114&lt;=UTH!$M$9,UTH!$J$9,IF($Q114&lt;=UTH!$M$10,UTH!$J$10,IF($Q114&lt;=UTH!$M$11,UTH!$J$11,IF($Q114&lt;=UTH!$M$12,UTH!$J$12,IF($Q114&lt;=UTH!$M$13,UTH!$J$13,IF($Q114&lt;=UTH!$M$14,UTH!$J$14,IF($Q114&lt;=UTH!$M$15,UTH!$J$15,IF($Q114&lt;=UTH!$M$16,UTH!$J$16,IF($Q114&lt;=UTH!$M$17,UTH!$J$17,IF($Q114&lt;=UTH!$M$18,UTH!$J$18,IF($Q114&lt;=UTH!$M$19,UTH!$J$19,IF($Q114&lt;=UTH!$M$20,UTH!$J$20))))))))))))))))),0)</f>
        <v>0</v>
      </c>
      <c r="S114" s="107">
        <f>IF(Inverts!$D114="YES",Inverts!$C114,Inverts!$E114)</f>
        <v>0</v>
      </c>
      <c r="T114" s="108">
        <f>IF($S114,($Q114/(KQ*($S114^(8/3))))^2,0)</f>
        <v>0</v>
      </c>
      <c r="U114" s="108">
        <f>IF($S114,(Vmin/(KV*($S114^(2/3))))^2,0)</f>
        <v>0</v>
      </c>
      <c r="V114" s="108">
        <f>IF($Z114,ROUND(MinDrop_2/$Z114,4),0)</f>
        <v>0</v>
      </c>
      <c r="W114" s="108">
        <f t="shared" ref="W114" si="276">IF($S114=0,0,MAX($T114:$V114))</f>
        <v>0</v>
      </c>
      <c r="X114" s="108">
        <f>IF(Inverts!$H114="yes",Inverts!$G114,Inverts!$I114)</f>
        <v>0</v>
      </c>
      <c r="Y114" s="105">
        <f>ROUND(KV*($S114^(2/3))*($X114^(0.5)),2)</f>
        <v>0</v>
      </c>
      <c r="Z114" s="106">
        <f>INDEX(Tribs!$H$3:$H$102,MATCH($A114,Tribs!$A$3:$A$102,0))</f>
        <v>0</v>
      </c>
      <c r="AA114" s="105">
        <f t="shared" ref="AA114" si="277">IF($Y114,($Z114/$Y114)*(1/60),0)</f>
        <v>0</v>
      </c>
      <c r="AB114" s="111">
        <f>ROUND(KQ*($S114^(8/3))*($X114^(0.5)),2)</f>
        <v>0</v>
      </c>
      <c r="AC114" s="138" t="str">
        <f>IF(AND($AB114&gt;=($Q114-0.0049),$Y114&gt;=(Vmin-0.0049)),"OK","NG")</f>
        <v>NG</v>
      </c>
    </row>
    <row r="115" spans="1:29" x14ac:dyDescent="0.3">
      <c r="A115" s="121"/>
      <c r="B115" s="184"/>
      <c r="C115" s="54"/>
      <c r="D115" s="52"/>
      <c r="E115" s="52"/>
      <c r="F115" s="117"/>
      <c r="G115" s="119">
        <f t="shared" ref="G115" si="278">IF($B115,INDEX($H$4:$H$499,(MATCH($B115,$A$4:$A$499))),0)</f>
        <v>0</v>
      </c>
      <c r="H115" s="113"/>
      <c r="I115" s="52"/>
      <c r="J115" s="52"/>
      <c r="K115" s="123"/>
      <c r="L115" s="53">
        <f t="shared" ref="L115" si="279">IF($B115,INDEX($O$4:$O$499,MATCH($B115,$A$4:$A$499)),0)</f>
        <v>0</v>
      </c>
      <c r="M115" s="126">
        <f t="shared" ref="M115" si="280">IF($B115,INDEX($AA$4:$AA$499,MATCH($B115,$A$4:$A$499)),0)</f>
        <v>0</v>
      </c>
      <c r="N115" s="119">
        <f t="shared" ref="N115" si="281">($L115+$M115)</f>
        <v>0</v>
      </c>
      <c r="O115" s="130"/>
      <c r="P115" s="134"/>
      <c r="Q115" s="130"/>
      <c r="R115" s="52"/>
      <c r="S115" s="224">
        <f t="shared" ref="S115:S118" si="282">S114</f>
        <v>0</v>
      </c>
      <c r="T115" s="237"/>
      <c r="U115" s="237"/>
      <c r="V115" s="237"/>
      <c r="W115" s="237"/>
      <c r="X115" s="52"/>
      <c r="Y115" s="52"/>
      <c r="Z115" s="52"/>
      <c r="AA115" s="54"/>
      <c r="AB115" s="130"/>
      <c r="AC115" s="139"/>
    </row>
    <row r="116" spans="1:29" x14ac:dyDescent="0.3">
      <c r="A116" s="121"/>
      <c r="B116" s="184"/>
      <c r="C116" s="54"/>
      <c r="D116" s="52"/>
      <c r="E116" s="52"/>
      <c r="F116" s="117"/>
      <c r="G116" s="119">
        <f t="shared" si="161"/>
        <v>0</v>
      </c>
      <c r="H116" s="113"/>
      <c r="I116" s="52"/>
      <c r="J116" s="52"/>
      <c r="K116" s="124"/>
      <c r="L116" s="53">
        <f t="shared" si="188"/>
        <v>0</v>
      </c>
      <c r="M116" s="127">
        <f t="shared" si="189"/>
        <v>0</v>
      </c>
      <c r="N116" s="119">
        <f t="shared" si="190"/>
        <v>0</v>
      </c>
      <c r="O116" s="130"/>
      <c r="P116" s="134"/>
      <c r="Q116" s="130"/>
      <c r="R116" s="52"/>
      <c r="S116" s="224">
        <f t="shared" si="282"/>
        <v>0</v>
      </c>
      <c r="T116" s="237"/>
      <c r="U116" s="237"/>
      <c r="V116" s="237"/>
      <c r="W116" s="237"/>
      <c r="X116" s="52"/>
      <c r="Y116" s="52"/>
      <c r="Z116" s="52"/>
      <c r="AA116" s="54"/>
      <c r="AB116" s="130"/>
      <c r="AC116" s="139"/>
    </row>
    <row r="117" spans="1:29" x14ac:dyDescent="0.3">
      <c r="A117" s="121"/>
      <c r="B117" s="184"/>
      <c r="C117" s="54"/>
      <c r="D117" s="52"/>
      <c r="E117" s="52"/>
      <c r="F117" s="117"/>
      <c r="G117" s="119">
        <f t="shared" si="161"/>
        <v>0</v>
      </c>
      <c r="H117" s="113"/>
      <c r="I117" s="52"/>
      <c r="J117" s="52"/>
      <c r="K117" s="124"/>
      <c r="L117" s="53">
        <f t="shared" si="188"/>
        <v>0</v>
      </c>
      <c r="M117" s="127">
        <f t="shared" si="189"/>
        <v>0</v>
      </c>
      <c r="N117" s="119">
        <f t="shared" si="190"/>
        <v>0</v>
      </c>
      <c r="O117" s="130"/>
      <c r="P117" s="134"/>
      <c r="Q117" s="130"/>
      <c r="R117" s="52"/>
      <c r="S117" s="224">
        <f t="shared" si="282"/>
        <v>0</v>
      </c>
      <c r="T117" s="237"/>
      <c r="U117" s="237"/>
      <c r="V117" s="237"/>
      <c r="W117" s="237"/>
      <c r="X117" s="52"/>
      <c r="Y117" s="52"/>
      <c r="Z117" s="52"/>
      <c r="AA117" s="54"/>
      <c r="AB117" s="130"/>
      <c r="AC117" s="139"/>
    </row>
    <row r="118" spans="1:29" ht="15" thickBot="1" x14ac:dyDescent="0.35">
      <c r="A118" s="122"/>
      <c r="B118" s="185"/>
      <c r="C118" s="102"/>
      <c r="D118" s="101"/>
      <c r="E118" s="101"/>
      <c r="F118" s="118"/>
      <c r="G118" s="120">
        <f t="shared" si="161"/>
        <v>0</v>
      </c>
      <c r="H118" s="114"/>
      <c r="I118" s="101"/>
      <c r="J118" s="101"/>
      <c r="K118" s="125"/>
      <c r="L118" s="103">
        <f t="shared" si="188"/>
        <v>0</v>
      </c>
      <c r="M118" s="128">
        <f t="shared" si="189"/>
        <v>0</v>
      </c>
      <c r="N118" s="120">
        <f t="shared" si="190"/>
        <v>0</v>
      </c>
      <c r="O118" s="131"/>
      <c r="P118" s="135"/>
      <c r="Q118" s="131"/>
      <c r="R118" s="101"/>
      <c r="S118" s="104">
        <f t="shared" si="282"/>
        <v>0</v>
      </c>
      <c r="T118" s="238"/>
      <c r="U118" s="238"/>
      <c r="V118" s="238"/>
      <c r="W118" s="238"/>
      <c r="X118" s="101"/>
      <c r="Y118" s="101"/>
      <c r="Z118" s="101"/>
      <c r="AA118" s="102"/>
      <c r="AB118" s="131"/>
      <c r="AC118" s="140"/>
    </row>
    <row r="119" spans="1:29" x14ac:dyDescent="0.3">
      <c r="A119" s="115">
        <f t="shared" ref="A119" si="283">$A114+1</f>
        <v>24</v>
      </c>
      <c r="B119" s="186"/>
      <c r="C119" s="105">
        <f>INDEX(Tribs!$C$3:$C$102,MATCH($A119,Tribs!$A$3:$A$102,0))</f>
        <v>0</v>
      </c>
      <c r="D119" s="106">
        <f>INDEX(Tribs!$E$3:$E$102,MATCH($A119,Tribs!$A$3:$A$102,0))</f>
        <v>0</v>
      </c>
      <c r="E119" s="105">
        <f>INDEX(Tribs!$F$3:$F$102,MATCH($A119,Tribs!$A$3:$A$102,0))</f>
        <v>0</v>
      </c>
      <c r="F119" s="116">
        <f t="shared" ref="F119" si="284">($C119*$E119)</f>
        <v>0</v>
      </c>
      <c r="G119" s="110"/>
      <c r="H119" s="111">
        <f t="shared" ref="H119" si="285">($F119)+(SUM($G120:$G123))</f>
        <v>0</v>
      </c>
      <c r="I119" s="106">
        <f>INDEX(Tribs!$D$3:$D$102,MATCH($A119,Tribs!$A$3:$A$102,0))</f>
        <v>0</v>
      </c>
      <c r="J119" s="106">
        <f>INDEX(Tribs!$G$3:$G$102,MATCH($A119,Tribs!$A$3:$A$102,0))</f>
        <v>0</v>
      </c>
      <c r="K119" s="105">
        <f>($J119)/V_gutter*(1/60)</f>
        <v>0</v>
      </c>
      <c r="L119" s="112"/>
      <c r="M119" s="109"/>
      <c r="N119" s="129">
        <f t="shared" ref="N119" si="286">($I119+$K119)</f>
        <v>0</v>
      </c>
      <c r="O119" s="111">
        <f t="shared" ref="O119" si="287">MAX($N119:$N123)</f>
        <v>0</v>
      </c>
      <c r="P119" s="133">
        <f>IF($H119&gt;0,IF($O119&lt;=T_1,I_1,IF($O119&lt;=T_2,(($O119*M_1)+B_1),IF($O119&lt;=T_3,(($O119*M_2)+B_2),IF($O119&lt;=T_4,(($O119*M_3)+B_3),IF($O119&lt;=T_5,(($O119*M_4)+B_4),IF($O119&lt;=T_6,(($O119*M_5)+B_5),IF($O119&lt;=T_7,(($O119*M_6)+B_6),IF($O119&lt;=T_8,(($O119*M_7)+B_7),IF($O119&lt;=T_9,(($O119*M_8)+B_8),IF($O119&lt;=T_10,(($O119*M_9)+B_9))))))))))),0)</f>
        <v>0</v>
      </c>
      <c r="Q119" s="111">
        <f t="shared" ref="Q119" si="288">ROUND(($H119*$P119),2)</f>
        <v>0</v>
      </c>
      <c r="R119" s="107">
        <f>IF($Q119&gt;0,IF($Q119&lt;=UTH!$M$4,UTH!$J$4,IF($Q119&lt;=UTH!$M$5,UTH!$J$5,IF($Q119&lt;=UTH!$M$6,UTH!$J$6,IF($Q119&lt;=UTH!$M$7,UTH!$J$7,IF($Q119&lt;=UTH!$M$8,UTH!$J$8,IF($Q119&lt;=UTH!$M$9,UTH!$J$9,IF($Q119&lt;=UTH!$M$10,UTH!$J$10,IF($Q119&lt;=UTH!$M$11,UTH!$J$11,IF($Q119&lt;=UTH!$M$12,UTH!$J$12,IF($Q119&lt;=UTH!$M$13,UTH!$J$13,IF($Q119&lt;=UTH!$M$14,UTH!$J$14,IF($Q119&lt;=UTH!$M$15,UTH!$J$15,IF($Q119&lt;=UTH!$M$16,UTH!$J$16,IF($Q119&lt;=UTH!$M$17,UTH!$J$17,IF($Q119&lt;=UTH!$M$18,UTH!$J$18,IF($Q119&lt;=UTH!$M$19,UTH!$J$19,IF($Q119&lt;=UTH!$M$20,UTH!$J$20))))))))))))))))),0)</f>
        <v>0</v>
      </c>
      <c r="S119" s="107">
        <f>IF(Inverts!$D119="YES",Inverts!$C119,Inverts!$E119)</f>
        <v>0</v>
      </c>
      <c r="T119" s="108">
        <f>IF($S119,($Q119/(KQ*($S119^(8/3))))^2,0)</f>
        <v>0</v>
      </c>
      <c r="U119" s="108">
        <f>IF($S119,(Vmin/(KV*($S119^(2/3))))^2,0)</f>
        <v>0</v>
      </c>
      <c r="V119" s="108">
        <f>IF($Z119,ROUND(MinDrop_2/$Z119,4),0)</f>
        <v>0</v>
      </c>
      <c r="W119" s="108">
        <f t="shared" ref="W119" si="289">IF($S119=0,0,MAX($T119:$V119))</f>
        <v>0</v>
      </c>
      <c r="X119" s="108">
        <f>IF(Inverts!$H119="yes",Inverts!$G119,Inverts!$I119)</f>
        <v>0</v>
      </c>
      <c r="Y119" s="105">
        <f>ROUND(KV*($S119^(2/3))*($X119^(0.5)),2)</f>
        <v>0</v>
      </c>
      <c r="Z119" s="106">
        <f>INDEX(Tribs!$H$3:$H$102,MATCH($A119,Tribs!$A$3:$A$102,0))</f>
        <v>0</v>
      </c>
      <c r="AA119" s="105">
        <f t="shared" ref="AA119" si="290">IF($Y119,($Z119/$Y119)*(1/60),0)</f>
        <v>0</v>
      </c>
      <c r="AB119" s="111">
        <f>ROUND(KQ*($S119^(8/3))*($X119^(0.5)),2)</f>
        <v>0</v>
      </c>
      <c r="AC119" s="138" t="str">
        <f>IF(AND($AB119&gt;=($Q119-0.0049),$Y119&gt;=(Vmin-0.0049)),"OK","NG")</f>
        <v>NG</v>
      </c>
    </row>
    <row r="120" spans="1:29" x14ac:dyDescent="0.3">
      <c r="A120" s="121"/>
      <c r="B120" s="184"/>
      <c r="C120" s="54"/>
      <c r="D120" s="52"/>
      <c r="E120" s="52"/>
      <c r="F120" s="117"/>
      <c r="G120" s="119">
        <f t="shared" ref="G120" si="291">IF($B120,INDEX($H$4:$H$499,(MATCH($B120,$A$4:$A$499))),0)</f>
        <v>0</v>
      </c>
      <c r="H120" s="113"/>
      <c r="I120" s="52"/>
      <c r="J120" s="52"/>
      <c r="K120" s="123"/>
      <c r="L120" s="53">
        <f t="shared" ref="L120" si="292">IF($B120,INDEX($O$4:$O$499,MATCH($B120,$A$4:$A$499)),0)</f>
        <v>0</v>
      </c>
      <c r="M120" s="126">
        <f t="shared" ref="M120" si="293">IF($B120,INDEX($AA$4:$AA$499,MATCH($B120,$A$4:$A$499)),0)</f>
        <v>0</v>
      </c>
      <c r="N120" s="119">
        <f t="shared" ref="N120" si="294">($L120+$M120)</f>
        <v>0</v>
      </c>
      <c r="O120" s="130"/>
      <c r="P120" s="134"/>
      <c r="Q120" s="130"/>
      <c r="R120" s="52"/>
      <c r="S120" s="224">
        <f t="shared" ref="S120:S123" si="295">S119</f>
        <v>0</v>
      </c>
      <c r="T120" s="237"/>
      <c r="U120" s="237"/>
      <c r="V120" s="237"/>
      <c r="W120" s="237"/>
      <c r="X120" s="52"/>
      <c r="Y120" s="52"/>
      <c r="Z120" s="52"/>
      <c r="AA120" s="54"/>
      <c r="AB120" s="130"/>
      <c r="AC120" s="139"/>
    </row>
    <row r="121" spans="1:29" x14ac:dyDescent="0.3">
      <c r="A121" s="121"/>
      <c r="B121" s="184"/>
      <c r="C121" s="54"/>
      <c r="D121" s="52"/>
      <c r="E121" s="52"/>
      <c r="F121" s="117"/>
      <c r="G121" s="119">
        <f t="shared" si="161"/>
        <v>0</v>
      </c>
      <c r="H121" s="113"/>
      <c r="I121" s="52"/>
      <c r="J121" s="52"/>
      <c r="K121" s="124"/>
      <c r="L121" s="53">
        <f t="shared" si="188"/>
        <v>0</v>
      </c>
      <c r="M121" s="127">
        <f t="shared" si="189"/>
        <v>0</v>
      </c>
      <c r="N121" s="119">
        <f t="shared" si="190"/>
        <v>0</v>
      </c>
      <c r="O121" s="130"/>
      <c r="P121" s="134"/>
      <c r="Q121" s="130"/>
      <c r="R121" s="52"/>
      <c r="S121" s="224">
        <f t="shared" si="295"/>
        <v>0</v>
      </c>
      <c r="T121" s="237"/>
      <c r="U121" s="237"/>
      <c r="V121" s="237"/>
      <c r="W121" s="237"/>
      <c r="X121" s="52"/>
      <c r="Y121" s="52"/>
      <c r="Z121" s="52"/>
      <c r="AA121" s="54"/>
      <c r="AB121" s="130"/>
      <c r="AC121" s="139"/>
    </row>
    <row r="122" spans="1:29" x14ac:dyDescent="0.3">
      <c r="A122" s="121"/>
      <c r="B122" s="184"/>
      <c r="C122" s="54"/>
      <c r="D122" s="52"/>
      <c r="E122" s="52"/>
      <c r="F122" s="117"/>
      <c r="G122" s="119">
        <f t="shared" si="161"/>
        <v>0</v>
      </c>
      <c r="H122" s="113"/>
      <c r="I122" s="52"/>
      <c r="J122" s="52"/>
      <c r="K122" s="124"/>
      <c r="L122" s="53">
        <f t="shared" si="188"/>
        <v>0</v>
      </c>
      <c r="M122" s="127">
        <f t="shared" si="189"/>
        <v>0</v>
      </c>
      <c r="N122" s="119">
        <f t="shared" si="190"/>
        <v>0</v>
      </c>
      <c r="O122" s="130"/>
      <c r="P122" s="134"/>
      <c r="Q122" s="130"/>
      <c r="R122" s="52"/>
      <c r="S122" s="224">
        <f t="shared" si="295"/>
        <v>0</v>
      </c>
      <c r="T122" s="237"/>
      <c r="U122" s="237"/>
      <c r="V122" s="237"/>
      <c r="W122" s="237"/>
      <c r="X122" s="52"/>
      <c r="Y122" s="52"/>
      <c r="Z122" s="52"/>
      <c r="AA122" s="54"/>
      <c r="AB122" s="130"/>
      <c r="AC122" s="139"/>
    </row>
    <row r="123" spans="1:29" ht="15" thickBot="1" x14ac:dyDescent="0.35">
      <c r="A123" s="122"/>
      <c r="B123" s="185"/>
      <c r="C123" s="102"/>
      <c r="D123" s="101"/>
      <c r="E123" s="101"/>
      <c r="F123" s="118"/>
      <c r="G123" s="120">
        <f t="shared" si="161"/>
        <v>0</v>
      </c>
      <c r="H123" s="114"/>
      <c r="I123" s="101"/>
      <c r="J123" s="101"/>
      <c r="K123" s="125"/>
      <c r="L123" s="103">
        <f t="shared" si="188"/>
        <v>0</v>
      </c>
      <c r="M123" s="128">
        <f t="shared" si="189"/>
        <v>0</v>
      </c>
      <c r="N123" s="120">
        <f t="shared" si="190"/>
        <v>0</v>
      </c>
      <c r="O123" s="131"/>
      <c r="P123" s="135"/>
      <c r="Q123" s="131"/>
      <c r="R123" s="101"/>
      <c r="S123" s="104">
        <f t="shared" si="295"/>
        <v>0</v>
      </c>
      <c r="T123" s="238"/>
      <c r="U123" s="238"/>
      <c r="V123" s="238"/>
      <c r="W123" s="238"/>
      <c r="X123" s="101"/>
      <c r="Y123" s="101"/>
      <c r="Z123" s="101"/>
      <c r="AA123" s="102"/>
      <c r="AB123" s="131"/>
      <c r="AC123" s="140"/>
    </row>
    <row r="124" spans="1:29" x14ac:dyDescent="0.3">
      <c r="A124" s="115">
        <f t="shared" ref="A124" si="296">$A119+1</f>
        <v>25</v>
      </c>
      <c r="B124" s="186"/>
      <c r="C124" s="105">
        <f>INDEX(Tribs!$C$3:$C$102,MATCH($A124,Tribs!$A$3:$A$102,0))</f>
        <v>0</v>
      </c>
      <c r="D124" s="106">
        <f>INDEX(Tribs!$E$3:$E$102,MATCH($A124,Tribs!$A$3:$A$102,0))</f>
        <v>0</v>
      </c>
      <c r="E124" s="105">
        <f>INDEX(Tribs!$F$3:$F$102,MATCH($A124,Tribs!$A$3:$A$102,0))</f>
        <v>0</v>
      </c>
      <c r="F124" s="116">
        <f t="shared" ref="F124" si="297">($C124*$E124)</f>
        <v>0</v>
      </c>
      <c r="G124" s="110"/>
      <c r="H124" s="111">
        <f t="shared" ref="H124" si="298">($F124)+(SUM($G125:$G128))</f>
        <v>0</v>
      </c>
      <c r="I124" s="106">
        <f>INDEX(Tribs!$D$3:$D$102,MATCH($A124,Tribs!$A$3:$A$102,0))</f>
        <v>0</v>
      </c>
      <c r="J124" s="106">
        <f>INDEX(Tribs!$G$3:$G$102,MATCH($A124,Tribs!$A$3:$A$102,0))</f>
        <v>0</v>
      </c>
      <c r="K124" s="105">
        <f>($J124)/V_gutter*(1/60)</f>
        <v>0</v>
      </c>
      <c r="L124" s="112"/>
      <c r="M124" s="109"/>
      <c r="N124" s="129">
        <f t="shared" ref="N124" si="299">($I124+$K124)</f>
        <v>0</v>
      </c>
      <c r="O124" s="111">
        <f t="shared" ref="O124" si="300">MAX($N124:$N128)</f>
        <v>0</v>
      </c>
      <c r="P124" s="133">
        <f>IF($H124&gt;0,IF($O124&lt;=T_1,I_1,IF($O124&lt;=T_2,(($O124*M_1)+B_1),IF($O124&lt;=T_3,(($O124*M_2)+B_2),IF($O124&lt;=T_4,(($O124*M_3)+B_3),IF($O124&lt;=T_5,(($O124*M_4)+B_4),IF($O124&lt;=T_6,(($O124*M_5)+B_5),IF($O124&lt;=T_7,(($O124*M_6)+B_6),IF($O124&lt;=T_8,(($O124*M_7)+B_7),IF($O124&lt;=T_9,(($O124*M_8)+B_8),IF($O124&lt;=T_10,(($O124*M_9)+B_9))))))))))),0)</f>
        <v>0</v>
      </c>
      <c r="Q124" s="111">
        <f t="shared" ref="Q124" si="301">ROUND(($H124*$P124),2)</f>
        <v>0</v>
      </c>
      <c r="R124" s="107">
        <f>IF($Q124&gt;0,IF($Q124&lt;=UTH!$M$4,UTH!$J$4,IF($Q124&lt;=UTH!$M$5,UTH!$J$5,IF($Q124&lt;=UTH!$M$6,UTH!$J$6,IF($Q124&lt;=UTH!$M$7,UTH!$J$7,IF($Q124&lt;=UTH!$M$8,UTH!$J$8,IF($Q124&lt;=UTH!$M$9,UTH!$J$9,IF($Q124&lt;=UTH!$M$10,UTH!$J$10,IF($Q124&lt;=UTH!$M$11,UTH!$J$11,IF($Q124&lt;=UTH!$M$12,UTH!$J$12,IF($Q124&lt;=UTH!$M$13,UTH!$J$13,IF($Q124&lt;=UTH!$M$14,UTH!$J$14,IF($Q124&lt;=UTH!$M$15,UTH!$J$15,IF($Q124&lt;=UTH!$M$16,UTH!$J$16,IF($Q124&lt;=UTH!$M$17,UTH!$J$17,IF($Q124&lt;=UTH!$M$18,UTH!$J$18,IF($Q124&lt;=UTH!$M$19,UTH!$J$19,IF($Q124&lt;=UTH!$M$20,UTH!$J$20))))))))))))))))),0)</f>
        <v>0</v>
      </c>
      <c r="S124" s="107">
        <f>IF(Inverts!$D124="YES",Inverts!$C124,Inverts!$E124)</f>
        <v>0</v>
      </c>
      <c r="T124" s="108">
        <f>IF($S124,($Q124/(KQ*($S124^(8/3))))^2,0)</f>
        <v>0</v>
      </c>
      <c r="U124" s="108">
        <f>IF($S124,(Vmin/(KV*($S124^(2/3))))^2,0)</f>
        <v>0</v>
      </c>
      <c r="V124" s="108">
        <f>IF($Z124,ROUND(MinDrop_2/$Z124,4),0)</f>
        <v>0</v>
      </c>
      <c r="W124" s="108">
        <f t="shared" ref="W124" si="302">IF($S124=0,0,MAX($T124:$V124))</f>
        <v>0</v>
      </c>
      <c r="X124" s="108">
        <f>IF(Inverts!$H124="yes",Inverts!$G124,Inverts!$I124)</f>
        <v>0</v>
      </c>
      <c r="Y124" s="105">
        <f>ROUND(KV*($S124^(2/3))*($X124^(0.5)),2)</f>
        <v>0</v>
      </c>
      <c r="Z124" s="106">
        <f>INDEX(Tribs!$H$3:$H$102,MATCH($A124,Tribs!$A$3:$A$102,0))</f>
        <v>0</v>
      </c>
      <c r="AA124" s="105">
        <f t="shared" ref="AA124" si="303">IF($Y124,($Z124/$Y124)*(1/60),0)</f>
        <v>0</v>
      </c>
      <c r="AB124" s="111">
        <f>ROUND(KQ*($S124^(8/3))*($X124^(0.5)),2)</f>
        <v>0</v>
      </c>
      <c r="AC124" s="138" t="str">
        <f>IF(AND($AB124&gt;=($Q124-0.0049),$Y124&gt;=(Vmin-0.0049)),"OK","NG")</f>
        <v>NG</v>
      </c>
    </row>
    <row r="125" spans="1:29" x14ac:dyDescent="0.3">
      <c r="A125" s="121"/>
      <c r="B125" s="184"/>
      <c r="C125" s="54"/>
      <c r="D125" s="52"/>
      <c r="E125" s="52"/>
      <c r="F125" s="117"/>
      <c r="G125" s="119">
        <f t="shared" ref="G125" si="304">IF($B125,INDEX($H$4:$H$499,(MATCH($B125,$A$4:$A$499))),0)</f>
        <v>0</v>
      </c>
      <c r="H125" s="113"/>
      <c r="I125" s="52"/>
      <c r="J125" s="52"/>
      <c r="K125" s="123"/>
      <c r="L125" s="53">
        <f t="shared" ref="L125" si="305">IF($B125,INDEX($O$4:$O$499,MATCH($B125,$A$4:$A$499)),0)</f>
        <v>0</v>
      </c>
      <c r="M125" s="126">
        <f t="shared" ref="M125" si="306">IF($B125,INDEX($AA$4:$AA$499,MATCH($B125,$A$4:$A$499)),0)</f>
        <v>0</v>
      </c>
      <c r="N125" s="119">
        <f t="shared" ref="N125" si="307">($L125+$M125)</f>
        <v>0</v>
      </c>
      <c r="O125" s="130"/>
      <c r="P125" s="134"/>
      <c r="Q125" s="130"/>
      <c r="R125" s="52"/>
      <c r="S125" s="224">
        <f t="shared" ref="S125:S128" si="308">S124</f>
        <v>0</v>
      </c>
      <c r="T125" s="237"/>
      <c r="U125" s="237"/>
      <c r="V125" s="237"/>
      <c r="W125" s="237"/>
      <c r="X125" s="52"/>
      <c r="Y125" s="52"/>
      <c r="Z125" s="52"/>
      <c r="AA125" s="54"/>
      <c r="AB125" s="130"/>
      <c r="AC125" s="139"/>
    </row>
    <row r="126" spans="1:29" x14ac:dyDescent="0.3">
      <c r="A126" s="121"/>
      <c r="B126" s="184"/>
      <c r="C126" s="54"/>
      <c r="D126" s="52"/>
      <c r="E126" s="52"/>
      <c r="F126" s="117"/>
      <c r="G126" s="119">
        <f t="shared" si="161"/>
        <v>0</v>
      </c>
      <c r="H126" s="113"/>
      <c r="I126" s="52"/>
      <c r="J126" s="52"/>
      <c r="K126" s="124"/>
      <c r="L126" s="53">
        <f t="shared" si="188"/>
        <v>0</v>
      </c>
      <c r="M126" s="127">
        <f t="shared" si="189"/>
        <v>0</v>
      </c>
      <c r="N126" s="119">
        <f t="shared" si="190"/>
        <v>0</v>
      </c>
      <c r="O126" s="130"/>
      <c r="P126" s="134"/>
      <c r="Q126" s="130"/>
      <c r="R126" s="52"/>
      <c r="S126" s="224">
        <f t="shared" si="308"/>
        <v>0</v>
      </c>
      <c r="T126" s="237"/>
      <c r="U126" s="237"/>
      <c r="V126" s="237"/>
      <c r="W126" s="237"/>
      <c r="X126" s="52"/>
      <c r="Y126" s="52"/>
      <c r="Z126" s="52"/>
      <c r="AA126" s="54"/>
      <c r="AB126" s="130"/>
      <c r="AC126" s="139"/>
    </row>
    <row r="127" spans="1:29" x14ac:dyDescent="0.3">
      <c r="A127" s="121"/>
      <c r="B127" s="184"/>
      <c r="C127" s="54"/>
      <c r="D127" s="52"/>
      <c r="E127" s="52"/>
      <c r="F127" s="117"/>
      <c r="G127" s="119">
        <f t="shared" si="161"/>
        <v>0</v>
      </c>
      <c r="H127" s="113"/>
      <c r="I127" s="52"/>
      <c r="J127" s="52"/>
      <c r="K127" s="124"/>
      <c r="L127" s="53">
        <f t="shared" si="188"/>
        <v>0</v>
      </c>
      <c r="M127" s="127">
        <f t="shared" si="189"/>
        <v>0</v>
      </c>
      <c r="N127" s="119">
        <f t="shared" si="190"/>
        <v>0</v>
      </c>
      <c r="O127" s="130"/>
      <c r="P127" s="134"/>
      <c r="Q127" s="130"/>
      <c r="R127" s="52"/>
      <c r="S127" s="224">
        <f t="shared" si="308"/>
        <v>0</v>
      </c>
      <c r="T127" s="237"/>
      <c r="U127" s="237"/>
      <c r="V127" s="237"/>
      <c r="W127" s="237"/>
      <c r="X127" s="52"/>
      <c r="Y127" s="52"/>
      <c r="Z127" s="52"/>
      <c r="AA127" s="54"/>
      <c r="AB127" s="130"/>
      <c r="AC127" s="139"/>
    </row>
    <row r="128" spans="1:29" ht="15" thickBot="1" x14ac:dyDescent="0.35">
      <c r="A128" s="122"/>
      <c r="B128" s="185"/>
      <c r="C128" s="102"/>
      <c r="D128" s="101"/>
      <c r="E128" s="101"/>
      <c r="F128" s="118"/>
      <c r="G128" s="120">
        <f t="shared" si="161"/>
        <v>0</v>
      </c>
      <c r="H128" s="114"/>
      <c r="I128" s="101"/>
      <c r="J128" s="101"/>
      <c r="K128" s="125"/>
      <c r="L128" s="103">
        <f t="shared" si="188"/>
        <v>0</v>
      </c>
      <c r="M128" s="128">
        <f t="shared" si="189"/>
        <v>0</v>
      </c>
      <c r="N128" s="120">
        <f t="shared" si="190"/>
        <v>0</v>
      </c>
      <c r="O128" s="131"/>
      <c r="P128" s="135"/>
      <c r="Q128" s="131"/>
      <c r="R128" s="101"/>
      <c r="S128" s="104">
        <f t="shared" si="308"/>
        <v>0</v>
      </c>
      <c r="T128" s="238"/>
      <c r="U128" s="238"/>
      <c r="V128" s="238"/>
      <c r="W128" s="238"/>
      <c r="X128" s="101"/>
      <c r="Y128" s="101"/>
      <c r="Z128" s="101"/>
      <c r="AA128" s="102"/>
      <c r="AB128" s="131"/>
      <c r="AC128" s="140"/>
    </row>
    <row r="129" spans="1:29" x14ac:dyDescent="0.3">
      <c r="A129" s="115">
        <f t="shared" ref="A129" si="309">$A124+1</f>
        <v>26</v>
      </c>
      <c r="B129" s="186"/>
      <c r="C129" s="105">
        <f>INDEX(Tribs!$C$3:$C$102,MATCH($A129,Tribs!$A$3:$A$102,0))</f>
        <v>0</v>
      </c>
      <c r="D129" s="106">
        <f>INDEX(Tribs!$E$3:$E$102,MATCH($A129,Tribs!$A$3:$A$102,0))</f>
        <v>0</v>
      </c>
      <c r="E129" s="105">
        <f>INDEX(Tribs!$F$3:$F$102,MATCH($A129,Tribs!$A$3:$A$102,0))</f>
        <v>0</v>
      </c>
      <c r="F129" s="116">
        <f t="shared" ref="F129" si="310">($C129*$E129)</f>
        <v>0</v>
      </c>
      <c r="G129" s="110"/>
      <c r="H129" s="111">
        <f t="shared" ref="H129" si="311">($F129)+(SUM($G130:$G133))</f>
        <v>0</v>
      </c>
      <c r="I129" s="106">
        <f>INDEX(Tribs!$D$3:$D$102,MATCH($A129,Tribs!$A$3:$A$102,0))</f>
        <v>0</v>
      </c>
      <c r="J129" s="106">
        <f>INDEX(Tribs!$G$3:$G$102,MATCH($A129,Tribs!$A$3:$A$102,0))</f>
        <v>0</v>
      </c>
      <c r="K129" s="105">
        <f>($J129)/V_gutter*(1/60)</f>
        <v>0</v>
      </c>
      <c r="L129" s="112"/>
      <c r="M129" s="109"/>
      <c r="N129" s="129">
        <f t="shared" ref="N129" si="312">($I129+$K129)</f>
        <v>0</v>
      </c>
      <c r="O129" s="111">
        <f t="shared" ref="O129" si="313">MAX($N129:$N133)</f>
        <v>0</v>
      </c>
      <c r="P129" s="133">
        <f>IF($H129&gt;0,IF($O129&lt;=T_1,I_1,IF($O129&lt;=T_2,(($O129*M_1)+B_1),IF($O129&lt;=T_3,(($O129*M_2)+B_2),IF($O129&lt;=T_4,(($O129*M_3)+B_3),IF($O129&lt;=T_5,(($O129*M_4)+B_4),IF($O129&lt;=T_6,(($O129*M_5)+B_5),IF($O129&lt;=T_7,(($O129*M_6)+B_6),IF($O129&lt;=T_8,(($O129*M_7)+B_7),IF($O129&lt;=T_9,(($O129*M_8)+B_8),IF($O129&lt;=T_10,(($O129*M_9)+B_9))))))))))),0)</f>
        <v>0</v>
      </c>
      <c r="Q129" s="111">
        <f t="shared" ref="Q129" si="314">ROUND(($H129*$P129),2)</f>
        <v>0</v>
      </c>
      <c r="R129" s="107">
        <f>IF($Q129&gt;0,IF($Q129&lt;=UTH!$M$4,UTH!$J$4,IF($Q129&lt;=UTH!$M$5,UTH!$J$5,IF($Q129&lt;=UTH!$M$6,UTH!$J$6,IF($Q129&lt;=UTH!$M$7,UTH!$J$7,IF($Q129&lt;=UTH!$M$8,UTH!$J$8,IF($Q129&lt;=UTH!$M$9,UTH!$J$9,IF($Q129&lt;=UTH!$M$10,UTH!$J$10,IF($Q129&lt;=UTH!$M$11,UTH!$J$11,IF($Q129&lt;=UTH!$M$12,UTH!$J$12,IF($Q129&lt;=UTH!$M$13,UTH!$J$13,IF($Q129&lt;=UTH!$M$14,UTH!$J$14,IF($Q129&lt;=UTH!$M$15,UTH!$J$15,IF($Q129&lt;=UTH!$M$16,UTH!$J$16,IF($Q129&lt;=UTH!$M$17,UTH!$J$17,IF($Q129&lt;=UTH!$M$18,UTH!$J$18,IF($Q129&lt;=UTH!$M$19,UTH!$J$19,IF($Q129&lt;=UTH!$M$20,UTH!$J$20))))))))))))))))),0)</f>
        <v>0</v>
      </c>
      <c r="S129" s="107">
        <f>IF(Inverts!$D129="YES",Inverts!$C129,Inverts!$E129)</f>
        <v>0</v>
      </c>
      <c r="T129" s="108">
        <f>IF($S129,($Q129/(KQ*($S129^(8/3))))^2,0)</f>
        <v>0</v>
      </c>
      <c r="U129" s="108">
        <f>IF($S129,(Vmin/(KV*($S129^(2/3))))^2,0)</f>
        <v>0</v>
      </c>
      <c r="V129" s="108">
        <f>IF($Z129,ROUND(MinDrop_2/$Z129,4),0)</f>
        <v>0</v>
      </c>
      <c r="W129" s="108">
        <f t="shared" ref="W129" si="315">IF($S129=0,0,MAX($T129:$V129))</f>
        <v>0</v>
      </c>
      <c r="X129" s="108">
        <f>IF(Inverts!$H129="yes",Inverts!$G129,Inverts!$I129)</f>
        <v>0</v>
      </c>
      <c r="Y129" s="105">
        <f>ROUND(KV*($S129^(2/3))*($X129^(0.5)),2)</f>
        <v>0</v>
      </c>
      <c r="Z129" s="106">
        <f>INDEX(Tribs!$H$3:$H$102,MATCH($A129,Tribs!$A$3:$A$102,0))</f>
        <v>0</v>
      </c>
      <c r="AA129" s="105">
        <f t="shared" ref="AA129" si="316">IF($Y129,($Z129/$Y129)*(1/60),0)</f>
        <v>0</v>
      </c>
      <c r="AB129" s="111">
        <f>ROUND(KQ*($S129^(8/3))*($X129^(0.5)),2)</f>
        <v>0</v>
      </c>
      <c r="AC129" s="138" t="str">
        <f>IF(AND($AB129&gt;=($Q129-0.0049),$Y129&gt;=(Vmin-0.0049)),"OK","NG")</f>
        <v>NG</v>
      </c>
    </row>
    <row r="130" spans="1:29" x14ac:dyDescent="0.3">
      <c r="A130" s="121"/>
      <c r="B130" s="184"/>
      <c r="C130" s="54"/>
      <c r="D130" s="52"/>
      <c r="E130" s="52"/>
      <c r="F130" s="117"/>
      <c r="G130" s="119">
        <f t="shared" ref="G130" si="317">IF($B130,INDEX($H$4:$H$499,(MATCH($B130,$A$4:$A$499))),0)</f>
        <v>0</v>
      </c>
      <c r="H130" s="113"/>
      <c r="I130" s="52"/>
      <c r="J130" s="52"/>
      <c r="K130" s="123"/>
      <c r="L130" s="53">
        <f t="shared" ref="L130" si="318">IF($B130,INDEX($O$4:$O$499,MATCH($B130,$A$4:$A$499)),0)</f>
        <v>0</v>
      </c>
      <c r="M130" s="126">
        <f t="shared" ref="M130" si="319">IF($B130,INDEX($AA$4:$AA$499,MATCH($B130,$A$4:$A$499)),0)</f>
        <v>0</v>
      </c>
      <c r="N130" s="119">
        <f t="shared" ref="N130" si="320">($L130+$M130)</f>
        <v>0</v>
      </c>
      <c r="O130" s="130"/>
      <c r="P130" s="134"/>
      <c r="Q130" s="130"/>
      <c r="R130" s="52"/>
      <c r="S130" s="224">
        <f t="shared" ref="S130:S133" si="321">S129</f>
        <v>0</v>
      </c>
      <c r="T130" s="237"/>
      <c r="U130" s="237"/>
      <c r="V130" s="237"/>
      <c r="W130" s="237"/>
      <c r="X130" s="52"/>
      <c r="Y130" s="52"/>
      <c r="Z130" s="52"/>
      <c r="AA130" s="54"/>
      <c r="AB130" s="130"/>
      <c r="AC130" s="139"/>
    </row>
    <row r="131" spans="1:29" x14ac:dyDescent="0.3">
      <c r="A131" s="121"/>
      <c r="B131" s="184"/>
      <c r="C131" s="54"/>
      <c r="D131" s="52"/>
      <c r="E131" s="52"/>
      <c r="F131" s="117"/>
      <c r="G131" s="119">
        <f t="shared" si="161"/>
        <v>0</v>
      </c>
      <c r="H131" s="113"/>
      <c r="I131" s="52"/>
      <c r="J131" s="52"/>
      <c r="K131" s="124"/>
      <c r="L131" s="53">
        <f t="shared" si="188"/>
        <v>0</v>
      </c>
      <c r="M131" s="127">
        <f t="shared" si="189"/>
        <v>0</v>
      </c>
      <c r="N131" s="119">
        <f t="shared" si="190"/>
        <v>0</v>
      </c>
      <c r="O131" s="130"/>
      <c r="P131" s="134"/>
      <c r="Q131" s="130"/>
      <c r="R131" s="52"/>
      <c r="S131" s="224">
        <f t="shared" si="321"/>
        <v>0</v>
      </c>
      <c r="T131" s="237"/>
      <c r="U131" s="237"/>
      <c r="V131" s="237"/>
      <c r="W131" s="237"/>
      <c r="X131" s="52"/>
      <c r="Y131" s="52"/>
      <c r="Z131" s="52"/>
      <c r="AA131" s="54"/>
      <c r="AB131" s="130"/>
      <c r="AC131" s="139"/>
    </row>
    <row r="132" spans="1:29" x14ac:dyDescent="0.3">
      <c r="A132" s="121"/>
      <c r="B132" s="184"/>
      <c r="C132" s="54"/>
      <c r="D132" s="52"/>
      <c r="E132" s="52"/>
      <c r="F132" s="117"/>
      <c r="G132" s="119">
        <f t="shared" si="161"/>
        <v>0</v>
      </c>
      <c r="H132" s="113"/>
      <c r="I132" s="52"/>
      <c r="J132" s="52"/>
      <c r="K132" s="124"/>
      <c r="L132" s="53">
        <f t="shared" si="188"/>
        <v>0</v>
      </c>
      <c r="M132" s="127">
        <f t="shared" si="189"/>
        <v>0</v>
      </c>
      <c r="N132" s="119">
        <f t="shared" si="190"/>
        <v>0</v>
      </c>
      <c r="O132" s="130"/>
      <c r="P132" s="134"/>
      <c r="Q132" s="130"/>
      <c r="R132" s="52"/>
      <c r="S132" s="224">
        <f t="shared" si="321"/>
        <v>0</v>
      </c>
      <c r="T132" s="237"/>
      <c r="U132" s="237"/>
      <c r="V132" s="237"/>
      <c r="W132" s="237"/>
      <c r="X132" s="52"/>
      <c r="Y132" s="52"/>
      <c r="Z132" s="52"/>
      <c r="AA132" s="54"/>
      <c r="AB132" s="130"/>
      <c r="AC132" s="139"/>
    </row>
    <row r="133" spans="1:29" ht="15" thickBot="1" x14ac:dyDescent="0.35">
      <c r="A133" s="122"/>
      <c r="B133" s="185"/>
      <c r="C133" s="102"/>
      <c r="D133" s="101"/>
      <c r="E133" s="101"/>
      <c r="F133" s="118"/>
      <c r="G133" s="120">
        <f t="shared" si="161"/>
        <v>0</v>
      </c>
      <c r="H133" s="114"/>
      <c r="I133" s="101"/>
      <c r="J133" s="101"/>
      <c r="K133" s="125"/>
      <c r="L133" s="103">
        <f t="shared" si="188"/>
        <v>0</v>
      </c>
      <c r="M133" s="128">
        <f t="shared" si="189"/>
        <v>0</v>
      </c>
      <c r="N133" s="120">
        <f t="shared" si="190"/>
        <v>0</v>
      </c>
      <c r="O133" s="131"/>
      <c r="P133" s="135"/>
      <c r="Q133" s="131"/>
      <c r="R133" s="101"/>
      <c r="S133" s="104">
        <f t="shared" si="321"/>
        <v>0</v>
      </c>
      <c r="T133" s="238"/>
      <c r="U133" s="238"/>
      <c r="V133" s="238"/>
      <c r="W133" s="238"/>
      <c r="X133" s="101"/>
      <c r="Y133" s="101"/>
      <c r="Z133" s="101"/>
      <c r="AA133" s="102"/>
      <c r="AB133" s="131"/>
      <c r="AC133" s="140"/>
    </row>
    <row r="134" spans="1:29" x14ac:dyDescent="0.3">
      <c r="A134" s="115">
        <f t="shared" ref="A134" si="322">$A129+1</f>
        <v>27</v>
      </c>
      <c r="B134" s="186"/>
      <c r="C134" s="105">
        <f>INDEX(Tribs!$C$3:$C$102,MATCH($A134,Tribs!$A$3:$A$102,0))</f>
        <v>0</v>
      </c>
      <c r="D134" s="106">
        <f>INDEX(Tribs!$E$3:$E$102,MATCH($A134,Tribs!$A$3:$A$102,0))</f>
        <v>0</v>
      </c>
      <c r="E134" s="105">
        <f>INDEX(Tribs!$F$3:$F$102,MATCH($A134,Tribs!$A$3:$A$102,0))</f>
        <v>0</v>
      </c>
      <c r="F134" s="116">
        <f t="shared" ref="F134" si="323">($C134*$E134)</f>
        <v>0</v>
      </c>
      <c r="G134" s="110"/>
      <c r="H134" s="111">
        <f t="shared" ref="H134" si="324">($F134)+(SUM($G135:$G138))</f>
        <v>0</v>
      </c>
      <c r="I134" s="106">
        <f>INDEX(Tribs!$D$3:$D$102,MATCH($A134,Tribs!$A$3:$A$102,0))</f>
        <v>0</v>
      </c>
      <c r="J134" s="106">
        <f>INDEX(Tribs!$G$3:$G$102,MATCH($A134,Tribs!$A$3:$A$102,0))</f>
        <v>0</v>
      </c>
      <c r="K134" s="105">
        <f>($J134)/V_gutter*(1/60)</f>
        <v>0</v>
      </c>
      <c r="L134" s="112"/>
      <c r="M134" s="109"/>
      <c r="N134" s="129">
        <f t="shared" ref="N134" si="325">($I134+$K134)</f>
        <v>0</v>
      </c>
      <c r="O134" s="111">
        <f t="shared" ref="O134" si="326">MAX($N134:$N138)</f>
        <v>0</v>
      </c>
      <c r="P134" s="133">
        <f>IF($H134&gt;0,IF($O134&lt;=T_1,I_1,IF($O134&lt;=T_2,(($O134*M_1)+B_1),IF($O134&lt;=T_3,(($O134*M_2)+B_2),IF($O134&lt;=T_4,(($O134*M_3)+B_3),IF($O134&lt;=T_5,(($O134*M_4)+B_4),IF($O134&lt;=T_6,(($O134*M_5)+B_5),IF($O134&lt;=T_7,(($O134*M_6)+B_6),IF($O134&lt;=T_8,(($O134*M_7)+B_7),IF($O134&lt;=T_9,(($O134*M_8)+B_8),IF($O134&lt;=T_10,(($O134*M_9)+B_9))))))))))),0)</f>
        <v>0</v>
      </c>
      <c r="Q134" s="111">
        <f t="shared" ref="Q134" si="327">ROUND(($H134*$P134),2)</f>
        <v>0</v>
      </c>
      <c r="R134" s="107">
        <f>IF($Q134&gt;0,IF($Q134&lt;=UTH!$M$4,UTH!$J$4,IF($Q134&lt;=UTH!$M$5,UTH!$J$5,IF($Q134&lt;=UTH!$M$6,UTH!$J$6,IF($Q134&lt;=UTH!$M$7,UTH!$J$7,IF($Q134&lt;=UTH!$M$8,UTH!$J$8,IF($Q134&lt;=UTH!$M$9,UTH!$J$9,IF($Q134&lt;=UTH!$M$10,UTH!$J$10,IF($Q134&lt;=UTH!$M$11,UTH!$J$11,IF($Q134&lt;=UTH!$M$12,UTH!$J$12,IF($Q134&lt;=UTH!$M$13,UTH!$J$13,IF($Q134&lt;=UTH!$M$14,UTH!$J$14,IF($Q134&lt;=UTH!$M$15,UTH!$J$15,IF($Q134&lt;=UTH!$M$16,UTH!$J$16,IF($Q134&lt;=UTH!$M$17,UTH!$J$17,IF($Q134&lt;=UTH!$M$18,UTH!$J$18,IF($Q134&lt;=UTH!$M$19,UTH!$J$19,IF($Q134&lt;=UTH!$M$20,UTH!$J$20))))))))))))))))),0)</f>
        <v>0</v>
      </c>
      <c r="S134" s="107">
        <f>IF(Inverts!$D134="YES",Inverts!$C134,Inverts!$E134)</f>
        <v>0</v>
      </c>
      <c r="T134" s="108">
        <f>IF($S134,($Q134/(KQ*($S134^(8/3))))^2,0)</f>
        <v>0</v>
      </c>
      <c r="U134" s="108">
        <f>IF($S134,(Vmin/(KV*($S134^(2/3))))^2,0)</f>
        <v>0</v>
      </c>
      <c r="V134" s="108">
        <f>IF($Z134,ROUND(MinDrop_2/$Z134,4),0)</f>
        <v>0</v>
      </c>
      <c r="W134" s="108">
        <f t="shared" ref="W134" si="328">IF($S134=0,0,MAX($T134:$V134))</f>
        <v>0</v>
      </c>
      <c r="X134" s="108">
        <f>IF(Inverts!$H134="yes",Inverts!$G134,Inverts!$I134)</f>
        <v>0</v>
      </c>
      <c r="Y134" s="105">
        <f>ROUND(KV*($S134^(2/3))*($X134^(0.5)),2)</f>
        <v>0</v>
      </c>
      <c r="Z134" s="106">
        <f>INDEX(Tribs!$H$3:$H$102,MATCH($A134,Tribs!$A$3:$A$102,0))</f>
        <v>0</v>
      </c>
      <c r="AA134" s="105">
        <f t="shared" ref="AA134" si="329">IF($Y134,($Z134/$Y134)*(1/60),0)</f>
        <v>0</v>
      </c>
      <c r="AB134" s="111">
        <f>ROUND(KQ*($S134^(8/3))*($X134^(0.5)),2)</f>
        <v>0</v>
      </c>
      <c r="AC134" s="138" t="str">
        <f>IF(AND($AB134&gt;=($Q134-0.0049),$Y134&gt;=(Vmin-0.0049)),"OK","NG")</f>
        <v>NG</v>
      </c>
    </row>
    <row r="135" spans="1:29" x14ac:dyDescent="0.3">
      <c r="A135" s="121"/>
      <c r="B135" s="184"/>
      <c r="C135" s="54"/>
      <c r="D135" s="52"/>
      <c r="E135" s="52"/>
      <c r="F135" s="117"/>
      <c r="G135" s="119">
        <f t="shared" ref="G135:G198" si="330">IF($B135,INDEX($H$4:$H$499,(MATCH($B135,$A$4:$A$499))),0)</f>
        <v>0</v>
      </c>
      <c r="H135" s="113"/>
      <c r="I135" s="52"/>
      <c r="J135" s="52"/>
      <c r="K135" s="123"/>
      <c r="L135" s="53">
        <f t="shared" ref="L135" si="331">IF($B135,INDEX($O$4:$O$499,MATCH($B135,$A$4:$A$499)),0)</f>
        <v>0</v>
      </c>
      <c r="M135" s="126">
        <f t="shared" ref="M135" si="332">IF($B135,INDEX($AA$4:$AA$499,MATCH($B135,$A$4:$A$499)),0)</f>
        <v>0</v>
      </c>
      <c r="N135" s="119">
        <f t="shared" ref="N135" si="333">($L135+$M135)</f>
        <v>0</v>
      </c>
      <c r="O135" s="130"/>
      <c r="P135" s="134"/>
      <c r="Q135" s="130"/>
      <c r="R135" s="52"/>
      <c r="S135" s="224">
        <f t="shared" ref="S135:S138" si="334">S134</f>
        <v>0</v>
      </c>
      <c r="T135" s="237"/>
      <c r="U135" s="237"/>
      <c r="V135" s="237"/>
      <c r="W135" s="237"/>
      <c r="X135" s="52"/>
      <c r="Y135" s="52"/>
      <c r="Z135" s="52"/>
      <c r="AA135" s="54"/>
      <c r="AB135" s="130"/>
      <c r="AC135" s="139"/>
    </row>
    <row r="136" spans="1:29" x14ac:dyDescent="0.3">
      <c r="A136" s="121"/>
      <c r="B136" s="184"/>
      <c r="C136" s="54"/>
      <c r="D136" s="52"/>
      <c r="E136" s="52"/>
      <c r="F136" s="117"/>
      <c r="G136" s="119">
        <f t="shared" si="330"/>
        <v>0</v>
      </c>
      <c r="H136" s="113"/>
      <c r="I136" s="52"/>
      <c r="J136" s="52"/>
      <c r="K136" s="124"/>
      <c r="L136" s="53">
        <f t="shared" si="188"/>
        <v>0</v>
      </c>
      <c r="M136" s="127">
        <f t="shared" si="189"/>
        <v>0</v>
      </c>
      <c r="N136" s="119">
        <f t="shared" si="190"/>
        <v>0</v>
      </c>
      <c r="O136" s="130"/>
      <c r="P136" s="134"/>
      <c r="Q136" s="130"/>
      <c r="R136" s="52"/>
      <c r="S136" s="224">
        <f t="shared" si="334"/>
        <v>0</v>
      </c>
      <c r="T136" s="237"/>
      <c r="U136" s="237"/>
      <c r="V136" s="237"/>
      <c r="W136" s="237"/>
      <c r="X136" s="52"/>
      <c r="Y136" s="52"/>
      <c r="Z136" s="52"/>
      <c r="AA136" s="54"/>
      <c r="AB136" s="130"/>
      <c r="AC136" s="139"/>
    </row>
    <row r="137" spans="1:29" x14ac:dyDescent="0.3">
      <c r="A137" s="121"/>
      <c r="B137" s="184"/>
      <c r="C137" s="54"/>
      <c r="D137" s="52"/>
      <c r="E137" s="52"/>
      <c r="F137" s="117"/>
      <c r="G137" s="119">
        <f t="shared" si="330"/>
        <v>0</v>
      </c>
      <c r="H137" s="113"/>
      <c r="I137" s="52"/>
      <c r="J137" s="52"/>
      <c r="K137" s="124"/>
      <c r="L137" s="53">
        <f t="shared" si="188"/>
        <v>0</v>
      </c>
      <c r="M137" s="127">
        <f t="shared" si="189"/>
        <v>0</v>
      </c>
      <c r="N137" s="119">
        <f t="shared" si="190"/>
        <v>0</v>
      </c>
      <c r="O137" s="130"/>
      <c r="P137" s="134"/>
      <c r="Q137" s="130"/>
      <c r="R137" s="52"/>
      <c r="S137" s="224">
        <f t="shared" si="334"/>
        <v>0</v>
      </c>
      <c r="T137" s="237"/>
      <c r="U137" s="237"/>
      <c r="V137" s="237"/>
      <c r="W137" s="237"/>
      <c r="X137" s="52"/>
      <c r="Y137" s="52"/>
      <c r="Z137" s="52"/>
      <c r="AA137" s="54"/>
      <c r="AB137" s="130"/>
      <c r="AC137" s="139"/>
    </row>
    <row r="138" spans="1:29" ht="15" thickBot="1" x14ac:dyDescent="0.35">
      <c r="A138" s="122"/>
      <c r="B138" s="185"/>
      <c r="C138" s="102"/>
      <c r="D138" s="101"/>
      <c r="E138" s="101"/>
      <c r="F138" s="118"/>
      <c r="G138" s="120">
        <f t="shared" si="330"/>
        <v>0</v>
      </c>
      <c r="H138" s="114"/>
      <c r="I138" s="101"/>
      <c r="J138" s="101"/>
      <c r="K138" s="125"/>
      <c r="L138" s="103">
        <f t="shared" si="188"/>
        <v>0</v>
      </c>
      <c r="M138" s="128">
        <f t="shared" si="189"/>
        <v>0</v>
      </c>
      <c r="N138" s="120">
        <f t="shared" si="190"/>
        <v>0</v>
      </c>
      <c r="O138" s="131"/>
      <c r="P138" s="135"/>
      <c r="Q138" s="131"/>
      <c r="R138" s="101"/>
      <c r="S138" s="104">
        <f t="shared" si="334"/>
        <v>0</v>
      </c>
      <c r="T138" s="238"/>
      <c r="U138" s="238"/>
      <c r="V138" s="238"/>
      <c r="W138" s="238"/>
      <c r="X138" s="101"/>
      <c r="Y138" s="101"/>
      <c r="Z138" s="101"/>
      <c r="AA138" s="102"/>
      <c r="AB138" s="131"/>
      <c r="AC138" s="140"/>
    </row>
    <row r="139" spans="1:29" x14ac:dyDescent="0.3">
      <c r="A139" s="115">
        <f t="shared" ref="A139" si="335">$A134+1</f>
        <v>28</v>
      </c>
      <c r="B139" s="186"/>
      <c r="C139" s="105">
        <f>INDEX(Tribs!$C$3:$C$102,MATCH($A139,Tribs!$A$3:$A$102,0))</f>
        <v>0</v>
      </c>
      <c r="D139" s="106">
        <f>INDEX(Tribs!$E$3:$E$102,MATCH($A139,Tribs!$A$3:$A$102,0))</f>
        <v>0</v>
      </c>
      <c r="E139" s="105">
        <f>INDEX(Tribs!$F$3:$F$102,MATCH($A139,Tribs!$A$3:$A$102,0))</f>
        <v>0</v>
      </c>
      <c r="F139" s="116">
        <f t="shared" ref="F139" si="336">($C139*$E139)</f>
        <v>0</v>
      </c>
      <c r="G139" s="110"/>
      <c r="H139" s="111">
        <f t="shared" ref="H139" si="337">($F139)+(SUM($G140:$G143))</f>
        <v>0</v>
      </c>
      <c r="I139" s="106">
        <f>INDEX(Tribs!$D$3:$D$102,MATCH($A139,Tribs!$A$3:$A$102,0))</f>
        <v>0</v>
      </c>
      <c r="J139" s="106">
        <f>INDEX(Tribs!$G$3:$G$102,MATCH($A139,Tribs!$A$3:$A$102,0))</f>
        <v>0</v>
      </c>
      <c r="K139" s="105">
        <f>($J139)/V_gutter*(1/60)</f>
        <v>0</v>
      </c>
      <c r="L139" s="112"/>
      <c r="M139" s="109"/>
      <c r="N139" s="129">
        <f t="shared" ref="N139" si="338">($I139+$K139)</f>
        <v>0</v>
      </c>
      <c r="O139" s="111">
        <f t="shared" ref="O139" si="339">MAX($N139:$N143)</f>
        <v>0</v>
      </c>
      <c r="P139" s="133">
        <f>IF($H139&gt;0,IF($O139&lt;=T_1,I_1,IF($O139&lt;=T_2,(($O139*M_1)+B_1),IF($O139&lt;=T_3,(($O139*M_2)+B_2),IF($O139&lt;=T_4,(($O139*M_3)+B_3),IF($O139&lt;=T_5,(($O139*M_4)+B_4),IF($O139&lt;=T_6,(($O139*M_5)+B_5),IF($O139&lt;=T_7,(($O139*M_6)+B_6),IF($O139&lt;=T_8,(($O139*M_7)+B_7),IF($O139&lt;=T_9,(($O139*M_8)+B_8),IF($O139&lt;=T_10,(($O139*M_9)+B_9))))))))))),0)</f>
        <v>0</v>
      </c>
      <c r="Q139" s="111">
        <f t="shared" ref="Q139" si="340">ROUND(($H139*$P139),2)</f>
        <v>0</v>
      </c>
      <c r="R139" s="107">
        <f>IF($Q139&gt;0,IF($Q139&lt;=UTH!$M$4,UTH!$J$4,IF($Q139&lt;=UTH!$M$5,UTH!$J$5,IF($Q139&lt;=UTH!$M$6,UTH!$J$6,IF($Q139&lt;=UTH!$M$7,UTH!$J$7,IF($Q139&lt;=UTH!$M$8,UTH!$J$8,IF($Q139&lt;=UTH!$M$9,UTH!$J$9,IF($Q139&lt;=UTH!$M$10,UTH!$J$10,IF($Q139&lt;=UTH!$M$11,UTH!$J$11,IF($Q139&lt;=UTH!$M$12,UTH!$J$12,IF($Q139&lt;=UTH!$M$13,UTH!$J$13,IF($Q139&lt;=UTH!$M$14,UTH!$J$14,IF($Q139&lt;=UTH!$M$15,UTH!$J$15,IF($Q139&lt;=UTH!$M$16,UTH!$J$16,IF($Q139&lt;=UTH!$M$17,UTH!$J$17,IF($Q139&lt;=UTH!$M$18,UTH!$J$18,IF($Q139&lt;=UTH!$M$19,UTH!$J$19,IF($Q139&lt;=UTH!$M$20,UTH!$J$20))))))))))))))))),0)</f>
        <v>0</v>
      </c>
      <c r="S139" s="107">
        <f>IF(Inverts!$D139="YES",Inverts!$C139,Inverts!$E139)</f>
        <v>0</v>
      </c>
      <c r="T139" s="108">
        <f>IF($S139,($Q139/(KQ*($S139^(8/3))))^2,0)</f>
        <v>0</v>
      </c>
      <c r="U139" s="108">
        <f>IF($S139,(Vmin/(KV*($S139^(2/3))))^2,0)</f>
        <v>0</v>
      </c>
      <c r="V139" s="108">
        <f>IF($Z139,ROUND(MinDrop_2/$Z139,4),0)</f>
        <v>0</v>
      </c>
      <c r="W139" s="108">
        <f t="shared" ref="W139" si="341">IF($S139=0,0,MAX($T139:$V139))</f>
        <v>0</v>
      </c>
      <c r="X139" s="108">
        <f>IF(Inverts!$H139="yes",Inverts!$G139,Inverts!$I139)</f>
        <v>0</v>
      </c>
      <c r="Y139" s="105">
        <f>ROUND(KV*($S139^(2/3))*($X139^(0.5)),2)</f>
        <v>0</v>
      </c>
      <c r="Z139" s="106">
        <f>INDEX(Tribs!$H$3:$H$102,MATCH($A139,Tribs!$A$3:$A$102,0))</f>
        <v>0</v>
      </c>
      <c r="AA139" s="105">
        <f t="shared" ref="AA139" si="342">IF($Y139,($Z139/$Y139)*(1/60),0)</f>
        <v>0</v>
      </c>
      <c r="AB139" s="111">
        <f>ROUND(KQ*($S139^(8/3))*($X139^(0.5)),2)</f>
        <v>0</v>
      </c>
      <c r="AC139" s="138" t="str">
        <f>IF(AND($AB139&gt;=($Q139-0.0049),$Y139&gt;=(Vmin-0.0049)),"OK","NG")</f>
        <v>NG</v>
      </c>
    </row>
    <row r="140" spans="1:29" x14ac:dyDescent="0.3">
      <c r="A140" s="121"/>
      <c r="B140" s="184"/>
      <c r="C140" s="54"/>
      <c r="D140" s="52"/>
      <c r="E140" s="52"/>
      <c r="F140" s="117"/>
      <c r="G140" s="119">
        <f t="shared" ref="G140" si="343">IF($B140,INDEX($H$4:$H$499,(MATCH($B140,$A$4:$A$499))),0)</f>
        <v>0</v>
      </c>
      <c r="H140" s="113"/>
      <c r="I140" s="52"/>
      <c r="J140" s="52"/>
      <c r="K140" s="123"/>
      <c r="L140" s="53">
        <f t="shared" ref="L140" si="344">IF($B140,INDEX($O$4:$O$499,MATCH($B140,$A$4:$A$499)),0)</f>
        <v>0</v>
      </c>
      <c r="M140" s="126">
        <f t="shared" ref="M140" si="345">IF($B140,INDEX($AA$4:$AA$499,MATCH($B140,$A$4:$A$499)),0)</f>
        <v>0</v>
      </c>
      <c r="N140" s="119">
        <f t="shared" ref="N140" si="346">($L140+$M140)</f>
        <v>0</v>
      </c>
      <c r="O140" s="130"/>
      <c r="P140" s="134"/>
      <c r="Q140" s="130"/>
      <c r="R140" s="52"/>
      <c r="S140" s="224">
        <f t="shared" ref="S140:S143" si="347">S139</f>
        <v>0</v>
      </c>
      <c r="T140" s="237"/>
      <c r="U140" s="237"/>
      <c r="V140" s="237"/>
      <c r="W140" s="237"/>
      <c r="X140" s="52"/>
      <c r="Y140" s="52"/>
      <c r="Z140" s="52"/>
      <c r="AA140" s="54"/>
      <c r="AB140" s="130"/>
      <c r="AC140" s="139"/>
    </row>
    <row r="141" spans="1:29" x14ac:dyDescent="0.3">
      <c r="A141" s="121"/>
      <c r="B141" s="184"/>
      <c r="C141" s="54"/>
      <c r="D141" s="52"/>
      <c r="E141" s="52"/>
      <c r="F141" s="117"/>
      <c r="G141" s="119">
        <f t="shared" si="330"/>
        <v>0</v>
      </c>
      <c r="H141" s="113"/>
      <c r="I141" s="52"/>
      <c r="J141" s="52"/>
      <c r="K141" s="124"/>
      <c r="L141" s="53">
        <f t="shared" si="188"/>
        <v>0</v>
      </c>
      <c r="M141" s="127">
        <f t="shared" si="189"/>
        <v>0</v>
      </c>
      <c r="N141" s="119">
        <f t="shared" si="190"/>
        <v>0</v>
      </c>
      <c r="O141" s="130"/>
      <c r="P141" s="134"/>
      <c r="Q141" s="130"/>
      <c r="R141" s="52"/>
      <c r="S141" s="224">
        <f t="shared" si="347"/>
        <v>0</v>
      </c>
      <c r="T141" s="237"/>
      <c r="U141" s="237"/>
      <c r="V141" s="237"/>
      <c r="W141" s="237"/>
      <c r="X141" s="52"/>
      <c r="Y141" s="52"/>
      <c r="Z141" s="52"/>
      <c r="AA141" s="54"/>
      <c r="AB141" s="130"/>
      <c r="AC141" s="139"/>
    </row>
    <row r="142" spans="1:29" x14ac:dyDescent="0.3">
      <c r="A142" s="121"/>
      <c r="B142" s="184"/>
      <c r="C142" s="54"/>
      <c r="D142" s="52"/>
      <c r="E142" s="52"/>
      <c r="F142" s="117"/>
      <c r="G142" s="119">
        <f t="shared" si="330"/>
        <v>0</v>
      </c>
      <c r="H142" s="113"/>
      <c r="I142" s="52"/>
      <c r="J142" s="52"/>
      <c r="K142" s="124"/>
      <c r="L142" s="53">
        <f t="shared" si="188"/>
        <v>0</v>
      </c>
      <c r="M142" s="127">
        <f t="shared" si="189"/>
        <v>0</v>
      </c>
      <c r="N142" s="119">
        <f t="shared" si="190"/>
        <v>0</v>
      </c>
      <c r="O142" s="130"/>
      <c r="P142" s="134"/>
      <c r="Q142" s="130"/>
      <c r="R142" s="52"/>
      <c r="S142" s="224">
        <f t="shared" si="347"/>
        <v>0</v>
      </c>
      <c r="T142" s="237"/>
      <c r="U142" s="237"/>
      <c r="V142" s="237"/>
      <c r="W142" s="237"/>
      <c r="X142" s="52"/>
      <c r="Y142" s="52"/>
      <c r="Z142" s="52"/>
      <c r="AA142" s="54"/>
      <c r="AB142" s="130"/>
      <c r="AC142" s="139"/>
    </row>
    <row r="143" spans="1:29" ht="15" thickBot="1" x14ac:dyDescent="0.35">
      <c r="A143" s="122"/>
      <c r="B143" s="185"/>
      <c r="C143" s="102"/>
      <c r="D143" s="101"/>
      <c r="E143" s="101"/>
      <c r="F143" s="118"/>
      <c r="G143" s="120">
        <f t="shared" si="330"/>
        <v>0</v>
      </c>
      <c r="H143" s="114"/>
      <c r="I143" s="101"/>
      <c r="J143" s="101"/>
      <c r="K143" s="125"/>
      <c r="L143" s="103">
        <f t="shared" si="188"/>
        <v>0</v>
      </c>
      <c r="M143" s="128">
        <f t="shared" si="189"/>
        <v>0</v>
      </c>
      <c r="N143" s="120">
        <f t="shared" si="190"/>
        <v>0</v>
      </c>
      <c r="O143" s="131"/>
      <c r="P143" s="135"/>
      <c r="Q143" s="131"/>
      <c r="R143" s="101"/>
      <c r="S143" s="104">
        <f t="shared" si="347"/>
        <v>0</v>
      </c>
      <c r="T143" s="238"/>
      <c r="U143" s="238"/>
      <c r="V143" s="238"/>
      <c r="W143" s="238"/>
      <c r="X143" s="101"/>
      <c r="Y143" s="101"/>
      <c r="Z143" s="101"/>
      <c r="AA143" s="102"/>
      <c r="AB143" s="131"/>
      <c r="AC143" s="140"/>
    </row>
    <row r="144" spans="1:29" x14ac:dyDescent="0.3">
      <c r="A144" s="115">
        <f t="shared" ref="A144" si="348">$A139+1</f>
        <v>29</v>
      </c>
      <c r="B144" s="186"/>
      <c r="C144" s="105">
        <f>INDEX(Tribs!$C$3:$C$102,MATCH($A144,Tribs!$A$3:$A$102,0))</f>
        <v>0</v>
      </c>
      <c r="D144" s="106">
        <f>INDEX(Tribs!$E$3:$E$102,MATCH($A144,Tribs!$A$3:$A$102,0))</f>
        <v>0</v>
      </c>
      <c r="E144" s="105">
        <f>INDEX(Tribs!$F$3:$F$102,MATCH($A144,Tribs!$A$3:$A$102,0))</f>
        <v>0</v>
      </c>
      <c r="F144" s="116">
        <f t="shared" ref="F144" si="349">($C144*$E144)</f>
        <v>0</v>
      </c>
      <c r="G144" s="110"/>
      <c r="H144" s="111">
        <f t="shared" ref="H144" si="350">($F144)+(SUM($G145:$G148))</f>
        <v>0</v>
      </c>
      <c r="I144" s="106">
        <f>INDEX(Tribs!$D$3:$D$102,MATCH($A144,Tribs!$A$3:$A$102,0))</f>
        <v>0</v>
      </c>
      <c r="J144" s="106">
        <f>INDEX(Tribs!$G$3:$G$102,MATCH($A144,Tribs!$A$3:$A$102,0))</f>
        <v>0</v>
      </c>
      <c r="K144" s="105">
        <f>($J144)/V_gutter*(1/60)</f>
        <v>0</v>
      </c>
      <c r="L144" s="112"/>
      <c r="M144" s="109"/>
      <c r="N144" s="129">
        <f t="shared" ref="N144" si="351">($I144+$K144)</f>
        <v>0</v>
      </c>
      <c r="O144" s="111">
        <f t="shared" ref="O144" si="352">MAX($N144:$N148)</f>
        <v>0</v>
      </c>
      <c r="P144" s="133">
        <f>IF($H144&gt;0,IF($O144&lt;=T_1,I_1,IF($O144&lt;=T_2,(($O144*M_1)+B_1),IF($O144&lt;=T_3,(($O144*M_2)+B_2),IF($O144&lt;=T_4,(($O144*M_3)+B_3),IF($O144&lt;=T_5,(($O144*M_4)+B_4),IF($O144&lt;=T_6,(($O144*M_5)+B_5),IF($O144&lt;=T_7,(($O144*M_6)+B_6),IF($O144&lt;=T_8,(($O144*M_7)+B_7),IF($O144&lt;=T_9,(($O144*M_8)+B_8),IF($O144&lt;=T_10,(($O144*M_9)+B_9))))))))))),0)</f>
        <v>0</v>
      </c>
      <c r="Q144" s="111">
        <f t="shared" ref="Q144" si="353">ROUND(($H144*$P144),2)</f>
        <v>0</v>
      </c>
      <c r="R144" s="107">
        <f>IF($Q144&gt;0,IF($Q144&lt;=UTH!$M$4,UTH!$J$4,IF($Q144&lt;=UTH!$M$5,UTH!$J$5,IF($Q144&lt;=UTH!$M$6,UTH!$J$6,IF($Q144&lt;=UTH!$M$7,UTH!$J$7,IF($Q144&lt;=UTH!$M$8,UTH!$J$8,IF($Q144&lt;=UTH!$M$9,UTH!$J$9,IF($Q144&lt;=UTH!$M$10,UTH!$J$10,IF($Q144&lt;=UTH!$M$11,UTH!$J$11,IF($Q144&lt;=UTH!$M$12,UTH!$J$12,IF($Q144&lt;=UTH!$M$13,UTH!$J$13,IF($Q144&lt;=UTH!$M$14,UTH!$J$14,IF($Q144&lt;=UTH!$M$15,UTH!$J$15,IF($Q144&lt;=UTH!$M$16,UTH!$J$16,IF($Q144&lt;=UTH!$M$17,UTH!$J$17,IF($Q144&lt;=UTH!$M$18,UTH!$J$18,IF($Q144&lt;=UTH!$M$19,UTH!$J$19,IF($Q144&lt;=UTH!$M$20,UTH!$J$20))))))))))))))))),0)</f>
        <v>0</v>
      </c>
      <c r="S144" s="107">
        <f>IF(Inverts!$D144="YES",Inverts!$C144,Inverts!$E144)</f>
        <v>0</v>
      </c>
      <c r="T144" s="108">
        <f>IF($S144,($Q144/(KQ*($S144^(8/3))))^2,0)</f>
        <v>0</v>
      </c>
      <c r="U144" s="108">
        <f>IF($S144,(Vmin/(KV*($S144^(2/3))))^2,0)</f>
        <v>0</v>
      </c>
      <c r="V144" s="108">
        <f>IF($Z144,ROUND(MinDrop_2/$Z144,4),0)</f>
        <v>0</v>
      </c>
      <c r="W144" s="108">
        <f t="shared" ref="W144" si="354">IF($S144=0,0,MAX($T144:$V144))</f>
        <v>0</v>
      </c>
      <c r="X144" s="108">
        <f>IF(Inverts!$H144="yes",Inverts!$G144,Inverts!$I144)</f>
        <v>0</v>
      </c>
      <c r="Y144" s="105">
        <f>ROUND(KV*($S144^(2/3))*($X144^(0.5)),2)</f>
        <v>0</v>
      </c>
      <c r="Z144" s="106">
        <f>INDEX(Tribs!$H$3:$H$102,MATCH($A144,Tribs!$A$3:$A$102,0))</f>
        <v>0</v>
      </c>
      <c r="AA144" s="105">
        <f t="shared" ref="AA144" si="355">IF($Y144,($Z144/$Y144)*(1/60),0)</f>
        <v>0</v>
      </c>
      <c r="AB144" s="111">
        <f>ROUND(KQ*($S144^(8/3))*($X144^(0.5)),2)</f>
        <v>0</v>
      </c>
      <c r="AC144" s="138" t="str">
        <f>IF(AND($AB144&gt;=($Q144-0.0049),$Y144&gt;=(Vmin-0.0049)),"OK","NG")</f>
        <v>NG</v>
      </c>
    </row>
    <row r="145" spans="1:29" x14ac:dyDescent="0.3">
      <c r="A145" s="121"/>
      <c r="B145" s="184"/>
      <c r="C145" s="54"/>
      <c r="D145" s="52"/>
      <c r="E145" s="52"/>
      <c r="F145" s="117"/>
      <c r="G145" s="119">
        <f t="shared" ref="G145" si="356">IF($B145,INDEX($H$4:$H$499,(MATCH($B145,$A$4:$A$499))),0)</f>
        <v>0</v>
      </c>
      <c r="H145" s="113"/>
      <c r="I145" s="52"/>
      <c r="J145" s="52"/>
      <c r="K145" s="123"/>
      <c r="L145" s="53">
        <f t="shared" ref="L145:L208" si="357">IF($B145,INDEX($O$4:$O$499,MATCH($B145,$A$4:$A$499)),0)</f>
        <v>0</v>
      </c>
      <c r="M145" s="126">
        <f t="shared" ref="M145:M208" si="358">IF($B145,INDEX($AA$4:$AA$499,MATCH($B145,$A$4:$A$499)),0)</f>
        <v>0</v>
      </c>
      <c r="N145" s="119">
        <f t="shared" ref="N145:N208" si="359">($L145+$M145)</f>
        <v>0</v>
      </c>
      <c r="O145" s="130"/>
      <c r="P145" s="134"/>
      <c r="Q145" s="130"/>
      <c r="R145" s="52"/>
      <c r="S145" s="224">
        <f t="shared" ref="S145:S148" si="360">S144</f>
        <v>0</v>
      </c>
      <c r="T145" s="237"/>
      <c r="U145" s="237"/>
      <c r="V145" s="237"/>
      <c r="W145" s="237"/>
      <c r="X145" s="52"/>
      <c r="Y145" s="52"/>
      <c r="Z145" s="52"/>
      <c r="AA145" s="54"/>
      <c r="AB145" s="130"/>
      <c r="AC145" s="139"/>
    </row>
    <row r="146" spans="1:29" x14ac:dyDescent="0.3">
      <c r="A146" s="121"/>
      <c r="B146" s="184"/>
      <c r="C146" s="54"/>
      <c r="D146" s="52"/>
      <c r="E146" s="52"/>
      <c r="F146" s="117"/>
      <c r="G146" s="119">
        <f t="shared" si="330"/>
        <v>0</v>
      </c>
      <c r="H146" s="113"/>
      <c r="I146" s="52"/>
      <c r="J146" s="52"/>
      <c r="K146" s="124"/>
      <c r="L146" s="53">
        <f t="shared" si="357"/>
        <v>0</v>
      </c>
      <c r="M146" s="127">
        <f t="shared" si="358"/>
        <v>0</v>
      </c>
      <c r="N146" s="119">
        <f t="shared" si="359"/>
        <v>0</v>
      </c>
      <c r="O146" s="130"/>
      <c r="P146" s="134"/>
      <c r="Q146" s="130"/>
      <c r="R146" s="52"/>
      <c r="S146" s="224">
        <f t="shared" si="360"/>
        <v>0</v>
      </c>
      <c r="T146" s="237"/>
      <c r="U146" s="237"/>
      <c r="V146" s="237"/>
      <c r="W146" s="237"/>
      <c r="X146" s="52"/>
      <c r="Y146" s="52"/>
      <c r="Z146" s="52"/>
      <c r="AA146" s="54"/>
      <c r="AB146" s="130"/>
      <c r="AC146" s="139"/>
    </row>
    <row r="147" spans="1:29" x14ac:dyDescent="0.3">
      <c r="A147" s="121"/>
      <c r="B147" s="184"/>
      <c r="C147" s="54"/>
      <c r="D147" s="52"/>
      <c r="E147" s="52"/>
      <c r="F147" s="117"/>
      <c r="G147" s="119">
        <f t="shared" si="330"/>
        <v>0</v>
      </c>
      <c r="H147" s="113"/>
      <c r="I147" s="52"/>
      <c r="J147" s="52"/>
      <c r="K147" s="124"/>
      <c r="L147" s="53">
        <f t="shared" si="357"/>
        <v>0</v>
      </c>
      <c r="M147" s="127">
        <f t="shared" si="358"/>
        <v>0</v>
      </c>
      <c r="N147" s="119">
        <f t="shared" si="359"/>
        <v>0</v>
      </c>
      <c r="O147" s="130"/>
      <c r="P147" s="134"/>
      <c r="Q147" s="130"/>
      <c r="R147" s="52"/>
      <c r="S147" s="224">
        <f t="shared" si="360"/>
        <v>0</v>
      </c>
      <c r="T147" s="237"/>
      <c r="U147" s="237"/>
      <c r="V147" s="237"/>
      <c r="W147" s="237"/>
      <c r="X147" s="52"/>
      <c r="Y147" s="52"/>
      <c r="Z147" s="52"/>
      <c r="AA147" s="54"/>
      <c r="AB147" s="130"/>
      <c r="AC147" s="139"/>
    </row>
    <row r="148" spans="1:29" ht="15" thickBot="1" x14ac:dyDescent="0.35">
      <c r="A148" s="122"/>
      <c r="B148" s="185"/>
      <c r="C148" s="102"/>
      <c r="D148" s="101"/>
      <c r="E148" s="101"/>
      <c r="F148" s="118"/>
      <c r="G148" s="120">
        <f t="shared" si="330"/>
        <v>0</v>
      </c>
      <c r="H148" s="114"/>
      <c r="I148" s="101"/>
      <c r="J148" s="101"/>
      <c r="K148" s="125"/>
      <c r="L148" s="103">
        <f t="shared" si="357"/>
        <v>0</v>
      </c>
      <c r="M148" s="128">
        <f t="shared" si="358"/>
        <v>0</v>
      </c>
      <c r="N148" s="120">
        <f t="shared" si="359"/>
        <v>0</v>
      </c>
      <c r="O148" s="131"/>
      <c r="P148" s="135"/>
      <c r="Q148" s="131"/>
      <c r="R148" s="101"/>
      <c r="S148" s="104">
        <f t="shared" si="360"/>
        <v>0</v>
      </c>
      <c r="T148" s="238"/>
      <c r="U148" s="238"/>
      <c r="V148" s="238"/>
      <c r="W148" s="238"/>
      <c r="X148" s="101"/>
      <c r="Y148" s="101"/>
      <c r="Z148" s="101"/>
      <c r="AA148" s="102"/>
      <c r="AB148" s="131"/>
      <c r="AC148" s="140"/>
    </row>
    <row r="149" spans="1:29" x14ac:dyDescent="0.3">
      <c r="A149" s="115">
        <f t="shared" ref="A149" si="361">$A144+1</f>
        <v>30</v>
      </c>
      <c r="B149" s="186"/>
      <c r="C149" s="105">
        <f>INDEX(Tribs!$C$3:$C$102,MATCH($A149,Tribs!$A$3:$A$102,0))</f>
        <v>0</v>
      </c>
      <c r="D149" s="106">
        <f>INDEX(Tribs!$E$3:$E$102,MATCH($A149,Tribs!$A$3:$A$102,0))</f>
        <v>0</v>
      </c>
      <c r="E149" s="105">
        <f>INDEX(Tribs!$F$3:$F$102,MATCH($A149,Tribs!$A$3:$A$102,0))</f>
        <v>0</v>
      </c>
      <c r="F149" s="116">
        <f t="shared" ref="F149" si="362">($C149*$E149)</f>
        <v>0</v>
      </c>
      <c r="G149" s="110"/>
      <c r="H149" s="111">
        <f t="shared" ref="H149" si="363">($F149)+(SUM($G150:$G153))</f>
        <v>0</v>
      </c>
      <c r="I149" s="106">
        <f>INDEX(Tribs!$D$3:$D$102,MATCH($A149,Tribs!$A$3:$A$102,0))</f>
        <v>0</v>
      </c>
      <c r="J149" s="106">
        <f>INDEX(Tribs!$G$3:$G$102,MATCH($A149,Tribs!$A$3:$A$102,0))</f>
        <v>0</v>
      </c>
      <c r="K149" s="105">
        <f>($J149)/V_gutter*(1/60)</f>
        <v>0</v>
      </c>
      <c r="L149" s="112"/>
      <c r="M149" s="109"/>
      <c r="N149" s="129">
        <f t="shared" ref="N149" si="364">($I149+$K149)</f>
        <v>0</v>
      </c>
      <c r="O149" s="111">
        <f t="shared" ref="O149" si="365">MAX($N149:$N153)</f>
        <v>0</v>
      </c>
      <c r="P149" s="133">
        <f>IF($H149&gt;0,IF($O149&lt;=T_1,I_1,IF($O149&lt;=T_2,(($O149*M_1)+B_1),IF($O149&lt;=T_3,(($O149*M_2)+B_2),IF($O149&lt;=T_4,(($O149*M_3)+B_3),IF($O149&lt;=T_5,(($O149*M_4)+B_4),IF($O149&lt;=T_6,(($O149*M_5)+B_5),IF($O149&lt;=T_7,(($O149*M_6)+B_6),IF($O149&lt;=T_8,(($O149*M_7)+B_7),IF($O149&lt;=T_9,(($O149*M_8)+B_8),IF($O149&lt;=T_10,(($O149*M_9)+B_9))))))))))),0)</f>
        <v>0</v>
      </c>
      <c r="Q149" s="111">
        <f t="shared" ref="Q149" si="366">ROUND(($H149*$P149),2)</f>
        <v>0</v>
      </c>
      <c r="R149" s="107">
        <f>IF($Q149&gt;0,IF($Q149&lt;=UTH!$M$4,UTH!$J$4,IF($Q149&lt;=UTH!$M$5,UTH!$J$5,IF($Q149&lt;=UTH!$M$6,UTH!$J$6,IF($Q149&lt;=UTH!$M$7,UTH!$J$7,IF($Q149&lt;=UTH!$M$8,UTH!$J$8,IF($Q149&lt;=UTH!$M$9,UTH!$J$9,IF($Q149&lt;=UTH!$M$10,UTH!$J$10,IF($Q149&lt;=UTH!$M$11,UTH!$J$11,IF($Q149&lt;=UTH!$M$12,UTH!$J$12,IF($Q149&lt;=UTH!$M$13,UTH!$J$13,IF($Q149&lt;=UTH!$M$14,UTH!$J$14,IF($Q149&lt;=UTH!$M$15,UTH!$J$15,IF($Q149&lt;=UTH!$M$16,UTH!$J$16,IF($Q149&lt;=UTH!$M$17,UTH!$J$17,IF($Q149&lt;=UTH!$M$18,UTH!$J$18,IF($Q149&lt;=UTH!$M$19,UTH!$J$19,IF($Q149&lt;=UTH!$M$20,UTH!$J$20))))))))))))))))),0)</f>
        <v>0</v>
      </c>
      <c r="S149" s="107">
        <f>IF(Inverts!$D149="YES",Inverts!$C149,Inverts!$E149)</f>
        <v>0</v>
      </c>
      <c r="T149" s="108">
        <f>IF($S149,($Q149/(KQ*($S149^(8/3))))^2,0)</f>
        <v>0</v>
      </c>
      <c r="U149" s="108">
        <f>IF($S149,(Vmin/(KV*($S149^(2/3))))^2,0)</f>
        <v>0</v>
      </c>
      <c r="V149" s="108">
        <f>IF($Z149,ROUND(MinDrop_2/$Z149,4),0)</f>
        <v>0</v>
      </c>
      <c r="W149" s="108">
        <f t="shared" ref="W149" si="367">IF($S149=0,0,MAX($T149:$V149))</f>
        <v>0</v>
      </c>
      <c r="X149" s="108">
        <f>IF(Inverts!$H149="yes",Inverts!$G149,Inverts!$I149)</f>
        <v>0</v>
      </c>
      <c r="Y149" s="105">
        <f>ROUND(KV*($S149^(2/3))*($X149^(0.5)),2)</f>
        <v>0</v>
      </c>
      <c r="Z149" s="106">
        <f>INDEX(Tribs!$H$3:$H$102,MATCH($A149,Tribs!$A$3:$A$102,0))</f>
        <v>0</v>
      </c>
      <c r="AA149" s="105">
        <f t="shared" ref="AA149" si="368">IF($Y149,($Z149/$Y149)*(1/60),0)</f>
        <v>0</v>
      </c>
      <c r="AB149" s="111">
        <f>ROUND(KQ*($S149^(8/3))*($X149^(0.5)),2)</f>
        <v>0</v>
      </c>
      <c r="AC149" s="138" t="str">
        <f>IF(AND($AB149&gt;=($Q149-0.0049),$Y149&gt;=(Vmin-0.0049)),"OK","NG")</f>
        <v>NG</v>
      </c>
    </row>
    <row r="150" spans="1:29" x14ac:dyDescent="0.3">
      <c r="A150" s="121"/>
      <c r="B150" s="184"/>
      <c r="C150" s="54"/>
      <c r="D150" s="52"/>
      <c r="E150" s="52"/>
      <c r="F150" s="117"/>
      <c r="G150" s="119">
        <f t="shared" ref="G150" si="369">IF($B150,INDEX($H$4:$H$499,(MATCH($B150,$A$4:$A$499))),0)</f>
        <v>0</v>
      </c>
      <c r="H150" s="113"/>
      <c r="I150" s="52"/>
      <c r="J150" s="52"/>
      <c r="K150" s="123"/>
      <c r="L150" s="53">
        <f t="shared" ref="L150" si="370">IF($B150,INDEX($O$4:$O$499,MATCH($B150,$A$4:$A$499)),0)</f>
        <v>0</v>
      </c>
      <c r="M150" s="126">
        <f t="shared" ref="M150" si="371">IF($B150,INDEX($AA$4:$AA$499,MATCH($B150,$A$4:$A$499)),0)</f>
        <v>0</v>
      </c>
      <c r="N150" s="119">
        <f t="shared" ref="N150" si="372">($L150+$M150)</f>
        <v>0</v>
      </c>
      <c r="O150" s="130"/>
      <c r="P150" s="134"/>
      <c r="Q150" s="130"/>
      <c r="R150" s="52"/>
      <c r="S150" s="224">
        <f t="shared" ref="S150:S153" si="373">S149</f>
        <v>0</v>
      </c>
      <c r="T150" s="237"/>
      <c r="U150" s="237"/>
      <c r="V150" s="237"/>
      <c r="W150" s="237"/>
      <c r="X150" s="52"/>
      <c r="Y150" s="52"/>
      <c r="Z150" s="52"/>
      <c r="AA150" s="54"/>
      <c r="AB150" s="130"/>
      <c r="AC150" s="139"/>
    </row>
    <row r="151" spans="1:29" x14ac:dyDescent="0.3">
      <c r="A151" s="121"/>
      <c r="B151" s="184"/>
      <c r="C151" s="54"/>
      <c r="D151" s="52"/>
      <c r="E151" s="52"/>
      <c r="F151" s="117"/>
      <c r="G151" s="119">
        <f t="shared" si="330"/>
        <v>0</v>
      </c>
      <c r="H151" s="113"/>
      <c r="I151" s="52"/>
      <c r="J151" s="52"/>
      <c r="K151" s="124"/>
      <c r="L151" s="53">
        <f t="shared" si="357"/>
        <v>0</v>
      </c>
      <c r="M151" s="127">
        <f t="shared" si="358"/>
        <v>0</v>
      </c>
      <c r="N151" s="119">
        <f t="shared" si="359"/>
        <v>0</v>
      </c>
      <c r="O151" s="130"/>
      <c r="P151" s="134"/>
      <c r="Q151" s="130"/>
      <c r="R151" s="52"/>
      <c r="S151" s="224">
        <f t="shared" si="373"/>
        <v>0</v>
      </c>
      <c r="T151" s="237"/>
      <c r="U151" s="237"/>
      <c r="V151" s="237"/>
      <c r="W151" s="237"/>
      <c r="X151" s="52"/>
      <c r="Y151" s="52"/>
      <c r="Z151" s="52"/>
      <c r="AA151" s="54"/>
      <c r="AB151" s="130"/>
      <c r="AC151" s="139"/>
    </row>
    <row r="152" spans="1:29" x14ac:dyDescent="0.3">
      <c r="A152" s="121"/>
      <c r="B152" s="184"/>
      <c r="C152" s="54"/>
      <c r="D152" s="52"/>
      <c r="E152" s="52"/>
      <c r="F152" s="117"/>
      <c r="G152" s="119">
        <f t="shared" si="330"/>
        <v>0</v>
      </c>
      <c r="H152" s="113"/>
      <c r="I152" s="52"/>
      <c r="J152" s="52"/>
      <c r="K152" s="124"/>
      <c r="L152" s="53">
        <f t="shared" si="357"/>
        <v>0</v>
      </c>
      <c r="M152" s="127">
        <f t="shared" si="358"/>
        <v>0</v>
      </c>
      <c r="N152" s="119">
        <f t="shared" si="359"/>
        <v>0</v>
      </c>
      <c r="O152" s="130"/>
      <c r="P152" s="134"/>
      <c r="Q152" s="130"/>
      <c r="R152" s="52"/>
      <c r="S152" s="224">
        <f t="shared" si="373"/>
        <v>0</v>
      </c>
      <c r="T152" s="237"/>
      <c r="U152" s="237"/>
      <c r="V152" s="237"/>
      <c r="W152" s="237"/>
      <c r="X152" s="52"/>
      <c r="Y152" s="52"/>
      <c r="Z152" s="52"/>
      <c r="AA152" s="54"/>
      <c r="AB152" s="130"/>
      <c r="AC152" s="139"/>
    </row>
    <row r="153" spans="1:29" ht="15" thickBot="1" x14ac:dyDescent="0.35">
      <c r="A153" s="122"/>
      <c r="B153" s="185"/>
      <c r="C153" s="102"/>
      <c r="D153" s="101"/>
      <c r="E153" s="101"/>
      <c r="F153" s="118"/>
      <c r="G153" s="120">
        <f t="shared" si="330"/>
        <v>0</v>
      </c>
      <c r="H153" s="114"/>
      <c r="I153" s="101"/>
      <c r="J153" s="101"/>
      <c r="K153" s="125"/>
      <c r="L153" s="103">
        <f t="shared" si="357"/>
        <v>0</v>
      </c>
      <c r="M153" s="128">
        <f t="shared" si="358"/>
        <v>0</v>
      </c>
      <c r="N153" s="120">
        <f t="shared" si="359"/>
        <v>0</v>
      </c>
      <c r="O153" s="131"/>
      <c r="P153" s="135"/>
      <c r="Q153" s="131"/>
      <c r="R153" s="101"/>
      <c r="S153" s="104">
        <f t="shared" si="373"/>
        <v>0</v>
      </c>
      <c r="T153" s="238"/>
      <c r="U153" s="238"/>
      <c r="V153" s="238"/>
      <c r="W153" s="238"/>
      <c r="X153" s="101"/>
      <c r="Y153" s="101"/>
      <c r="Z153" s="101"/>
      <c r="AA153" s="102"/>
      <c r="AB153" s="131"/>
      <c r="AC153" s="140"/>
    </row>
    <row r="154" spans="1:29" x14ac:dyDescent="0.3">
      <c r="A154" s="115">
        <f t="shared" ref="A154" si="374">$A149+1</f>
        <v>31</v>
      </c>
      <c r="B154" s="186"/>
      <c r="C154" s="105">
        <f>INDEX(Tribs!$C$3:$C$102,MATCH($A154,Tribs!$A$3:$A$102,0))</f>
        <v>0</v>
      </c>
      <c r="D154" s="106">
        <f>INDEX(Tribs!$E$3:$E$102,MATCH($A154,Tribs!$A$3:$A$102,0))</f>
        <v>0</v>
      </c>
      <c r="E154" s="105">
        <f>INDEX(Tribs!$F$3:$F$102,MATCH($A154,Tribs!$A$3:$A$102,0))</f>
        <v>0</v>
      </c>
      <c r="F154" s="116">
        <f t="shared" ref="F154" si="375">($C154*$E154)</f>
        <v>0</v>
      </c>
      <c r="G154" s="110"/>
      <c r="H154" s="111">
        <f t="shared" ref="H154" si="376">($F154)+(SUM($G155:$G158))</f>
        <v>0</v>
      </c>
      <c r="I154" s="106">
        <f>INDEX(Tribs!$D$3:$D$102,MATCH($A154,Tribs!$A$3:$A$102,0))</f>
        <v>0</v>
      </c>
      <c r="J154" s="106">
        <f>INDEX(Tribs!$G$3:$G$102,MATCH($A154,Tribs!$A$3:$A$102,0))</f>
        <v>0</v>
      </c>
      <c r="K154" s="105">
        <f>($J154)/V_gutter*(1/60)</f>
        <v>0</v>
      </c>
      <c r="L154" s="112"/>
      <c r="M154" s="109"/>
      <c r="N154" s="129">
        <f t="shared" ref="N154" si="377">($I154+$K154)</f>
        <v>0</v>
      </c>
      <c r="O154" s="111">
        <f t="shared" ref="O154" si="378">MAX($N154:$N158)</f>
        <v>0</v>
      </c>
      <c r="P154" s="133">
        <f>IF($H154&gt;0,IF($O154&lt;=T_1,I_1,IF($O154&lt;=T_2,(($O154*M_1)+B_1),IF($O154&lt;=T_3,(($O154*M_2)+B_2),IF($O154&lt;=T_4,(($O154*M_3)+B_3),IF($O154&lt;=T_5,(($O154*M_4)+B_4),IF($O154&lt;=T_6,(($O154*M_5)+B_5),IF($O154&lt;=T_7,(($O154*M_6)+B_6),IF($O154&lt;=T_8,(($O154*M_7)+B_7),IF($O154&lt;=T_9,(($O154*M_8)+B_8),IF($O154&lt;=T_10,(($O154*M_9)+B_9))))))))))),0)</f>
        <v>0</v>
      </c>
      <c r="Q154" s="111">
        <f t="shared" ref="Q154" si="379">ROUND(($H154*$P154),2)</f>
        <v>0</v>
      </c>
      <c r="R154" s="107">
        <f>IF($Q154&gt;0,IF($Q154&lt;=UTH!$M$4,UTH!$J$4,IF($Q154&lt;=UTH!$M$5,UTH!$J$5,IF($Q154&lt;=UTH!$M$6,UTH!$J$6,IF($Q154&lt;=UTH!$M$7,UTH!$J$7,IF($Q154&lt;=UTH!$M$8,UTH!$J$8,IF($Q154&lt;=UTH!$M$9,UTH!$J$9,IF($Q154&lt;=UTH!$M$10,UTH!$J$10,IF($Q154&lt;=UTH!$M$11,UTH!$J$11,IF($Q154&lt;=UTH!$M$12,UTH!$J$12,IF($Q154&lt;=UTH!$M$13,UTH!$J$13,IF($Q154&lt;=UTH!$M$14,UTH!$J$14,IF($Q154&lt;=UTH!$M$15,UTH!$J$15,IF($Q154&lt;=UTH!$M$16,UTH!$J$16,IF($Q154&lt;=UTH!$M$17,UTH!$J$17,IF($Q154&lt;=UTH!$M$18,UTH!$J$18,IF($Q154&lt;=UTH!$M$19,UTH!$J$19,IF($Q154&lt;=UTH!$M$20,UTH!$J$20))))))))))))))))),0)</f>
        <v>0</v>
      </c>
      <c r="S154" s="107">
        <f>IF(Inverts!$D154="YES",Inverts!$C154,Inverts!$E154)</f>
        <v>0</v>
      </c>
      <c r="T154" s="108">
        <f>IF($S154,($Q154/(KQ*($S154^(8/3))))^2,0)</f>
        <v>0</v>
      </c>
      <c r="U154" s="108">
        <f>IF($S154,(Vmin/(KV*($S154^(2/3))))^2,0)</f>
        <v>0</v>
      </c>
      <c r="V154" s="108">
        <f>IF($Z154,ROUND(MinDrop_2/$Z154,4),0)</f>
        <v>0</v>
      </c>
      <c r="W154" s="108">
        <f t="shared" ref="W154" si="380">IF($S154=0,0,MAX($T154:$V154))</f>
        <v>0</v>
      </c>
      <c r="X154" s="108">
        <f>IF(Inverts!$H154="yes",Inverts!$G154,Inverts!$I154)</f>
        <v>0</v>
      </c>
      <c r="Y154" s="105">
        <f>ROUND(KV*($S154^(2/3))*($X154^(0.5)),2)</f>
        <v>0</v>
      </c>
      <c r="Z154" s="106">
        <f>INDEX(Tribs!$H$3:$H$102,MATCH($A154,Tribs!$A$3:$A$102,0))</f>
        <v>0</v>
      </c>
      <c r="AA154" s="105">
        <f t="shared" ref="AA154" si="381">IF($Y154,($Z154/$Y154)*(1/60),0)</f>
        <v>0</v>
      </c>
      <c r="AB154" s="111">
        <f>ROUND(KQ*($S154^(8/3))*($X154^(0.5)),2)</f>
        <v>0</v>
      </c>
      <c r="AC154" s="138" t="str">
        <f>IF(AND($AB154&gt;=($Q154-0.0049),$Y154&gt;=(Vmin-0.0049)),"OK","NG")</f>
        <v>NG</v>
      </c>
    </row>
    <row r="155" spans="1:29" x14ac:dyDescent="0.3">
      <c r="A155" s="121"/>
      <c r="B155" s="184"/>
      <c r="C155" s="54"/>
      <c r="D155" s="52"/>
      <c r="E155" s="52"/>
      <c r="F155" s="117"/>
      <c r="G155" s="119">
        <f t="shared" ref="G155" si="382">IF($B155,INDEX($H$4:$H$499,(MATCH($B155,$A$4:$A$499))),0)</f>
        <v>0</v>
      </c>
      <c r="H155" s="113"/>
      <c r="I155" s="52"/>
      <c r="J155" s="52"/>
      <c r="K155" s="123"/>
      <c r="L155" s="53">
        <f t="shared" ref="L155" si="383">IF($B155,INDEX($O$4:$O$499,MATCH($B155,$A$4:$A$499)),0)</f>
        <v>0</v>
      </c>
      <c r="M155" s="126">
        <f t="shared" ref="M155" si="384">IF($B155,INDEX($AA$4:$AA$499,MATCH($B155,$A$4:$A$499)),0)</f>
        <v>0</v>
      </c>
      <c r="N155" s="119">
        <f t="shared" ref="N155" si="385">($L155+$M155)</f>
        <v>0</v>
      </c>
      <c r="O155" s="130"/>
      <c r="P155" s="134"/>
      <c r="Q155" s="130"/>
      <c r="R155" s="52"/>
      <c r="S155" s="224">
        <f t="shared" ref="S155:S158" si="386">S154</f>
        <v>0</v>
      </c>
      <c r="T155" s="237"/>
      <c r="U155" s="237"/>
      <c r="V155" s="237"/>
      <c r="W155" s="237"/>
      <c r="X155" s="52"/>
      <c r="Y155" s="52"/>
      <c r="Z155" s="52"/>
      <c r="AA155" s="54"/>
      <c r="AB155" s="130"/>
      <c r="AC155" s="139"/>
    </row>
    <row r="156" spans="1:29" x14ac:dyDescent="0.3">
      <c r="A156" s="121"/>
      <c r="B156" s="184"/>
      <c r="C156" s="54"/>
      <c r="D156" s="52"/>
      <c r="E156" s="52"/>
      <c r="F156" s="117"/>
      <c r="G156" s="119">
        <f t="shared" si="330"/>
        <v>0</v>
      </c>
      <c r="H156" s="113"/>
      <c r="I156" s="52"/>
      <c r="J156" s="52"/>
      <c r="K156" s="124"/>
      <c r="L156" s="53">
        <f t="shared" si="357"/>
        <v>0</v>
      </c>
      <c r="M156" s="127">
        <f t="shared" si="358"/>
        <v>0</v>
      </c>
      <c r="N156" s="119">
        <f t="shared" si="359"/>
        <v>0</v>
      </c>
      <c r="O156" s="130"/>
      <c r="P156" s="134"/>
      <c r="Q156" s="130"/>
      <c r="R156" s="52"/>
      <c r="S156" s="224">
        <f t="shared" si="386"/>
        <v>0</v>
      </c>
      <c r="T156" s="237"/>
      <c r="U156" s="237"/>
      <c r="V156" s="237"/>
      <c r="W156" s="237"/>
      <c r="X156" s="52"/>
      <c r="Y156" s="52"/>
      <c r="Z156" s="52"/>
      <c r="AA156" s="54"/>
      <c r="AB156" s="130"/>
      <c r="AC156" s="139"/>
    </row>
    <row r="157" spans="1:29" x14ac:dyDescent="0.3">
      <c r="A157" s="121"/>
      <c r="B157" s="184"/>
      <c r="C157" s="54"/>
      <c r="D157" s="52"/>
      <c r="E157" s="52"/>
      <c r="F157" s="117"/>
      <c r="G157" s="119">
        <f t="shared" si="330"/>
        <v>0</v>
      </c>
      <c r="H157" s="113"/>
      <c r="I157" s="52"/>
      <c r="J157" s="52"/>
      <c r="K157" s="124"/>
      <c r="L157" s="53">
        <f t="shared" si="357"/>
        <v>0</v>
      </c>
      <c r="M157" s="127">
        <f t="shared" si="358"/>
        <v>0</v>
      </c>
      <c r="N157" s="119">
        <f t="shared" si="359"/>
        <v>0</v>
      </c>
      <c r="O157" s="130"/>
      <c r="P157" s="134"/>
      <c r="Q157" s="130"/>
      <c r="R157" s="52"/>
      <c r="S157" s="224">
        <f t="shared" si="386"/>
        <v>0</v>
      </c>
      <c r="T157" s="237"/>
      <c r="U157" s="237"/>
      <c r="V157" s="237"/>
      <c r="W157" s="237"/>
      <c r="X157" s="52"/>
      <c r="Y157" s="52"/>
      <c r="Z157" s="52"/>
      <c r="AA157" s="54"/>
      <c r="AB157" s="130"/>
      <c r="AC157" s="139"/>
    </row>
    <row r="158" spans="1:29" ht="15" thickBot="1" x14ac:dyDescent="0.35">
      <c r="A158" s="122"/>
      <c r="B158" s="185"/>
      <c r="C158" s="102"/>
      <c r="D158" s="101"/>
      <c r="E158" s="101"/>
      <c r="F158" s="118"/>
      <c r="G158" s="120">
        <f t="shared" si="330"/>
        <v>0</v>
      </c>
      <c r="H158" s="114"/>
      <c r="I158" s="101"/>
      <c r="J158" s="101"/>
      <c r="K158" s="125"/>
      <c r="L158" s="103">
        <f t="shared" si="357"/>
        <v>0</v>
      </c>
      <c r="M158" s="128">
        <f t="shared" si="358"/>
        <v>0</v>
      </c>
      <c r="N158" s="120">
        <f t="shared" si="359"/>
        <v>0</v>
      </c>
      <c r="O158" s="131"/>
      <c r="P158" s="135"/>
      <c r="Q158" s="131"/>
      <c r="R158" s="101"/>
      <c r="S158" s="104">
        <f t="shared" si="386"/>
        <v>0</v>
      </c>
      <c r="T158" s="238"/>
      <c r="U158" s="238"/>
      <c r="V158" s="238"/>
      <c r="W158" s="238"/>
      <c r="X158" s="101"/>
      <c r="Y158" s="101"/>
      <c r="Z158" s="101"/>
      <c r="AA158" s="102"/>
      <c r="AB158" s="131"/>
      <c r="AC158" s="140"/>
    </row>
    <row r="159" spans="1:29" x14ac:dyDescent="0.3">
      <c r="A159" s="115">
        <f t="shared" ref="A159" si="387">$A154+1</f>
        <v>32</v>
      </c>
      <c r="B159" s="186"/>
      <c r="C159" s="105">
        <f>INDEX(Tribs!$C$3:$C$102,MATCH($A159,Tribs!$A$3:$A$102,0))</f>
        <v>0</v>
      </c>
      <c r="D159" s="106">
        <f>INDEX(Tribs!$E$3:$E$102,MATCH($A159,Tribs!$A$3:$A$102,0))</f>
        <v>0</v>
      </c>
      <c r="E159" s="105">
        <f>INDEX(Tribs!$F$3:$F$102,MATCH($A159,Tribs!$A$3:$A$102,0))</f>
        <v>0</v>
      </c>
      <c r="F159" s="116">
        <f t="shared" ref="F159" si="388">($C159*$E159)</f>
        <v>0</v>
      </c>
      <c r="G159" s="110"/>
      <c r="H159" s="111">
        <f t="shared" ref="H159" si="389">($F159)+(SUM($G160:$G163))</f>
        <v>0</v>
      </c>
      <c r="I159" s="106">
        <f>INDEX(Tribs!$D$3:$D$102,MATCH($A159,Tribs!$A$3:$A$102,0))</f>
        <v>0</v>
      </c>
      <c r="J159" s="106">
        <f>INDEX(Tribs!$G$3:$G$102,MATCH($A159,Tribs!$A$3:$A$102,0))</f>
        <v>0</v>
      </c>
      <c r="K159" s="105">
        <f>($J159)/V_gutter*(1/60)</f>
        <v>0</v>
      </c>
      <c r="L159" s="112"/>
      <c r="M159" s="109"/>
      <c r="N159" s="129">
        <f t="shared" ref="N159" si="390">($I159+$K159)</f>
        <v>0</v>
      </c>
      <c r="O159" s="111">
        <f t="shared" ref="O159" si="391">MAX($N159:$N163)</f>
        <v>0</v>
      </c>
      <c r="P159" s="133">
        <f>IF($H159&gt;0,IF($O159&lt;=T_1,I_1,IF($O159&lt;=T_2,(($O159*M_1)+B_1),IF($O159&lt;=T_3,(($O159*M_2)+B_2),IF($O159&lt;=T_4,(($O159*M_3)+B_3),IF($O159&lt;=T_5,(($O159*M_4)+B_4),IF($O159&lt;=T_6,(($O159*M_5)+B_5),IF($O159&lt;=T_7,(($O159*M_6)+B_6),IF($O159&lt;=T_8,(($O159*M_7)+B_7),IF($O159&lt;=T_9,(($O159*M_8)+B_8),IF($O159&lt;=T_10,(($O159*M_9)+B_9))))))))))),0)</f>
        <v>0</v>
      </c>
      <c r="Q159" s="111">
        <f t="shared" ref="Q159" si="392">ROUND(($H159*$P159),2)</f>
        <v>0</v>
      </c>
      <c r="R159" s="107">
        <f>IF($Q159&gt;0,IF($Q159&lt;=UTH!$M$4,UTH!$J$4,IF($Q159&lt;=UTH!$M$5,UTH!$J$5,IF($Q159&lt;=UTH!$M$6,UTH!$J$6,IF($Q159&lt;=UTH!$M$7,UTH!$J$7,IF($Q159&lt;=UTH!$M$8,UTH!$J$8,IF($Q159&lt;=UTH!$M$9,UTH!$J$9,IF($Q159&lt;=UTH!$M$10,UTH!$J$10,IF($Q159&lt;=UTH!$M$11,UTH!$J$11,IF($Q159&lt;=UTH!$M$12,UTH!$J$12,IF($Q159&lt;=UTH!$M$13,UTH!$J$13,IF($Q159&lt;=UTH!$M$14,UTH!$J$14,IF($Q159&lt;=UTH!$M$15,UTH!$J$15,IF($Q159&lt;=UTH!$M$16,UTH!$J$16,IF($Q159&lt;=UTH!$M$17,UTH!$J$17,IF($Q159&lt;=UTH!$M$18,UTH!$J$18,IF($Q159&lt;=UTH!$M$19,UTH!$J$19,IF($Q159&lt;=UTH!$M$20,UTH!$J$20))))))))))))))))),0)</f>
        <v>0</v>
      </c>
      <c r="S159" s="107">
        <f>IF(Inverts!$D159="YES",Inverts!$C159,Inverts!$E159)</f>
        <v>0</v>
      </c>
      <c r="T159" s="108">
        <f>IF($S159,($Q159/(KQ*($S159^(8/3))))^2,0)</f>
        <v>0</v>
      </c>
      <c r="U159" s="108">
        <f>IF($S159,(Vmin/(KV*($S159^(2/3))))^2,0)</f>
        <v>0</v>
      </c>
      <c r="V159" s="108">
        <f>IF($Z159,ROUND(MinDrop_2/$Z159,4),0)</f>
        <v>0</v>
      </c>
      <c r="W159" s="108">
        <f t="shared" ref="W159" si="393">IF($S159=0,0,MAX($T159:$V159))</f>
        <v>0</v>
      </c>
      <c r="X159" s="108">
        <f>IF(Inverts!$H159="yes",Inverts!$G159,Inverts!$I159)</f>
        <v>0</v>
      </c>
      <c r="Y159" s="105">
        <f>ROUND(KV*($S159^(2/3))*($X159^(0.5)),2)</f>
        <v>0</v>
      </c>
      <c r="Z159" s="106">
        <f>INDEX(Tribs!$H$3:$H$102,MATCH($A159,Tribs!$A$3:$A$102,0))</f>
        <v>0</v>
      </c>
      <c r="AA159" s="105">
        <f t="shared" ref="AA159" si="394">IF($Y159,($Z159/$Y159)*(1/60),0)</f>
        <v>0</v>
      </c>
      <c r="AB159" s="111">
        <f>ROUND(KQ*($S159^(8/3))*($X159^(0.5)),2)</f>
        <v>0</v>
      </c>
      <c r="AC159" s="138" t="str">
        <f>IF(AND($AB159&gt;=($Q159-0.0049),$Y159&gt;=(Vmin-0.0049)),"OK","NG")</f>
        <v>NG</v>
      </c>
    </row>
    <row r="160" spans="1:29" x14ac:dyDescent="0.3">
      <c r="A160" s="121"/>
      <c r="B160" s="184"/>
      <c r="C160" s="54"/>
      <c r="D160" s="52"/>
      <c r="E160" s="52"/>
      <c r="F160" s="117"/>
      <c r="G160" s="119">
        <f t="shared" ref="G160" si="395">IF($B160,INDEX($H$4:$H$499,(MATCH($B160,$A$4:$A$499))),0)</f>
        <v>0</v>
      </c>
      <c r="H160" s="113"/>
      <c r="I160" s="52"/>
      <c r="J160" s="52"/>
      <c r="K160" s="123"/>
      <c r="L160" s="53">
        <f t="shared" ref="L160" si="396">IF($B160,INDEX($O$4:$O$499,MATCH($B160,$A$4:$A$499)),0)</f>
        <v>0</v>
      </c>
      <c r="M160" s="126">
        <f t="shared" ref="M160" si="397">IF($B160,INDEX($AA$4:$AA$499,MATCH($B160,$A$4:$A$499)),0)</f>
        <v>0</v>
      </c>
      <c r="N160" s="119">
        <f t="shared" ref="N160" si="398">($L160+$M160)</f>
        <v>0</v>
      </c>
      <c r="O160" s="130"/>
      <c r="P160" s="134"/>
      <c r="Q160" s="130"/>
      <c r="R160" s="52"/>
      <c r="S160" s="224">
        <f t="shared" ref="S160:S163" si="399">S159</f>
        <v>0</v>
      </c>
      <c r="T160" s="237"/>
      <c r="U160" s="237"/>
      <c r="V160" s="237"/>
      <c r="W160" s="237"/>
      <c r="X160" s="52"/>
      <c r="Y160" s="52"/>
      <c r="Z160" s="52"/>
      <c r="AA160" s="54"/>
      <c r="AB160" s="130"/>
      <c r="AC160" s="139"/>
    </row>
    <row r="161" spans="1:29" x14ac:dyDescent="0.3">
      <c r="A161" s="121"/>
      <c r="B161" s="184"/>
      <c r="C161" s="54"/>
      <c r="D161" s="52"/>
      <c r="E161" s="52"/>
      <c r="F161" s="117"/>
      <c r="G161" s="119">
        <f t="shared" si="330"/>
        <v>0</v>
      </c>
      <c r="H161" s="113"/>
      <c r="I161" s="52"/>
      <c r="J161" s="52"/>
      <c r="K161" s="124"/>
      <c r="L161" s="53">
        <f t="shared" si="357"/>
        <v>0</v>
      </c>
      <c r="M161" s="127">
        <f t="shared" si="358"/>
        <v>0</v>
      </c>
      <c r="N161" s="119">
        <f t="shared" si="359"/>
        <v>0</v>
      </c>
      <c r="O161" s="130"/>
      <c r="P161" s="134"/>
      <c r="Q161" s="130"/>
      <c r="R161" s="52"/>
      <c r="S161" s="224">
        <f t="shared" si="399"/>
        <v>0</v>
      </c>
      <c r="T161" s="237"/>
      <c r="U161" s="237"/>
      <c r="V161" s="237"/>
      <c r="W161" s="237"/>
      <c r="X161" s="52"/>
      <c r="Y161" s="52"/>
      <c r="Z161" s="52"/>
      <c r="AA161" s="54"/>
      <c r="AB161" s="130"/>
      <c r="AC161" s="139"/>
    </row>
    <row r="162" spans="1:29" x14ac:dyDescent="0.3">
      <c r="A162" s="121"/>
      <c r="B162" s="184"/>
      <c r="C162" s="54"/>
      <c r="D162" s="52"/>
      <c r="E162" s="52"/>
      <c r="F162" s="117"/>
      <c r="G162" s="119">
        <f t="shared" si="330"/>
        <v>0</v>
      </c>
      <c r="H162" s="113"/>
      <c r="I162" s="52"/>
      <c r="J162" s="52"/>
      <c r="K162" s="124"/>
      <c r="L162" s="53">
        <f t="shared" si="357"/>
        <v>0</v>
      </c>
      <c r="M162" s="127">
        <f t="shared" si="358"/>
        <v>0</v>
      </c>
      <c r="N162" s="119">
        <f t="shared" si="359"/>
        <v>0</v>
      </c>
      <c r="O162" s="130"/>
      <c r="P162" s="134"/>
      <c r="Q162" s="130"/>
      <c r="R162" s="52"/>
      <c r="S162" s="224">
        <f t="shared" si="399"/>
        <v>0</v>
      </c>
      <c r="T162" s="237"/>
      <c r="U162" s="237"/>
      <c r="V162" s="237"/>
      <c r="W162" s="237"/>
      <c r="X162" s="52"/>
      <c r="Y162" s="52"/>
      <c r="Z162" s="52"/>
      <c r="AA162" s="54"/>
      <c r="AB162" s="130"/>
      <c r="AC162" s="139"/>
    </row>
    <row r="163" spans="1:29" ht="15" thickBot="1" x14ac:dyDescent="0.35">
      <c r="A163" s="122"/>
      <c r="B163" s="185"/>
      <c r="C163" s="102"/>
      <c r="D163" s="101"/>
      <c r="E163" s="101"/>
      <c r="F163" s="118"/>
      <c r="G163" s="120">
        <f t="shared" si="330"/>
        <v>0</v>
      </c>
      <c r="H163" s="114"/>
      <c r="I163" s="101"/>
      <c r="J163" s="101"/>
      <c r="K163" s="125"/>
      <c r="L163" s="103">
        <f t="shared" si="357"/>
        <v>0</v>
      </c>
      <c r="M163" s="128">
        <f t="shared" si="358"/>
        <v>0</v>
      </c>
      <c r="N163" s="120">
        <f t="shared" si="359"/>
        <v>0</v>
      </c>
      <c r="O163" s="131"/>
      <c r="P163" s="135"/>
      <c r="Q163" s="131"/>
      <c r="R163" s="101"/>
      <c r="S163" s="104">
        <f t="shared" si="399"/>
        <v>0</v>
      </c>
      <c r="T163" s="238"/>
      <c r="U163" s="238"/>
      <c r="V163" s="238"/>
      <c r="W163" s="238"/>
      <c r="X163" s="101"/>
      <c r="Y163" s="101"/>
      <c r="Z163" s="101"/>
      <c r="AA163" s="102"/>
      <c r="AB163" s="131"/>
      <c r="AC163" s="140"/>
    </row>
    <row r="164" spans="1:29" x14ac:dyDescent="0.3">
      <c r="A164" s="115">
        <f t="shared" ref="A164" si="400">$A159+1</f>
        <v>33</v>
      </c>
      <c r="B164" s="186"/>
      <c r="C164" s="105">
        <f>INDEX(Tribs!$C$3:$C$102,MATCH($A164,Tribs!$A$3:$A$102,0))</f>
        <v>0</v>
      </c>
      <c r="D164" s="106">
        <f>INDEX(Tribs!$E$3:$E$102,MATCH($A164,Tribs!$A$3:$A$102,0))</f>
        <v>0</v>
      </c>
      <c r="E164" s="105">
        <f>INDEX(Tribs!$F$3:$F$102,MATCH($A164,Tribs!$A$3:$A$102,0))</f>
        <v>0</v>
      </c>
      <c r="F164" s="116">
        <f t="shared" ref="F164" si="401">($C164*$E164)</f>
        <v>0</v>
      </c>
      <c r="G164" s="110"/>
      <c r="H164" s="111">
        <f t="shared" ref="H164" si="402">($F164)+(SUM($G165:$G168))</f>
        <v>0</v>
      </c>
      <c r="I164" s="106">
        <f>INDEX(Tribs!$D$3:$D$102,MATCH($A164,Tribs!$A$3:$A$102,0))</f>
        <v>0</v>
      </c>
      <c r="J164" s="106">
        <f>INDEX(Tribs!$G$3:$G$102,MATCH($A164,Tribs!$A$3:$A$102,0))</f>
        <v>0</v>
      </c>
      <c r="K164" s="105">
        <f>($J164)/V_gutter*(1/60)</f>
        <v>0</v>
      </c>
      <c r="L164" s="112"/>
      <c r="M164" s="109"/>
      <c r="N164" s="129">
        <f t="shared" ref="N164" si="403">($I164+$K164)</f>
        <v>0</v>
      </c>
      <c r="O164" s="111">
        <f t="shared" ref="O164" si="404">MAX($N164:$N168)</f>
        <v>0</v>
      </c>
      <c r="P164" s="133">
        <f>IF($H164&gt;0,IF($O164&lt;=T_1,I_1,IF($O164&lt;=T_2,(($O164*M_1)+B_1),IF($O164&lt;=T_3,(($O164*M_2)+B_2),IF($O164&lt;=T_4,(($O164*M_3)+B_3),IF($O164&lt;=T_5,(($O164*M_4)+B_4),IF($O164&lt;=T_6,(($O164*M_5)+B_5),IF($O164&lt;=T_7,(($O164*M_6)+B_6),IF($O164&lt;=T_8,(($O164*M_7)+B_7),IF($O164&lt;=T_9,(($O164*M_8)+B_8),IF($O164&lt;=T_10,(($O164*M_9)+B_9))))))))))),0)</f>
        <v>0</v>
      </c>
      <c r="Q164" s="111">
        <f t="shared" ref="Q164" si="405">ROUND(($H164*$P164),2)</f>
        <v>0</v>
      </c>
      <c r="R164" s="107">
        <f>IF($Q164&gt;0,IF($Q164&lt;=UTH!$M$4,UTH!$J$4,IF($Q164&lt;=UTH!$M$5,UTH!$J$5,IF($Q164&lt;=UTH!$M$6,UTH!$J$6,IF($Q164&lt;=UTH!$M$7,UTH!$J$7,IF($Q164&lt;=UTH!$M$8,UTH!$J$8,IF($Q164&lt;=UTH!$M$9,UTH!$J$9,IF($Q164&lt;=UTH!$M$10,UTH!$J$10,IF($Q164&lt;=UTH!$M$11,UTH!$J$11,IF($Q164&lt;=UTH!$M$12,UTH!$J$12,IF($Q164&lt;=UTH!$M$13,UTH!$J$13,IF($Q164&lt;=UTH!$M$14,UTH!$J$14,IF($Q164&lt;=UTH!$M$15,UTH!$J$15,IF($Q164&lt;=UTH!$M$16,UTH!$J$16,IF($Q164&lt;=UTH!$M$17,UTH!$J$17,IF($Q164&lt;=UTH!$M$18,UTH!$J$18,IF($Q164&lt;=UTH!$M$19,UTH!$J$19,IF($Q164&lt;=UTH!$M$20,UTH!$J$20))))))))))))))))),0)</f>
        <v>0</v>
      </c>
      <c r="S164" s="107">
        <f>IF(Inverts!$D164="YES",Inverts!$C164,Inverts!$E164)</f>
        <v>0</v>
      </c>
      <c r="T164" s="108">
        <f>IF($S164,($Q164/(KQ*($S164^(8/3))))^2,0)</f>
        <v>0</v>
      </c>
      <c r="U164" s="108">
        <f>IF($S164,(Vmin/(KV*($S164^(2/3))))^2,0)</f>
        <v>0</v>
      </c>
      <c r="V164" s="108">
        <f>IF($Z164,ROUND(MinDrop_2/$Z164,4),0)</f>
        <v>0</v>
      </c>
      <c r="W164" s="108">
        <f t="shared" ref="W164" si="406">IF($S164=0,0,MAX($T164:$V164))</f>
        <v>0</v>
      </c>
      <c r="X164" s="108">
        <f>IF(Inverts!$H164="yes",Inverts!$G164,Inverts!$I164)</f>
        <v>0</v>
      </c>
      <c r="Y164" s="105">
        <f>ROUND(KV*($S164^(2/3))*($X164^(0.5)),2)</f>
        <v>0</v>
      </c>
      <c r="Z164" s="106">
        <f>INDEX(Tribs!$H$3:$H$102,MATCH($A164,Tribs!$A$3:$A$102,0))</f>
        <v>0</v>
      </c>
      <c r="AA164" s="105">
        <f t="shared" ref="AA164" si="407">IF($Y164,($Z164/$Y164)*(1/60),0)</f>
        <v>0</v>
      </c>
      <c r="AB164" s="111">
        <f>ROUND(KQ*($S164^(8/3))*($X164^(0.5)),2)</f>
        <v>0</v>
      </c>
      <c r="AC164" s="138" t="str">
        <f>IF(AND($AB164&gt;=($Q164-0.0049),$Y164&gt;=(Vmin-0.0049)),"OK","NG")</f>
        <v>NG</v>
      </c>
    </row>
    <row r="165" spans="1:29" x14ac:dyDescent="0.3">
      <c r="A165" s="121"/>
      <c r="B165" s="184"/>
      <c r="C165" s="54"/>
      <c r="D165" s="52"/>
      <c r="E165" s="52"/>
      <c r="F165" s="117"/>
      <c r="G165" s="119">
        <f t="shared" ref="G165" si="408">IF($B165,INDEX($H$4:$H$499,(MATCH($B165,$A$4:$A$499))),0)</f>
        <v>0</v>
      </c>
      <c r="H165" s="113"/>
      <c r="I165" s="52"/>
      <c r="J165" s="52"/>
      <c r="K165" s="123"/>
      <c r="L165" s="53">
        <f t="shared" ref="L165" si="409">IF($B165,INDEX($O$4:$O$499,MATCH($B165,$A$4:$A$499)),0)</f>
        <v>0</v>
      </c>
      <c r="M165" s="126">
        <f t="shared" ref="M165" si="410">IF($B165,INDEX($AA$4:$AA$499,MATCH($B165,$A$4:$A$499)),0)</f>
        <v>0</v>
      </c>
      <c r="N165" s="119">
        <f t="shared" ref="N165" si="411">($L165+$M165)</f>
        <v>0</v>
      </c>
      <c r="O165" s="130"/>
      <c r="P165" s="134"/>
      <c r="Q165" s="130"/>
      <c r="R165" s="52"/>
      <c r="S165" s="224">
        <f t="shared" ref="S165:S168" si="412">S164</f>
        <v>0</v>
      </c>
      <c r="T165" s="237"/>
      <c r="U165" s="237"/>
      <c r="V165" s="237"/>
      <c r="W165" s="237"/>
      <c r="X165" s="52"/>
      <c r="Y165" s="52"/>
      <c r="Z165" s="52"/>
      <c r="AA165" s="54"/>
      <c r="AB165" s="130"/>
      <c r="AC165" s="139"/>
    </row>
    <row r="166" spans="1:29" x14ac:dyDescent="0.3">
      <c r="A166" s="121"/>
      <c r="B166" s="184"/>
      <c r="C166" s="54"/>
      <c r="D166" s="52"/>
      <c r="E166" s="52"/>
      <c r="F166" s="117"/>
      <c r="G166" s="119">
        <f t="shared" si="330"/>
        <v>0</v>
      </c>
      <c r="H166" s="113"/>
      <c r="I166" s="52"/>
      <c r="J166" s="52"/>
      <c r="K166" s="124"/>
      <c r="L166" s="53">
        <f t="shared" si="357"/>
        <v>0</v>
      </c>
      <c r="M166" s="127">
        <f t="shared" si="358"/>
        <v>0</v>
      </c>
      <c r="N166" s="119">
        <f t="shared" si="359"/>
        <v>0</v>
      </c>
      <c r="O166" s="130"/>
      <c r="P166" s="134"/>
      <c r="Q166" s="130"/>
      <c r="R166" s="52"/>
      <c r="S166" s="224">
        <f t="shared" si="412"/>
        <v>0</v>
      </c>
      <c r="T166" s="237"/>
      <c r="U166" s="237"/>
      <c r="V166" s="237"/>
      <c r="W166" s="237"/>
      <c r="X166" s="52"/>
      <c r="Y166" s="52"/>
      <c r="Z166" s="52"/>
      <c r="AA166" s="54"/>
      <c r="AB166" s="130"/>
      <c r="AC166" s="139"/>
    </row>
    <row r="167" spans="1:29" x14ac:dyDescent="0.3">
      <c r="A167" s="121"/>
      <c r="B167" s="184"/>
      <c r="C167" s="54"/>
      <c r="D167" s="52"/>
      <c r="E167" s="52"/>
      <c r="F167" s="117"/>
      <c r="G167" s="119">
        <f t="shared" si="330"/>
        <v>0</v>
      </c>
      <c r="H167" s="113"/>
      <c r="I167" s="52"/>
      <c r="J167" s="52"/>
      <c r="K167" s="124"/>
      <c r="L167" s="53">
        <f t="shared" si="357"/>
        <v>0</v>
      </c>
      <c r="M167" s="127">
        <f t="shared" si="358"/>
        <v>0</v>
      </c>
      <c r="N167" s="119">
        <f t="shared" si="359"/>
        <v>0</v>
      </c>
      <c r="O167" s="130"/>
      <c r="P167" s="134"/>
      <c r="Q167" s="130"/>
      <c r="R167" s="52"/>
      <c r="S167" s="224">
        <f t="shared" si="412"/>
        <v>0</v>
      </c>
      <c r="T167" s="237"/>
      <c r="U167" s="237"/>
      <c r="V167" s="237"/>
      <c r="W167" s="237"/>
      <c r="X167" s="52"/>
      <c r="Y167" s="52"/>
      <c r="Z167" s="52"/>
      <c r="AA167" s="54"/>
      <c r="AB167" s="130"/>
      <c r="AC167" s="139"/>
    </row>
    <row r="168" spans="1:29" ht="15" thickBot="1" x14ac:dyDescent="0.35">
      <c r="A168" s="122"/>
      <c r="B168" s="185"/>
      <c r="C168" s="102"/>
      <c r="D168" s="101"/>
      <c r="E168" s="101"/>
      <c r="F168" s="118"/>
      <c r="G168" s="120">
        <f t="shared" si="330"/>
        <v>0</v>
      </c>
      <c r="H168" s="114"/>
      <c r="I168" s="101"/>
      <c r="J168" s="101"/>
      <c r="K168" s="125"/>
      <c r="L168" s="103">
        <f t="shared" si="357"/>
        <v>0</v>
      </c>
      <c r="M168" s="128">
        <f t="shared" si="358"/>
        <v>0</v>
      </c>
      <c r="N168" s="120">
        <f t="shared" si="359"/>
        <v>0</v>
      </c>
      <c r="O168" s="131"/>
      <c r="P168" s="135"/>
      <c r="Q168" s="131"/>
      <c r="R168" s="101"/>
      <c r="S168" s="104">
        <f t="shared" si="412"/>
        <v>0</v>
      </c>
      <c r="T168" s="238"/>
      <c r="U168" s="238"/>
      <c r="V168" s="238"/>
      <c r="W168" s="238"/>
      <c r="X168" s="101"/>
      <c r="Y168" s="101"/>
      <c r="Z168" s="101"/>
      <c r="AA168" s="102"/>
      <c r="AB168" s="131"/>
      <c r="AC168" s="140"/>
    </row>
    <row r="169" spans="1:29" x14ac:dyDescent="0.3">
      <c r="A169" s="115">
        <f t="shared" ref="A169" si="413">$A164+1</f>
        <v>34</v>
      </c>
      <c r="B169" s="186"/>
      <c r="C169" s="105">
        <f>INDEX(Tribs!$C$3:$C$102,MATCH($A169,Tribs!$A$3:$A$102,0))</f>
        <v>0</v>
      </c>
      <c r="D169" s="106">
        <f>INDEX(Tribs!$E$3:$E$102,MATCH($A169,Tribs!$A$3:$A$102,0))</f>
        <v>0</v>
      </c>
      <c r="E169" s="105">
        <f>INDEX(Tribs!$F$3:$F$102,MATCH($A169,Tribs!$A$3:$A$102,0))</f>
        <v>0</v>
      </c>
      <c r="F169" s="116">
        <f t="shared" ref="F169" si="414">($C169*$E169)</f>
        <v>0</v>
      </c>
      <c r="G169" s="110"/>
      <c r="H169" s="111">
        <f t="shared" ref="H169" si="415">($F169)+(SUM($G170:$G173))</f>
        <v>0</v>
      </c>
      <c r="I169" s="106">
        <f>INDEX(Tribs!$D$3:$D$102,MATCH($A169,Tribs!$A$3:$A$102,0))</f>
        <v>0</v>
      </c>
      <c r="J169" s="106">
        <f>INDEX(Tribs!$G$3:$G$102,MATCH($A169,Tribs!$A$3:$A$102,0))</f>
        <v>0</v>
      </c>
      <c r="K169" s="105">
        <f>($J169)/V_gutter*(1/60)</f>
        <v>0</v>
      </c>
      <c r="L169" s="112"/>
      <c r="M169" s="109"/>
      <c r="N169" s="129">
        <f t="shared" ref="N169" si="416">($I169+$K169)</f>
        <v>0</v>
      </c>
      <c r="O169" s="111">
        <f t="shared" ref="O169" si="417">MAX($N169:$N173)</f>
        <v>0</v>
      </c>
      <c r="P169" s="133">
        <f>IF($H169&gt;0,IF($O169&lt;=T_1,I_1,IF($O169&lt;=T_2,(($O169*M_1)+B_1),IF($O169&lt;=T_3,(($O169*M_2)+B_2),IF($O169&lt;=T_4,(($O169*M_3)+B_3),IF($O169&lt;=T_5,(($O169*M_4)+B_4),IF($O169&lt;=T_6,(($O169*M_5)+B_5),IF($O169&lt;=T_7,(($O169*M_6)+B_6),IF($O169&lt;=T_8,(($O169*M_7)+B_7),IF($O169&lt;=T_9,(($O169*M_8)+B_8),IF($O169&lt;=T_10,(($O169*M_9)+B_9))))))))))),0)</f>
        <v>0</v>
      </c>
      <c r="Q169" s="111">
        <f t="shared" ref="Q169" si="418">ROUND(($H169*$P169),2)</f>
        <v>0</v>
      </c>
      <c r="R169" s="107">
        <f>IF($Q169&gt;0,IF($Q169&lt;=UTH!$M$4,UTH!$J$4,IF($Q169&lt;=UTH!$M$5,UTH!$J$5,IF($Q169&lt;=UTH!$M$6,UTH!$J$6,IF($Q169&lt;=UTH!$M$7,UTH!$J$7,IF($Q169&lt;=UTH!$M$8,UTH!$J$8,IF($Q169&lt;=UTH!$M$9,UTH!$J$9,IF($Q169&lt;=UTH!$M$10,UTH!$J$10,IF($Q169&lt;=UTH!$M$11,UTH!$J$11,IF($Q169&lt;=UTH!$M$12,UTH!$J$12,IF($Q169&lt;=UTH!$M$13,UTH!$J$13,IF($Q169&lt;=UTH!$M$14,UTH!$J$14,IF($Q169&lt;=UTH!$M$15,UTH!$J$15,IF($Q169&lt;=UTH!$M$16,UTH!$J$16,IF($Q169&lt;=UTH!$M$17,UTH!$J$17,IF($Q169&lt;=UTH!$M$18,UTH!$J$18,IF($Q169&lt;=UTH!$M$19,UTH!$J$19,IF($Q169&lt;=UTH!$M$20,UTH!$J$20))))))))))))))))),0)</f>
        <v>0</v>
      </c>
      <c r="S169" s="107">
        <f>IF(Inverts!$D169="YES",Inverts!$C169,Inverts!$E169)</f>
        <v>0</v>
      </c>
      <c r="T169" s="108">
        <f>IF($S169,($Q169/(KQ*($S169^(8/3))))^2,0)</f>
        <v>0</v>
      </c>
      <c r="U169" s="108">
        <f>IF($S169,(Vmin/(KV*($S169^(2/3))))^2,0)</f>
        <v>0</v>
      </c>
      <c r="V169" s="108">
        <f>IF($Z169,ROUND(MinDrop_2/$Z169,4),0)</f>
        <v>0</v>
      </c>
      <c r="W169" s="108">
        <f t="shared" ref="W169" si="419">IF($S169=0,0,MAX($T169:$V169))</f>
        <v>0</v>
      </c>
      <c r="X169" s="108">
        <f>IF(Inverts!$H169="yes",Inverts!$G169,Inverts!$I169)</f>
        <v>0</v>
      </c>
      <c r="Y169" s="105">
        <f>ROUND(KV*($S169^(2/3))*($X169^(0.5)),2)</f>
        <v>0</v>
      </c>
      <c r="Z169" s="106">
        <f>INDEX(Tribs!$H$3:$H$102,MATCH($A169,Tribs!$A$3:$A$102,0))</f>
        <v>0</v>
      </c>
      <c r="AA169" s="105">
        <f t="shared" ref="AA169" si="420">IF($Y169,($Z169/$Y169)*(1/60),0)</f>
        <v>0</v>
      </c>
      <c r="AB169" s="111">
        <f>ROUND(KQ*($S169^(8/3))*($X169^(0.5)),2)</f>
        <v>0</v>
      </c>
      <c r="AC169" s="138" t="str">
        <f>IF(AND($AB169&gt;=($Q169-0.0049),$Y169&gt;=(Vmin-0.0049)),"OK","NG")</f>
        <v>NG</v>
      </c>
    </row>
    <row r="170" spans="1:29" x14ac:dyDescent="0.3">
      <c r="A170" s="121"/>
      <c r="B170" s="184"/>
      <c r="C170" s="54"/>
      <c r="D170" s="52"/>
      <c r="E170" s="52"/>
      <c r="F170" s="117"/>
      <c r="G170" s="119">
        <f t="shared" ref="G170" si="421">IF($B170,INDEX($H$4:$H$499,(MATCH($B170,$A$4:$A$499))),0)</f>
        <v>0</v>
      </c>
      <c r="H170" s="113"/>
      <c r="I170" s="52"/>
      <c r="J170" s="52"/>
      <c r="K170" s="123"/>
      <c r="L170" s="53">
        <f t="shared" ref="L170" si="422">IF($B170,INDEX($O$4:$O$499,MATCH($B170,$A$4:$A$499)),0)</f>
        <v>0</v>
      </c>
      <c r="M170" s="126">
        <f t="shared" ref="M170" si="423">IF($B170,INDEX($AA$4:$AA$499,MATCH($B170,$A$4:$A$499)),0)</f>
        <v>0</v>
      </c>
      <c r="N170" s="119">
        <f t="shared" ref="N170" si="424">($L170+$M170)</f>
        <v>0</v>
      </c>
      <c r="O170" s="130"/>
      <c r="P170" s="134"/>
      <c r="Q170" s="130"/>
      <c r="R170" s="52"/>
      <c r="S170" s="224">
        <f t="shared" ref="S170:S173" si="425">S169</f>
        <v>0</v>
      </c>
      <c r="T170" s="237"/>
      <c r="U170" s="237"/>
      <c r="V170" s="237"/>
      <c r="W170" s="237"/>
      <c r="X170" s="52"/>
      <c r="Y170" s="52"/>
      <c r="Z170" s="52"/>
      <c r="AA170" s="54"/>
      <c r="AB170" s="130"/>
      <c r="AC170" s="139"/>
    </row>
    <row r="171" spans="1:29" x14ac:dyDescent="0.3">
      <c r="A171" s="121"/>
      <c r="B171" s="184"/>
      <c r="C171" s="54"/>
      <c r="D171" s="52"/>
      <c r="E171" s="52"/>
      <c r="F171" s="117"/>
      <c r="G171" s="119">
        <f t="shared" si="330"/>
        <v>0</v>
      </c>
      <c r="H171" s="113"/>
      <c r="I171" s="52"/>
      <c r="J171" s="52"/>
      <c r="K171" s="124"/>
      <c r="L171" s="53">
        <f t="shared" si="357"/>
        <v>0</v>
      </c>
      <c r="M171" s="127">
        <f t="shared" si="358"/>
        <v>0</v>
      </c>
      <c r="N171" s="119">
        <f t="shared" si="359"/>
        <v>0</v>
      </c>
      <c r="O171" s="130"/>
      <c r="P171" s="134"/>
      <c r="Q171" s="130"/>
      <c r="R171" s="52"/>
      <c r="S171" s="224">
        <f t="shared" si="425"/>
        <v>0</v>
      </c>
      <c r="T171" s="237"/>
      <c r="U171" s="237"/>
      <c r="V171" s="237"/>
      <c r="W171" s="237"/>
      <c r="X171" s="52"/>
      <c r="Y171" s="52"/>
      <c r="Z171" s="52"/>
      <c r="AA171" s="54"/>
      <c r="AB171" s="130"/>
      <c r="AC171" s="139"/>
    </row>
    <row r="172" spans="1:29" x14ac:dyDescent="0.3">
      <c r="A172" s="121"/>
      <c r="B172" s="184"/>
      <c r="C172" s="54"/>
      <c r="D172" s="52"/>
      <c r="E172" s="52"/>
      <c r="F172" s="117"/>
      <c r="G172" s="119">
        <f t="shared" si="330"/>
        <v>0</v>
      </c>
      <c r="H172" s="113"/>
      <c r="I172" s="52"/>
      <c r="J172" s="52"/>
      <c r="K172" s="124"/>
      <c r="L172" s="53">
        <f t="shared" si="357"/>
        <v>0</v>
      </c>
      <c r="M172" s="127">
        <f t="shared" si="358"/>
        <v>0</v>
      </c>
      <c r="N172" s="119">
        <f t="shared" si="359"/>
        <v>0</v>
      </c>
      <c r="O172" s="130"/>
      <c r="P172" s="134"/>
      <c r="Q172" s="130"/>
      <c r="R172" s="52"/>
      <c r="S172" s="224">
        <f t="shared" si="425"/>
        <v>0</v>
      </c>
      <c r="T172" s="237"/>
      <c r="U172" s="237"/>
      <c r="V172" s="237"/>
      <c r="W172" s="237"/>
      <c r="X172" s="52"/>
      <c r="Y172" s="52"/>
      <c r="Z172" s="52"/>
      <c r="AA172" s="54"/>
      <c r="AB172" s="130"/>
      <c r="AC172" s="139"/>
    </row>
    <row r="173" spans="1:29" ht="15" thickBot="1" x14ac:dyDescent="0.35">
      <c r="A173" s="122"/>
      <c r="B173" s="185"/>
      <c r="C173" s="102"/>
      <c r="D173" s="101"/>
      <c r="E173" s="101"/>
      <c r="F173" s="118"/>
      <c r="G173" s="120">
        <f t="shared" si="330"/>
        <v>0</v>
      </c>
      <c r="H173" s="114"/>
      <c r="I173" s="101"/>
      <c r="J173" s="101"/>
      <c r="K173" s="125"/>
      <c r="L173" s="103">
        <f t="shared" si="357"/>
        <v>0</v>
      </c>
      <c r="M173" s="128">
        <f t="shared" si="358"/>
        <v>0</v>
      </c>
      <c r="N173" s="120">
        <f t="shared" si="359"/>
        <v>0</v>
      </c>
      <c r="O173" s="131"/>
      <c r="P173" s="135"/>
      <c r="Q173" s="131"/>
      <c r="R173" s="101"/>
      <c r="S173" s="104">
        <f t="shared" si="425"/>
        <v>0</v>
      </c>
      <c r="T173" s="238"/>
      <c r="U173" s="238"/>
      <c r="V173" s="238"/>
      <c r="W173" s="238"/>
      <c r="X173" s="101"/>
      <c r="Y173" s="101"/>
      <c r="Z173" s="101"/>
      <c r="AA173" s="102"/>
      <c r="AB173" s="131"/>
      <c r="AC173" s="140"/>
    </row>
    <row r="174" spans="1:29" x14ac:dyDescent="0.3">
      <c r="A174" s="115">
        <f t="shared" ref="A174" si="426">$A169+1</f>
        <v>35</v>
      </c>
      <c r="B174" s="186"/>
      <c r="C174" s="105">
        <f>INDEX(Tribs!$C$3:$C$102,MATCH($A174,Tribs!$A$3:$A$102,0))</f>
        <v>0</v>
      </c>
      <c r="D174" s="106">
        <f>INDEX(Tribs!$E$3:$E$102,MATCH($A174,Tribs!$A$3:$A$102,0))</f>
        <v>0</v>
      </c>
      <c r="E174" s="105">
        <f>INDEX(Tribs!$F$3:$F$102,MATCH($A174,Tribs!$A$3:$A$102,0))</f>
        <v>0</v>
      </c>
      <c r="F174" s="116">
        <f t="shared" ref="F174" si="427">($C174*$E174)</f>
        <v>0</v>
      </c>
      <c r="G174" s="110"/>
      <c r="H174" s="111">
        <f t="shared" ref="H174" si="428">($F174)+(SUM($G175:$G178))</f>
        <v>0</v>
      </c>
      <c r="I174" s="106">
        <f>INDEX(Tribs!$D$3:$D$102,MATCH($A174,Tribs!$A$3:$A$102,0))</f>
        <v>0</v>
      </c>
      <c r="J174" s="106">
        <f>INDEX(Tribs!$G$3:$G$102,MATCH($A174,Tribs!$A$3:$A$102,0))</f>
        <v>0</v>
      </c>
      <c r="K174" s="105">
        <f>($J174)/V_gutter*(1/60)</f>
        <v>0</v>
      </c>
      <c r="L174" s="112"/>
      <c r="M174" s="109"/>
      <c r="N174" s="129">
        <f t="shared" ref="N174" si="429">($I174+$K174)</f>
        <v>0</v>
      </c>
      <c r="O174" s="111">
        <f t="shared" ref="O174" si="430">MAX($N174:$N178)</f>
        <v>0</v>
      </c>
      <c r="P174" s="133">
        <f>IF($H174&gt;0,IF($O174&lt;=T_1,I_1,IF($O174&lt;=T_2,(($O174*M_1)+B_1),IF($O174&lt;=T_3,(($O174*M_2)+B_2),IF($O174&lt;=T_4,(($O174*M_3)+B_3),IF($O174&lt;=T_5,(($O174*M_4)+B_4),IF($O174&lt;=T_6,(($O174*M_5)+B_5),IF($O174&lt;=T_7,(($O174*M_6)+B_6),IF($O174&lt;=T_8,(($O174*M_7)+B_7),IF($O174&lt;=T_9,(($O174*M_8)+B_8),IF($O174&lt;=T_10,(($O174*M_9)+B_9))))))))))),0)</f>
        <v>0</v>
      </c>
      <c r="Q174" s="111">
        <f t="shared" ref="Q174" si="431">ROUND(($H174*$P174),2)</f>
        <v>0</v>
      </c>
      <c r="R174" s="107">
        <f>IF($Q174&gt;0,IF($Q174&lt;=UTH!$M$4,UTH!$J$4,IF($Q174&lt;=UTH!$M$5,UTH!$J$5,IF($Q174&lt;=UTH!$M$6,UTH!$J$6,IF($Q174&lt;=UTH!$M$7,UTH!$J$7,IF($Q174&lt;=UTH!$M$8,UTH!$J$8,IF($Q174&lt;=UTH!$M$9,UTH!$J$9,IF($Q174&lt;=UTH!$M$10,UTH!$J$10,IF($Q174&lt;=UTH!$M$11,UTH!$J$11,IF($Q174&lt;=UTH!$M$12,UTH!$J$12,IF($Q174&lt;=UTH!$M$13,UTH!$J$13,IF($Q174&lt;=UTH!$M$14,UTH!$J$14,IF($Q174&lt;=UTH!$M$15,UTH!$J$15,IF($Q174&lt;=UTH!$M$16,UTH!$J$16,IF($Q174&lt;=UTH!$M$17,UTH!$J$17,IF($Q174&lt;=UTH!$M$18,UTH!$J$18,IF($Q174&lt;=UTH!$M$19,UTH!$J$19,IF($Q174&lt;=UTH!$M$20,UTH!$J$20))))))))))))))))),0)</f>
        <v>0</v>
      </c>
      <c r="S174" s="107">
        <f>IF(Inverts!$D174="YES",Inverts!$C174,Inverts!$E174)</f>
        <v>0</v>
      </c>
      <c r="T174" s="108">
        <f>IF($S174,($Q174/(KQ*($S174^(8/3))))^2,0)</f>
        <v>0</v>
      </c>
      <c r="U174" s="108">
        <f>IF($S174,(Vmin/(KV*($S174^(2/3))))^2,0)</f>
        <v>0</v>
      </c>
      <c r="V174" s="108">
        <f>IF($Z174,ROUND(MinDrop_2/$Z174,4),0)</f>
        <v>0</v>
      </c>
      <c r="W174" s="108">
        <f t="shared" ref="W174" si="432">IF($S174=0,0,MAX($T174:$V174))</f>
        <v>0</v>
      </c>
      <c r="X174" s="108">
        <f>IF(Inverts!$H174="yes",Inverts!$G174,Inverts!$I174)</f>
        <v>0</v>
      </c>
      <c r="Y174" s="105">
        <f>ROUND(KV*($S174^(2/3))*($X174^(0.5)),2)</f>
        <v>0</v>
      </c>
      <c r="Z174" s="106">
        <f>INDEX(Tribs!$H$3:$H$102,MATCH($A174,Tribs!$A$3:$A$102,0))</f>
        <v>0</v>
      </c>
      <c r="AA174" s="105">
        <f t="shared" ref="AA174" si="433">IF($Y174,($Z174/$Y174)*(1/60),0)</f>
        <v>0</v>
      </c>
      <c r="AB174" s="111">
        <f>ROUND(KQ*($S174^(8/3))*($X174^(0.5)),2)</f>
        <v>0</v>
      </c>
      <c r="AC174" s="138" t="str">
        <f>IF(AND($AB174&gt;=($Q174-0.0049),$Y174&gt;=(Vmin-0.0049)),"OK","NG")</f>
        <v>NG</v>
      </c>
    </row>
    <row r="175" spans="1:29" x14ac:dyDescent="0.3">
      <c r="A175" s="121"/>
      <c r="B175" s="184"/>
      <c r="C175" s="54"/>
      <c r="D175" s="52"/>
      <c r="E175" s="52"/>
      <c r="F175" s="117"/>
      <c r="G175" s="119">
        <f t="shared" ref="G175" si="434">IF($B175,INDEX($H$4:$H$499,(MATCH($B175,$A$4:$A$499))),0)</f>
        <v>0</v>
      </c>
      <c r="H175" s="113"/>
      <c r="I175" s="52"/>
      <c r="J175" s="52"/>
      <c r="K175" s="123"/>
      <c r="L175" s="53">
        <f t="shared" ref="L175" si="435">IF($B175,INDEX($O$4:$O$499,MATCH($B175,$A$4:$A$499)),0)</f>
        <v>0</v>
      </c>
      <c r="M175" s="126">
        <f t="shared" ref="M175" si="436">IF($B175,INDEX($AA$4:$AA$499,MATCH($B175,$A$4:$A$499)),0)</f>
        <v>0</v>
      </c>
      <c r="N175" s="119">
        <f t="shared" ref="N175" si="437">($L175+$M175)</f>
        <v>0</v>
      </c>
      <c r="O175" s="130"/>
      <c r="P175" s="134"/>
      <c r="Q175" s="130"/>
      <c r="R175" s="52"/>
      <c r="S175" s="224">
        <f t="shared" ref="S175:S178" si="438">S174</f>
        <v>0</v>
      </c>
      <c r="T175" s="237"/>
      <c r="U175" s="237"/>
      <c r="V175" s="237"/>
      <c r="W175" s="237"/>
      <c r="X175" s="52"/>
      <c r="Y175" s="52"/>
      <c r="Z175" s="52"/>
      <c r="AA175" s="54"/>
      <c r="AB175" s="130"/>
      <c r="AC175" s="139"/>
    </row>
    <row r="176" spans="1:29" x14ac:dyDescent="0.3">
      <c r="A176" s="121"/>
      <c r="B176" s="184"/>
      <c r="C176" s="54"/>
      <c r="D176" s="52"/>
      <c r="E176" s="52"/>
      <c r="F176" s="117"/>
      <c r="G176" s="119">
        <f t="shared" si="330"/>
        <v>0</v>
      </c>
      <c r="H176" s="113"/>
      <c r="I176" s="52"/>
      <c r="J176" s="52"/>
      <c r="K176" s="124"/>
      <c r="L176" s="53">
        <f t="shared" si="357"/>
        <v>0</v>
      </c>
      <c r="M176" s="127">
        <f t="shared" si="358"/>
        <v>0</v>
      </c>
      <c r="N176" s="119">
        <f t="shared" si="359"/>
        <v>0</v>
      </c>
      <c r="O176" s="130"/>
      <c r="P176" s="134"/>
      <c r="Q176" s="130"/>
      <c r="R176" s="52"/>
      <c r="S176" s="224">
        <f t="shared" si="438"/>
        <v>0</v>
      </c>
      <c r="T176" s="237"/>
      <c r="U176" s="237"/>
      <c r="V176" s="237"/>
      <c r="W176" s="237"/>
      <c r="X176" s="52"/>
      <c r="Y176" s="52"/>
      <c r="Z176" s="52"/>
      <c r="AA176" s="54"/>
      <c r="AB176" s="130"/>
      <c r="AC176" s="139"/>
    </row>
    <row r="177" spans="1:29" x14ac:dyDescent="0.3">
      <c r="A177" s="121"/>
      <c r="B177" s="184"/>
      <c r="C177" s="54"/>
      <c r="D177" s="52"/>
      <c r="E177" s="52"/>
      <c r="F177" s="117"/>
      <c r="G177" s="119">
        <f t="shared" si="330"/>
        <v>0</v>
      </c>
      <c r="H177" s="113"/>
      <c r="I177" s="52"/>
      <c r="J177" s="52"/>
      <c r="K177" s="124"/>
      <c r="L177" s="53">
        <f t="shared" si="357"/>
        <v>0</v>
      </c>
      <c r="M177" s="127">
        <f t="shared" si="358"/>
        <v>0</v>
      </c>
      <c r="N177" s="119">
        <f t="shared" si="359"/>
        <v>0</v>
      </c>
      <c r="O177" s="130"/>
      <c r="P177" s="134"/>
      <c r="Q177" s="130"/>
      <c r="R177" s="52"/>
      <c r="S177" s="224">
        <f t="shared" si="438"/>
        <v>0</v>
      </c>
      <c r="T177" s="237"/>
      <c r="U177" s="237"/>
      <c r="V177" s="237"/>
      <c r="W177" s="237"/>
      <c r="X177" s="52"/>
      <c r="Y177" s="52"/>
      <c r="Z177" s="52"/>
      <c r="AA177" s="54"/>
      <c r="AB177" s="130"/>
      <c r="AC177" s="139"/>
    </row>
    <row r="178" spans="1:29" ht="15" thickBot="1" x14ac:dyDescent="0.35">
      <c r="A178" s="122"/>
      <c r="B178" s="185"/>
      <c r="C178" s="102"/>
      <c r="D178" s="101"/>
      <c r="E178" s="101"/>
      <c r="F178" s="118"/>
      <c r="G178" s="120">
        <f t="shared" si="330"/>
        <v>0</v>
      </c>
      <c r="H178" s="114"/>
      <c r="I178" s="101"/>
      <c r="J178" s="101"/>
      <c r="K178" s="125"/>
      <c r="L178" s="103">
        <f t="shared" si="357"/>
        <v>0</v>
      </c>
      <c r="M178" s="128">
        <f t="shared" si="358"/>
        <v>0</v>
      </c>
      <c r="N178" s="120">
        <f t="shared" si="359"/>
        <v>0</v>
      </c>
      <c r="O178" s="131"/>
      <c r="P178" s="135"/>
      <c r="Q178" s="131"/>
      <c r="R178" s="101"/>
      <c r="S178" s="104">
        <f t="shared" si="438"/>
        <v>0</v>
      </c>
      <c r="T178" s="238"/>
      <c r="U178" s="238"/>
      <c r="V178" s="238"/>
      <c r="W178" s="238"/>
      <c r="X178" s="101"/>
      <c r="Y178" s="101"/>
      <c r="Z178" s="101"/>
      <c r="AA178" s="102"/>
      <c r="AB178" s="131"/>
      <c r="AC178" s="140"/>
    </row>
    <row r="179" spans="1:29" x14ac:dyDescent="0.3">
      <c r="A179" s="115">
        <f t="shared" ref="A179" si="439">$A174+1</f>
        <v>36</v>
      </c>
      <c r="B179" s="186"/>
      <c r="C179" s="105">
        <f>INDEX(Tribs!$C$3:$C$102,MATCH($A179,Tribs!$A$3:$A$102,0))</f>
        <v>0</v>
      </c>
      <c r="D179" s="106">
        <f>INDEX(Tribs!$E$3:$E$102,MATCH($A179,Tribs!$A$3:$A$102,0))</f>
        <v>0</v>
      </c>
      <c r="E179" s="105">
        <f>INDEX(Tribs!$F$3:$F$102,MATCH($A179,Tribs!$A$3:$A$102,0))</f>
        <v>0</v>
      </c>
      <c r="F179" s="116">
        <f t="shared" ref="F179" si="440">($C179*$E179)</f>
        <v>0</v>
      </c>
      <c r="G179" s="110"/>
      <c r="H179" s="111">
        <f t="shared" ref="H179" si="441">($F179)+(SUM($G180:$G183))</f>
        <v>0</v>
      </c>
      <c r="I179" s="106">
        <f>INDEX(Tribs!$D$3:$D$102,MATCH($A179,Tribs!$A$3:$A$102,0))</f>
        <v>0</v>
      </c>
      <c r="J179" s="106">
        <f>INDEX(Tribs!$G$3:$G$102,MATCH($A179,Tribs!$A$3:$A$102,0))</f>
        <v>0</v>
      </c>
      <c r="K179" s="105">
        <f>($J179)/V_gutter*(1/60)</f>
        <v>0</v>
      </c>
      <c r="L179" s="112"/>
      <c r="M179" s="109"/>
      <c r="N179" s="129">
        <f t="shared" ref="N179" si="442">($I179+$K179)</f>
        <v>0</v>
      </c>
      <c r="O179" s="111">
        <f t="shared" ref="O179" si="443">MAX($N179:$N183)</f>
        <v>0</v>
      </c>
      <c r="P179" s="133">
        <f>IF($H179&gt;0,IF($O179&lt;=T_1,I_1,IF($O179&lt;=T_2,(($O179*M_1)+B_1),IF($O179&lt;=T_3,(($O179*M_2)+B_2),IF($O179&lt;=T_4,(($O179*M_3)+B_3),IF($O179&lt;=T_5,(($O179*M_4)+B_4),IF($O179&lt;=T_6,(($O179*M_5)+B_5),IF($O179&lt;=T_7,(($O179*M_6)+B_6),IF($O179&lt;=T_8,(($O179*M_7)+B_7),IF($O179&lt;=T_9,(($O179*M_8)+B_8),IF($O179&lt;=T_10,(($O179*M_9)+B_9))))))))))),0)</f>
        <v>0</v>
      </c>
      <c r="Q179" s="111">
        <f t="shared" ref="Q179" si="444">ROUND(($H179*$P179),2)</f>
        <v>0</v>
      </c>
      <c r="R179" s="107">
        <f>IF($Q179&gt;0,IF($Q179&lt;=UTH!$M$4,UTH!$J$4,IF($Q179&lt;=UTH!$M$5,UTH!$J$5,IF($Q179&lt;=UTH!$M$6,UTH!$J$6,IF($Q179&lt;=UTH!$M$7,UTH!$J$7,IF($Q179&lt;=UTH!$M$8,UTH!$J$8,IF($Q179&lt;=UTH!$M$9,UTH!$J$9,IF($Q179&lt;=UTH!$M$10,UTH!$J$10,IF($Q179&lt;=UTH!$M$11,UTH!$J$11,IF($Q179&lt;=UTH!$M$12,UTH!$J$12,IF($Q179&lt;=UTH!$M$13,UTH!$J$13,IF($Q179&lt;=UTH!$M$14,UTH!$J$14,IF($Q179&lt;=UTH!$M$15,UTH!$J$15,IF($Q179&lt;=UTH!$M$16,UTH!$J$16,IF($Q179&lt;=UTH!$M$17,UTH!$J$17,IF($Q179&lt;=UTH!$M$18,UTH!$J$18,IF($Q179&lt;=UTH!$M$19,UTH!$J$19,IF($Q179&lt;=UTH!$M$20,UTH!$J$20))))))))))))))))),0)</f>
        <v>0</v>
      </c>
      <c r="S179" s="107">
        <f>IF(Inverts!$D179="YES",Inverts!$C179,Inverts!$E179)</f>
        <v>0</v>
      </c>
      <c r="T179" s="108">
        <f>IF($S179,($Q179/(KQ*($S179^(8/3))))^2,0)</f>
        <v>0</v>
      </c>
      <c r="U179" s="108">
        <f>IF($S179,(Vmin/(KV*($S179^(2/3))))^2,0)</f>
        <v>0</v>
      </c>
      <c r="V179" s="108">
        <f>IF($Z179,ROUND(MinDrop_2/$Z179,4),0)</f>
        <v>0</v>
      </c>
      <c r="W179" s="108">
        <f t="shared" ref="W179" si="445">IF($S179=0,0,MAX($T179:$V179))</f>
        <v>0</v>
      </c>
      <c r="X179" s="108">
        <f>IF(Inverts!$H179="yes",Inverts!$G179,Inverts!$I179)</f>
        <v>0</v>
      </c>
      <c r="Y179" s="105">
        <f>ROUND(KV*($S179^(2/3))*($X179^(0.5)),2)</f>
        <v>0</v>
      </c>
      <c r="Z179" s="106">
        <f>INDEX(Tribs!$H$3:$H$102,MATCH($A179,Tribs!$A$3:$A$102,0))</f>
        <v>0</v>
      </c>
      <c r="AA179" s="105">
        <f t="shared" ref="AA179" si="446">IF($Y179,($Z179/$Y179)*(1/60),0)</f>
        <v>0</v>
      </c>
      <c r="AB179" s="111">
        <f>ROUND(KQ*($S179^(8/3))*($X179^(0.5)),2)</f>
        <v>0</v>
      </c>
      <c r="AC179" s="138" t="str">
        <f>IF(AND($AB179&gt;=($Q179-0.0049),$Y179&gt;=(Vmin-0.0049)),"OK","NG")</f>
        <v>NG</v>
      </c>
    </row>
    <row r="180" spans="1:29" x14ac:dyDescent="0.3">
      <c r="A180" s="121"/>
      <c r="B180" s="184"/>
      <c r="C180" s="54"/>
      <c r="D180" s="52"/>
      <c r="E180" s="52"/>
      <c r="F180" s="117"/>
      <c r="G180" s="119">
        <f t="shared" ref="G180" si="447">IF($B180,INDEX($H$4:$H$499,(MATCH($B180,$A$4:$A$499))),0)</f>
        <v>0</v>
      </c>
      <c r="H180" s="113"/>
      <c r="I180" s="52"/>
      <c r="J180" s="52"/>
      <c r="K180" s="123"/>
      <c r="L180" s="53">
        <f t="shared" ref="L180" si="448">IF($B180,INDEX($O$4:$O$499,MATCH($B180,$A$4:$A$499)),0)</f>
        <v>0</v>
      </c>
      <c r="M180" s="126">
        <f t="shared" ref="M180" si="449">IF($B180,INDEX($AA$4:$AA$499,MATCH($B180,$A$4:$A$499)),0)</f>
        <v>0</v>
      </c>
      <c r="N180" s="119">
        <f t="shared" ref="N180" si="450">($L180+$M180)</f>
        <v>0</v>
      </c>
      <c r="O180" s="130"/>
      <c r="P180" s="134"/>
      <c r="Q180" s="130"/>
      <c r="R180" s="52"/>
      <c r="S180" s="224">
        <f t="shared" ref="S180:S183" si="451">S179</f>
        <v>0</v>
      </c>
      <c r="T180" s="237"/>
      <c r="U180" s="237"/>
      <c r="V180" s="237"/>
      <c r="W180" s="237"/>
      <c r="X180" s="52"/>
      <c r="Y180" s="52"/>
      <c r="Z180" s="52"/>
      <c r="AA180" s="54"/>
      <c r="AB180" s="130"/>
      <c r="AC180" s="139"/>
    </row>
    <row r="181" spans="1:29" x14ac:dyDescent="0.3">
      <c r="A181" s="121"/>
      <c r="B181" s="184"/>
      <c r="C181" s="54"/>
      <c r="D181" s="52"/>
      <c r="E181" s="52"/>
      <c r="F181" s="117"/>
      <c r="G181" s="119">
        <f t="shared" si="330"/>
        <v>0</v>
      </c>
      <c r="H181" s="113"/>
      <c r="I181" s="52"/>
      <c r="J181" s="52"/>
      <c r="K181" s="124"/>
      <c r="L181" s="53">
        <f t="shared" si="357"/>
        <v>0</v>
      </c>
      <c r="M181" s="127">
        <f t="shared" si="358"/>
        <v>0</v>
      </c>
      <c r="N181" s="119">
        <f t="shared" si="359"/>
        <v>0</v>
      </c>
      <c r="O181" s="130"/>
      <c r="P181" s="134"/>
      <c r="Q181" s="130"/>
      <c r="R181" s="52"/>
      <c r="S181" s="224">
        <f t="shared" si="451"/>
        <v>0</v>
      </c>
      <c r="T181" s="237"/>
      <c r="U181" s="237"/>
      <c r="V181" s="237"/>
      <c r="W181" s="237"/>
      <c r="X181" s="52"/>
      <c r="Y181" s="52"/>
      <c r="Z181" s="52"/>
      <c r="AA181" s="54"/>
      <c r="AB181" s="130"/>
      <c r="AC181" s="139"/>
    </row>
    <row r="182" spans="1:29" x14ac:dyDescent="0.3">
      <c r="A182" s="121"/>
      <c r="B182" s="184"/>
      <c r="C182" s="54"/>
      <c r="D182" s="52"/>
      <c r="E182" s="52"/>
      <c r="F182" s="117"/>
      <c r="G182" s="119">
        <f t="shared" si="330"/>
        <v>0</v>
      </c>
      <c r="H182" s="113"/>
      <c r="I182" s="52"/>
      <c r="J182" s="52"/>
      <c r="K182" s="124"/>
      <c r="L182" s="53">
        <f t="shared" si="357"/>
        <v>0</v>
      </c>
      <c r="M182" s="127">
        <f t="shared" si="358"/>
        <v>0</v>
      </c>
      <c r="N182" s="119">
        <f t="shared" si="359"/>
        <v>0</v>
      </c>
      <c r="O182" s="130"/>
      <c r="P182" s="134"/>
      <c r="Q182" s="130"/>
      <c r="R182" s="52"/>
      <c r="S182" s="224">
        <f t="shared" si="451"/>
        <v>0</v>
      </c>
      <c r="T182" s="237"/>
      <c r="U182" s="237"/>
      <c r="V182" s="237"/>
      <c r="W182" s="237"/>
      <c r="X182" s="52"/>
      <c r="Y182" s="52"/>
      <c r="Z182" s="52"/>
      <c r="AA182" s="54"/>
      <c r="AB182" s="130"/>
      <c r="AC182" s="139"/>
    </row>
    <row r="183" spans="1:29" ht="15" thickBot="1" x14ac:dyDescent="0.35">
      <c r="A183" s="122"/>
      <c r="B183" s="185"/>
      <c r="C183" s="102"/>
      <c r="D183" s="101"/>
      <c r="E183" s="101"/>
      <c r="F183" s="118"/>
      <c r="G183" s="120">
        <f t="shared" si="330"/>
        <v>0</v>
      </c>
      <c r="H183" s="114"/>
      <c r="I183" s="101"/>
      <c r="J183" s="101"/>
      <c r="K183" s="125"/>
      <c r="L183" s="103">
        <f t="shared" si="357"/>
        <v>0</v>
      </c>
      <c r="M183" s="128">
        <f t="shared" si="358"/>
        <v>0</v>
      </c>
      <c r="N183" s="120">
        <f t="shared" si="359"/>
        <v>0</v>
      </c>
      <c r="O183" s="131"/>
      <c r="P183" s="135"/>
      <c r="Q183" s="131"/>
      <c r="R183" s="101"/>
      <c r="S183" s="104">
        <f t="shared" si="451"/>
        <v>0</v>
      </c>
      <c r="T183" s="238"/>
      <c r="U183" s="238"/>
      <c r="V183" s="238"/>
      <c r="W183" s="238"/>
      <c r="X183" s="101"/>
      <c r="Y183" s="101"/>
      <c r="Z183" s="101"/>
      <c r="AA183" s="102"/>
      <c r="AB183" s="131"/>
      <c r="AC183" s="140"/>
    </row>
    <row r="184" spans="1:29" x14ac:dyDescent="0.3">
      <c r="A184" s="115">
        <f t="shared" ref="A184" si="452">$A179+1</f>
        <v>37</v>
      </c>
      <c r="B184" s="186"/>
      <c r="C184" s="105">
        <f>INDEX(Tribs!$C$3:$C$102,MATCH($A184,Tribs!$A$3:$A$102,0))</f>
        <v>0</v>
      </c>
      <c r="D184" s="106">
        <f>INDEX(Tribs!$E$3:$E$102,MATCH($A184,Tribs!$A$3:$A$102,0))</f>
        <v>0</v>
      </c>
      <c r="E184" s="105">
        <f>INDEX(Tribs!$F$3:$F$102,MATCH($A184,Tribs!$A$3:$A$102,0))</f>
        <v>0</v>
      </c>
      <c r="F184" s="116">
        <f t="shared" ref="F184" si="453">($C184*$E184)</f>
        <v>0</v>
      </c>
      <c r="G184" s="110"/>
      <c r="H184" s="111">
        <f t="shared" ref="H184" si="454">($F184)+(SUM($G185:$G188))</f>
        <v>0</v>
      </c>
      <c r="I184" s="106">
        <f>INDEX(Tribs!$D$3:$D$102,MATCH($A184,Tribs!$A$3:$A$102,0))</f>
        <v>0</v>
      </c>
      <c r="J184" s="106">
        <f>INDEX(Tribs!$G$3:$G$102,MATCH($A184,Tribs!$A$3:$A$102,0))</f>
        <v>0</v>
      </c>
      <c r="K184" s="105">
        <f>($J184)/V_gutter*(1/60)</f>
        <v>0</v>
      </c>
      <c r="L184" s="112"/>
      <c r="M184" s="109"/>
      <c r="N184" s="129">
        <f t="shared" ref="N184" si="455">($I184+$K184)</f>
        <v>0</v>
      </c>
      <c r="O184" s="111">
        <f t="shared" ref="O184" si="456">MAX($N184:$N188)</f>
        <v>0</v>
      </c>
      <c r="P184" s="133">
        <f>IF($H184&gt;0,IF($O184&lt;=T_1,I_1,IF($O184&lt;=T_2,(($O184*M_1)+B_1),IF($O184&lt;=T_3,(($O184*M_2)+B_2),IF($O184&lt;=T_4,(($O184*M_3)+B_3),IF($O184&lt;=T_5,(($O184*M_4)+B_4),IF($O184&lt;=T_6,(($O184*M_5)+B_5),IF($O184&lt;=T_7,(($O184*M_6)+B_6),IF($O184&lt;=T_8,(($O184*M_7)+B_7),IF($O184&lt;=T_9,(($O184*M_8)+B_8),IF($O184&lt;=T_10,(($O184*M_9)+B_9))))))))))),0)</f>
        <v>0</v>
      </c>
      <c r="Q184" s="111">
        <f t="shared" ref="Q184" si="457">ROUND(($H184*$P184),2)</f>
        <v>0</v>
      </c>
      <c r="R184" s="107">
        <f>IF($Q184&gt;0,IF($Q184&lt;=UTH!$M$4,UTH!$J$4,IF($Q184&lt;=UTH!$M$5,UTH!$J$5,IF($Q184&lt;=UTH!$M$6,UTH!$J$6,IF($Q184&lt;=UTH!$M$7,UTH!$J$7,IF($Q184&lt;=UTH!$M$8,UTH!$J$8,IF($Q184&lt;=UTH!$M$9,UTH!$J$9,IF($Q184&lt;=UTH!$M$10,UTH!$J$10,IF($Q184&lt;=UTH!$M$11,UTH!$J$11,IF($Q184&lt;=UTH!$M$12,UTH!$J$12,IF($Q184&lt;=UTH!$M$13,UTH!$J$13,IF($Q184&lt;=UTH!$M$14,UTH!$J$14,IF($Q184&lt;=UTH!$M$15,UTH!$J$15,IF($Q184&lt;=UTH!$M$16,UTH!$J$16,IF($Q184&lt;=UTH!$M$17,UTH!$J$17,IF($Q184&lt;=UTH!$M$18,UTH!$J$18,IF($Q184&lt;=UTH!$M$19,UTH!$J$19,IF($Q184&lt;=UTH!$M$20,UTH!$J$20))))))))))))))))),0)</f>
        <v>0</v>
      </c>
      <c r="S184" s="107">
        <f>IF(Inverts!$D184="YES",Inverts!$C184,Inverts!$E184)</f>
        <v>0</v>
      </c>
      <c r="T184" s="108">
        <f>IF($S184,($Q184/(KQ*($S184^(8/3))))^2,0)</f>
        <v>0</v>
      </c>
      <c r="U184" s="108">
        <f>IF($S184,(Vmin/(KV*($S184^(2/3))))^2,0)</f>
        <v>0</v>
      </c>
      <c r="V184" s="108">
        <f>IF($Z184,ROUND(MinDrop_2/$Z184,4),0)</f>
        <v>0</v>
      </c>
      <c r="W184" s="108">
        <f t="shared" ref="W184" si="458">IF($S184=0,0,MAX($T184:$V184))</f>
        <v>0</v>
      </c>
      <c r="X184" s="108">
        <f>IF(Inverts!$H184="yes",Inverts!$G184,Inverts!$I184)</f>
        <v>0</v>
      </c>
      <c r="Y184" s="105">
        <f>ROUND(KV*($S184^(2/3))*($X184^(0.5)),2)</f>
        <v>0</v>
      </c>
      <c r="Z184" s="106">
        <f>INDEX(Tribs!$H$3:$H$102,MATCH($A184,Tribs!$A$3:$A$102,0))</f>
        <v>0</v>
      </c>
      <c r="AA184" s="105">
        <f t="shared" ref="AA184" si="459">IF($Y184,($Z184/$Y184)*(1/60),0)</f>
        <v>0</v>
      </c>
      <c r="AB184" s="111">
        <f>ROUND(KQ*($S184^(8/3))*($X184^(0.5)),2)</f>
        <v>0</v>
      </c>
      <c r="AC184" s="138" t="str">
        <f>IF(AND($AB184&gt;=($Q184-0.0049),$Y184&gt;=(Vmin-0.0049)),"OK","NG")</f>
        <v>NG</v>
      </c>
    </row>
    <row r="185" spans="1:29" x14ac:dyDescent="0.3">
      <c r="A185" s="121"/>
      <c r="B185" s="184"/>
      <c r="C185" s="54"/>
      <c r="D185" s="52"/>
      <c r="E185" s="52"/>
      <c r="F185" s="117"/>
      <c r="G185" s="119">
        <f t="shared" ref="G185" si="460">IF($B185,INDEX($H$4:$H$499,(MATCH($B185,$A$4:$A$499))),0)</f>
        <v>0</v>
      </c>
      <c r="H185" s="113"/>
      <c r="I185" s="52"/>
      <c r="J185" s="52"/>
      <c r="K185" s="123"/>
      <c r="L185" s="53">
        <f t="shared" ref="L185" si="461">IF($B185,INDEX($O$4:$O$499,MATCH($B185,$A$4:$A$499)),0)</f>
        <v>0</v>
      </c>
      <c r="M185" s="126">
        <f t="shared" ref="M185" si="462">IF($B185,INDEX($AA$4:$AA$499,MATCH($B185,$A$4:$A$499)),0)</f>
        <v>0</v>
      </c>
      <c r="N185" s="119">
        <f t="shared" ref="N185" si="463">($L185+$M185)</f>
        <v>0</v>
      </c>
      <c r="O185" s="130"/>
      <c r="P185" s="134"/>
      <c r="Q185" s="130"/>
      <c r="R185" s="52"/>
      <c r="S185" s="224">
        <f t="shared" ref="S185:S188" si="464">S184</f>
        <v>0</v>
      </c>
      <c r="T185" s="237"/>
      <c r="U185" s="237"/>
      <c r="V185" s="237"/>
      <c r="W185" s="237"/>
      <c r="X185" s="52"/>
      <c r="Y185" s="52"/>
      <c r="Z185" s="52"/>
      <c r="AA185" s="54"/>
      <c r="AB185" s="130"/>
      <c r="AC185" s="139"/>
    </row>
    <row r="186" spans="1:29" x14ac:dyDescent="0.3">
      <c r="A186" s="121"/>
      <c r="B186" s="184"/>
      <c r="C186" s="54"/>
      <c r="D186" s="52"/>
      <c r="E186" s="52"/>
      <c r="F186" s="117"/>
      <c r="G186" s="119">
        <f t="shared" si="330"/>
        <v>0</v>
      </c>
      <c r="H186" s="113"/>
      <c r="I186" s="52"/>
      <c r="J186" s="52"/>
      <c r="K186" s="124"/>
      <c r="L186" s="53">
        <f t="shared" si="357"/>
        <v>0</v>
      </c>
      <c r="M186" s="127">
        <f t="shared" si="358"/>
        <v>0</v>
      </c>
      <c r="N186" s="119">
        <f t="shared" si="359"/>
        <v>0</v>
      </c>
      <c r="O186" s="130"/>
      <c r="P186" s="134"/>
      <c r="Q186" s="130"/>
      <c r="R186" s="52"/>
      <c r="S186" s="224">
        <f t="shared" si="464"/>
        <v>0</v>
      </c>
      <c r="T186" s="237"/>
      <c r="U186" s="237"/>
      <c r="V186" s="237"/>
      <c r="W186" s="237"/>
      <c r="X186" s="52"/>
      <c r="Y186" s="52"/>
      <c r="Z186" s="52"/>
      <c r="AA186" s="54"/>
      <c r="AB186" s="130"/>
      <c r="AC186" s="139"/>
    </row>
    <row r="187" spans="1:29" x14ac:dyDescent="0.3">
      <c r="A187" s="121"/>
      <c r="B187" s="184"/>
      <c r="C187" s="54"/>
      <c r="D187" s="52"/>
      <c r="E187" s="52"/>
      <c r="F187" s="117"/>
      <c r="G187" s="119">
        <f t="shared" si="330"/>
        <v>0</v>
      </c>
      <c r="H187" s="113"/>
      <c r="I187" s="52"/>
      <c r="J187" s="52"/>
      <c r="K187" s="124"/>
      <c r="L187" s="53">
        <f t="shared" si="357"/>
        <v>0</v>
      </c>
      <c r="M187" s="127">
        <f t="shared" si="358"/>
        <v>0</v>
      </c>
      <c r="N187" s="119">
        <f t="shared" si="359"/>
        <v>0</v>
      </c>
      <c r="O187" s="130"/>
      <c r="P187" s="134"/>
      <c r="Q187" s="130"/>
      <c r="R187" s="52"/>
      <c r="S187" s="224">
        <f t="shared" si="464"/>
        <v>0</v>
      </c>
      <c r="T187" s="237"/>
      <c r="U187" s="237"/>
      <c r="V187" s="237"/>
      <c r="W187" s="237"/>
      <c r="X187" s="52"/>
      <c r="Y187" s="52"/>
      <c r="Z187" s="52"/>
      <c r="AA187" s="54"/>
      <c r="AB187" s="130"/>
      <c r="AC187" s="139"/>
    </row>
    <row r="188" spans="1:29" ht="15" thickBot="1" x14ac:dyDescent="0.35">
      <c r="A188" s="122"/>
      <c r="B188" s="185"/>
      <c r="C188" s="102"/>
      <c r="D188" s="101"/>
      <c r="E188" s="101"/>
      <c r="F188" s="118"/>
      <c r="G188" s="120">
        <f t="shared" si="330"/>
        <v>0</v>
      </c>
      <c r="H188" s="114"/>
      <c r="I188" s="101"/>
      <c r="J188" s="101"/>
      <c r="K188" s="125"/>
      <c r="L188" s="103">
        <f t="shared" si="357"/>
        <v>0</v>
      </c>
      <c r="M188" s="128">
        <f t="shared" si="358"/>
        <v>0</v>
      </c>
      <c r="N188" s="120">
        <f t="shared" si="359"/>
        <v>0</v>
      </c>
      <c r="O188" s="131"/>
      <c r="P188" s="135"/>
      <c r="Q188" s="131"/>
      <c r="R188" s="101"/>
      <c r="S188" s="104">
        <f t="shared" si="464"/>
        <v>0</v>
      </c>
      <c r="T188" s="238"/>
      <c r="U188" s="238"/>
      <c r="V188" s="238"/>
      <c r="W188" s="238"/>
      <c r="X188" s="101"/>
      <c r="Y188" s="101"/>
      <c r="Z188" s="101"/>
      <c r="AA188" s="102"/>
      <c r="AB188" s="131"/>
      <c r="AC188" s="140"/>
    </row>
    <row r="189" spans="1:29" x14ac:dyDescent="0.3">
      <c r="A189" s="115">
        <f t="shared" ref="A189" si="465">$A184+1</f>
        <v>38</v>
      </c>
      <c r="B189" s="186"/>
      <c r="C189" s="105">
        <f>INDEX(Tribs!$C$3:$C$102,MATCH($A189,Tribs!$A$3:$A$102,0))</f>
        <v>0</v>
      </c>
      <c r="D189" s="106">
        <f>INDEX(Tribs!$E$3:$E$102,MATCH($A189,Tribs!$A$3:$A$102,0))</f>
        <v>0</v>
      </c>
      <c r="E189" s="105">
        <f>INDEX(Tribs!$F$3:$F$102,MATCH($A189,Tribs!$A$3:$A$102,0))</f>
        <v>0</v>
      </c>
      <c r="F189" s="116">
        <f t="shared" ref="F189" si="466">($C189*$E189)</f>
        <v>0</v>
      </c>
      <c r="G189" s="110"/>
      <c r="H189" s="111">
        <f t="shared" ref="H189" si="467">($F189)+(SUM($G190:$G193))</f>
        <v>0</v>
      </c>
      <c r="I189" s="106">
        <f>INDEX(Tribs!$D$3:$D$102,MATCH($A189,Tribs!$A$3:$A$102,0))</f>
        <v>0</v>
      </c>
      <c r="J189" s="106">
        <f>INDEX(Tribs!$G$3:$G$102,MATCH($A189,Tribs!$A$3:$A$102,0))</f>
        <v>0</v>
      </c>
      <c r="K189" s="105">
        <f>($J189)/V_gutter*(1/60)</f>
        <v>0</v>
      </c>
      <c r="L189" s="112"/>
      <c r="M189" s="109"/>
      <c r="N189" s="129">
        <f t="shared" ref="N189" si="468">($I189+$K189)</f>
        <v>0</v>
      </c>
      <c r="O189" s="111">
        <f t="shared" ref="O189" si="469">MAX($N189:$N193)</f>
        <v>0</v>
      </c>
      <c r="P189" s="133">
        <f>IF($H189&gt;0,IF($O189&lt;=T_1,I_1,IF($O189&lt;=T_2,(($O189*M_1)+B_1),IF($O189&lt;=T_3,(($O189*M_2)+B_2),IF($O189&lt;=T_4,(($O189*M_3)+B_3),IF($O189&lt;=T_5,(($O189*M_4)+B_4),IF($O189&lt;=T_6,(($O189*M_5)+B_5),IF($O189&lt;=T_7,(($O189*M_6)+B_6),IF($O189&lt;=T_8,(($O189*M_7)+B_7),IF($O189&lt;=T_9,(($O189*M_8)+B_8),IF($O189&lt;=T_10,(($O189*M_9)+B_9))))))))))),0)</f>
        <v>0</v>
      </c>
      <c r="Q189" s="111">
        <f t="shared" ref="Q189" si="470">ROUND(($H189*$P189),2)</f>
        <v>0</v>
      </c>
      <c r="R189" s="107">
        <f>IF($Q189&gt;0,IF($Q189&lt;=UTH!$M$4,UTH!$J$4,IF($Q189&lt;=UTH!$M$5,UTH!$J$5,IF($Q189&lt;=UTH!$M$6,UTH!$J$6,IF($Q189&lt;=UTH!$M$7,UTH!$J$7,IF($Q189&lt;=UTH!$M$8,UTH!$J$8,IF($Q189&lt;=UTH!$M$9,UTH!$J$9,IF($Q189&lt;=UTH!$M$10,UTH!$J$10,IF($Q189&lt;=UTH!$M$11,UTH!$J$11,IF($Q189&lt;=UTH!$M$12,UTH!$J$12,IF($Q189&lt;=UTH!$M$13,UTH!$J$13,IF($Q189&lt;=UTH!$M$14,UTH!$J$14,IF($Q189&lt;=UTH!$M$15,UTH!$J$15,IF($Q189&lt;=UTH!$M$16,UTH!$J$16,IF($Q189&lt;=UTH!$M$17,UTH!$J$17,IF($Q189&lt;=UTH!$M$18,UTH!$J$18,IF($Q189&lt;=UTH!$M$19,UTH!$J$19,IF($Q189&lt;=UTH!$M$20,UTH!$J$20))))))))))))))))),0)</f>
        <v>0</v>
      </c>
      <c r="S189" s="107">
        <f>IF(Inverts!$D189="YES",Inverts!$C189,Inverts!$E189)</f>
        <v>0</v>
      </c>
      <c r="T189" s="108">
        <f>IF($S189,($Q189/(KQ*($S189^(8/3))))^2,0)</f>
        <v>0</v>
      </c>
      <c r="U189" s="108">
        <f>IF($S189,(Vmin/(KV*($S189^(2/3))))^2,0)</f>
        <v>0</v>
      </c>
      <c r="V189" s="108">
        <f>IF($Z189,ROUND(MinDrop_2/$Z189,4),0)</f>
        <v>0</v>
      </c>
      <c r="W189" s="108">
        <f t="shared" ref="W189" si="471">IF($S189=0,0,MAX($T189:$V189))</f>
        <v>0</v>
      </c>
      <c r="X189" s="108">
        <f>IF(Inverts!$H189="yes",Inverts!$G189,Inverts!$I189)</f>
        <v>0</v>
      </c>
      <c r="Y189" s="105">
        <f>ROUND(KV*($S189^(2/3))*($X189^(0.5)),2)</f>
        <v>0</v>
      </c>
      <c r="Z189" s="106">
        <f>INDEX(Tribs!$H$3:$H$102,MATCH($A189,Tribs!$A$3:$A$102,0))</f>
        <v>0</v>
      </c>
      <c r="AA189" s="105">
        <f t="shared" ref="AA189" si="472">IF($Y189,($Z189/$Y189)*(1/60),0)</f>
        <v>0</v>
      </c>
      <c r="AB189" s="111">
        <f>ROUND(KQ*($S189^(8/3))*($X189^(0.5)),2)</f>
        <v>0</v>
      </c>
      <c r="AC189" s="138" t="str">
        <f>IF(AND($AB189&gt;=($Q189-0.0049),$Y189&gt;=(Vmin-0.0049)),"OK","NG")</f>
        <v>NG</v>
      </c>
    </row>
    <row r="190" spans="1:29" x14ac:dyDescent="0.3">
      <c r="A190" s="121"/>
      <c r="B190" s="184"/>
      <c r="C190" s="54"/>
      <c r="D190" s="52"/>
      <c r="E190" s="52"/>
      <c r="F190" s="117"/>
      <c r="G190" s="119">
        <f t="shared" ref="G190" si="473">IF($B190,INDEX($H$4:$H$499,(MATCH($B190,$A$4:$A$499))),0)</f>
        <v>0</v>
      </c>
      <c r="H190" s="113"/>
      <c r="I190" s="52"/>
      <c r="J190" s="52"/>
      <c r="K190" s="123"/>
      <c r="L190" s="53">
        <f t="shared" ref="L190" si="474">IF($B190,INDEX($O$4:$O$499,MATCH($B190,$A$4:$A$499)),0)</f>
        <v>0</v>
      </c>
      <c r="M190" s="126">
        <f t="shared" ref="M190" si="475">IF($B190,INDEX($AA$4:$AA$499,MATCH($B190,$A$4:$A$499)),0)</f>
        <v>0</v>
      </c>
      <c r="N190" s="119">
        <f t="shared" ref="N190" si="476">($L190+$M190)</f>
        <v>0</v>
      </c>
      <c r="O190" s="130"/>
      <c r="P190" s="134"/>
      <c r="Q190" s="130"/>
      <c r="R190" s="52"/>
      <c r="S190" s="224">
        <f t="shared" ref="S190:S193" si="477">S189</f>
        <v>0</v>
      </c>
      <c r="T190" s="237"/>
      <c r="U190" s="237"/>
      <c r="V190" s="237"/>
      <c r="W190" s="237"/>
      <c r="X190" s="52"/>
      <c r="Y190" s="52"/>
      <c r="Z190" s="52"/>
      <c r="AA190" s="54"/>
      <c r="AB190" s="130"/>
      <c r="AC190" s="139"/>
    </row>
    <row r="191" spans="1:29" x14ac:dyDescent="0.3">
      <c r="A191" s="121"/>
      <c r="B191" s="184"/>
      <c r="C191" s="54"/>
      <c r="D191" s="52"/>
      <c r="E191" s="52"/>
      <c r="F191" s="117"/>
      <c r="G191" s="119">
        <f t="shared" si="330"/>
        <v>0</v>
      </c>
      <c r="H191" s="113"/>
      <c r="I191" s="52"/>
      <c r="J191" s="52"/>
      <c r="K191" s="124"/>
      <c r="L191" s="53">
        <f t="shared" si="357"/>
        <v>0</v>
      </c>
      <c r="M191" s="127">
        <f t="shared" si="358"/>
        <v>0</v>
      </c>
      <c r="N191" s="119">
        <f t="shared" si="359"/>
        <v>0</v>
      </c>
      <c r="O191" s="130"/>
      <c r="P191" s="134"/>
      <c r="Q191" s="130"/>
      <c r="R191" s="52"/>
      <c r="S191" s="224">
        <f t="shared" si="477"/>
        <v>0</v>
      </c>
      <c r="T191" s="237"/>
      <c r="U191" s="237"/>
      <c r="V191" s="237"/>
      <c r="W191" s="237"/>
      <c r="X191" s="52"/>
      <c r="Y191" s="52"/>
      <c r="Z191" s="52"/>
      <c r="AA191" s="54"/>
      <c r="AB191" s="130"/>
      <c r="AC191" s="139"/>
    </row>
    <row r="192" spans="1:29" x14ac:dyDescent="0.3">
      <c r="A192" s="121"/>
      <c r="B192" s="184"/>
      <c r="C192" s="54"/>
      <c r="D192" s="52"/>
      <c r="E192" s="52"/>
      <c r="F192" s="117"/>
      <c r="G192" s="119">
        <f t="shared" si="330"/>
        <v>0</v>
      </c>
      <c r="H192" s="113"/>
      <c r="I192" s="52"/>
      <c r="J192" s="52"/>
      <c r="K192" s="124"/>
      <c r="L192" s="53">
        <f t="shared" si="357"/>
        <v>0</v>
      </c>
      <c r="M192" s="127">
        <f t="shared" si="358"/>
        <v>0</v>
      </c>
      <c r="N192" s="119">
        <f t="shared" si="359"/>
        <v>0</v>
      </c>
      <c r="O192" s="130"/>
      <c r="P192" s="134"/>
      <c r="Q192" s="130"/>
      <c r="R192" s="52"/>
      <c r="S192" s="224">
        <f t="shared" si="477"/>
        <v>0</v>
      </c>
      <c r="T192" s="237"/>
      <c r="U192" s="237"/>
      <c r="V192" s="237"/>
      <c r="W192" s="237"/>
      <c r="X192" s="52"/>
      <c r="Y192" s="52"/>
      <c r="Z192" s="52"/>
      <c r="AA192" s="54"/>
      <c r="AB192" s="130"/>
      <c r="AC192" s="139"/>
    </row>
    <row r="193" spans="1:29" ht="15" thickBot="1" x14ac:dyDescent="0.35">
      <c r="A193" s="122"/>
      <c r="B193" s="185"/>
      <c r="C193" s="102"/>
      <c r="D193" s="101"/>
      <c r="E193" s="101"/>
      <c r="F193" s="118"/>
      <c r="G193" s="120">
        <f t="shared" si="330"/>
        <v>0</v>
      </c>
      <c r="H193" s="114"/>
      <c r="I193" s="101"/>
      <c r="J193" s="101"/>
      <c r="K193" s="125"/>
      <c r="L193" s="103">
        <f t="shared" si="357"/>
        <v>0</v>
      </c>
      <c r="M193" s="128">
        <f t="shared" si="358"/>
        <v>0</v>
      </c>
      <c r="N193" s="120">
        <f t="shared" si="359"/>
        <v>0</v>
      </c>
      <c r="O193" s="131"/>
      <c r="P193" s="135"/>
      <c r="Q193" s="131"/>
      <c r="R193" s="101"/>
      <c r="S193" s="104">
        <f t="shared" si="477"/>
        <v>0</v>
      </c>
      <c r="T193" s="238"/>
      <c r="U193" s="238"/>
      <c r="V193" s="238"/>
      <c r="W193" s="238"/>
      <c r="X193" s="101"/>
      <c r="Y193" s="101"/>
      <c r="Z193" s="101"/>
      <c r="AA193" s="102"/>
      <c r="AB193" s="131"/>
      <c r="AC193" s="140"/>
    </row>
    <row r="194" spans="1:29" x14ac:dyDescent="0.3">
      <c r="A194" s="115">
        <f t="shared" ref="A194" si="478">$A189+1</f>
        <v>39</v>
      </c>
      <c r="B194" s="186"/>
      <c r="C194" s="105">
        <f>INDEX(Tribs!$C$3:$C$102,MATCH($A194,Tribs!$A$3:$A$102,0))</f>
        <v>0</v>
      </c>
      <c r="D194" s="106">
        <f>INDEX(Tribs!$E$3:$E$102,MATCH($A194,Tribs!$A$3:$A$102,0))</f>
        <v>0</v>
      </c>
      <c r="E194" s="105">
        <f>INDEX(Tribs!$F$3:$F$102,MATCH($A194,Tribs!$A$3:$A$102,0))</f>
        <v>0</v>
      </c>
      <c r="F194" s="116">
        <f t="shared" ref="F194" si="479">($C194*$E194)</f>
        <v>0</v>
      </c>
      <c r="G194" s="110"/>
      <c r="H194" s="111">
        <f t="shared" ref="H194" si="480">($F194)+(SUM($G195:$G198))</f>
        <v>0</v>
      </c>
      <c r="I194" s="106">
        <f>INDEX(Tribs!$D$3:$D$102,MATCH($A194,Tribs!$A$3:$A$102,0))</f>
        <v>0</v>
      </c>
      <c r="J194" s="106">
        <f>INDEX(Tribs!$G$3:$G$102,MATCH($A194,Tribs!$A$3:$A$102,0))</f>
        <v>0</v>
      </c>
      <c r="K194" s="105">
        <f>($J194)/V_gutter*(1/60)</f>
        <v>0</v>
      </c>
      <c r="L194" s="112"/>
      <c r="M194" s="109"/>
      <c r="N194" s="129">
        <f t="shared" ref="N194" si="481">($I194+$K194)</f>
        <v>0</v>
      </c>
      <c r="O194" s="111">
        <f t="shared" ref="O194" si="482">MAX($N194:$N198)</f>
        <v>0</v>
      </c>
      <c r="P194" s="133">
        <f>IF($H194&gt;0,IF($O194&lt;=T_1,I_1,IF($O194&lt;=T_2,(($O194*M_1)+B_1),IF($O194&lt;=T_3,(($O194*M_2)+B_2),IF($O194&lt;=T_4,(($O194*M_3)+B_3),IF($O194&lt;=T_5,(($O194*M_4)+B_4),IF($O194&lt;=T_6,(($O194*M_5)+B_5),IF($O194&lt;=T_7,(($O194*M_6)+B_6),IF($O194&lt;=T_8,(($O194*M_7)+B_7),IF($O194&lt;=T_9,(($O194*M_8)+B_8),IF($O194&lt;=T_10,(($O194*M_9)+B_9))))))))))),0)</f>
        <v>0</v>
      </c>
      <c r="Q194" s="111">
        <f t="shared" ref="Q194" si="483">ROUND(($H194*$P194),2)</f>
        <v>0</v>
      </c>
      <c r="R194" s="107">
        <f>IF($Q194&gt;0,IF($Q194&lt;=UTH!$M$4,UTH!$J$4,IF($Q194&lt;=UTH!$M$5,UTH!$J$5,IF($Q194&lt;=UTH!$M$6,UTH!$J$6,IF($Q194&lt;=UTH!$M$7,UTH!$J$7,IF($Q194&lt;=UTH!$M$8,UTH!$J$8,IF($Q194&lt;=UTH!$M$9,UTH!$J$9,IF($Q194&lt;=UTH!$M$10,UTH!$J$10,IF($Q194&lt;=UTH!$M$11,UTH!$J$11,IF($Q194&lt;=UTH!$M$12,UTH!$J$12,IF($Q194&lt;=UTH!$M$13,UTH!$J$13,IF($Q194&lt;=UTH!$M$14,UTH!$J$14,IF($Q194&lt;=UTH!$M$15,UTH!$J$15,IF($Q194&lt;=UTH!$M$16,UTH!$J$16,IF($Q194&lt;=UTH!$M$17,UTH!$J$17,IF($Q194&lt;=UTH!$M$18,UTH!$J$18,IF($Q194&lt;=UTH!$M$19,UTH!$J$19,IF($Q194&lt;=UTH!$M$20,UTH!$J$20))))))))))))))))),0)</f>
        <v>0</v>
      </c>
      <c r="S194" s="107">
        <f>IF(Inverts!$D194="YES",Inverts!$C194,Inverts!$E194)</f>
        <v>0</v>
      </c>
      <c r="T194" s="108">
        <f>IF($S194,($Q194/(KQ*($S194^(8/3))))^2,0)</f>
        <v>0</v>
      </c>
      <c r="U194" s="108">
        <f>IF($S194,(Vmin/(KV*($S194^(2/3))))^2,0)</f>
        <v>0</v>
      </c>
      <c r="V194" s="108">
        <f>IF($Z194,ROUND(MinDrop_2/$Z194,4),0)</f>
        <v>0</v>
      </c>
      <c r="W194" s="108">
        <f t="shared" ref="W194" si="484">IF($S194=0,0,MAX($T194:$V194))</f>
        <v>0</v>
      </c>
      <c r="X194" s="108">
        <f>IF(Inverts!$H194="yes",Inverts!$G194,Inverts!$I194)</f>
        <v>0</v>
      </c>
      <c r="Y194" s="105">
        <f>ROUND(KV*($S194^(2/3))*($X194^(0.5)),2)</f>
        <v>0</v>
      </c>
      <c r="Z194" s="106">
        <f>INDEX(Tribs!$H$3:$H$102,MATCH($A194,Tribs!$A$3:$A$102,0))</f>
        <v>0</v>
      </c>
      <c r="AA194" s="105">
        <f t="shared" ref="AA194" si="485">IF($Y194,($Z194/$Y194)*(1/60),0)</f>
        <v>0</v>
      </c>
      <c r="AB194" s="111">
        <f>ROUND(KQ*($S194^(8/3))*($X194^(0.5)),2)</f>
        <v>0</v>
      </c>
      <c r="AC194" s="138" t="str">
        <f>IF(AND($AB194&gt;=($Q194-0.0049),$Y194&gt;=(Vmin-0.0049)),"OK","NG")</f>
        <v>NG</v>
      </c>
    </row>
    <row r="195" spans="1:29" x14ac:dyDescent="0.3">
      <c r="A195" s="121"/>
      <c r="B195" s="184"/>
      <c r="C195" s="54"/>
      <c r="D195" s="52"/>
      <c r="E195" s="52"/>
      <c r="F195" s="117"/>
      <c r="G195" s="119">
        <f t="shared" ref="G195" si="486">IF($B195,INDEX($H$4:$H$499,(MATCH($B195,$A$4:$A$499))),0)</f>
        <v>0</v>
      </c>
      <c r="H195" s="113"/>
      <c r="I195" s="52"/>
      <c r="J195" s="52"/>
      <c r="K195" s="123"/>
      <c r="L195" s="53">
        <f t="shared" ref="L195" si="487">IF($B195,INDEX($O$4:$O$499,MATCH($B195,$A$4:$A$499)),0)</f>
        <v>0</v>
      </c>
      <c r="M195" s="126">
        <f t="shared" ref="M195" si="488">IF($B195,INDEX($AA$4:$AA$499,MATCH($B195,$A$4:$A$499)),0)</f>
        <v>0</v>
      </c>
      <c r="N195" s="119">
        <f t="shared" ref="N195" si="489">($L195+$M195)</f>
        <v>0</v>
      </c>
      <c r="O195" s="130"/>
      <c r="P195" s="134"/>
      <c r="Q195" s="130"/>
      <c r="R195" s="52"/>
      <c r="S195" s="224">
        <f t="shared" ref="S195:S198" si="490">S194</f>
        <v>0</v>
      </c>
      <c r="T195" s="237"/>
      <c r="U195" s="237"/>
      <c r="V195" s="237"/>
      <c r="W195" s="237"/>
      <c r="X195" s="52"/>
      <c r="Y195" s="52"/>
      <c r="Z195" s="52"/>
      <c r="AA195" s="54"/>
      <c r="AB195" s="130"/>
      <c r="AC195" s="139"/>
    </row>
    <row r="196" spans="1:29" x14ac:dyDescent="0.3">
      <c r="A196" s="121"/>
      <c r="B196" s="184"/>
      <c r="C196" s="54"/>
      <c r="D196" s="52"/>
      <c r="E196" s="52"/>
      <c r="F196" s="117"/>
      <c r="G196" s="119">
        <f t="shared" si="330"/>
        <v>0</v>
      </c>
      <c r="H196" s="113"/>
      <c r="I196" s="52"/>
      <c r="J196" s="52"/>
      <c r="K196" s="124"/>
      <c r="L196" s="53">
        <f t="shared" si="357"/>
        <v>0</v>
      </c>
      <c r="M196" s="127">
        <f t="shared" si="358"/>
        <v>0</v>
      </c>
      <c r="N196" s="119">
        <f t="shared" si="359"/>
        <v>0</v>
      </c>
      <c r="O196" s="130"/>
      <c r="P196" s="134"/>
      <c r="Q196" s="130"/>
      <c r="R196" s="52"/>
      <c r="S196" s="224">
        <f t="shared" si="490"/>
        <v>0</v>
      </c>
      <c r="T196" s="237"/>
      <c r="U196" s="237"/>
      <c r="V196" s="237"/>
      <c r="W196" s="237"/>
      <c r="X196" s="52"/>
      <c r="Y196" s="52"/>
      <c r="Z196" s="52"/>
      <c r="AA196" s="54"/>
      <c r="AB196" s="130"/>
      <c r="AC196" s="139"/>
    </row>
    <row r="197" spans="1:29" x14ac:dyDescent="0.3">
      <c r="A197" s="121"/>
      <c r="B197" s="184"/>
      <c r="C197" s="54"/>
      <c r="D197" s="52"/>
      <c r="E197" s="52"/>
      <c r="F197" s="117"/>
      <c r="G197" s="119">
        <f t="shared" si="330"/>
        <v>0</v>
      </c>
      <c r="H197" s="113"/>
      <c r="I197" s="52"/>
      <c r="J197" s="52"/>
      <c r="K197" s="124"/>
      <c r="L197" s="53">
        <f t="shared" si="357"/>
        <v>0</v>
      </c>
      <c r="M197" s="127">
        <f t="shared" si="358"/>
        <v>0</v>
      </c>
      <c r="N197" s="119">
        <f t="shared" si="359"/>
        <v>0</v>
      </c>
      <c r="O197" s="130"/>
      <c r="P197" s="134"/>
      <c r="Q197" s="130"/>
      <c r="R197" s="52"/>
      <c r="S197" s="224">
        <f t="shared" si="490"/>
        <v>0</v>
      </c>
      <c r="T197" s="237"/>
      <c r="U197" s="237"/>
      <c r="V197" s="237"/>
      <c r="W197" s="237"/>
      <c r="X197" s="52"/>
      <c r="Y197" s="52"/>
      <c r="Z197" s="52"/>
      <c r="AA197" s="54"/>
      <c r="AB197" s="130"/>
      <c r="AC197" s="139"/>
    </row>
    <row r="198" spans="1:29" ht="15" thickBot="1" x14ac:dyDescent="0.35">
      <c r="A198" s="122"/>
      <c r="B198" s="185"/>
      <c r="C198" s="102"/>
      <c r="D198" s="101"/>
      <c r="E198" s="101"/>
      <c r="F198" s="118"/>
      <c r="G198" s="120">
        <f t="shared" si="330"/>
        <v>0</v>
      </c>
      <c r="H198" s="114"/>
      <c r="I198" s="101"/>
      <c r="J198" s="101"/>
      <c r="K198" s="125"/>
      <c r="L198" s="103">
        <f t="shared" si="357"/>
        <v>0</v>
      </c>
      <c r="M198" s="128">
        <f t="shared" si="358"/>
        <v>0</v>
      </c>
      <c r="N198" s="120">
        <f t="shared" si="359"/>
        <v>0</v>
      </c>
      <c r="O198" s="131"/>
      <c r="P198" s="135"/>
      <c r="Q198" s="131"/>
      <c r="R198" s="101"/>
      <c r="S198" s="104">
        <f t="shared" si="490"/>
        <v>0</v>
      </c>
      <c r="T198" s="238"/>
      <c r="U198" s="238"/>
      <c r="V198" s="238"/>
      <c r="W198" s="238"/>
      <c r="X198" s="101"/>
      <c r="Y198" s="101"/>
      <c r="Z198" s="101"/>
      <c r="AA198" s="102"/>
      <c r="AB198" s="131"/>
      <c r="AC198" s="140"/>
    </row>
    <row r="199" spans="1:29" x14ac:dyDescent="0.3">
      <c r="A199" s="115">
        <f t="shared" ref="A199" si="491">$A194+1</f>
        <v>40</v>
      </c>
      <c r="B199" s="186"/>
      <c r="C199" s="105">
        <f>INDEX(Tribs!$C$3:$C$102,MATCH($A199,Tribs!$A$3:$A$102,0))</f>
        <v>0</v>
      </c>
      <c r="D199" s="106">
        <f>INDEX(Tribs!$E$3:$E$102,MATCH($A199,Tribs!$A$3:$A$102,0))</f>
        <v>0</v>
      </c>
      <c r="E199" s="105">
        <f>INDEX(Tribs!$F$3:$F$102,MATCH($A199,Tribs!$A$3:$A$102,0))</f>
        <v>0</v>
      </c>
      <c r="F199" s="116">
        <f t="shared" ref="F199" si="492">($C199*$E199)</f>
        <v>0</v>
      </c>
      <c r="G199" s="110"/>
      <c r="H199" s="111">
        <f t="shared" ref="H199" si="493">($F199)+(SUM($G200:$G203))</f>
        <v>0</v>
      </c>
      <c r="I199" s="106">
        <f>INDEX(Tribs!$D$3:$D$102,MATCH($A199,Tribs!$A$3:$A$102,0))</f>
        <v>0</v>
      </c>
      <c r="J199" s="106">
        <f>INDEX(Tribs!$G$3:$G$102,MATCH($A199,Tribs!$A$3:$A$102,0))</f>
        <v>0</v>
      </c>
      <c r="K199" s="105">
        <f>($J199)/V_gutter*(1/60)</f>
        <v>0</v>
      </c>
      <c r="L199" s="112"/>
      <c r="M199" s="109"/>
      <c r="N199" s="129">
        <f t="shared" ref="N199" si="494">($I199+$K199)</f>
        <v>0</v>
      </c>
      <c r="O199" s="111">
        <f t="shared" ref="O199" si="495">MAX($N199:$N203)</f>
        <v>0</v>
      </c>
      <c r="P199" s="133">
        <f>IF($H199&gt;0,IF($O199&lt;=T_1,I_1,IF($O199&lt;=T_2,(($O199*M_1)+B_1),IF($O199&lt;=T_3,(($O199*M_2)+B_2),IF($O199&lt;=T_4,(($O199*M_3)+B_3),IF($O199&lt;=T_5,(($O199*M_4)+B_4),IF($O199&lt;=T_6,(($O199*M_5)+B_5),IF($O199&lt;=T_7,(($O199*M_6)+B_6),IF($O199&lt;=T_8,(($O199*M_7)+B_7),IF($O199&lt;=T_9,(($O199*M_8)+B_8),IF($O199&lt;=T_10,(($O199*M_9)+B_9))))))))))),0)</f>
        <v>0</v>
      </c>
      <c r="Q199" s="111">
        <f t="shared" ref="Q199" si="496">ROUND(($H199*$P199),2)</f>
        <v>0</v>
      </c>
      <c r="R199" s="107">
        <f>IF($Q199&gt;0,IF($Q199&lt;=UTH!$M$4,UTH!$J$4,IF($Q199&lt;=UTH!$M$5,UTH!$J$5,IF($Q199&lt;=UTH!$M$6,UTH!$J$6,IF($Q199&lt;=UTH!$M$7,UTH!$J$7,IF($Q199&lt;=UTH!$M$8,UTH!$J$8,IF($Q199&lt;=UTH!$M$9,UTH!$J$9,IF($Q199&lt;=UTH!$M$10,UTH!$J$10,IF($Q199&lt;=UTH!$M$11,UTH!$J$11,IF($Q199&lt;=UTH!$M$12,UTH!$J$12,IF($Q199&lt;=UTH!$M$13,UTH!$J$13,IF($Q199&lt;=UTH!$M$14,UTH!$J$14,IF($Q199&lt;=UTH!$M$15,UTH!$J$15,IF($Q199&lt;=UTH!$M$16,UTH!$J$16,IF($Q199&lt;=UTH!$M$17,UTH!$J$17,IF($Q199&lt;=UTH!$M$18,UTH!$J$18,IF($Q199&lt;=UTH!$M$19,UTH!$J$19,IF($Q199&lt;=UTH!$M$20,UTH!$J$20))))))))))))))))),0)</f>
        <v>0</v>
      </c>
      <c r="S199" s="107">
        <f>IF(Inverts!$D199="YES",Inverts!$C199,Inverts!$E199)</f>
        <v>0</v>
      </c>
      <c r="T199" s="108">
        <f>IF($S199,($Q199/(KQ*($S199^(8/3))))^2,0)</f>
        <v>0</v>
      </c>
      <c r="U199" s="108">
        <f>IF($S199,(Vmin/(KV*($S199^(2/3))))^2,0)</f>
        <v>0</v>
      </c>
      <c r="V199" s="108">
        <f>IF($Z199,ROUND(MinDrop_2/$Z199,4),0)</f>
        <v>0</v>
      </c>
      <c r="W199" s="108">
        <f t="shared" ref="W199" si="497">IF($S199=0,0,MAX($T199:$V199))</f>
        <v>0</v>
      </c>
      <c r="X199" s="108">
        <f>IF(Inverts!$H199="yes",Inverts!$G199,Inverts!$I199)</f>
        <v>0</v>
      </c>
      <c r="Y199" s="105">
        <f>ROUND(KV*($S199^(2/3))*($X199^(0.5)),2)</f>
        <v>0</v>
      </c>
      <c r="Z199" s="106">
        <f>INDEX(Tribs!$H$3:$H$102,MATCH($A199,Tribs!$A$3:$A$102,0))</f>
        <v>0</v>
      </c>
      <c r="AA199" s="105">
        <f t="shared" ref="AA199" si="498">IF($Y199,($Z199/$Y199)*(1/60),0)</f>
        <v>0</v>
      </c>
      <c r="AB199" s="111">
        <f>ROUND(KQ*($S199^(8/3))*($X199^(0.5)),2)</f>
        <v>0</v>
      </c>
      <c r="AC199" s="138" t="str">
        <f>IF(AND($AB199&gt;=($Q199-0.0049),$Y199&gt;=(Vmin-0.0049)),"OK","NG")</f>
        <v>NG</v>
      </c>
    </row>
    <row r="200" spans="1:29" x14ac:dyDescent="0.3">
      <c r="A200" s="121"/>
      <c r="B200" s="184"/>
      <c r="C200" s="54"/>
      <c r="D200" s="52"/>
      <c r="E200" s="52"/>
      <c r="F200" s="117"/>
      <c r="G200" s="119">
        <f t="shared" ref="G200:G263" si="499">IF($B200,INDEX($H$4:$H$499,(MATCH($B200,$A$4:$A$499))),0)</f>
        <v>0</v>
      </c>
      <c r="H200" s="113"/>
      <c r="I200" s="52"/>
      <c r="J200" s="52"/>
      <c r="K200" s="123"/>
      <c r="L200" s="53">
        <f t="shared" ref="L200" si="500">IF($B200,INDEX($O$4:$O$499,MATCH($B200,$A$4:$A$499)),0)</f>
        <v>0</v>
      </c>
      <c r="M200" s="126">
        <f t="shared" ref="M200" si="501">IF($B200,INDEX($AA$4:$AA$499,MATCH($B200,$A$4:$A$499)),0)</f>
        <v>0</v>
      </c>
      <c r="N200" s="119">
        <f t="shared" ref="N200" si="502">($L200+$M200)</f>
        <v>0</v>
      </c>
      <c r="O200" s="130"/>
      <c r="P200" s="134"/>
      <c r="Q200" s="130"/>
      <c r="R200" s="52"/>
      <c r="S200" s="224">
        <f t="shared" ref="S200:S203" si="503">S199</f>
        <v>0</v>
      </c>
      <c r="T200" s="237"/>
      <c r="U200" s="237"/>
      <c r="V200" s="237"/>
      <c r="W200" s="237"/>
      <c r="X200" s="52"/>
      <c r="Y200" s="52"/>
      <c r="Z200" s="52"/>
      <c r="AA200" s="54"/>
      <c r="AB200" s="130"/>
      <c r="AC200" s="139"/>
    </row>
    <row r="201" spans="1:29" x14ac:dyDescent="0.3">
      <c r="A201" s="121"/>
      <c r="B201" s="184"/>
      <c r="C201" s="54"/>
      <c r="D201" s="52"/>
      <c r="E201" s="52"/>
      <c r="F201" s="117"/>
      <c r="G201" s="119">
        <f t="shared" si="499"/>
        <v>0</v>
      </c>
      <c r="H201" s="113"/>
      <c r="I201" s="52"/>
      <c r="J201" s="52"/>
      <c r="K201" s="124"/>
      <c r="L201" s="53">
        <f t="shared" si="357"/>
        <v>0</v>
      </c>
      <c r="M201" s="127">
        <f t="shared" si="358"/>
        <v>0</v>
      </c>
      <c r="N201" s="119">
        <f t="shared" si="359"/>
        <v>0</v>
      </c>
      <c r="O201" s="130"/>
      <c r="P201" s="134"/>
      <c r="Q201" s="130"/>
      <c r="R201" s="52"/>
      <c r="S201" s="224">
        <f t="shared" si="503"/>
        <v>0</v>
      </c>
      <c r="T201" s="237"/>
      <c r="U201" s="237"/>
      <c r="V201" s="237"/>
      <c r="W201" s="237"/>
      <c r="X201" s="52"/>
      <c r="Y201" s="52"/>
      <c r="Z201" s="52"/>
      <c r="AA201" s="54"/>
      <c r="AB201" s="130"/>
      <c r="AC201" s="139"/>
    </row>
    <row r="202" spans="1:29" x14ac:dyDescent="0.3">
      <c r="A202" s="121"/>
      <c r="B202" s="184"/>
      <c r="C202" s="54"/>
      <c r="D202" s="52"/>
      <c r="E202" s="52"/>
      <c r="F202" s="117"/>
      <c r="G202" s="119">
        <f t="shared" si="499"/>
        <v>0</v>
      </c>
      <c r="H202" s="113"/>
      <c r="I202" s="52"/>
      <c r="J202" s="52"/>
      <c r="K202" s="124"/>
      <c r="L202" s="53">
        <f t="shared" si="357"/>
        <v>0</v>
      </c>
      <c r="M202" s="127">
        <f t="shared" si="358"/>
        <v>0</v>
      </c>
      <c r="N202" s="119">
        <f t="shared" si="359"/>
        <v>0</v>
      </c>
      <c r="O202" s="130"/>
      <c r="P202" s="134"/>
      <c r="Q202" s="130"/>
      <c r="R202" s="52"/>
      <c r="S202" s="224">
        <f t="shared" si="503"/>
        <v>0</v>
      </c>
      <c r="T202" s="237"/>
      <c r="U202" s="237"/>
      <c r="V202" s="237"/>
      <c r="W202" s="237"/>
      <c r="X202" s="52"/>
      <c r="Y202" s="52"/>
      <c r="Z202" s="52"/>
      <c r="AA202" s="54"/>
      <c r="AB202" s="130"/>
      <c r="AC202" s="139"/>
    </row>
    <row r="203" spans="1:29" ht="15" thickBot="1" x14ac:dyDescent="0.35">
      <c r="A203" s="122"/>
      <c r="B203" s="185"/>
      <c r="C203" s="102"/>
      <c r="D203" s="101"/>
      <c r="E203" s="101"/>
      <c r="F203" s="118"/>
      <c r="G203" s="120">
        <f t="shared" si="499"/>
        <v>0</v>
      </c>
      <c r="H203" s="114"/>
      <c r="I203" s="101"/>
      <c r="J203" s="101"/>
      <c r="K203" s="125"/>
      <c r="L203" s="103">
        <f t="shared" si="357"/>
        <v>0</v>
      </c>
      <c r="M203" s="128">
        <f t="shared" si="358"/>
        <v>0</v>
      </c>
      <c r="N203" s="120">
        <f t="shared" si="359"/>
        <v>0</v>
      </c>
      <c r="O203" s="131"/>
      <c r="P203" s="135"/>
      <c r="Q203" s="131"/>
      <c r="R203" s="101"/>
      <c r="S203" s="104">
        <f t="shared" si="503"/>
        <v>0</v>
      </c>
      <c r="T203" s="238"/>
      <c r="U203" s="238"/>
      <c r="V203" s="238"/>
      <c r="W203" s="238"/>
      <c r="X203" s="101"/>
      <c r="Y203" s="101"/>
      <c r="Z203" s="101"/>
      <c r="AA203" s="102"/>
      <c r="AB203" s="131"/>
      <c r="AC203" s="140"/>
    </row>
    <row r="204" spans="1:29" x14ac:dyDescent="0.3">
      <c r="A204" s="115">
        <f t="shared" ref="A204" si="504">$A199+1</f>
        <v>41</v>
      </c>
      <c r="B204" s="186"/>
      <c r="C204" s="105">
        <f>INDEX(Tribs!$C$3:$C$102,MATCH($A204,Tribs!$A$3:$A$102,0))</f>
        <v>0</v>
      </c>
      <c r="D204" s="106">
        <f>INDEX(Tribs!$E$3:$E$102,MATCH($A204,Tribs!$A$3:$A$102,0))</f>
        <v>0</v>
      </c>
      <c r="E204" s="105">
        <f>INDEX(Tribs!$F$3:$F$102,MATCH($A204,Tribs!$A$3:$A$102,0))</f>
        <v>0</v>
      </c>
      <c r="F204" s="116">
        <f t="shared" ref="F204" si="505">($C204*$E204)</f>
        <v>0</v>
      </c>
      <c r="G204" s="110"/>
      <c r="H204" s="111">
        <f t="shared" ref="H204" si="506">($F204)+(SUM($G205:$G208))</f>
        <v>0</v>
      </c>
      <c r="I204" s="106">
        <f>INDEX(Tribs!$D$3:$D$102,MATCH($A204,Tribs!$A$3:$A$102,0))</f>
        <v>0</v>
      </c>
      <c r="J204" s="106">
        <f>INDEX(Tribs!$G$3:$G$102,MATCH($A204,Tribs!$A$3:$A$102,0))</f>
        <v>0</v>
      </c>
      <c r="K204" s="105">
        <f>($J204)/V_gutter*(1/60)</f>
        <v>0</v>
      </c>
      <c r="L204" s="112"/>
      <c r="M204" s="109"/>
      <c r="N204" s="129">
        <f t="shared" ref="N204" si="507">($I204+$K204)</f>
        <v>0</v>
      </c>
      <c r="O204" s="111">
        <f t="shared" ref="O204" si="508">MAX($N204:$N208)</f>
        <v>0</v>
      </c>
      <c r="P204" s="133">
        <f>IF($H204&gt;0,IF($O204&lt;=T_1,I_1,IF($O204&lt;=T_2,(($O204*M_1)+B_1),IF($O204&lt;=T_3,(($O204*M_2)+B_2),IF($O204&lt;=T_4,(($O204*M_3)+B_3),IF($O204&lt;=T_5,(($O204*M_4)+B_4),IF($O204&lt;=T_6,(($O204*M_5)+B_5),IF($O204&lt;=T_7,(($O204*M_6)+B_6),IF($O204&lt;=T_8,(($O204*M_7)+B_7),IF($O204&lt;=T_9,(($O204*M_8)+B_8),IF($O204&lt;=T_10,(($O204*M_9)+B_9))))))))))),0)</f>
        <v>0</v>
      </c>
      <c r="Q204" s="111">
        <f t="shared" ref="Q204" si="509">ROUND(($H204*$P204),2)</f>
        <v>0</v>
      </c>
      <c r="R204" s="107">
        <f>IF($Q204&gt;0,IF($Q204&lt;=UTH!$M$4,UTH!$J$4,IF($Q204&lt;=UTH!$M$5,UTH!$J$5,IF($Q204&lt;=UTH!$M$6,UTH!$J$6,IF($Q204&lt;=UTH!$M$7,UTH!$J$7,IF($Q204&lt;=UTH!$M$8,UTH!$J$8,IF($Q204&lt;=UTH!$M$9,UTH!$J$9,IF($Q204&lt;=UTH!$M$10,UTH!$J$10,IF($Q204&lt;=UTH!$M$11,UTH!$J$11,IF($Q204&lt;=UTH!$M$12,UTH!$J$12,IF($Q204&lt;=UTH!$M$13,UTH!$J$13,IF($Q204&lt;=UTH!$M$14,UTH!$J$14,IF($Q204&lt;=UTH!$M$15,UTH!$J$15,IF($Q204&lt;=UTH!$M$16,UTH!$J$16,IF($Q204&lt;=UTH!$M$17,UTH!$J$17,IF($Q204&lt;=UTH!$M$18,UTH!$J$18,IF($Q204&lt;=UTH!$M$19,UTH!$J$19,IF($Q204&lt;=UTH!$M$20,UTH!$J$20))))))))))))))))),0)</f>
        <v>0</v>
      </c>
      <c r="S204" s="107">
        <f>IF(Inverts!$D204="YES",Inverts!$C204,Inverts!$E204)</f>
        <v>0</v>
      </c>
      <c r="T204" s="108">
        <f>IF($S204,($Q204/(KQ*($S204^(8/3))))^2,0)</f>
        <v>0</v>
      </c>
      <c r="U204" s="108">
        <f>IF($S204,(Vmin/(KV*($S204^(2/3))))^2,0)</f>
        <v>0</v>
      </c>
      <c r="V204" s="108">
        <f>IF($Z204,ROUND(MinDrop_2/$Z204,4),0)</f>
        <v>0</v>
      </c>
      <c r="W204" s="108">
        <f t="shared" ref="W204" si="510">IF($S204=0,0,MAX($T204:$V204))</f>
        <v>0</v>
      </c>
      <c r="X204" s="108">
        <f>IF(Inverts!$H204="yes",Inverts!$G204,Inverts!$I204)</f>
        <v>0</v>
      </c>
      <c r="Y204" s="105">
        <f>ROUND(KV*($S204^(2/3))*($X204^(0.5)),2)</f>
        <v>0</v>
      </c>
      <c r="Z204" s="106">
        <f>INDEX(Tribs!$H$3:$H$102,MATCH($A204,Tribs!$A$3:$A$102,0))</f>
        <v>0</v>
      </c>
      <c r="AA204" s="105">
        <f t="shared" ref="AA204" si="511">IF($Y204,($Z204/$Y204)*(1/60),0)</f>
        <v>0</v>
      </c>
      <c r="AB204" s="111">
        <f>ROUND(KQ*($S204^(8/3))*($X204^(0.5)),2)</f>
        <v>0</v>
      </c>
      <c r="AC204" s="138" t="str">
        <f>IF(AND($AB204&gt;=($Q204-0.0049),$Y204&gt;=(Vmin-0.0049)),"OK","NG")</f>
        <v>NG</v>
      </c>
    </row>
    <row r="205" spans="1:29" x14ac:dyDescent="0.3">
      <c r="A205" s="121"/>
      <c r="B205" s="184"/>
      <c r="C205" s="54"/>
      <c r="D205" s="52"/>
      <c r="E205" s="52"/>
      <c r="F205" s="117"/>
      <c r="G205" s="119">
        <f t="shared" ref="G205" si="512">IF($B205,INDEX($H$4:$H$499,(MATCH($B205,$A$4:$A$499))),0)</f>
        <v>0</v>
      </c>
      <c r="H205" s="113"/>
      <c r="I205" s="52"/>
      <c r="J205" s="52"/>
      <c r="K205" s="123"/>
      <c r="L205" s="53">
        <f t="shared" ref="L205" si="513">IF($B205,INDEX($O$4:$O$499,MATCH($B205,$A$4:$A$499)),0)</f>
        <v>0</v>
      </c>
      <c r="M205" s="126">
        <f t="shared" ref="M205" si="514">IF($B205,INDEX($AA$4:$AA$499,MATCH($B205,$A$4:$A$499)),0)</f>
        <v>0</v>
      </c>
      <c r="N205" s="119">
        <f t="shared" ref="N205" si="515">($L205+$M205)</f>
        <v>0</v>
      </c>
      <c r="O205" s="130"/>
      <c r="P205" s="134"/>
      <c r="Q205" s="130"/>
      <c r="R205" s="52"/>
      <c r="S205" s="224">
        <f t="shared" ref="S205:S208" si="516">S204</f>
        <v>0</v>
      </c>
      <c r="T205" s="237"/>
      <c r="U205" s="237"/>
      <c r="V205" s="237"/>
      <c r="W205" s="237"/>
      <c r="X205" s="52"/>
      <c r="Y205" s="52"/>
      <c r="Z205" s="52"/>
      <c r="AA205" s="54"/>
      <c r="AB205" s="130"/>
      <c r="AC205" s="139"/>
    </row>
    <row r="206" spans="1:29" x14ac:dyDescent="0.3">
      <c r="A206" s="121"/>
      <c r="B206" s="184"/>
      <c r="C206" s="54"/>
      <c r="D206" s="52"/>
      <c r="E206" s="52"/>
      <c r="F206" s="117"/>
      <c r="G206" s="119">
        <f t="shared" si="499"/>
        <v>0</v>
      </c>
      <c r="H206" s="113"/>
      <c r="I206" s="52"/>
      <c r="J206" s="52"/>
      <c r="K206" s="124"/>
      <c r="L206" s="53">
        <f t="shared" si="357"/>
        <v>0</v>
      </c>
      <c r="M206" s="127">
        <f t="shared" si="358"/>
        <v>0</v>
      </c>
      <c r="N206" s="119">
        <f t="shared" si="359"/>
        <v>0</v>
      </c>
      <c r="O206" s="130"/>
      <c r="P206" s="134"/>
      <c r="Q206" s="130"/>
      <c r="R206" s="52"/>
      <c r="S206" s="224">
        <f t="shared" si="516"/>
        <v>0</v>
      </c>
      <c r="T206" s="237"/>
      <c r="U206" s="237"/>
      <c r="V206" s="237"/>
      <c r="W206" s="237"/>
      <c r="X206" s="52"/>
      <c r="Y206" s="52"/>
      <c r="Z206" s="52"/>
      <c r="AA206" s="54"/>
      <c r="AB206" s="130"/>
      <c r="AC206" s="139"/>
    </row>
    <row r="207" spans="1:29" x14ac:dyDescent="0.3">
      <c r="A207" s="121"/>
      <c r="B207" s="184"/>
      <c r="C207" s="54"/>
      <c r="D207" s="52"/>
      <c r="E207" s="52"/>
      <c r="F207" s="117"/>
      <c r="G207" s="119">
        <f t="shared" si="499"/>
        <v>0</v>
      </c>
      <c r="H207" s="113"/>
      <c r="I207" s="52"/>
      <c r="J207" s="52"/>
      <c r="K207" s="124"/>
      <c r="L207" s="53">
        <f t="shared" si="357"/>
        <v>0</v>
      </c>
      <c r="M207" s="127">
        <f t="shared" si="358"/>
        <v>0</v>
      </c>
      <c r="N207" s="119">
        <f t="shared" si="359"/>
        <v>0</v>
      </c>
      <c r="O207" s="130"/>
      <c r="P207" s="134"/>
      <c r="Q207" s="130"/>
      <c r="R207" s="52"/>
      <c r="S207" s="224">
        <f t="shared" si="516"/>
        <v>0</v>
      </c>
      <c r="T207" s="237"/>
      <c r="U207" s="237"/>
      <c r="V207" s="237"/>
      <c r="W207" s="237"/>
      <c r="X207" s="52"/>
      <c r="Y207" s="52"/>
      <c r="Z207" s="52"/>
      <c r="AA207" s="54"/>
      <c r="AB207" s="130"/>
      <c r="AC207" s="139"/>
    </row>
    <row r="208" spans="1:29" ht="15" thickBot="1" x14ac:dyDescent="0.35">
      <c r="A208" s="122"/>
      <c r="B208" s="185"/>
      <c r="C208" s="102"/>
      <c r="D208" s="101"/>
      <c r="E208" s="101"/>
      <c r="F208" s="118"/>
      <c r="G208" s="120">
        <f t="shared" si="499"/>
        <v>0</v>
      </c>
      <c r="H208" s="114"/>
      <c r="I208" s="101"/>
      <c r="J208" s="101"/>
      <c r="K208" s="125"/>
      <c r="L208" s="103">
        <f t="shared" si="357"/>
        <v>0</v>
      </c>
      <c r="M208" s="128">
        <f t="shared" si="358"/>
        <v>0</v>
      </c>
      <c r="N208" s="120">
        <f t="shared" si="359"/>
        <v>0</v>
      </c>
      <c r="O208" s="131"/>
      <c r="P208" s="135"/>
      <c r="Q208" s="131"/>
      <c r="R208" s="101"/>
      <c r="S208" s="104">
        <f t="shared" si="516"/>
        <v>0</v>
      </c>
      <c r="T208" s="238"/>
      <c r="U208" s="238"/>
      <c r="V208" s="238"/>
      <c r="W208" s="238"/>
      <c r="X208" s="101"/>
      <c r="Y208" s="101"/>
      <c r="Z208" s="101"/>
      <c r="AA208" s="102"/>
      <c r="AB208" s="131"/>
      <c r="AC208" s="140"/>
    </row>
    <row r="209" spans="1:29" x14ac:dyDescent="0.3">
      <c r="A209" s="115">
        <f t="shared" ref="A209" si="517">$A204+1</f>
        <v>42</v>
      </c>
      <c r="B209" s="186"/>
      <c r="C209" s="105">
        <f>INDEX(Tribs!$C$3:$C$102,MATCH($A209,Tribs!$A$3:$A$102,0))</f>
        <v>0</v>
      </c>
      <c r="D209" s="106">
        <f>INDEX(Tribs!$E$3:$E$102,MATCH($A209,Tribs!$A$3:$A$102,0))</f>
        <v>0</v>
      </c>
      <c r="E209" s="105">
        <f>INDEX(Tribs!$F$3:$F$102,MATCH($A209,Tribs!$A$3:$A$102,0))</f>
        <v>0</v>
      </c>
      <c r="F209" s="116">
        <f t="shared" ref="F209" si="518">($C209*$E209)</f>
        <v>0</v>
      </c>
      <c r="G209" s="110"/>
      <c r="H209" s="111">
        <f t="shared" ref="H209" si="519">($F209)+(SUM($G210:$G213))</f>
        <v>0</v>
      </c>
      <c r="I209" s="106">
        <f>INDEX(Tribs!$D$3:$D$102,MATCH($A209,Tribs!$A$3:$A$102,0))</f>
        <v>0</v>
      </c>
      <c r="J209" s="106">
        <f>INDEX(Tribs!$G$3:$G$102,MATCH($A209,Tribs!$A$3:$A$102,0))</f>
        <v>0</v>
      </c>
      <c r="K209" s="105">
        <f>($J209)/V_gutter*(1/60)</f>
        <v>0</v>
      </c>
      <c r="L209" s="112"/>
      <c r="M209" s="109"/>
      <c r="N209" s="129">
        <f t="shared" ref="N209" si="520">($I209+$K209)</f>
        <v>0</v>
      </c>
      <c r="O209" s="111">
        <f t="shared" ref="O209" si="521">MAX($N209:$N213)</f>
        <v>0</v>
      </c>
      <c r="P209" s="133">
        <f>IF($H209&gt;0,IF($O209&lt;=T_1,I_1,IF($O209&lt;=T_2,(($O209*M_1)+B_1),IF($O209&lt;=T_3,(($O209*M_2)+B_2),IF($O209&lt;=T_4,(($O209*M_3)+B_3),IF($O209&lt;=T_5,(($O209*M_4)+B_4),IF($O209&lt;=T_6,(($O209*M_5)+B_5),IF($O209&lt;=T_7,(($O209*M_6)+B_6),IF($O209&lt;=T_8,(($O209*M_7)+B_7),IF($O209&lt;=T_9,(($O209*M_8)+B_8),IF($O209&lt;=T_10,(($O209*M_9)+B_9))))))))))),0)</f>
        <v>0</v>
      </c>
      <c r="Q209" s="111">
        <f t="shared" ref="Q209" si="522">ROUND(($H209*$P209),2)</f>
        <v>0</v>
      </c>
      <c r="R209" s="107">
        <f>IF($Q209&gt;0,IF($Q209&lt;=UTH!$M$4,UTH!$J$4,IF($Q209&lt;=UTH!$M$5,UTH!$J$5,IF($Q209&lt;=UTH!$M$6,UTH!$J$6,IF($Q209&lt;=UTH!$M$7,UTH!$J$7,IF($Q209&lt;=UTH!$M$8,UTH!$J$8,IF($Q209&lt;=UTH!$M$9,UTH!$J$9,IF($Q209&lt;=UTH!$M$10,UTH!$J$10,IF($Q209&lt;=UTH!$M$11,UTH!$J$11,IF($Q209&lt;=UTH!$M$12,UTH!$J$12,IF($Q209&lt;=UTH!$M$13,UTH!$J$13,IF($Q209&lt;=UTH!$M$14,UTH!$J$14,IF($Q209&lt;=UTH!$M$15,UTH!$J$15,IF($Q209&lt;=UTH!$M$16,UTH!$J$16,IF($Q209&lt;=UTH!$M$17,UTH!$J$17,IF($Q209&lt;=UTH!$M$18,UTH!$J$18,IF($Q209&lt;=UTH!$M$19,UTH!$J$19,IF($Q209&lt;=UTH!$M$20,UTH!$J$20))))))))))))))))),0)</f>
        <v>0</v>
      </c>
      <c r="S209" s="107">
        <f>IF(Inverts!$D209="YES",Inverts!$C209,Inverts!$E209)</f>
        <v>0</v>
      </c>
      <c r="T209" s="108">
        <f>IF($S209,($Q209/(KQ*($S209^(8/3))))^2,0)</f>
        <v>0</v>
      </c>
      <c r="U209" s="108">
        <f>IF($S209,(Vmin/(KV*($S209^(2/3))))^2,0)</f>
        <v>0</v>
      </c>
      <c r="V209" s="108">
        <f>IF($Z209,ROUND(MinDrop_2/$Z209,4),0)</f>
        <v>0</v>
      </c>
      <c r="W209" s="108">
        <f t="shared" ref="W209" si="523">IF($S209=0,0,MAX($T209:$V209))</f>
        <v>0</v>
      </c>
      <c r="X209" s="108">
        <f>IF(Inverts!$H209="yes",Inverts!$G209,Inverts!$I209)</f>
        <v>0</v>
      </c>
      <c r="Y209" s="105">
        <f>ROUND(KV*($S209^(2/3))*($X209^(0.5)),2)</f>
        <v>0</v>
      </c>
      <c r="Z209" s="106">
        <f>INDEX(Tribs!$H$3:$H$102,MATCH($A209,Tribs!$A$3:$A$102,0))</f>
        <v>0</v>
      </c>
      <c r="AA209" s="105">
        <f t="shared" ref="AA209" si="524">IF($Y209,($Z209/$Y209)*(1/60),0)</f>
        <v>0</v>
      </c>
      <c r="AB209" s="111">
        <f>ROUND(KQ*($S209^(8/3))*($X209^(0.5)),2)</f>
        <v>0</v>
      </c>
      <c r="AC209" s="138" t="str">
        <f>IF(AND($AB209&gt;=($Q209-0.0049),$Y209&gt;=(Vmin-0.0049)),"OK","NG")</f>
        <v>NG</v>
      </c>
    </row>
    <row r="210" spans="1:29" x14ac:dyDescent="0.3">
      <c r="A210" s="121"/>
      <c r="B210" s="184"/>
      <c r="C210" s="54"/>
      <c r="D210" s="52"/>
      <c r="E210" s="52"/>
      <c r="F210" s="117"/>
      <c r="G210" s="119">
        <f t="shared" ref="G210" si="525">IF($B210,INDEX($H$4:$H$499,(MATCH($B210,$A$4:$A$499))),0)</f>
        <v>0</v>
      </c>
      <c r="H210" s="113"/>
      <c r="I210" s="52"/>
      <c r="J210" s="52"/>
      <c r="K210" s="123"/>
      <c r="L210" s="53">
        <f t="shared" ref="L210:L273" si="526">IF($B210,INDEX($O$4:$O$499,MATCH($B210,$A$4:$A$499)),0)</f>
        <v>0</v>
      </c>
      <c r="M210" s="126">
        <f t="shared" ref="M210:M273" si="527">IF($B210,INDEX($AA$4:$AA$499,MATCH($B210,$A$4:$A$499)),0)</f>
        <v>0</v>
      </c>
      <c r="N210" s="119">
        <f t="shared" ref="N210:N273" si="528">($L210+$M210)</f>
        <v>0</v>
      </c>
      <c r="O210" s="130"/>
      <c r="P210" s="134"/>
      <c r="Q210" s="130"/>
      <c r="R210" s="52"/>
      <c r="S210" s="224">
        <f t="shared" ref="S210:S213" si="529">S209</f>
        <v>0</v>
      </c>
      <c r="T210" s="237"/>
      <c r="U210" s="237"/>
      <c r="V210" s="237"/>
      <c r="W210" s="237"/>
      <c r="X210" s="52"/>
      <c r="Y210" s="52"/>
      <c r="Z210" s="52"/>
      <c r="AA210" s="54"/>
      <c r="AB210" s="130"/>
      <c r="AC210" s="139"/>
    </row>
    <row r="211" spans="1:29" x14ac:dyDescent="0.3">
      <c r="A211" s="121"/>
      <c r="B211" s="184"/>
      <c r="C211" s="54"/>
      <c r="D211" s="52"/>
      <c r="E211" s="52"/>
      <c r="F211" s="117"/>
      <c r="G211" s="119">
        <f t="shared" si="499"/>
        <v>0</v>
      </c>
      <c r="H211" s="113"/>
      <c r="I211" s="52"/>
      <c r="J211" s="52"/>
      <c r="K211" s="124"/>
      <c r="L211" s="53">
        <f t="shared" si="526"/>
        <v>0</v>
      </c>
      <c r="M211" s="127">
        <f t="shared" si="527"/>
        <v>0</v>
      </c>
      <c r="N211" s="119">
        <f t="shared" si="528"/>
        <v>0</v>
      </c>
      <c r="O211" s="130"/>
      <c r="P211" s="134"/>
      <c r="Q211" s="130"/>
      <c r="R211" s="52"/>
      <c r="S211" s="224">
        <f t="shared" si="529"/>
        <v>0</v>
      </c>
      <c r="T211" s="237"/>
      <c r="U211" s="237"/>
      <c r="V211" s="237"/>
      <c r="W211" s="237"/>
      <c r="X211" s="52"/>
      <c r="Y211" s="52"/>
      <c r="Z211" s="52"/>
      <c r="AA211" s="54"/>
      <c r="AB211" s="130"/>
      <c r="AC211" s="139"/>
    </row>
    <row r="212" spans="1:29" x14ac:dyDescent="0.3">
      <c r="A212" s="121"/>
      <c r="B212" s="184"/>
      <c r="C212" s="54"/>
      <c r="D212" s="52"/>
      <c r="E212" s="52"/>
      <c r="F212" s="117"/>
      <c r="G212" s="119">
        <f t="shared" si="499"/>
        <v>0</v>
      </c>
      <c r="H212" s="113"/>
      <c r="I212" s="52"/>
      <c r="J212" s="52"/>
      <c r="K212" s="124"/>
      <c r="L212" s="53">
        <f t="shared" si="526"/>
        <v>0</v>
      </c>
      <c r="M212" s="127">
        <f t="shared" si="527"/>
        <v>0</v>
      </c>
      <c r="N212" s="119">
        <f t="shared" si="528"/>
        <v>0</v>
      </c>
      <c r="O212" s="130"/>
      <c r="P212" s="134"/>
      <c r="Q212" s="130"/>
      <c r="R212" s="52"/>
      <c r="S212" s="224">
        <f t="shared" si="529"/>
        <v>0</v>
      </c>
      <c r="T212" s="237"/>
      <c r="U212" s="237"/>
      <c r="V212" s="237"/>
      <c r="W212" s="237"/>
      <c r="X212" s="52"/>
      <c r="Y212" s="52"/>
      <c r="Z212" s="52"/>
      <c r="AA212" s="54"/>
      <c r="AB212" s="130"/>
      <c r="AC212" s="139"/>
    </row>
    <row r="213" spans="1:29" ht="15" thickBot="1" x14ac:dyDescent="0.35">
      <c r="A213" s="122"/>
      <c r="B213" s="185"/>
      <c r="C213" s="102"/>
      <c r="D213" s="101"/>
      <c r="E213" s="101"/>
      <c r="F213" s="118"/>
      <c r="G213" s="120">
        <f t="shared" si="499"/>
        <v>0</v>
      </c>
      <c r="H213" s="114"/>
      <c r="I213" s="101"/>
      <c r="J213" s="101"/>
      <c r="K213" s="125"/>
      <c r="L213" s="103">
        <f t="shared" si="526"/>
        <v>0</v>
      </c>
      <c r="M213" s="128">
        <f t="shared" si="527"/>
        <v>0</v>
      </c>
      <c r="N213" s="120">
        <f t="shared" si="528"/>
        <v>0</v>
      </c>
      <c r="O213" s="131"/>
      <c r="P213" s="135"/>
      <c r="Q213" s="131"/>
      <c r="R213" s="101"/>
      <c r="S213" s="104">
        <f t="shared" si="529"/>
        <v>0</v>
      </c>
      <c r="T213" s="238"/>
      <c r="U213" s="238"/>
      <c r="V213" s="238"/>
      <c r="W213" s="238"/>
      <c r="X213" s="101"/>
      <c r="Y213" s="101"/>
      <c r="Z213" s="101"/>
      <c r="AA213" s="102"/>
      <c r="AB213" s="131"/>
      <c r="AC213" s="140"/>
    </row>
    <row r="214" spans="1:29" x14ac:dyDescent="0.3">
      <c r="A214" s="115">
        <f t="shared" ref="A214" si="530">$A209+1</f>
        <v>43</v>
      </c>
      <c r="B214" s="186"/>
      <c r="C214" s="105">
        <f>INDEX(Tribs!$C$3:$C$102,MATCH($A214,Tribs!$A$3:$A$102,0))</f>
        <v>0</v>
      </c>
      <c r="D214" s="106">
        <f>INDEX(Tribs!$E$3:$E$102,MATCH($A214,Tribs!$A$3:$A$102,0))</f>
        <v>0</v>
      </c>
      <c r="E214" s="105">
        <f>INDEX(Tribs!$F$3:$F$102,MATCH($A214,Tribs!$A$3:$A$102,0))</f>
        <v>0</v>
      </c>
      <c r="F214" s="116">
        <f t="shared" ref="F214" si="531">($C214*$E214)</f>
        <v>0</v>
      </c>
      <c r="G214" s="110"/>
      <c r="H214" s="111">
        <f t="shared" ref="H214" si="532">($F214)+(SUM($G215:$G218))</f>
        <v>0</v>
      </c>
      <c r="I214" s="106">
        <f>INDEX(Tribs!$D$3:$D$102,MATCH($A214,Tribs!$A$3:$A$102,0))</f>
        <v>0</v>
      </c>
      <c r="J214" s="106">
        <f>INDEX(Tribs!$G$3:$G$102,MATCH($A214,Tribs!$A$3:$A$102,0))</f>
        <v>0</v>
      </c>
      <c r="K214" s="105">
        <f>($J214)/V_gutter*(1/60)</f>
        <v>0</v>
      </c>
      <c r="L214" s="112"/>
      <c r="M214" s="109"/>
      <c r="N214" s="129">
        <f t="shared" ref="N214" si="533">($I214+$K214)</f>
        <v>0</v>
      </c>
      <c r="O214" s="111">
        <f t="shared" ref="O214" si="534">MAX($N214:$N218)</f>
        <v>0</v>
      </c>
      <c r="P214" s="133">
        <f>IF($H214&gt;0,IF($O214&lt;=T_1,I_1,IF($O214&lt;=T_2,(($O214*M_1)+B_1),IF($O214&lt;=T_3,(($O214*M_2)+B_2),IF($O214&lt;=T_4,(($O214*M_3)+B_3),IF($O214&lt;=T_5,(($O214*M_4)+B_4),IF($O214&lt;=T_6,(($O214*M_5)+B_5),IF($O214&lt;=T_7,(($O214*M_6)+B_6),IF($O214&lt;=T_8,(($O214*M_7)+B_7),IF($O214&lt;=T_9,(($O214*M_8)+B_8),IF($O214&lt;=T_10,(($O214*M_9)+B_9))))))))))),0)</f>
        <v>0</v>
      </c>
      <c r="Q214" s="111">
        <f t="shared" ref="Q214" si="535">ROUND(($H214*$P214),2)</f>
        <v>0</v>
      </c>
      <c r="R214" s="107">
        <f>IF($Q214&gt;0,IF($Q214&lt;=UTH!$M$4,UTH!$J$4,IF($Q214&lt;=UTH!$M$5,UTH!$J$5,IF($Q214&lt;=UTH!$M$6,UTH!$J$6,IF($Q214&lt;=UTH!$M$7,UTH!$J$7,IF($Q214&lt;=UTH!$M$8,UTH!$J$8,IF($Q214&lt;=UTH!$M$9,UTH!$J$9,IF($Q214&lt;=UTH!$M$10,UTH!$J$10,IF($Q214&lt;=UTH!$M$11,UTH!$J$11,IF($Q214&lt;=UTH!$M$12,UTH!$J$12,IF($Q214&lt;=UTH!$M$13,UTH!$J$13,IF($Q214&lt;=UTH!$M$14,UTH!$J$14,IF($Q214&lt;=UTH!$M$15,UTH!$J$15,IF($Q214&lt;=UTH!$M$16,UTH!$J$16,IF($Q214&lt;=UTH!$M$17,UTH!$J$17,IF($Q214&lt;=UTH!$M$18,UTH!$J$18,IF($Q214&lt;=UTH!$M$19,UTH!$J$19,IF($Q214&lt;=UTH!$M$20,UTH!$J$20))))))))))))))))),0)</f>
        <v>0</v>
      </c>
      <c r="S214" s="107">
        <f>IF(Inverts!$D214="YES",Inverts!$C214,Inverts!$E214)</f>
        <v>0</v>
      </c>
      <c r="T214" s="108">
        <f>IF($S214,($Q214/(KQ*($S214^(8/3))))^2,0)</f>
        <v>0</v>
      </c>
      <c r="U214" s="108">
        <f>IF($S214,(Vmin/(KV*($S214^(2/3))))^2,0)</f>
        <v>0</v>
      </c>
      <c r="V214" s="108">
        <f>IF($Z214,ROUND(MinDrop_2/$Z214,4),0)</f>
        <v>0</v>
      </c>
      <c r="W214" s="108">
        <f t="shared" ref="W214" si="536">IF($S214=0,0,MAX($T214:$V214))</f>
        <v>0</v>
      </c>
      <c r="X214" s="108">
        <f>IF(Inverts!$H214="yes",Inverts!$G214,Inverts!$I214)</f>
        <v>0</v>
      </c>
      <c r="Y214" s="105">
        <f>ROUND(KV*($S214^(2/3))*($X214^(0.5)),2)</f>
        <v>0</v>
      </c>
      <c r="Z214" s="106">
        <f>INDEX(Tribs!$H$3:$H$102,MATCH($A214,Tribs!$A$3:$A$102,0))</f>
        <v>0</v>
      </c>
      <c r="AA214" s="105">
        <f t="shared" ref="AA214" si="537">IF($Y214,($Z214/$Y214)*(1/60),0)</f>
        <v>0</v>
      </c>
      <c r="AB214" s="111">
        <f>ROUND(KQ*($S214^(8/3))*($X214^(0.5)),2)</f>
        <v>0</v>
      </c>
      <c r="AC214" s="138" t="str">
        <f>IF(AND($AB214&gt;=($Q214-0.0049),$Y214&gt;=(Vmin-0.0049)),"OK","NG")</f>
        <v>NG</v>
      </c>
    </row>
    <row r="215" spans="1:29" x14ac:dyDescent="0.3">
      <c r="A215" s="121"/>
      <c r="B215" s="184"/>
      <c r="C215" s="54"/>
      <c r="D215" s="52"/>
      <c r="E215" s="52"/>
      <c r="F215" s="117"/>
      <c r="G215" s="119">
        <f t="shared" ref="G215" si="538">IF($B215,INDEX($H$4:$H$499,(MATCH($B215,$A$4:$A$499))),0)</f>
        <v>0</v>
      </c>
      <c r="H215" s="113"/>
      <c r="I215" s="52"/>
      <c r="J215" s="52"/>
      <c r="K215" s="123"/>
      <c r="L215" s="53">
        <f t="shared" ref="L215" si="539">IF($B215,INDEX($O$4:$O$499,MATCH($B215,$A$4:$A$499)),0)</f>
        <v>0</v>
      </c>
      <c r="M215" s="126">
        <f t="shared" ref="M215" si="540">IF($B215,INDEX($AA$4:$AA$499,MATCH($B215,$A$4:$A$499)),0)</f>
        <v>0</v>
      </c>
      <c r="N215" s="119">
        <f t="shared" ref="N215" si="541">($L215+$M215)</f>
        <v>0</v>
      </c>
      <c r="O215" s="130"/>
      <c r="P215" s="134"/>
      <c r="Q215" s="130"/>
      <c r="R215" s="52"/>
      <c r="S215" s="224">
        <f t="shared" ref="S215:S218" si="542">S214</f>
        <v>0</v>
      </c>
      <c r="T215" s="237"/>
      <c r="U215" s="237"/>
      <c r="V215" s="237"/>
      <c r="W215" s="237"/>
      <c r="X215" s="52"/>
      <c r="Y215" s="52"/>
      <c r="Z215" s="52"/>
      <c r="AA215" s="54"/>
      <c r="AB215" s="130"/>
      <c r="AC215" s="139"/>
    </row>
    <row r="216" spans="1:29" x14ac:dyDescent="0.3">
      <c r="A216" s="121"/>
      <c r="B216" s="184"/>
      <c r="C216" s="54"/>
      <c r="D216" s="52"/>
      <c r="E216" s="52"/>
      <c r="F216" s="117"/>
      <c r="G216" s="119">
        <f t="shared" si="499"/>
        <v>0</v>
      </c>
      <c r="H216" s="113"/>
      <c r="I216" s="52"/>
      <c r="J216" s="52"/>
      <c r="K216" s="124"/>
      <c r="L216" s="53">
        <f t="shared" si="526"/>
        <v>0</v>
      </c>
      <c r="M216" s="127">
        <f t="shared" si="527"/>
        <v>0</v>
      </c>
      <c r="N216" s="119">
        <f t="shared" si="528"/>
        <v>0</v>
      </c>
      <c r="O216" s="130"/>
      <c r="P216" s="134"/>
      <c r="Q216" s="130"/>
      <c r="R216" s="52"/>
      <c r="S216" s="224">
        <f t="shared" si="542"/>
        <v>0</v>
      </c>
      <c r="T216" s="237"/>
      <c r="U216" s="237"/>
      <c r="V216" s="237"/>
      <c r="W216" s="237"/>
      <c r="X216" s="52"/>
      <c r="Y216" s="52"/>
      <c r="Z216" s="52"/>
      <c r="AA216" s="54"/>
      <c r="AB216" s="130"/>
      <c r="AC216" s="139"/>
    </row>
    <row r="217" spans="1:29" x14ac:dyDescent="0.3">
      <c r="A217" s="121"/>
      <c r="B217" s="184"/>
      <c r="C217" s="54"/>
      <c r="D217" s="52"/>
      <c r="E217" s="52"/>
      <c r="F217" s="117"/>
      <c r="G217" s="119">
        <f t="shared" si="499"/>
        <v>0</v>
      </c>
      <c r="H217" s="113"/>
      <c r="I217" s="52"/>
      <c r="J217" s="52"/>
      <c r="K217" s="124"/>
      <c r="L217" s="53">
        <f t="shared" si="526"/>
        <v>0</v>
      </c>
      <c r="M217" s="127">
        <f t="shared" si="527"/>
        <v>0</v>
      </c>
      <c r="N217" s="119">
        <f t="shared" si="528"/>
        <v>0</v>
      </c>
      <c r="O217" s="130"/>
      <c r="P217" s="134"/>
      <c r="Q217" s="130"/>
      <c r="R217" s="52"/>
      <c r="S217" s="224">
        <f t="shared" si="542"/>
        <v>0</v>
      </c>
      <c r="T217" s="237"/>
      <c r="U217" s="237"/>
      <c r="V217" s="237"/>
      <c r="W217" s="237"/>
      <c r="X217" s="52"/>
      <c r="Y217" s="52"/>
      <c r="Z217" s="52"/>
      <c r="AA217" s="54"/>
      <c r="AB217" s="130"/>
      <c r="AC217" s="139"/>
    </row>
    <row r="218" spans="1:29" ht="15" thickBot="1" x14ac:dyDescent="0.35">
      <c r="A218" s="122"/>
      <c r="B218" s="185"/>
      <c r="C218" s="102"/>
      <c r="D218" s="101"/>
      <c r="E218" s="101"/>
      <c r="F218" s="118"/>
      <c r="G218" s="120">
        <f t="shared" si="499"/>
        <v>0</v>
      </c>
      <c r="H218" s="114"/>
      <c r="I218" s="101"/>
      <c r="J218" s="101"/>
      <c r="K218" s="125"/>
      <c r="L218" s="103">
        <f t="shared" si="526"/>
        <v>0</v>
      </c>
      <c r="M218" s="128">
        <f t="shared" si="527"/>
        <v>0</v>
      </c>
      <c r="N218" s="120">
        <f t="shared" si="528"/>
        <v>0</v>
      </c>
      <c r="O218" s="131"/>
      <c r="P218" s="135"/>
      <c r="Q218" s="131"/>
      <c r="R218" s="101"/>
      <c r="S218" s="104">
        <f t="shared" si="542"/>
        <v>0</v>
      </c>
      <c r="T218" s="238"/>
      <c r="U218" s="238"/>
      <c r="V218" s="238"/>
      <c r="W218" s="238"/>
      <c r="X218" s="101"/>
      <c r="Y218" s="101"/>
      <c r="Z218" s="101"/>
      <c r="AA218" s="102"/>
      <c r="AB218" s="131"/>
      <c r="AC218" s="140"/>
    </row>
    <row r="219" spans="1:29" x14ac:dyDescent="0.3">
      <c r="A219" s="115">
        <f t="shared" ref="A219" si="543">$A214+1</f>
        <v>44</v>
      </c>
      <c r="B219" s="186"/>
      <c r="C219" s="105">
        <f>INDEX(Tribs!$C$3:$C$102,MATCH($A219,Tribs!$A$3:$A$102,0))</f>
        <v>0</v>
      </c>
      <c r="D219" s="106">
        <f>INDEX(Tribs!$E$3:$E$102,MATCH($A219,Tribs!$A$3:$A$102,0))</f>
        <v>0</v>
      </c>
      <c r="E219" s="105">
        <f>INDEX(Tribs!$F$3:$F$102,MATCH($A219,Tribs!$A$3:$A$102,0))</f>
        <v>0</v>
      </c>
      <c r="F219" s="116">
        <f t="shared" ref="F219" si="544">($C219*$E219)</f>
        <v>0</v>
      </c>
      <c r="G219" s="110"/>
      <c r="H219" s="111">
        <f t="shared" ref="H219" si="545">($F219)+(SUM($G220:$G223))</f>
        <v>0</v>
      </c>
      <c r="I219" s="106">
        <f>INDEX(Tribs!$D$3:$D$102,MATCH($A219,Tribs!$A$3:$A$102,0))</f>
        <v>0</v>
      </c>
      <c r="J219" s="106">
        <f>INDEX(Tribs!$G$3:$G$102,MATCH($A219,Tribs!$A$3:$A$102,0))</f>
        <v>0</v>
      </c>
      <c r="K219" s="105">
        <f>($J219)/V_gutter*(1/60)</f>
        <v>0</v>
      </c>
      <c r="L219" s="112"/>
      <c r="M219" s="109"/>
      <c r="N219" s="129">
        <f t="shared" ref="N219" si="546">($I219+$K219)</f>
        <v>0</v>
      </c>
      <c r="O219" s="111">
        <f t="shared" ref="O219" si="547">MAX($N219:$N223)</f>
        <v>0</v>
      </c>
      <c r="P219" s="133">
        <f>IF($H219&gt;0,IF($O219&lt;=T_1,I_1,IF($O219&lt;=T_2,(($O219*M_1)+B_1),IF($O219&lt;=T_3,(($O219*M_2)+B_2),IF($O219&lt;=T_4,(($O219*M_3)+B_3),IF($O219&lt;=T_5,(($O219*M_4)+B_4),IF($O219&lt;=T_6,(($O219*M_5)+B_5),IF($O219&lt;=T_7,(($O219*M_6)+B_6),IF($O219&lt;=T_8,(($O219*M_7)+B_7),IF($O219&lt;=T_9,(($O219*M_8)+B_8),IF($O219&lt;=T_10,(($O219*M_9)+B_9))))))))))),0)</f>
        <v>0</v>
      </c>
      <c r="Q219" s="111">
        <f t="shared" ref="Q219" si="548">ROUND(($H219*$P219),2)</f>
        <v>0</v>
      </c>
      <c r="R219" s="107">
        <f>IF($Q219&gt;0,IF($Q219&lt;=UTH!$M$4,UTH!$J$4,IF($Q219&lt;=UTH!$M$5,UTH!$J$5,IF($Q219&lt;=UTH!$M$6,UTH!$J$6,IF($Q219&lt;=UTH!$M$7,UTH!$J$7,IF($Q219&lt;=UTH!$M$8,UTH!$J$8,IF($Q219&lt;=UTH!$M$9,UTH!$J$9,IF($Q219&lt;=UTH!$M$10,UTH!$J$10,IF($Q219&lt;=UTH!$M$11,UTH!$J$11,IF($Q219&lt;=UTH!$M$12,UTH!$J$12,IF($Q219&lt;=UTH!$M$13,UTH!$J$13,IF($Q219&lt;=UTH!$M$14,UTH!$J$14,IF($Q219&lt;=UTH!$M$15,UTH!$J$15,IF($Q219&lt;=UTH!$M$16,UTH!$J$16,IF($Q219&lt;=UTH!$M$17,UTH!$J$17,IF($Q219&lt;=UTH!$M$18,UTH!$J$18,IF($Q219&lt;=UTH!$M$19,UTH!$J$19,IF($Q219&lt;=UTH!$M$20,UTH!$J$20))))))))))))))))),0)</f>
        <v>0</v>
      </c>
      <c r="S219" s="107">
        <f>IF(Inverts!$D219="YES",Inverts!$C219,Inverts!$E219)</f>
        <v>0</v>
      </c>
      <c r="T219" s="108">
        <f>IF($S219,($Q219/(KQ*($S219^(8/3))))^2,0)</f>
        <v>0</v>
      </c>
      <c r="U219" s="108">
        <f>IF($S219,(Vmin/(KV*($S219^(2/3))))^2,0)</f>
        <v>0</v>
      </c>
      <c r="V219" s="108">
        <f>IF($Z219,ROUND(MinDrop_2/$Z219,4),0)</f>
        <v>0</v>
      </c>
      <c r="W219" s="108">
        <f t="shared" ref="W219" si="549">IF($S219=0,0,MAX($T219:$V219))</f>
        <v>0</v>
      </c>
      <c r="X219" s="108">
        <f>IF(Inverts!$H219="yes",Inverts!$G219,Inverts!$I219)</f>
        <v>0</v>
      </c>
      <c r="Y219" s="105">
        <f>ROUND(KV*($S219^(2/3))*($X219^(0.5)),2)</f>
        <v>0</v>
      </c>
      <c r="Z219" s="106">
        <f>INDEX(Tribs!$H$3:$H$102,MATCH($A219,Tribs!$A$3:$A$102,0))</f>
        <v>0</v>
      </c>
      <c r="AA219" s="105">
        <f t="shared" ref="AA219" si="550">IF($Y219,($Z219/$Y219)*(1/60),0)</f>
        <v>0</v>
      </c>
      <c r="AB219" s="111">
        <f>ROUND(KQ*($S219^(8/3))*($X219^(0.5)),2)</f>
        <v>0</v>
      </c>
      <c r="AC219" s="138" t="str">
        <f>IF(AND($AB219&gt;=($Q219-0.0049),$Y219&gt;=(Vmin-0.0049)),"OK","NG")</f>
        <v>NG</v>
      </c>
    </row>
    <row r="220" spans="1:29" x14ac:dyDescent="0.3">
      <c r="A220" s="121"/>
      <c r="B220" s="184"/>
      <c r="C220" s="54"/>
      <c r="D220" s="52"/>
      <c r="E220" s="52"/>
      <c r="F220" s="117"/>
      <c r="G220" s="119">
        <f t="shared" ref="G220" si="551">IF($B220,INDEX($H$4:$H$499,(MATCH($B220,$A$4:$A$499))),0)</f>
        <v>0</v>
      </c>
      <c r="H220" s="113"/>
      <c r="I220" s="52"/>
      <c r="J220" s="52"/>
      <c r="K220" s="123"/>
      <c r="L220" s="53">
        <f t="shared" ref="L220" si="552">IF($B220,INDEX($O$4:$O$499,MATCH($B220,$A$4:$A$499)),0)</f>
        <v>0</v>
      </c>
      <c r="M220" s="126">
        <f t="shared" ref="M220" si="553">IF($B220,INDEX($AA$4:$AA$499,MATCH($B220,$A$4:$A$499)),0)</f>
        <v>0</v>
      </c>
      <c r="N220" s="119">
        <f t="shared" ref="N220" si="554">($L220+$M220)</f>
        <v>0</v>
      </c>
      <c r="O220" s="130"/>
      <c r="P220" s="134"/>
      <c r="Q220" s="130"/>
      <c r="R220" s="52"/>
      <c r="S220" s="224">
        <f t="shared" ref="S220:S223" si="555">S219</f>
        <v>0</v>
      </c>
      <c r="T220" s="237"/>
      <c r="U220" s="237"/>
      <c r="V220" s="237"/>
      <c r="W220" s="237"/>
      <c r="X220" s="52"/>
      <c r="Y220" s="52"/>
      <c r="Z220" s="52"/>
      <c r="AA220" s="54"/>
      <c r="AB220" s="130"/>
      <c r="AC220" s="139"/>
    </row>
    <row r="221" spans="1:29" x14ac:dyDescent="0.3">
      <c r="A221" s="121"/>
      <c r="B221" s="184"/>
      <c r="C221" s="54"/>
      <c r="D221" s="52"/>
      <c r="E221" s="52"/>
      <c r="F221" s="117"/>
      <c r="G221" s="119">
        <f t="shared" si="499"/>
        <v>0</v>
      </c>
      <c r="H221" s="113"/>
      <c r="I221" s="52"/>
      <c r="J221" s="52"/>
      <c r="K221" s="124"/>
      <c r="L221" s="53">
        <f t="shared" si="526"/>
        <v>0</v>
      </c>
      <c r="M221" s="127">
        <f t="shared" si="527"/>
        <v>0</v>
      </c>
      <c r="N221" s="119">
        <f t="shared" si="528"/>
        <v>0</v>
      </c>
      <c r="O221" s="130"/>
      <c r="P221" s="134"/>
      <c r="Q221" s="130"/>
      <c r="R221" s="52"/>
      <c r="S221" s="224">
        <f t="shared" si="555"/>
        <v>0</v>
      </c>
      <c r="T221" s="237"/>
      <c r="U221" s="237"/>
      <c r="V221" s="237"/>
      <c r="W221" s="237"/>
      <c r="X221" s="52"/>
      <c r="Y221" s="52"/>
      <c r="Z221" s="52"/>
      <c r="AA221" s="54"/>
      <c r="AB221" s="130"/>
      <c r="AC221" s="139"/>
    </row>
    <row r="222" spans="1:29" x14ac:dyDescent="0.3">
      <c r="A222" s="121"/>
      <c r="B222" s="184"/>
      <c r="C222" s="54"/>
      <c r="D222" s="52"/>
      <c r="E222" s="52"/>
      <c r="F222" s="117"/>
      <c r="G222" s="119">
        <f t="shared" si="499"/>
        <v>0</v>
      </c>
      <c r="H222" s="113"/>
      <c r="I222" s="52"/>
      <c r="J222" s="52"/>
      <c r="K222" s="124"/>
      <c r="L222" s="53">
        <f t="shared" si="526"/>
        <v>0</v>
      </c>
      <c r="M222" s="127">
        <f t="shared" si="527"/>
        <v>0</v>
      </c>
      <c r="N222" s="119">
        <f t="shared" si="528"/>
        <v>0</v>
      </c>
      <c r="O222" s="130"/>
      <c r="P222" s="134"/>
      <c r="Q222" s="130"/>
      <c r="R222" s="52"/>
      <c r="S222" s="224">
        <f t="shared" si="555"/>
        <v>0</v>
      </c>
      <c r="T222" s="237"/>
      <c r="U222" s="237"/>
      <c r="V222" s="237"/>
      <c r="W222" s="237"/>
      <c r="X222" s="52"/>
      <c r="Y222" s="52"/>
      <c r="Z222" s="52"/>
      <c r="AA222" s="54"/>
      <c r="AB222" s="130"/>
      <c r="AC222" s="139"/>
    </row>
    <row r="223" spans="1:29" ht="15" thickBot="1" x14ac:dyDescent="0.35">
      <c r="A223" s="122"/>
      <c r="B223" s="185"/>
      <c r="C223" s="102"/>
      <c r="D223" s="101"/>
      <c r="E223" s="101"/>
      <c r="F223" s="118"/>
      <c r="G223" s="120">
        <f t="shared" si="499"/>
        <v>0</v>
      </c>
      <c r="H223" s="114"/>
      <c r="I223" s="101"/>
      <c r="J223" s="101"/>
      <c r="K223" s="125"/>
      <c r="L223" s="103">
        <f t="shared" si="526"/>
        <v>0</v>
      </c>
      <c r="M223" s="128">
        <f t="shared" si="527"/>
        <v>0</v>
      </c>
      <c r="N223" s="120">
        <f t="shared" si="528"/>
        <v>0</v>
      </c>
      <c r="O223" s="131"/>
      <c r="P223" s="135"/>
      <c r="Q223" s="131"/>
      <c r="R223" s="101"/>
      <c r="S223" s="104">
        <f t="shared" si="555"/>
        <v>0</v>
      </c>
      <c r="T223" s="238"/>
      <c r="U223" s="238"/>
      <c r="V223" s="238"/>
      <c r="W223" s="238"/>
      <c r="X223" s="101"/>
      <c r="Y223" s="101"/>
      <c r="Z223" s="101"/>
      <c r="AA223" s="102"/>
      <c r="AB223" s="131"/>
      <c r="AC223" s="140"/>
    </row>
    <row r="224" spans="1:29" x14ac:dyDescent="0.3">
      <c r="A224" s="115">
        <f t="shared" ref="A224" si="556">$A219+1</f>
        <v>45</v>
      </c>
      <c r="B224" s="186"/>
      <c r="C224" s="105">
        <f>INDEX(Tribs!$C$3:$C$102,MATCH($A224,Tribs!$A$3:$A$102,0))</f>
        <v>0</v>
      </c>
      <c r="D224" s="106">
        <f>INDEX(Tribs!$E$3:$E$102,MATCH($A224,Tribs!$A$3:$A$102,0))</f>
        <v>0</v>
      </c>
      <c r="E224" s="105">
        <f>INDEX(Tribs!$F$3:$F$102,MATCH($A224,Tribs!$A$3:$A$102,0))</f>
        <v>0</v>
      </c>
      <c r="F224" s="116">
        <f t="shared" ref="F224" si="557">($C224*$E224)</f>
        <v>0</v>
      </c>
      <c r="G224" s="110"/>
      <c r="H224" s="111">
        <f t="shared" ref="H224" si="558">($F224)+(SUM($G225:$G228))</f>
        <v>0</v>
      </c>
      <c r="I224" s="106">
        <f>INDEX(Tribs!$D$3:$D$102,MATCH($A224,Tribs!$A$3:$A$102,0))</f>
        <v>0</v>
      </c>
      <c r="J224" s="106">
        <f>INDEX(Tribs!$G$3:$G$102,MATCH($A224,Tribs!$A$3:$A$102,0))</f>
        <v>0</v>
      </c>
      <c r="K224" s="105">
        <f>($J224)/V_gutter*(1/60)</f>
        <v>0</v>
      </c>
      <c r="L224" s="112"/>
      <c r="M224" s="109"/>
      <c r="N224" s="129">
        <f t="shared" ref="N224" si="559">($I224+$K224)</f>
        <v>0</v>
      </c>
      <c r="O224" s="111">
        <f t="shared" ref="O224" si="560">MAX($N224:$N228)</f>
        <v>0</v>
      </c>
      <c r="P224" s="133">
        <f>IF($H224&gt;0,IF($O224&lt;=T_1,I_1,IF($O224&lt;=T_2,(($O224*M_1)+B_1),IF($O224&lt;=T_3,(($O224*M_2)+B_2),IF($O224&lt;=T_4,(($O224*M_3)+B_3),IF($O224&lt;=T_5,(($O224*M_4)+B_4),IF($O224&lt;=T_6,(($O224*M_5)+B_5),IF($O224&lt;=T_7,(($O224*M_6)+B_6),IF($O224&lt;=T_8,(($O224*M_7)+B_7),IF($O224&lt;=T_9,(($O224*M_8)+B_8),IF($O224&lt;=T_10,(($O224*M_9)+B_9))))))))))),0)</f>
        <v>0</v>
      </c>
      <c r="Q224" s="111">
        <f t="shared" ref="Q224" si="561">ROUND(($H224*$P224),2)</f>
        <v>0</v>
      </c>
      <c r="R224" s="107">
        <f>IF($Q224&gt;0,IF($Q224&lt;=UTH!$M$4,UTH!$J$4,IF($Q224&lt;=UTH!$M$5,UTH!$J$5,IF($Q224&lt;=UTH!$M$6,UTH!$J$6,IF($Q224&lt;=UTH!$M$7,UTH!$J$7,IF($Q224&lt;=UTH!$M$8,UTH!$J$8,IF($Q224&lt;=UTH!$M$9,UTH!$J$9,IF($Q224&lt;=UTH!$M$10,UTH!$J$10,IF($Q224&lt;=UTH!$M$11,UTH!$J$11,IF($Q224&lt;=UTH!$M$12,UTH!$J$12,IF($Q224&lt;=UTH!$M$13,UTH!$J$13,IF($Q224&lt;=UTH!$M$14,UTH!$J$14,IF($Q224&lt;=UTH!$M$15,UTH!$J$15,IF($Q224&lt;=UTH!$M$16,UTH!$J$16,IF($Q224&lt;=UTH!$M$17,UTH!$J$17,IF($Q224&lt;=UTH!$M$18,UTH!$J$18,IF($Q224&lt;=UTH!$M$19,UTH!$J$19,IF($Q224&lt;=UTH!$M$20,UTH!$J$20))))))))))))))))),0)</f>
        <v>0</v>
      </c>
      <c r="S224" s="107">
        <f>IF(Inverts!$D224="YES",Inverts!$C224,Inverts!$E224)</f>
        <v>0</v>
      </c>
      <c r="T224" s="108">
        <f>IF($S224,($Q224/(KQ*($S224^(8/3))))^2,0)</f>
        <v>0</v>
      </c>
      <c r="U224" s="108">
        <f>IF($S224,(Vmin/(KV*($S224^(2/3))))^2,0)</f>
        <v>0</v>
      </c>
      <c r="V224" s="108">
        <f>IF($Z224,ROUND(MinDrop_2/$Z224,4),0)</f>
        <v>0</v>
      </c>
      <c r="W224" s="108">
        <f t="shared" ref="W224" si="562">IF($S224=0,0,MAX($T224:$V224))</f>
        <v>0</v>
      </c>
      <c r="X224" s="108">
        <f>IF(Inverts!$H224="yes",Inverts!$G224,Inverts!$I224)</f>
        <v>0</v>
      </c>
      <c r="Y224" s="105">
        <f>ROUND(KV*($S224^(2/3))*($X224^(0.5)),2)</f>
        <v>0</v>
      </c>
      <c r="Z224" s="106">
        <f>INDEX(Tribs!$H$3:$H$102,MATCH($A224,Tribs!$A$3:$A$102,0))</f>
        <v>0</v>
      </c>
      <c r="AA224" s="105">
        <f t="shared" ref="AA224" si="563">IF($Y224,($Z224/$Y224)*(1/60),0)</f>
        <v>0</v>
      </c>
      <c r="AB224" s="111">
        <f>ROUND(KQ*($S224^(8/3))*($X224^(0.5)),2)</f>
        <v>0</v>
      </c>
      <c r="AC224" s="138" t="str">
        <f>IF(AND($AB224&gt;=($Q224-0.0049),$Y224&gt;=(Vmin-0.0049)),"OK","NG")</f>
        <v>NG</v>
      </c>
    </row>
    <row r="225" spans="1:29" x14ac:dyDescent="0.3">
      <c r="A225" s="121"/>
      <c r="B225" s="184"/>
      <c r="C225" s="54"/>
      <c r="D225" s="52"/>
      <c r="E225" s="52"/>
      <c r="F225" s="117"/>
      <c r="G225" s="119">
        <f t="shared" ref="G225" si="564">IF($B225,INDEX($H$4:$H$499,(MATCH($B225,$A$4:$A$499))),0)</f>
        <v>0</v>
      </c>
      <c r="H225" s="113"/>
      <c r="I225" s="52"/>
      <c r="J225" s="52"/>
      <c r="K225" s="123"/>
      <c r="L225" s="53">
        <f t="shared" ref="L225" si="565">IF($B225,INDEX($O$4:$O$499,MATCH($B225,$A$4:$A$499)),0)</f>
        <v>0</v>
      </c>
      <c r="M225" s="126">
        <f t="shared" ref="M225" si="566">IF($B225,INDEX($AA$4:$AA$499,MATCH($B225,$A$4:$A$499)),0)</f>
        <v>0</v>
      </c>
      <c r="N225" s="119">
        <f t="shared" ref="N225" si="567">($L225+$M225)</f>
        <v>0</v>
      </c>
      <c r="O225" s="130"/>
      <c r="P225" s="134"/>
      <c r="Q225" s="130"/>
      <c r="R225" s="52"/>
      <c r="S225" s="224">
        <f t="shared" ref="S225:S228" si="568">S224</f>
        <v>0</v>
      </c>
      <c r="T225" s="237"/>
      <c r="U225" s="237"/>
      <c r="V225" s="237"/>
      <c r="W225" s="237"/>
      <c r="X225" s="52"/>
      <c r="Y225" s="52"/>
      <c r="Z225" s="52"/>
      <c r="AA225" s="54"/>
      <c r="AB225" s="130"/>
      <c r="AC225" s="139"/>
    </row>
    <row r="226" spans="1:29" x14ac:dyDescent="0.3">
      <c r="A226" s="121"/>
      <c r="B226" s="184"/>
      <c r="C226" s="54"/>
      <c r="D226" s="52"/>
      <c r="E226" s="52"/>
      <c r="F226" s="117"/>
      <c r="G226" s="119">
        <f t="shared" si="499"/>
        <v>0</v>
      </c>
      <c r="H226" s="113"/>
      <c r="I226" s="52"/>
      <c r="J226" s="52"/>
      <c r="K226" s="124"/>
      <c r="L226" s="53">
        <f t="shared" si="526"/>
        <v>0</v>
      </c>
      <c r="M226" s="127">
        <f t="shared" si="527"/>
        <v>0</v>
      </c>
      <c r="N226" s="119">
        <f t="shared" si="528"/>
        <v>0</v>
      </c>
      <c r="O226" s="130"/>
      <c r="P226" s="134"/>
      <c r="Q226" s="130"/>
      <c r="R226" s="52"/>
      <c r="S226" s="224">
        <f t="shared" si="568"/>
        <v>0</v>
      </c>
      <c r="T226" s="237"/>
      <c r="U226" s="237"/>
      <c r="V226" s="237"/>
      <c r="W226" s="237"/>
      <c r="X226" s="52"/>
      <c r="Y226" s="52"/>
      <c r="Z226" s="52"/>
      <c r="AA226" s="54"/>
      <c r="AB226" s="130"/>
      <c r="AC226" s="139"/>
    </row>
    <row r="227" spans="1:29" x14ac:dyDescent="0.3">
      <c r="A227" s="121"/>
      <c r="B227" s="184"/>
      <c r="C227" s="54"/>
      <c r="D227" s="52"/>
      <c r="E227" s="52"/>
      <c r="F227" s="117"/>
      <c r="G227" s="119">
        <f t="shared" si="499"/>
        <v>0</v>
      </c>
      <c r="H227" s="113"/>
      <c r="I227" s="52"/>
      <c r="J227" s="52"/>
      <c r="K227" s="124"/>
      <c r="L227" s="53">
        <f t="shared" si="526"/>
        <v>0</v>
      </c>
      <c r="M227" s="127">
        <f t="shared" si="527"/>
        <v>0</v>
      </c>
      <c r="N227" s="119">
        <f t="shared" si="528"/>
        <v>0</v>
      </c>
      <c r="O227" s="130"/>
      <c r="P227" s="134"/>
      <c r="Q227" s="130"/>
      <c r="R227" s="52"/>
      <c r="S227" s="224">
        <f t="shared" si="568"/>
        <v>0</v>
      </c>
      <c r="T227" s="237"/>
      <c r="U227" s="237"/>
      <c r="V227" s="237"/>
      <c r="W227" s="237"/>
      <c r="X227" s="52"/>
      <c r="Y227" s="52"/>
      <c r="Z227" s="52"/>
      <c r="AA227" s="54"/>
      <c r="AB227" s="130"/>
      <c r="AC227" s="139"/>
    </row>
    <row r="228" spans="1:29" ht="15" thickBot="1" x14ac:dyDescent="0.35">
      <c r="A228" s="122"/>
      <c r="B228" s="185"/>
      <c r="C228" s="102"/>
      <c r="D228" s="101"/>
      <c r="E228" s="101"/>
      <c r="F228" s="118"/>
      <c r="G228" s="120">
        <f t="shared" si="499"/>
        <v>0</v>
      </c>
      <c r="H228" s="114"/>
      <c r="I228" s="101"/>
      <c r="J228" s="101"/>
      <c r="K228" s="125"/>
      <c r="L228" s="103">
        <f t="shared" si="526"/>
        <v>0</v>
      </c>
      <c r="M228" s="128">
        <f t="shared" si="527"/>
        <v>0</v>
      </c>
      <c r="N228" s="120">
        <f t="shared" si="528"/>
        <v>0</v>
      </c>
      <c r="O228" s="131"/>
      <c r="P228" s="135"/>
      <c r="Q228" s="131"/>
      <c r="R228" s="101"/>
      <c r="S228" s="104">
        <f t="shared" si="568"/>
        <v>0</v>
      </c>
      <c r="T228" s="238"/>
      <c r="U228" s="238"/>
      <c r="V228" s="238"/>
      <c r="W228" s="238"/>
      <c r="X228" s="101"/>
      <c r="Y228" s="101"/>
      <c r="Z228" s="101"/>
      <c r="AA228" s="102"/>
      <c r="AB228" s="131"/>
      <c r="AC228" s="140"/>
    </row>
    <row r="229" spans="1:29" x14ac:dyDescent="0.3">
      <c r="A229" s="115">
        <f t="shared" ref="A229" si="569">$A224+1</f>
        <v>46</v>
      </c>
      <c r="B229" s="186"/>
      <c r="C229" s="105">
        <f>INDEX(Tribs!$C$3:$C$102,MATCH($A229,Tribs!$A$3:$A$102,0))</f>
        <v>0</v>
      </c>
      <c r="D229" s="106">
        <f>INDEX(Tribs!$E$3:$E$102,MATCH($A229,Tribs!$A$3:$A$102,0))</f>
        <v>0</v>
      </c>
      <c r="E229" s="105">
        <f>INDEX(Tribs!$F$3:$F$102,MATCH($A229,Tribs!$A$3:$A$102,0))</f>
        <v>0</v>
      </c>
      <c r="F229" s="116">
        <f t="shared" ref="F229" si="570">($C229*$E229)</f>
        <v>0</v>
      </c>
      <c r="G229" s="110"/>
      <c r="H229" s="111">
        <f t="shared" ref="H229" si="571">($F229)+(SUM($G230:$G233))</f>
        <v>0</v>
      </c>
      <c r="I229" s="106">
        <f>INDEX(Tribs!$D$3:$D$102,MATCH($A229,Tribs!$A$3:$A$102,0))</f>
        <v>0</v>
      </c>
      <c r="J229" s="106">
        <f>INDEX(Tribs!$G$3:$G$102,MATCH($A229,Tribs!$A$3:$A$102,0))</f>
        <v>0</v>
      </c>
      <c r="K229" s="105">
        <f>($J229)/V_gutter*(1/60)</f>
        <v>0</v>
      </c>
      <c r="L229" s="112"/>
      <c r="M229" s="109"/>
      <c r="N229" s="129">
        <f t="shared" ref="N229" si="572">($I229+$K229)</f>
        <v>0</v>
      </c>
      <c r="O229" s="111">
        <f t="shared" ref="O229" si="573">MAX($N229:$N233)</f>
        <v>0</v>
      </c>
      <c r="P229" s="133">
        <f>IF($H229&gt;0,IF($O229&lt;=T_1,I_1,IF($O229&lt;=T_2,(($O229*M_1)+B_1),IF($O229&lt;=T_3,(($O229*M_2)+B_2),IF($O229&lt;=T_4,(($O229*M_3)+B_3),IF($O229&lt;=T_5,(($O229*M_4)+B_4),IF($O229&lt;=T_6,(($O229*M_5)+B_5),IF($O229&lt;=T_7,(($O229*M_6)+B_6),IF($O229&lt;=T_8,(($O229*M_7)+B_7),IF($O229&lt;=T_9,(($O229*M_8)+B_8),IF($O229&lt;=T_10,(($O229*M_9)+B_9))))))))))),0)</f>
        <v>0</v>
      </c>
      <c r="Q229" s="111">
        <f t="shared" ref="Q229" si="574">ROUND(($H229*$P229),2)</f>
        <v>0</v>
      </c>
      <c r="R229" s="107">
        <f>IF($Q229&gt;0,IF($Q229&lt;=UTH!$M$4,UTH!$J$4,IF($Q229&lt;=UTH!$M$5,UTH!$J$5,IF($Q229&lt;=UTH!$M$6,UTH!$J$6,IF($Q229&lt;=UTH!$M$7,UTH!$J$7,IF($Q229&lt;=UTH!$M$8,UTH!$J$8,IF($Q229&lt;=UTH!$M$9,UTH!$J$9,IF($Q229&lt;=UTH!$M$10,UTH!$J$10,IF($Q229&lt;=UTH!$M$11,UTH!$J$11,IF($Q229&lt;=UTH!$M$12,UTH!$J$12,IF($Q229&lt;=UTH!$M$13,UTH!$J$13,IF($Q229&lt;=UTH!$M$14,UTH!$J$14,IF($Q229&lt;=UTH!$M$15,UTH!$J$15,IF($Q229&lt;=UTH!$M$16,UTH!$J$16,IF($Q229&lt;=UTH!$M$17,UTH!$J$17,IF($Q229&lt;=UTH!$M$18,UTH!$J$18,IF($Q229&lt;=UTH!$M$19,UTH!$J$19,IF($Q229&lt;=UTH!$M$20,UTH!$J$20))))))))))))))))),0)</f>
        <v>0</v>
      </c>
      <c r="S229" s="107">
        <f>IF(Inverts!$D229="YES",Inverts!$C229,Inverts!$E229)</f>
        <v>0</v>
      </c>
      <c r="T229" s="108">
        <f>IF($S229,($Q229/(KQ*($S229^(8/3))))^2,0)</f>
        <v>0</v>
      </c>
      <c r="U229" s="108">
        <f>IF($S229,(Vmin/(KV*($S229^(2/3))))^2,0)</f>
        <v>0</v>
      </c>
      <c r="V229" s="108">
        <f>IF($Z229,ROUND(MinDrop_2/$Z229,4),0)</f>
        <v>0</v>
      </c>
      <c r="W229" s="108">
        <f t="shared" ref="W229" si="575">IF($S229=0,0,MAX($T229:$V229))</f>
        <v>0</v>
      </c>
      <c r="X229" s="108">
        <f>IF(Inverts!$H229="yes",Inverts!$G229,Inverts!$I229)</f>
        <v>0</v>
      </c>
      <c r="Y229" s="105">
        <f>ROUND(KV*($S229^(2/3))*($X229^(0.5)),2)</f>
        <v>0</v>
      </c>
      <c r="Z229" s="106">
        <f>INDEX(Tribs!$H$3:$H$102,MATCH($A229,Tribs!$A$3:$A$102,0))</f>
        <v>0</v>
      </c>
      <c r="AA229" s="105">
        <f t="shared" ref="AA229" si="576">IF($Y229,($Z229/$Y229)*(1/60),0)</f>
        <v>0</v>
      </c>
      <c r="AB229" s="111">
        <f>ROUND(KQ*($S229^(8/3))*($X229^(0.5)),2)</f>
        <v>0</v>
      </c>
      <c r="AC229" s="138" t="str">
        <f>IF(AND($AB229&gt;=($Q229-0.0049),$Y229&gt;=(Vmin-0.0049)),"OK","NG")</f>
        <v>NG</v>
      </c>
    </row>
    <row r="230" spans="1:29" x14ac:dyDescent="0.3">
      <c r="A230" s="121"/>
      <c r="B230" s="184"/>
      <c r="C230" s="54"/>
      <c r="D230" s="52"/>
      <c r="E230" s="52"/>
      <c r="F230" s="117"/>
      <c r="G230" s="119">
        <f t="shared" ref="G230" si="577">IF($B230,INDEX($H$4:$H$499,(MATCH($B230,$A$4:$A$499))),0)</f>
        <v>0</v>
      </c>
      <c r="H230" s="113"/>
      <c r="I230" s="52"/>
      <c r="J230" s="52"/>
      <c r="K230" s="123"/>
      <c r="L230" s="53">
        <f t="shared" ref="L230" si="578">IF($B230,INDEX($O$4:$O$499,MATCH($B230,$A$4:$A$499)),0)</f>
        <v>0</v>
      </c>
      <c r="M230" s="126">
        <f t="shared" ref="M230" si="579">IF($B230,INDEX($AA$4:$AA$499,MATCH($B230,$A$4:$A$499)),0)</f>
        <v>0</v>
      </c>
      <c r="N230" s="119">
        <f t="shared" ref="N230" si="580">($L230+$M230)</f>
        <v>0</v>
      </c>
      <c r="O230" s="130"/>
      <c r="P230" s="134"/>
      <c r="Q230" s="130"/>
      <c r="R230" s="52"/>
      <c r="S230" s="224">
        <f t="shared" ref="S230:S233" si="581">S229</f>
        <v>0</v>
      </c>
      <c r="T230" s="237"/>
      <c r="U230" s="237"/>
      <c r="V230" s="237"/>
      <c r="W230" s="237"/>
      <c r="X230" s="52"/>
      <c r="Y230" s="52"/>
      <c r="Z230" s="52"/>
      <c r="AA230" s="54"/>
      <c r="AB230" s="130"/>
      <c r="AC230" s="139"/>
    </row>
    <row r="231" spans="1:29" x14ac:dyDescent="0.3">
      <c r="A231" s="121"/>
      <c r="B231" s="184"/>
      <c r="C231" s="54"/>
      <c r="D231" s="52"/>
      <c r="E231" s="52"/>
      <c r="F231" s="117"/>
      <c r="G231" s="119">
        <f t="shared" si="499"/>
        <v>0</v>
      </c>
      <c r="H231" s="113"/>
      <c r="I231" s="52"/>
      <c r="J231" s="52"/>
      <c r="K231" s="124"/>
      <c r="L231" s="53">
        <f t="shared" si="526"/>
        <v>0</v>
      </c>
      <c r="M231" s="127">
        <f t="shared" si="527"/>
        <v>0</v>
      </c>
      <c r="N231" s="119">
        <f t="shared" si="528"/>
        <v>0</v>
      </c>
      <c r="O231" s="130"/>
      <c r="P231" s="134"/>
      <c r="Q231" s="130"/>
      <c r="R231" s="52"/>
      <c r="S231" s="224">
        <f t="shared" si="581"/>
        <v>0</v>
      </c>
      <c r="T231" s="237"/>
      <c r="U231" s="237"/>
      <c r="V231" s="237"/>
      <c r="W231" s="237"/>
      <c r="X231" s="52"/>
      <c r="Y231" s="52"/>
      <c r="Z231" s="52"/>
      <c r="AA231" s="54"/>
      <c r="AB231" s="130"/>
      <c r="AC231" s="139"/>
    </row>
    <row r="232" spans="1:29" x14ac:dyDescent="0.3">
      <c r="A232" s="121"/>
      <c r="B232" s="184"/>
      <c r="C232" s="54"/>
      <c r="D232" s="52"/>
      <c r="E232" s="52"/>
      <c r="F232" s="117"/>
      <c r="G232" s="119">
        <f t="shared" si="499"/>
        <v>0</v>
      </c>
      <c r="H232" s="113"/>
      <c r="I232" s="52"/>
      <c r="J232" s="52"/>
      <c r="K232" s="124"/>
      <c r="L232" s="53">
        <f t="shared" si="526"/>
        <v>0</v>
      </c>
      <c r="M232" s="127">
        <f t="shared" si="527"/>
        <v>0</v>
      </c>
      <c r="N232" s="119">
        <f t="shared" si="528"/>
        <v>0</v>
      </c>
      <c r="O232" s="130"/>
      <c r="P232" s="134"/>
      <c r="Q232" s="130"/>
      <c r="R232" s="52"/>
      <c r="S232" s="224">
        <f t="shared" si="581"/>
        <v>0</v>
      </c>
      <c r="T232" s="237"/>
      <c r="U232" s="237"/>
      <c r="V232" s="237"/>
      <c r="W232" s="237"/>
      <c r="X232" s="52"/>
      <c r="Y232" s="52"/>
      <c r="Z232" s="52"/>
      <c r="AA232" s="54"/>
      <c r="AB232" s="130"/>
      <c r="AC232" s="139"/>
    </row>
    <row r="233" spans="1:29" ht="15" thickBot="1" x14ac:dyDescent="0.35">
      <c r="A233" s="122"/>
      <c r="B233" s="185"/>
      <c r="C233" s="102"/>
      <c r="D233" s="101"/>
      <c r="E233" s="101"/>
      <c r="F233" s="118"/>
      <c r="G233" s="120">
        <f t="shared" si="499"/>
        <v>0</v>
      </c>
      <c r="H233" s="114"/>
      <c r="I233" s="101"/>
      <c r="J233" s="101"/>
      <c r="K233" s="125"/>
      <c r="L233" s="103">
        <f t="shared" si="526"/>
        <v>0</v>
      </c>
      <c r="M233" s="128">
        <f t="shared" si="527"/>
        <v>0</v>
      </c>
      <c r="N233" s="120">
        <f t="shared" si="528"/>
        <v>0</v>
      </c>
      <c r="O233" s="131"/>
      <c r="P233" s="135"/>
      <c r="Q233" s="131"/>
      <c r="R233" s="101"/>
      <c r="S233" s="104">
        <f t="shared" si="581"/>
        <v>0</v>
      </c>
      <c r="T233" s="238"/>
      <c r="U233" s="238"/>
      <c r="V233" s="238"/>
      <c r="W233" s="238"/>
      <c r="X233" s="101"/>
      <c r="Y233" s="101"/>
      <c r="Z233" s="101"/>
      <c r="AA233" s="102"/>
      <c r="AB233" s="131"/>
      <c r="AC233" s="140"/>
    </row>
    <row r="234" spans="1:29" x14ac:dyDescent="0.3">
      <c r="A234" s="115">
        <f t="shared" ref="A234" si="582">$A229+1</f>
        <v>47</v>
      </c>
      <c r="B234" s="186"/>
      <c r="C234" s="105">
        <f>INDEX(Tribs!$C$3:$C$102,MATCH($A234,Tribs!$A$3:$A$102,0))</f>
        <v>0</v>
      </c>
      <c r="D234" s="106">
        <f>INDEX(Tribs!$E$3:$E$102,MATCH($A234,Tribs!$A$3:$A$102,0))</f>
        <v>0</v>
      </c>
      <c r="E234" s="105">
        <f>INDEX(Tribs!$F$3:$F$102,MATCH($A234,Tribs!$A$3:$A$102,0))</f>
        <v>0</v>
      </c>
      <c r="F234" s="116">
        <f t="shared" ref="F234" si="583">($C234*$E234)</f>
        <v>0</v>
      </c>
      <c r="G234" s="110"/>
      <c r="H234" s="111">
        <f t="shared" ref="H234" si="584">($F234)+(SUM($G235:$G238))</f>
        <v>0</v>
      </c>
      <c r="I234" s="106">
        <f>INDEX(Tribs!$D$3:$D$102,MATCH($A234,Tribs!$A$3:$A$102,0))</f>
        <v>0</v>
      </c>
      <c r="J234" s="106">
        <f>INDEX(Tribs!$G$3:$G$102,MATCH($A234,Tribs!$A$3:$A$102,0))</f>
        <v>0</v>
      </c>
      <c r="K234" s="105">
        <f>($J234)/V_gutter*(1/60)</f>
        <v>0</v>
      </c>
      <c r="L234" s="112"/>
      <c r="M234" s="109"/>
      <c r="N234" s="129">
        <f t="shared" ref="N234" si="585">($I234+$K234)</f>
        <v>0</v>
      </c>
      <c r="O234" s="111">
        <f t="shared" ref="O234" si="586">MAX($N234:$N238)</f>
        <v>0</v>
      </c>
      <c r="P234" s="133">
        <f>IF($H234&gt;0,IF($O234&lt;=T_1,I_1,IF($O234&lt;=T_2,(($O234*M_1)+B_1),IF($O234&lt;=T_3,(($O234*M_2)+B_2),IF($O234&lt;=T_4,(($O234*M_3)+B_3),IF($O234&lt;=T_5,(($O234*M_4)+B_4),IF($O234&lt;=T_6,(($O234*M_5)+B_5),IF($O234&lt;=T_7,(($O234*M_6)+B_6),IF($O234&lt;=T_8,(($O234*M_7)+B_7),IF($O234&lt;=T_9,(($O234*M_8)+B_8),IF($O234&lt;=T_10,(($O234*M_9)+B_9))))))))))),0)</f>
        <v>0</v>
      </c>
      <c r="Q234" s="111">
        <f t="shared" ref="Q234" si="587">ROUND(($H234*$P234),2)</f>
        <v>0</v>
      </c>
      <c r="R234" s="107">
        <f>IF($Q234&gt;0,IF($Q234&lt;=UTH!$M$4,UTH!$J$4,IF($Q234&lt;=UTH!$M$5,UTH!$J$5,IF($Q234&lt;=UTH!$M$6,UTH!$J$6,IF($Q234&lt;=UTH!$M$7,UTH!$J$7,IF($Q234&lt;=UTH!$M$8,UTH!$J$8,IF($Q234&lt;=UTH!$M$9,UTH!$J$9,IF($Q234&lt;=UTH!$M$10,UTH!$J$10,IF($Q234&lt;=UTH!$M$11,UTH!$J$11,IF($Q234&lt;=UTH!$M$12,UTH!$J$12,IF($Q234&lt;=UTH!$M$13,UTH!$J$13,IF($Q234&lt;=UTH!$M$14,UTH!$J$14,IF($Q234&lt;=UTH!$M$15,UTH!$J$15,IF($Q234&lt;=UTH!$M$16,UTH!$J$16,IF($Q234&lt;=UTH!$M$17,UTH!$J$17,IF($Q234&lt;=UTH!$M$18,UTH!$J$18,IF($Q234&lt;=UTH!$M$19,UTH!$J$19,IF($Q234&lt;=UTH!$M$20,UTH!$J$20))))))))))))))))),0)</f>
        <v>0</v>
      </c>
      <c r="S234" s="107">
        <f>IF(Inverts!$D234="YES",Inverts!$C234,Inverts!$E234)</f>
        <v>0</v>
      </c>
      <c r="T234" s="108">
        <f>IF($S234,($Q234/(KQ*($S234^(8/3))))^2,0)</f>
        <v>0</v>
      </c>
      <c r="U234" s="108">
        <f>IF($S234,(Vmin/(KV*($S234^(2/3))))^2,0)</f>
        <v>0</v>
      </c>
      <c r="V234" s="108">
        <f>IF($Z234,ROUND(MinDrop_2/$Z234,4),0)</f>
        <v>0</v>
      </c>
      <c r="W234" s="108">
        <f t="shared" ref="W234" si="588">IF($S234=0,0,MAX($T234:$V234))</f>
        <v>0</v>
      </c>
      <c r="X234" s="108">
        <f>IF(Inverts!$H234="yes",Inverts!$G234,Inverts!$I234)</f>
        <v>0</v>
      </c>
      <c r="Y234" s="105">
        <f>ROUND(KV*($S234^(2/3))*($X234^(0.5)),2)</f>
        <v>0</v>
      </c>
      <c r="Z234" s="106">
        <f>INDEX(Tribs!$H$3:$H$102,MATCH($A234,Tribs!$A$3:$A$102,0))</f>
        <v>0</v>
      </c>
      <c r="AA234" s="105">
        <f t="shared" ref="AA234" si="589">IF($Y234,($Z234/$Y234)*(1/60),0)</f>
        <v>0</v>
      </c>
      <c r="AB234" s="111">
        <f>ROUND(KQ*($S234^(8/3))*($X234^(0.5)),2)</f>
        <v>0</v>
      </c>
      <c r="AC234" s="138" t="str">
        <f>IF(AND($AB234&gt;=($Q234-0.0049),$Y234&gt;=(Vmin-0.0049)),"OK","NG")</f>
        <v>NG</v>
      </c>
    </row>
    <row r="235" spans="1:29" x14ac:dyDescent="0.3">
      <c r="A235" s="121"/>
      <c r="B235" s="184"/>
      <c r="C235" s="54"/>
      <c r="D235" s="52"/>
      <c r="E235" s="52"/>
      <c r="F235" s="117"/>
      <c r="G235" s="119">
        <f t="shared" ref="G235" si="590">IF($B235,INDEX($H$4:$H$499,(MATCH($B235,$A$4:$A$499))),0)</f>
        <v>0</v>
      </c>
      <c r="H235" s="113"/>
      <c r="I235" s="52"/>
      <c r="J235" s="52"/>
      <c r="K235" s="123"/>
      <c r="L235" s="53">
        <f t="shared" ref="L235" si="591">IF($B235,INDEX($O$4:$O$499,MATCH($B235,$A$4:$A$499)),0)</f>
        <v>0</v>
      </c>
      <c r="M235" s="126">
        <f t="shared" ref="M235" si="592">IF($B235,INDEX($AA$4:$AA$499,MATCH($B235,$A$4:$A$499)),0)</f>
        <v>0</v>
      </c>
      <c r="N235" s="119">
        <f t="shared" ref="N235" si="593">($L235+$M235)</f>
        <v>0</v>
      </c>
      <c r="O235" s="130"/>
      <c r="P235" s="134"/>
      <c r="Q235" s="130"/>
      <c r="R235" s="52"/>
      <c r="S235" s="224">
        <f t="shared" ref="S235:S238" si="594">S234</f>
        <v>0</v>
      </c>
      <c r="T235" s="237"/>
      <c r="U235" s="237"/>
      <c r="V235" s="237"/>
      <c r="W235" s="237"/>
      <c r="X235" s="52"/>
      <c r="Y235" s="52"/>
      <c r="Z235" s="52"/>
      <c r="AA235" s="54"/>
      <c r="AB235" s="130"/>
      <c r="AC235" s="139"/>
    </row>
    <row r="236" spans="1:29" x14ac:dyDescent="0.3">
      <c r="A236" s="121"/>
      <c r="B236" s="184"/>
      <c r="C236" s="54"/>
      <c r="D236" s="52"/>
      <c r="E236" s="52"/>
      <c r="F236" s="117"/>
      <c r="G236" s="119">
        <f t="shared" si="499"/>
        <v>0</v>
      </c>
      <c r="H236" s="113"/>
      <c r="I236" s="52"/>
      <c r="J236" s="52"/>
      <c r="K236" s="124"/>
      <c r="L236" s="53">
        <f t="shared" si="526"/>
        <v>0</v>
      </c>
      <c r="M236" s="127">
        <f t="shared" si="527"/>
        <v>0</v>
      </c>
      <c r="N236" s="119">
        <f t="shared" si="528"/>
        <v>0</v>
      </c>
      <c r="O236" s="130"/>
      <c r="P236" s="134"/>
      <c r="Q236" s="130"/>
      <c r="R236" s="52"/>
      <c r="S236" s="224">
        <f t="shared" si="594"/>
        <v>0</v>
      </c>
      <c r="T236" s="237"/>
      <c r="U236" s="237"/>
      <c r="V236" s="237"/>
      <c r="W236" s="237"/>
      <c r="X236" s="52"/>
      <c r="Y236" s="52"/>
      <c r="Z236" s="52"/>
      <c r="AA236" s="54"/>
      <c r="AB236" s="130"/>
      <c r="AC236" s="139"/>
    </row>
    <row r="237" spans="1:29" x14ac:dyDescent="0.3">
      <c r="A237" s="121"/>
      <c r="B237" s="184"/>
      <c r="C237" s="54"/>
      <c r="D237" s="52"/>
      <c r="E237" s="52"/>
      <c r="F237" s="117"/>
      <c r="G237" s="119">
        <f t="shared" si="499"/>
        <v>0</v>
      </c>
      <c r="H237" s="113"/>
      <c r="I237" s="52"/>
      <c r="J237" s="52"/>
      <c r="K237" s="124"/>
      <c r="L237" s="53">
        <f t="shared" si="526"/>
        <v>0</v>
      </c>
      <c r="M237" s="127">
        <f t="shared" si="527"/>
        <v>0</v>
      </c>
      <c r="N237" s="119">
        <f t="shared" si="528"/>
        <v>0</v>
      </c>
      <c r="O237" s="130"/>
      <c r="P237" s="134"/>
      <c r="Q237" s="130"/>
      <c r="R237" s="52"/>
      <c r="S237" s="224">
        <f t="shared" si="594"/>
        <v>0</v>
      </c>
      <c r="T237" s="237"/>
      <c r="U237" s="237"/>
      <c r="V237" s="237"/>
      <c r="W237" s="237"/>
      <c r="X237" s="52"/>
      <c r="Y237" s="52"/>
      <c r="Z237" s="52"/>
      <c r="AA237" s="54"/>
      <c r="AB237" s="130"/>
      <c r="AC237" s="139"/>
    </row>
    <row r="238" spans="1:29" ht="15" thickBot="1" x14ac:dyDescent="0.35">
      <c r="A238" s="122"/>
      <c r="B238" s="185"/>
      <c r="C238" s="102"/>
      <c r="D238" s="101"/>
      <c r="E238" s="101"/>
      <c r="F238" s="118"/>
      <c r="G238" s="120">
        <f t="shared" si="499"/>
        <v>0</v>
      </c>
      <c r="H238" s="114"/>
      <c r="I238" s="101"/>
      <c r="J238" s="101"/>
      <c r="K238" s="125"/>
      <c r="L238" s="103">
        <f t="shared" si="526"/>
        <v>0</v>
      </c>
      <c r="M238" s="128">
        <f t="shared" si="527"/>
        <v>0</v>
      </c>
      <c r="N238" s="120">
        <f t="shared" si="528"/>
        <v>0</v>
      </c>
      <c r="O238" s="131"/>
      <c r="P238" s="135"/>
      <c r="Q238" s="131"/>
      <c r="R238" s="101"/>
      <c r="S238" s="104">
        <f t="shared" si="594"/>
        <v>0</v>
      </c>
      <c r="T238" s="238"/>
      <c r="U238" s="238"/>
      <c r="V238" s="238"/>
      <c r="W238" s="238"/>
      <c r="X238" s="101"/>
      <c r="Y238" s="101"/>
      <c r="Z238" s="101"/>
      <c r="AA238" s="102"/>
      <c r="AB238" s="131"/>
      <c r="AC238" s="140"/>
    </row>
    <row r="239" spans="1:29" x14ac:dyDescent="0.3">
      <c r="A239" s="115">
        <f t="shared" ref="A239" si="595">$A234+1</f>
        <v>48</v>
      </c>
      <c r="B239" s="186"/>
      <c r="C239" s="105">
        <f>INDEX(Tribs!$C$3:$C$102,MATCH($A239,Tribs!$A$3:$A$102,0))</f>
        <v>0</v>
      </c>
      <c r="D239" s="106">
        <f>INDEX(Tribs!$E$3:$E$102,MATCH($A239,Tribs!$A$3:$A$102,0))</f>
        <v>0</v>
      </c>
      <c r="E239" s="105">
        <f>INDEX(Tribs!$F$3:$F$102,MATCH($A239,Tribs!$A$3:$A$102,0))</f>
        <v>0</v>
      </c>
      <c r="F239" s="116">
        <f t="shared" ref="F239" si="596">($C239*$E239)</f>
        <v>0</v>
      </c>
      <c r="G239" s="110"/>
      <c r="H239" s="111">
        <f t="shared" ref="H239" si="597">($F239)+(SUM($G240:$G243))</f>
        <v>0</v>
      </c>
      <c r="I239" s="106">
        <f>INDEX(Tribs!$D$3:$D$102,MATCH($A239,Tribs!$A$3:$A$102,0))</f>
        <v>0</v>
      </c>
      <c r="J239" s="106">
        <f>INDEX(Tribs!$G$3:$G$102,MATCH($A239,Tribs!$A$3:$A$102,0))</f>
        <v>0</v>
      </c>
      <c r="K239" s="105">
        <f>($J239)/V_gutter*(1/60)</f>
        <v>0</v>
      </c>
      <c r="L239" s="112"/>
      <c r="M239" s="109"/>
      <c r="N239" s="129">
        <f t="shared" ref="N239" si="598">($I239+$K239)</f>
        <v>0</v>
      </c>
      <c r="O239" s="111">
        <f t="shared" ref="O239" si="599">MAX($N239:$N243)</f>
        <v>0</v>
      </c>
      <c r="P239" s="133">
        <f>IF($H239&gt;0,IF($O239&lt;=T_1,I_1,IF($O239&lt;=T_2,(($O239*M_1)+B_1),IF($O239&lt;=T_3,(($O239*M_2)+B_2),IF($O239&lt;=T_4,(($O239*M_3)+B_3),IF($O239&lt;=T_5,(($O239*M_4)+B_4),IF($O239&lt;=T_6,(($O239*M_5)+B_5),IF($O239&lt;=T_7,(($O239*M_6)+B_6),IF($O239&lt;=T_8,(($O239*M_7)+B_7),IF($O239&lt;=T_9,(($O239*M_8)+B_8),IF($O239&lt;=T_10,(($O239*M_9)+B_9))))))))))),0)</f>
        <v>0</v>
      </c>
      <c r="Q239" s="111">
        <f t="shared" ref="Q239" si="600">ROUND(($H239*$P239),2)</f>
        <v>0</v>
      </c>
      <c r="R239" s="107">
        <f>IF($Q239&gt;0,IF($Q239&lt;=UTH!$M$4,UTH!$J$4,IF($Q239&lt;=UTH!$M$5,UTH!$J$5,IF($Q239&lt;=UTH!$M$6,UTH!$J$6,IF($Q239&lt;=UTH!$M$7,UTH!$J$7,IF($Q239&lt;=UTH!$M$8,UTH!$J$8,IF($Q239&lt;=UTH!$M$9,UTH!$J$9,IF($Q239&lt;=UTH!$M$10,UTH!$J$10,IF($Q239&lt;=UTH!$M$11,UTH!$J$11,IF($Q239&lt;=UTH!$M$12,UTH!$J$12,IF($Q239&lt;=UTH!$M$13,UTH!$J$13,IF($Q239&lt;=UTH!$M$14,UTH!$J$14,IF($Q239&lt;=UTH!$M$15,UTH!$J$15,IF($Q239&lt;=UTH!$M$16,UTH!$J$16,IF($Q239&lt;=UTH!$M$17,UTH!$J$17,IF($Q239&lt;=UTH!$M$18,UTH!$J$18,IF($Q239&lt;=UTH!$M$19,UTH!$J$19,IF($Q239&lt;=UTH!$M$20,UTH!$J$20))))))))))))))))),0)</f>
        <v>0</v>
      </c>
      <c r="S239" s="107">
        <f>IF(Inverts!$D239="YES",Inverts!$C239,Inverts!$E239)</f>
        <v>0</v>
      </c>
      <c r="T239" s="108">
        <f>IF($S239,($Q239/(KQ*($S239^(8/3))))^2,0)</f>
        <v>0</v>
      </c>
      <c r="U239" s="108">
        <f>IF($S239,(Vmin/(KV*($S239^(2/3))))^2,0)</f>
        <v>0</v>
      </c>
      <c r="V239" s="108">
        <f>IF($Z239,ROUND(MinDrop_2/$Z239,4),0)</f>
        <v>0</v>
      </c>
      <c r="W239" s="108">
        <f t="shared" ref="W239" si="601">IF($S239=0,0,MAX($T239:$V239))</f>
        <v>0</v>
      </c>
      <c r="X239" s="108">
        <f>IF(Inverts!$H239="yes",Inverts!$G239,Inverts!$I239)</f>
        <v>0</v>
      </c>
      <c r="Y239" s="105">
        <f>ROUND(KV*($S239^(2/3))*($X239^(0.5)),2)</f>
        <v>0</v>
      </c>
      <c r="Z239" s="106">
        <f>INDEX(Tribs!$H$3:$H$102,MATCH($A239,Tribs!$A$3:$A$102,0))</f>
        <v>0</v>
      </c>
      <c r="AA239" s="105">
        <f t="shared" ref="AA239" si="602">IF($Y239,($Z239/$Y239)*(1/60),0)</f>
        <v>0</v>
      </c>
      <c r="AB239" s="111">
        <f>ROUND(KQ*($S239^(8/3))*($X239^(0.5)),2)</f>
        <v>0</v>
      </c>
      <c r="AC239" s="138" t="str">
        <f>IF(AND($AB239&gt;=($Q239-0.0049),$Y239&gt;=(Vmin-0.0049)),"OK","NG")</f>
        <v>NG</v>
      </c>
    </row>
    <row r="240" spans="1:29" x14ac:dyDescent="0.3">
      <c r="A240" s="121"/>
      <c r="B240" s="184"/>
      <c r="C240" s="54"/>
      <c r="D240" s="52"/>
      <c r="E240" s="52"/>
      <c r="F240" s="117"/>
      <c r="G240" s="119">
        <f t="shared" ref="G240" si="603">IF($B240,INDEX($H$4:$H$499,(MATCH($B240,$A$4:$A$499))),0)</f>
        <v>0</v>
      </c>
      <c r="H240" s="113"/>
      <c r="I240" s="52"/>
      <c r="J240" s="52"/>
      <c r="K240" s="123"/>
      <c r="L240" s="53">
        <f t="shared" ref="L240" si="604">IF($B240,INDEX($O$4:$O$499,MATCH($B240,$A$4:$A$499)),0)</f>
        <v>0</v>
      </c>
      <c r="M240" s="126">
        <f t="shared" ref="M240" si="605">IF($B240,INDEX($AA$4:$AA$499,MATCH($B240,$A$4:$A$499)),0)</f>
        <v>0</v>
      </c>
      <c r="N240" s="119">
        <f t="shared" ref="N240" si="606">($L240+$M240)</f>
        <v>0</v>
      </c>
      <c r="O240" s="130"/>
      <c r="P240" s="134"/>
      <c r="Q240" s="130"/>
      <c r="R240" s="52"/>
      <c r="S240" s="224">
        <f t="shared" ref="S240:S243" si="607">S239</f>
        <v>0</v>
      </c>
      <c r="T240" s="237"/>
      <c r="U240" s="237"/>
      <c r="V240" s="237"/>
      <c r="W240" s="237"/>
      <c r="X240" s="52"/>
      <c r="Y240" s="52"/>
      <c r="Z240" s="52"/>
      <c r="AA240" s="54"/>
      <c r="AB240" s="130"/>
      <c r="AC240" s="139"/>
    </row>
    <row r="241" spans="1:29" x14ac:dyDescent="0.3">
      <c r="A241" s="121"/>
      <c r="B241" s="184"/>
      <c r="C241" s="54"/>
      <c r="D241" s="52"/>
      <c r="E241" s="52"/>
      <c r="F241" s="117"/>
      <c r="G241" s="119">
        <f t="shared" si="499"/>
        <v>0</v>
      </c>
      <c r="H241" s="113"/>
      <c r="I241" s="52"/>
      <c r="J241" s="52"/>
      <c r="K241" s="124"/>
      <c r="L241" s="53">
        <f t="shared" si="526"/>
        <v>0</v>
      </c>
      <c r="M241" s="127">
        <f t="shared" si="527"/>
        <v>0</v>
      </c>
      <c r="N241" s="119">
        <f t="shared" si="528"/>
        <v>0</v>
      </c>
      <c r="O241" s="130"/>
      <c r="P241" s="134"/>
      <c r="Q241" s="130"/>
      <c r="R241" s="52"/>
      <c r="S241" s="224">
        <f t="shared" si="607"/>
        <v>0</v>
      </c>
      <c r="T241" s="237"/>
      <c r="U241" s="237"/>
      <c r="V241" s="237"/>
      <c r="W241" s="237"/>
      <c r="X241" s="52"/>
      <c r="Y241" s="52"/>
      <c r="Z241" s="52"/>
      <c r="AA241" s="54"/>
      <c r="AB241" s="130"/>
      <c r="AC241" s="139"/>
    </row>
    <row r="242" spans="1:29" x14ac:dyDescent="0.3">
      <c r="A242" s="121"/>
      <c r="B242" s="184"/>
      <c r="C242" s="54"/>
      <c r="D242" s="52"/>
      <c r="E242" s="52"/>
      <c r="F242" s="117"/>
      <c r="G242" s="119">
        <f t="shared" si="499"/>
        <v>0</v>
      </c>
      <c r="H242" s="113"/>
      <c r="I242" s="52"/>
      <c r="J242" s="52"/>
      <c r="K242" s="124"/>
      <c r="L242" s="53">
        <f t="shared" si="526"/>
        <v>0</v>
      </c>
      <c r="M242" s="127">
        <f t="shared" si="527"/>
        <v>0</v>
      </c>
      <c r="N242" s="119">
        <f t="shared" si="528"/>
        <v>0</v>
      </c>
      <c r="O242" s="130"/>
      <c r="P242" s="134"/>
      <c r="Q242" s="130"/>
      <c r="R242" s="52"/>
      <c r="S242" s="224">
        <f t="shared" si="607"/>
        <v>0</v>
      </c>
      <c r="T242" s="237"/>
      <c r="U242" s="237"/>
      <c r="V242" s="237"/>
      <c r="W242" s="237"/>
      <c r="X242" s="52"/>
      <c r="Y242" s="52"/>
      <c r="Z242" s="52"/>
      <c r="AA242" s="54"/>
      <c r="AB242" s="130"/>
      <c r="AC242" s="139"/>
    </row>
    <row r="243" spans="1:29" ht="15" thickBot="1" x14ac:dyDescent="0.35">
      <c r="A243" s="122"/>
      <c r="B243" s="185"/>
      <c r="C243" s="102"/>
      <c r="D243" s="101"/>
      <c r="E243" s="101"/>
      <c r="F243" s="118"/>
      <c r="G243" s="120">
        <f t="shared" si="499"/>
        <v>0</v>
      </c>
      <c r="H243" s="114"/>
      <c r="I243" s="101"/>
      <c r="J243" s="101"/>
      <c r="K243" s="125"/>
      <c r="L243" s="103">
        <f t="shared" si="526"/>
        <v>0</v>
      </c>
      <c r="M243" s="128">
        <f t="shared" si="527"/>
        <v>0</v>
      </c>
      <c r="N243" s="120">
        <f t="shared" si="528"/>
        <v>0</v>
      </c>
      <c r="O243" s="131"/>
      <c r="P243" s="135"/>
      <c r="Q243" s="131"/>
      <c r="R243" s="101"/>
      <c r="S243" s="104">
        <f t="shared" si="607"/>
        <v>0</v>
      </c>
      <c r="T243" s="238"/>
      <c r="U243" s="238"/>
      <c r="V243" s="238"/>
      <c r="W243" s="238"/>
      <c r="X243" s="101"/>
      <c r="Y243" s="101"/>
      <c r="Z243" s="101"/>
      <c r="AA243" s="102"/>
      <c r="AB243" s="131"/>
      <c r="AC243" s="140"/>
    </row>
    <row r="244" spans="1:29" x14ac:dyDescent="0.3">
      <c r="A244" s="115">
        <f t="shared" ref="A244" si="608">$A239+1</f>
        <v>49</v>
      </c>
      <c r="B244" s="186"/>
      <c r="C244" s="105">
        <f>INDEX(Tribs!$C$3:$C$102,MATCH($A244,Tribs!$A$3:$A$102,0))</f>
        <v>0</v>
      </c>
      <c r="D244" s="106">
        <f>INDEX(Tribs!$E$3:$E$102,MATCH($A244,Tribs!$A$3:$A$102,0))</f>
        <v>0</v>
      </c>
      <c r="E244" s="105">
        <f>INDEX(Tribs!$F$3:$F$102,MATCH($A244,Tribs!$A$3:$A$102,0))</f>
        <v>0</v>
      </c>
      <c r="F244" s="116">
        <f t="shared" ref="F244" si="609">($C244*$E244)</f>
        <v>0</v>
      </c>
      <c r="G244" s="110"/>
      <c r="H244" s="111">
        <f t="shared" ref="H244" si="610">($F244)+(SUM($G245:$G248))</f>
        <v>0</v>
      </c>
      <c r="I244" s="106">
        <f>INDEX(Tribs!$D$3:$D$102,MATCH($A244,Tribs!$A$3:$A$102,0))</f>
        <v>0</v>
      </c>
      <c r="J244" s="106">
        <f>INDEX(Tribs!$G$3:$G$102,MATCH($A244,Tribs!$A$3:$A$102,0))</f>
        <v>0</v>
      </c>
      <c r="K244" s="105">
        <f>($J244)/V_gutter*(1/60)</f>
        <v>0</v>
      </c>
      <c r="L244" s="112"/>
      <c r="M244" s="109"/>
      <c r="N244" s="129">
        <f t="shared" ref="N244" si="611">($I244+$K244)</f>
        <v>0</v>
      </c>
      <c r="O244" s="111">
        <f t="shared" ref="O244" si="612">MAX($N244:$N248)</f>
        <v>0</v>
      </c>
      <c r="P244" s="133">
        <f>IF($H244&gt;0,IF($O244&lt;=T_1,I_1,IF($O244&lt;=T_2,(($O244*M_1)+B_1),IF($O244&lt;=T_3,(($O244*M_2)+B_2),IF($O244&lt;=T_4,(($O244*M_3)+B_3),IF($O244&lt;=T_5,(($O244*M_4)+B_4),IF($O244&lt;=T_6,(($O244*M_5)+B_5),IF($O244&lt;=T_7,(($O244*M_6)+B_6),IF($O244&lt;=T_8,(($O244*M_7)+B_7),IF($O244&lt;=T_9,(($O244*M_8)+B_8),IF($O244&lt;=T_10,(($O244*M_9)+B_9))))))))))),0)</f>
        <v>0</v>
      </c>
      <c r="Q244" s="111">
        <f t="shared" ref="Q244" si="613">ROUND(($H244*$P244),2)</f>
        <v>0</v>
      </c>
      <c r="R244" s="107">
        <f>IF($Q244&gt;0,IF($Q244&lt;=UTH!$M$4,UTH!$J$4,IF($Q244&lt;=UTH!$M$5,UTH!$J$5,IF($Q244&lt;=UTH!$M$6,UTH!$J$6,IF($Q244&lt;=UTH!$M$7,UTH!$J$7,IF($Q244&lt;=UTH!$M$8,UTH!$J$8,IF($Q244&lt;=UTH!$M$9,UTH!$J$9,IF($Q244&lt;=UTH!$M$10,UTH!$J$10,IF($Q244&lt;=UTH!$M$11,UTH!$J$11,IF($Q244&lt;=UTH!$M$12,UTH!$J$12,IF($Q244&lt;=UTH!$M$13,UTH!$J$13,IF($Q244&lt;=UTH!$M$14,UTH!$J$14,IF($Q244&lt;=UTH!$M$15,UTH!$J$15,IF($Q244&lt;=UTH!$M$16,UTH!$J$16,IF($Q244&lt;=UTH!$M$17,UTH!$J$17,IF($Q244&lt;=UTH!$M$18,UTH!$J$18,IF($Q244&lt;=UTH!$M$19,UTH!$J$19,IF($Q244&lt;=UTH!$M$20,UTH!$J$20))))))))))))))))),0)</f>
        <v>0</v>
      </c>
      <c r="S244" s="107">
        <f>IF(Inverts!$D244="YES",Inverts!$C244,Inverts!$E244)</f>
        <v>0</v>
      </c>
      <c r="T244" s="108">
        <f>IF($S244,($Q244/(KQ*($S244^(8/3))))^2,0)</f>
        <v>0</v>
      </c>
      <c r="U244" s="108">
        <f>IF($S244,(Vmin/(KV*($S244^(2/3))))^2,0)</f>
        <v>0</v>
      </c>
      <c r="V244" s="108">
        <f>IF($Z244,ROUND(MinDrop_2/$Z244,4),0)</f>
        <v>0</v>
      </c>
      <c r="W244" s="108">
        <f t="shared" ref="W244" si="614">IF($S244=0,0,MAX($T244:$V244))</f>
        <v>0</v>
      </c>
      <c r="X244" s="108">
        <f>IF(Inverts!$H244="yes",Inverts!$G244,Inverts!$I244)</f>
        <v>0</v>
      </c>
      <c r="Y244" s="105">
        <f>ROUND(KV*($S244^(2/3))*($X244^(0.5)),2)</f>
        <v>0</v>
      </c>
      <c r="Z244" s="106">
        <f>INDEX(Tribs!$H$3:$H$102,MATCH($A244,Tribs!$A$3:$A$102,0))</f>
        <v>0</v>
      </c>
      <c r="AA244" s="105">
        <f t="shared" ref="AA244" si="615">IF($Y244,($Z244/$Y244)*(1/60),0)</f>
        <v>0</v>
      </c>
      <c r="AB244" s="111">
        <f>ROUND(KQ*($S244^(8/3))*($X244^(0.5)),2)</f>
        <v>0</v>
      </c>
      <c r="AC244" s="138" t="str">
        <f>IF(AND($AB244&gt;=($Q244-0.0049),$Y244&gt;=(Vmin-0.0049)),"OK","NG")</f>
        <v>NG</v>
      </c>
    </row>
    <row r="245" spans="1:29" x14ac:dyDescent="0.3">
      <c r="A245" s="121"/>
      <c r="B245" s="184"/>
      <c r="C245" s="54"/>
      <c r="D245" s="52"/>
      <c r="E245" s="52"/>
      <c r="F245" s="117"/>
      <c r="G245" s="119">
        <f t="shared" ref="G245" si="616">IF($B245,INDEX($H$4:$H$499,(MATCH($B245,$A$4:$A$499))),0)</f>
        <v>0</v>
      </c>
      <c r="H245" s="113"/>
      <c r="I245" s="52"/>
      <c r="J245" s="52"/>
      <c r="K245" s="123"/>
      <c r="L245" s="53">
        <f t="shared" ref="L245" si="617">IF($B245,INDEX($O$4:$O$499,MATCH($B245,$A$4:$A$499)),0)</f>
        <v>0</v>
      </c>
      <c r="M245" s="126">
        <f t="shared" ref="M245" si="618">IF($B245,INDEX($AA$4:$AA$499,MATCH($B245,$A$4:$A$499)),0)</f>
        <v>0</v>
      </c>
      <c r="N245" s="119">
        <f t="shared" ref="N245" si="619">($L245+$M245)</f>
        <v>0</v>
      </c>
      <c r="O245" s="130"/>
      <c r="P245" s="134"/>
      <c r="Q245" s="130"/>
      <c r="R245" s="52"/>
      <c r="S245" s="224">
        <f t="shared" ref="S245:S248" si="620">S244</f>
        <v>0</v>
      </c>
      <c r="T245" s="237"/>
      <c r="U245" s="237"/>
      <c r="V245" s="237"/>
      <c r="W245" s="237"/>
      <c r="X245" s="52"/>
      <c r="Y245" s="52"/>
      <c r="Z245" s="52"/>
      <c r="AA245" s="54"/>
      <c r="AB245" s="130"/>
      <c r="AC245" s="139"/>
    </row>
    <row r="246" spans="1:29" x14ac:dyDescent="0.3">
      <c r="A246" s="121"/>
      <c r="B246" s="184"/>
      <c r="C246" s="54"/>
      <c r="D246" s="52"/>
      <c r="E246" s="52"/>
      <c r="F246" s="117"/>
      <c r="G246" s="119">
        <f t="shared" si="499"/>
        <v>0</v>
      </c>
      <c r="H246" s="113"/>
      <c r="I246" s="52"/>
      <c r="J246" s="52"/>
      <c r="K246" s="124"/>
      <c r="L246" s="53">
        <f t="shared" si="526"/>
        <v>0</v>
      </c>
      <c r="M246" s="127">
        <f t="shared" si="527"/>
        <v>0</v>
      </c>
      <c r="N246" s="119">
        <f t="shared" si="528"/>
        <v>0</v>
      </c>
      <c r="O246" s="130"/>
      <c r="P246" s="134"/>
      <c r="Q246" s="130"/>
      <c r="R246" s="52"/>
      <c r="S246" s="224">
        <f t="shared" si="620"/>
        <v>0</v>
      </c>
      <c r="T246" s="237"/>
      <c r="U246" s="237"/>
      <c r="V246" s="237"/>
      <c r="W246" s="237"/>
      <c r="X246" s="52"/>
      <c r="Y246" s="52"/>
      <c r="Z246" s="52"/>
      <c r="AA246" s="54"/>
      <c r="AB246" s="130"/>
      <c r="AC246" s="139"/>
    </row>
    <row r="247" spans="1:29" x14ac:dyDescent="0.3">
      <c r="A247" s="121"/>
      <c r="B247" s="184"/>
      <c r="C247" s="54"/>
      <c r="D247" s="52"/>
      <c r="E247" s="52"/>
      <c r="F247" s="117"/>
      <c r="G247" s="119">
        <f t="shared" si="499"/>
        <v>0</v>
      </c>
      <c r="H247" s="113"/>
      <c r="I247" s="52"/>
      <c r="J247" s="52"/>
      <c r="K247" s="124"/>
      <c r="L247" s="53">
        <f t="shared" si="526"/>
        <v>0</v>
      </c>
      <c r="M247" s="127">
        <f t="shared" si="527"/>
        <v>0</v>
      </c>
      <c r="N247" s="119">
        <f t="shared" si="528"/>
        <v>0</v>
      </c>
      <c r="O247" s="130"/>
      <c r="P247" s="134"/>
      <c r="Q247" s="130"/>
      <c r="R247" s="52"/>
      <c r="S247" s="224">
        <f t="shared" si="620"/>
        <v>0</v>
      </c>
      <c r="T247" s="237"/>
      <c r="U247" s="237"/>
      <c r="V247" s="237"/>
      <c r="W247" s="237"/>
      <c r="X247" s="52"/>
      <c r="Y247" s="52"/>
      <c r="Z247" s="52"/>
      <c r="AA247" s="54"/>
      <c r="AB247" s="130"/>
      <c r="AC247" s="139"/>
    </row>
    <row r="248" spans="1:29" ht="15" thickBot="1" x14ac:dyDescent="0.35">
      <c r="A248" s="122"/>
      <c r="B248" s="185"/>
      <c r="C248" s="102"/>
      <c r="D248" s="101"/>
      <c r="E248" s="101"/>
      <c r="F248" s="118"/>
      <c r="G248" s="120">
        <f t="shared" si="499"/>
        <v>0</v>
      </c>
      <c r="H248" s="114"/>
      <c r="I248" s="101"/>
      <c r="J248" s="101"/>
      <c r="K248" s="125"/>
      <c r="L248" s="103">
        <f t="shared" si="526"/>
        <v>0</v>
      </c>
      <c r="M248" s="128">
        <f t="shared" si="527"/>
        <v>0</v>
      </c>
      <c r="N248" s="120">
        <f t="shared" si="528"/>
        <v>0</v>
      </c>
      <c r="O248" s="131"/>
      <c r="P248" s="135"/>
      <c r="Q248" s="131"/>
      <c r="R248" s="101"/>
      <c r="S248" s="104">
        <f t="shared" si="620"/>
        <v>0</v>
      </c>
      <c r="T248" s="238"/>
      <c r="U248" s="238"/>
      <c r="V248" s="238"/>
      <c r="W248" s="238"/>
      <c r="X248" s="101"/>
      <c r="Y248" s="101"/>
      <c r="Z248" s="101"/>
      <c r="AA248" s="102"/>
      <c r="AB248" s="131"/>
      <c r="AC248" s="140"/>
    </row>
    <row r="249" spans="1:29" x14ac:dyDescent="0.3">
      <c r="A249" s="115">
        <f t="shared" ref="A249" si="621">$A244+1</f>
        <v>50</v>
      </c>
      <c r="B249" s="186"/>
      <c r="C249" s="105">
        <f>INDEX(Tribs!$C$3:$C$102,MATCH($A249,Tribs!$A$3:$A$102,0))</f>
        <v>0</v>
      </c>
      <c r="D249" s="106">
        <f>INDEX(Tribs!$E$3:$E$102,MATCH($A249,Tribs!$A$3:$A$102,0))</f>
        <v>0</v>
      </c>
      <c r="E249" s="105">
        <f>INDEX(Tribs!$F$3:$F$102,MATCH($A249,Tribs!$A$3:$A$102,0))</f>
        <v>0</v>
      </c>
      <c r="F249" s="116">
        <f t="shared" ref="F249" si="622">($C249*$E249)</f>
        <v>0</v>
      </c>
      <c r="G249" s="110"/>
      <c r="H249" s="111">
        <f t="shared" ref="H249" si="623">($F249)+(SUM($G250:$G253))</f>
        <v>0</v>
      </c>
      <c r="I249" s="106">
        <f>INDEX(Tribs!$D$3:$D$102,MATCH($A249,Tribs!$A$3:$A$102,0))</f>
        <v>0</v>
      </c>
      <c r="J249" s="106">
        <f>INDEX(Tribs!$G$3:$G$102,MATCH($A249,Tribs!$A$3:$A$102,0))</f>
        <v>0</v>
      </c>
      <c r="K249" s="105">
        <f>($J249)/V_gutter*(1/60)</f>
        <v>0</v>
      </c>
      <c r="L249" s="112"/>
      <c r="M249" s="109"/>
      <c r="N249" s="129">
        <f t="shared" ref="N249" si="624">($I249+$K249)</f>
        <v>0</v>
      </c>
      <c r="O249" s="111">
        <f t="shared" ref="O249" si="625">MAX($N249:$N253)</f>
        <v>0</v>
      </c>
      <c r="P249" s="133">
        <f>IF($H249&gt;0,IF($O249&lt;=T_1,I_1,IF($O249&lt;=T_2,(($O249*M_1)+B_1),IF($O249&lt;=T_3,(($O249*M_2)+B_2),IF($O249&lt;=T_4,(($O249*M_3)+B_3),IF($O249&lt;=T_5,(($O249*M_4)+B_4),IF($O249&lt;=T_6,(($O249*M_5)+B_5),IF($O249&lt;=T_7,(($O249*M_6)+B_6),IF($O249&lt;=T_8,(($O249*M_7)+B_7),IF($O249&lt;=T_9,(($O249*M_8)+B_8),IF($O249&lt;=T_10,(($O249*M_9)+B_9))))))))))),0)</f>
        <v>0</v>
      </c>
      <c r="Q249" s="111">
        <f t="shared" ref="Q249" si="626">ROUND(($H249*$P249),2)</f>
        <v>0</v>
      </c>
      <c r="R249" s="107">
        <f>IF($Q249&gt;0,IF($Q249&lt;=UTH!$M$4,UTH!$J$4,IF($Q249&lt;=UTH!$M$5,UTH!$J$5,IF($Q249&lt;=UTH!$M$6,UTH!$J$6,IF($Q249&lt;=UTH!$M$7,UTH!$J$7,IF($Q249&lt;=UTH!$M$8,UTH!$J$8,IF($Q249&lt;=UTH!$M$9,UTH!$J$9,IF($Q249&lt;=UTH!$M$10,UTH!$J$10,IF($Q249&lt;=UTH!$M$11,UTH!$J$11,IF($Q249&lt;=UTH!$M$12,UTH!$J$12,IF($Q249&lt;=UTH!$M$13,UTH!$J$13,IF($Q249&lt;=UTH!$M$14,UTH!$J$14,IF($Q249&lt;=UTH!$M$15,UTH!$J$15,IF($Q249&lt;=UTH!$M$16,UTH!$J$16,IF($Q249&lt;=UTH!$M$17,UTH!$J$17,IF($Q249&lt;=UTH!$M$18,UTH!$J$18,IF($Q249&lt;=UTH!$M$19,UTH!$J$19,IF($Q249&lt;=UTH!$M$20,UTH!$J$20))))))))))))))))),0)</f>
        <v>0</v>
      </c>
      <c r="S249" s="107">
        <f>IF(Inverts!$D249="YES",Inverts!$C249,Inverts!$E249)</f>
        <v>0</v>
      </c>
      <c r="T249" s="108">
        <f>IF($S249,($Q249/(KQ*($S249^(8/3))))^2,0)</f>
        <v>0</v>
      </c>
      <c r="U249" s="108">
        <f>IF($S249,(Vmin/(KV*($S249^(2/3))))^2,0)</f>
        <v>0</v>
      </c>
      <c r="V249" s="108">
        <f>IF($Z249,ROUND(MinDrop_2/$Z249,4),0)</f>
        <v>0</v>
      </c>
      <c r="W249" s="108">
        <f t="shared" ref="W249" si="627">IF($S249=0,0,MAX($T249:$V249))</f>
        <v>0</v>
      </c>
      <c r="X249" s="108">
        <f>IF(Inverts!$H249="yes",Inverts!$G249,Inverts!$I249)</f>
        <v>0</v>
      </c>
      <c r="Y249" s="105">
        <f>ROUND(KV*($S249^(2/3))*($X249^(0.5)),2)</f>
        <v>0</v>
      </c>
      <c r="Z249" s="106">
        <f>INDEX(Tribs!$H$3:$H$102,MATCH($A249,Tribs!$A$3:$A$102,0))</f>
        <v>0</v>
      </c>
      <c r="AA249" s="105">
        <f t="shared" ref="AA249" si="628">IF($Y249,($Z249/$Y249)*(1/60),0)</f>
        <v>0</v>
      </c>
      <c r="AB249" s="111">
        <f>ROUND(KQ*($S249^(8/3))*($X249^(0.5)),2)</f>
        <v>0</v>
      </c>
      <c r="AC249" s="138" t="str">
        <f>IF(AND($AB249&gt;=($Q249-0.0049),$Y249&gt;=(Vmin-0.0049)),"OK","NG")</f>
        <v>NG</v>
      </c>
    </row>
    <row r="250" spans="1:29" x14ac:dyDescent="0.3">
      <c r="A250" s="121"/>
      <c r="B250" s="184"/>
      <c r="C250" s="54"/>
      <c r="D250" s="52"/>
      <c r="E250" s="52"/>
      <c r="F250" s="117"/>
      <c r="G250" s="119">
        <f t="shared" ref="G250" si="629">IF($B250,INDEX($H$4:$H$499,(MATCH($B250,$A$4:$A$499))),0)</f>
        <v>0</v>
      </c>
      <c r="H250" s="113"/>
      <c r="I250" s="52"/>
      <c r="J250" s="52"/>
      <c r="K250" s="123"/>
      <c r="L250" s="53">
        <f t="shared" ref="L250" si="630">IF($B250,INDEX($O$4:$O$499,MATCH($B250,$A$4:$A$499)),0)</f>
        <v>0</v>
      </c>
      <c r="M250" s="126">
        <f t="shared" ref="M250" si="631">IF($B250,INDEX($AA$4:$AA$499,MATCH($B250,$A$4:$A$499)),0)</f>
        <v>0</v>
      </c>
      <c r="N250" s="119">
        <f t="shared" ref="N250" si="632">($L250+$M250)</f>
        <v>0</v>
      </c>
      <c r="O250" s="130"/>
      <c r="P250" s="134"/>
      <c r="Q250" s="130"/>
      <c r="R250" s="52"/>
      <c r="S250" s="224">
        <f t="shared" ref="S250:S253" si="633">S249</f>
        <v>0</v>
      </c>
      <c r="T250" s="237"/>
      <c r="U250" s="237"/>
      <c r="V250" s="237"/>
      <c r="W250" s="237"/>
      <c r="X250" s="52"/>
      <c r="Y250" s="52"/>
      <c r="Z250" s="52"/>
      <c r="AA250" s="54"/>
      <c r="AB250" s="130"/>
      <c r="AC250" s="139"/>
    </row>
    <row r="251" spans="1:29" x14ac:dyDescent="0.3">
      <c r="A251" s="121"/>
      <c r="B251" s="184"/>
      <c r="C251" s="54"/>
      <c r="D251" s="52"/>
      <c r="E251" s="52"/>
      <c r="F251" s="117"/>
      <c r="G251" s="119">
        <f t="shared" si="499"/>
        <v>0</v>
      </c>
      <c r="H251" s="113"/>
      <c r="I251" s="52"/>
      <c r="J251" s="52"/>
      <c r="K251" s="124"/>
      <c r="L251" s="53">
        <f t="shared" si="526"/>
        <v>0</v>
      </c>
      <c r="M251" s="127">
        <f t="shared" si="527"/>
        <v>0</v>
      </c>
      <c r="N251" s="119">
        <f t="shared" si="528"/>
        <v>0</v>
      </c>
      <c r="O251" s="130"/>
      <c r="P251" s="134"/>
      <c r="Q251" s="130"/>
      <c r="R251" s="52"/>
      <c r="S251" s="224">
        <f t="shared" si="633"/>
        <v>0</v>
      </c>
      <c r="T251" s="237"/>
      <c r="U251" s="237"/>
      <c r="V251" s="237"/>
      <c r="W251" s="237"/>
      <c r="X251" s="52"/>
      <c r="Y251" s="52"/>
      <c r="Z251" s="52"/>
      <c r="AA251" s="54"/>
      <c r="AB251" s="130"/>
      <c r="AC251" s="139"/>
    </row>
    <row r="252" spans="1:29" x14ac:dyDescent="0.3">
      <c r="A252" s="121"/>
      <c r="B252" s="184"/>
      <c r="C252" s="54"/>
      <c r="D252" s="52"/>
      <c r="E252" s="52"/>
      <c r="F252" s="117"/>
      <c r="G252" s="119">
        <f t="shared" si="499"/>
        <v>0</v>
      </c>
      <c r="H252" s="113"/>
      <c r="I252" s="52"/>
      <c r="J252" s="52"/>
      <c r="K252" s="124"/>
      <c r="L252" s="53">
        <f t="shared" si="526"/>
        <v>0</v>
      </c>
      <c r="M252" s="127">
        <f t="shared" si="527"/>
        <v>0</v>
      </c>
      <c r="N252" s="119">
        <f t="shared" si="528"/>
        <v>0</v>
      </c>
      <c r="O252" s="130"/>
      <c r="P252" s="134"/>
      <c r="Q252" s="130"/>
      <c r="R252" s="52"/>
      <c r="S252" s="224">
        <f t="shared" si="633"/>
        <v>0</v>
      </c>
      <c r="T252" s="237"/>
      <c r="U252" s="237"/>
      <c r="V252" s="237"/>
      <c r="W252" s="237"/>
      <c r="X252" s="52"/>
      <c r="Y252" s="52"/>
      <c r="Z252" s="52"/>
      <c r="AA252" s="54"/>
      <c r="AB252" s="130"/>
      <c r="AC252" s="139"/>
    </row>
    <row r="253" spans="1:29" ht="15" thickBot="1" x14ac:dyDescent="0.35">
      <c r="A253" s="122"/>
      <c r="B253" s="185"/>
      <c r="C253" s="102"/>
      <c r="D253" s="101"/>
      <c r="E253" s="101"/>
      <c r="F253" s="118"/>
      <c r="G253" s="120">
        <f t="shared" si="499"/>
        <v>0</v>
      </c>
      <c r="H253" s="114"/>
      <c r="I253" s="101"/>
      <c r="J253" s="101"/>
      <c r="K253" s="125"/>
      <c r="L253" s="103">
        <f t="shared" si="526"/>
        <v>0</v>
      </c>
      <c r="M253" s="128">
        <f t="shared" si="527"/>
        <v>0</v>
      </c>
      <c r="N253" s="120">
        <f t="shared" si="528"/>
        <v>0</v>
      </c>
      <c r="O253" s="131"/>
      <c r="P253" s="135"/>
      <c r="Q253" s="131"/>
      <c r="R253" s="101"/>
      <c r="S253" s="104">
        <f t="shared" si="633"/>
        <v>0</v>
      </c>
      <c r="T253" s="238"/>
      <c r="U253" s="238"/>
      <c r="V253" s="238"/>
      <c r="W253" s="238"/>
      <c r="X253" s="101"/>
      <c r="Y253" s="101"/>
      <c r="Z253" s="101"/>
      <c r="AA253" s="102"/>
      <c r="AB253" s="131"/>
      <c r="AC253" s="140"/>
    </row>
    <row r="254" spans="1:29" x14ac:dyDescent="0.3">
      <c r="A254" s="115">
        <f t="shared" ref="A254" si="634">$A249+1</f>
        <v>51</v>
      </c>
      <c r="B254" s="186"/>
      <c r="C254" s="105">
        <f>INDEX(Tribs!$C$3:$C$102,MATCH($A254,Tribs!$A$3:$A$102,0))</f>
        <v>0</v>
      </c>
      <c r="D254" s="106">
        <f>INDEX(Tribs!$E$3:$E$102,MATCH($A254,Tribs!$A$3:$A$102,0))</f>
        <v>0</v>
      </c>
      <c r="E254" s="105">
        <f>INDEX(Tribs!$F$3:$F$102,MATCH($A254,Tribs!$A$3:$A$102,0))</f>
        <v>0</v>
      </c>
      <c r="F254" s="116">
        <f t="shared" ref="F254" si="635">($C254*$E254)</f>
        <v>0</v>
      </c>
      <c r="G254" s="110"/>
      <c r="H254" s="111">
        <f t="shared" ref="H254" si="636">($F254)+(SUM($G255:$G258))</f>
        <v>0</v>
      </c>
      <c r="I254" s="106">
        <f>INDEX(Tribs!$D$3:$D$102,MATCH($A254,Tribs!$A$3:$A$102,0))</f>
        <v>0</v>
      </c>
      <c r="J254" s="106">
        <f>INDEX(Tribs!$G$3:$G$102,MATCH($A254,Tribs!$A$3:$A$102,0))</f>
        <v>0</v>
      </c>
      <c r="K254" s="105">
        <f>($J254)/V_gutter*(1/60)</f>
        <v>0</v>
      </c>
      <c r="L254" s="112"/>
      <c r="M254" s="109"/>
      <c r="N254" s="129">
        <f t="shared" ref="N254" si="637">($I254+$K254)</f>
        <v>0</v>
      </c>
      <c r="O254" s="111">
        <f t="shared" ref="O254" si="638">MAX($N254:$N258)</f>
        <v>0</v>
      </c>
      <c r="P254" s="133">
        <f>IF($H254&gt;0,IF($O254&lt;=T_1,I_1,IF($O254&lt;=T_2,(($O254*M_1)+B_1),IF($O254&lt;=T_3,(($O254*M_2)+B_2),IF($O254&lt;=T_4,(($O254*M_3)+B_3),IF($O254&lt;=T_5,(($O254*M_4)+B_4),IF($O254&lt;=T_6,(($O254*M_5)+B_5),IF($O254&lt;=T_7,(($O254*M_6)+B_6),IF($O254&lt;=T_8,(($O254*M_7)+B_7),IF($O254&lt;=T_9,(($O254*M_8)+B_8),IF($O254&lt;=T_10,(($O254*M_9)+B_9))))))))))),0)</f>
        <v>0</v>
      </c>
      <c r="Q254" s="111">
        <f t="shared" ref="Q254" si="639">ROUND(($H254*$P254),2)</f>
        <v>0</v>
      </c>
      <c r="R254" s="107">
        <f>IF($Q254&gt;0,IF($Q254&lt;=UTH!$M$4,UTH!$J$4,IF($Q254&lt;=UTH!$M$5,UTH!$J$5,IF($Q254&lt;=UTH!$M$6,UTH!$J$6,IF($Q254&lt;=UTH!$M$7,UTH!$J$7,IF($Q254&lt;=UTH!$M$8,UTH!$J$8,IF($Q254&lt;=UTH!$M$9,UTH!$J$9,IF($Q254&lt;=UTH!$M$10,UTH!$J$10,IF($Q254&lt;=UTH!$M$11,UTH!$J$11,IF($Q254&lt;=UTH!$M$12,UTH!$J$12,IF($Q254&lt;=UTH!$M$13,UTH!$J$13,IF($Q254&lt;=UTH!$M$14,UTH!$J$14,IF($Q254&lt;=UTH!$M$15,UTH!$J$15,IF($Q254&lt;=UTH!$M$16,UTH!$J$16,IF($Q254&lt;=UTH!$M$17,UTH!$J$17,IF($Q254&lt;=UTH!$M$18,UTH!$J$18,IF($Q254&lt;=UTH!$M$19,UTH!$J$19,IF($Q254&lt;=UTH!$M$20,UTH!$J$20))))))))))))))))),0)</f>
        <v>0</v>
      </c>
      <c r="S254" s="107">
        <f>IF(Inverts!$D254="YES",Inverts!$C254,Inverts!$E254)</f>
        <v>0</v>
      </c>
      <c r="T254" s="108">
        <f>IF($S254,($Q254/(KQ*($S254^(8/3))))^2,0)</f>
        <v>0</v>
      </c>
      <c r="U254" s="108">
        <f>IF($S254,(Vmin/(KV*($S254^(2/3))))^2,0)</f>
        <v>0</v>
      </c>
      <c r="V254" s="108">
        <f>IF($Z254,ROUND(MinDrop_2/$Z254,4),0)</f>
        <v>0</v>
      </c>
      <c r="W254" s="108">
        <f t="shared" ref="W254" si="640">IF($S254=0,0,MAX($T254:$V254))</f>
        <v>0</v>
      </c>
      <c r="X254" s="108">
        <f>IF(Inverts!$H254="yes",Inverts!$G254,Inverts!$I254)</f>
        <v>0</v>
      </c>
      <c r="Y254" s="105">
        <f>ROUND(KV*($S254^(2/3))*($X254^(0.5)),2)</f>
        <v>0</v>
      </c>
      <c r="Z254" s="106">
        <f>INDEX(Tribs!$H$3:$H$102,MATCH($A254,Tribs!$A$3:$A$102,0))</f>
        <v>0</v>
      </c>
      <c r="AA254" s="105">
        <f t="shared" ref="AA254" si="641">IF($Y254,($Z254/$Y254)*(1/60),0)</f>
        <v>0</v>
      </c>
      <c r="AB254" s="111">
        <f>ROUND(KQ*($S254^(8/3))*($X254^(0.5)),2)</f>
        <v>0</v>
      </c>
      <c r="AC254" s="138" t="str">
        <f>IF(AND($AB254&gt;=($Q254-0.0049),$Y254&gt;=(Vmin-0.0049)),"OK","NG")</f>
        <v>NG</v>
      </c>
    </row>
    <row r="255" spans="1:29" x14ac:dyDescent="0.3">
      <c r="A255" s="121"/>
      <c r="B255" s="184"/>
      <c r="C255" s="54"/>
      <c r="D255" s="52"/>
      <c r="E255" s="52"/>
      <c r="F255" s="117"/>
      <c r="G255" s="119">
        <f t="shared" ref="G255" si="642">IF($B255,INDEX($H$4:$H$499,(MATCH($B255,$A$4:$A$499))),0)</f>
        <v>0</v>
      </c>
      <c r="H255" s="113"/>
      <c r="I255" s="52"/>
      <c r="J255" s="52"/>
      <c r="K255" s="123"/>
      <c r="L255" s="53">
        <f t="shared" ref="L255" si="643">IF($B255,INDEX($O$4:$O$499,MATCH($B255,$A$4:$A$499)),0)</f>
        <v>0</v>
      </c>
      <c r="M255" s="126">
        <f t="shared" ref="M255" si="644">IF($B255,INDEX($AA$4:$AA$499,MATCH($B255,$A$4:$A$499)),0)</f>
        <v>0</v>
      </c>
      <c r="N255" s="119">
        <f t="shared" ref="N255" si="645">($L255+$M255)</f>
        <v>0</v>
      </c>
      <c r="O255" s="130"/>
      <c r="P255" s="134"/>
      <c r="Q255" s="130"/>
      <c r="R255" s="52"/>
      <c r="S255" s="224">
        <f t="shared" ref="S255:S258" si="646">S254</f>
        <v>0</v>
      </c>
      <c r="T255" s="237"/>
      <c r="U255" s="237"/>
      <c r="V255" s="237"/>
      <c r="W255" s="237"/>
      <c r="X255" s="52"/>
      <c r="Y255" s="52"/>
      <c r="Z255" s="52"/>
      <c r="AA255" s="54"/>
      <c r="AB255" s="130"/>
      <c r="AC255" s="139"/>
    </row>
    <row r="256" spans="1:29" x14ac:dyDescent="0.3">
      <c r="A256" s="121"/>
      <c r="B256" s="184"/>
      <c r="C256" s="54"/>
      <c r="D256" s="52"/>
      <c r="E256" s="52"/>
      <c r="F256" s="117"/>
      <c r="G256" s="119">
        <f t="shared" si="499"/>
        <v>0</v>
      </c>
      <c r="H256" s="113"/>
      <c r="I256" s="52"/>
      <c r="J256" s="52"/>
      <c r="K256" s="124"/>
      <c r="L256" s="53">
        <f t="shared" si="526"/>
        <v>0</v>
      </c>
      <c r="M256" s="127">
        <f t="shared" si="527"/>
        <v>0</v>
      </c>
      <c r="N256" s="119">
        <f t="shared" si="528"/>
        <v>0</v>
      </c>
      <c r="O256" s="130"/>
      <c r="P256" s="134"/>
      <c r="Q256" s="130"/>
      <c r="R256" s="52"/>
      <c r="S256" s="224">
        <f t="shared" si="646"/>
        <v>0</v>
      </c>
      <c r="T256" s="237"/>
      <c r="U256" s="237"/>
      <c r="V256" s="237"/>
      <c r="W256" s="237"/>
      <c r="X256" s="52"/>
      <c r="Y256" s="52"/>
      <c r="Z256" s="52"/>
      <c r="AA256" s="54"/>
      <c r="AB256" s="130"/>
      <c r="AC256" s="139"/>
    </row>
    <row r="257" spans="1:29" x14ac:dyDescent="0.3">
      <c r="A257" s="121"/>
      <c r="B257" s="184"/>
      <c r="C257" s="54"/>
      <c r="D257" s="52"/>
      <c r="E257" s="52"/>
      <c r="F257" s="117"/>
      <c r="G257" s="119">
        <f t="shared" si="499"/>
        <v>0</v>
      </c>
      <c r="H257" s="113"/>
      <c r="I257" s="52"/>
      <c r="J257" s="52"/>
      <c r="K257" s="124"/>
      <c r="L257" s="53">
        <f t="shared" si="526"/>
        <v>0</v>
      </c>
      <c r="M257" s="127">
        <f t="shared" si="527"/>
        <v>0</v>
      </c>
      <c r="N257" s="119">
        <f t="shared" si="528"/>
        <v>0</v>
      </c>
      <c r="O257" s="130"/>
      <c r="P257" s="134"/>
      <c r="Q257" s="130"/>
      <c r="R257" s="52"/>
      <c r="S257" s="224">
        <f t="shared" si="646"/>
        <v>0</v>
      </c>
      <c r="T257" s="237"/>
      <c r="U257" s="237"/>
      <c r="V257" s="237"/>
      <c r="W257" s="237"/>
      <c r="X257" s="52"/>
      <c r="Y257" s="52"/>
      <c r="Z257" s="52"/>
      <c r="AA257" s="54"/>
      <c r="AB257" s="130"/>
      <c r="AC257" s="139"/>
    </row>
    <row r="258" spans="1:29" ht="15" thickBot="1" x14ac:dyDescent="0.35">
      <c r="A258" s="122"/>
      <c r="B258" s="185"/>
      <c r="C258" s="102"/>
      <c r="D258" s="101"/>
      <c r="E258" s="101"/>
      <c r="F258" s="118"/>
      <c r="G258" s="120">
        <f t="shared" si="499"/>
        <v>0</v>
      </c>
      <c r="H258" s="114"/>
      <c r="I258" s="101"/>
      <c r="J258" s="101"/>
      <c r="K258" s="125"/>
      <c r="L258" s="103">
        <f t="shared" si="526"/>
        <v>0</v>
      </c>
      <c r="M258" s="128">
        <f t="shared" si="527"/>
        <v>0</v>
      </c>
      <c r="N258" s="120">
        <f t="shared" si="528"/>
        <v>0</v>
      </c>
      <c r="O258" s="131"/>
      <c r="P258" s="135"/>
      <c r="Q258" s="131"/>
      <c r="R258" s="101"/>
      <c r="S258" s="104">
        <f t="shared" si="646"/>
        <v>0</v>
      </c>
      <c r="T258" s="238"/>
      <c r="U258" s="238"/>
      <c r="V258" s="238"/>
      <c r="W258" s="238"/>
      <c r="X258" s="101"/>
      <c r="Y258" s="101"/>
      <c r="Z258" s="101"/>
      <c r="AA258" s="102"/>
      <c r="AB258" s="131"/>
      <c r="AC258" s="140"/>
    </row>
    <row r="259" spans="1:29" x14ac:dyDescent="0.3">
      <c r="A259" s="115">
        <f t="shared" ref="A259" si="647">$A254+1</f>
        <v>52</v>
      </c>
      <c r="B259" s="186"/>
      <c r="C259" s="105">
        <f>INDEX(Tribs!$C$3:$C$102,MATCH($A259,Tribs!$A$3:$A$102,0))</f>
        <v>0</v>
      </c>
      <c r="D259" s="106">
        <f>INDEX(Tribs!$E$3:$E$102,MATCH($A259,Tribs!$A$3:$A$102,0))</f>
        <v>0</v>
      </c>
      <c r="E259" s="105">
        <f>INDEX(Tribs!$F$3:$F$102,MATCH($A259,Tribs!$A$3:$A$102,0))</f>
        <v>0</v>
      </c>
      <c r="F259" s="116">
        <f t="shared" ref="F259" si="648">($C259*$E259)</f>
        <v>0</v>
      </c>
      <c r="G259" s="110"/>
      <c r="H259" s="111">
        <f t="shared" ref="H259" si="649">($F259)+(SUM($G260:$G263))</f>
        <v>0</v>
      </c>
      <c r="I259" s="106">
        <f>INDEX(Tribs!$D$3:$D$102,MATCH($A259,Tribs!$A$3:$A$102,0))</f>
        <v>0</v>
      </c>
      <c r="J259" s="106">
        <f>INDEX(Tribs!$G$3:$G$102,MATCH($A259,Tribs!$A$3:$A$102,0))</f>
        <v>0</v>
      </c>
      <c r="K259" s="105">
        <f>($J259)/V_gutter*(1/60)</f>
        <v>0</v>
      </c>
      <c r="L259" s="112"/>
      <c r="M259" s="109"/>
      <c r="N259" s="129">
        <f t="shared" ref="N259" si="650">($I259+$K259)</f>
        <v>0</v>
      </c>
      <c r="O259" s="111">
        <f t="shared" ref="O259" si="651">MAX($N259:$N263)</f>
        <v>0</v>
      </c>
      <c r="P259" s="133">
        <f>IF($H259&gt;0,IF($O259&lt;=T_1,I_1,IF($O259&lt;=T_2,(($O259*M_1)+B_1),IF($O259&lt;=T_3,(($O259*M_2)+B_2),IF($O259&lt;=T_4,(($O259*M_3)+B_3),IF($O259&lt;=T_5,(($O259*M_4)+B_4),IF($O259&lt;=T_6,(($O259*M_5)+B_5),IF($O259&lt;=T_7,(($O259*M_6)+B_6),IF($O259&lt;=T_8,(($O259*M_7)+B_7),IF($O259&lt;=T_9,(($O259*M_8)+B_8),IF($O259&lt;=T_10,(($O259*M_9)+B_9))))))))))),0)</f>
        <v>0</v>
      </c>
      <c r="Q259" s="111">
        <f t="shared" ref="Q259" si="652">ROUND(($H259*$P259),2)</f>
        <v>0</v>
      </c>
      <c r="R259" s="107">
        <f>IF($Q259&gt;0,IF($Q259&lt;=UTH!$M$4,UTH!$J$4,IF($Q259&lt;=UTH!$M$5,UTH!$J$5,IF($Q259&lt;=UTH!$M$6,UTH!$J$6,IF($Q259&lt;=UTH!$M$7,UTH!$J$7,IF($Q259&lt;=UTH!$M$8,UTH!$J$8,IF($Q259&lt;=UTH!$M$9,UTH!$J$9,IF($Q259&lt;=UTH!$M$10,UTH!$J$10,IF($Q259&lt;=UTH!$M$11,UTH!$J$11,IF($Q259&lt;=UTH!$M$12,UTH!$J$12,IF($Q259&lt;=UTH!$M$13,UTH!$J$13,IF($Q259&lt;=UTH!$M$14,UTH!$J$14,IF($Q259&lt;=UTH!$M$15,UTH!$J$15,IF($Q259&lt;=UTH!$M$16,UTH!$J$16,IF($Q259&lt;=UTH!$M$17,UTH!$J$17,IF($Q259&lt;=UTH!$M$18,UTH!$J$18,IF($Q259&lt;=UTH!$M$19,UTH!$J$19,IF($Q259&lt;=UTH!$M$20,UTH!$J$20))))))))))))))))),0)</f>
        <v>0</v>
      </c>
      <c r="S259" s="107">
        <f>IF(Inverts!$D259="YES",Inverts!$C259,Inverts!$E259)</f>
        <v>0</v>
      </c>
      <c r="T259" s="108">
        <f>IF($S259,($Q259/(KQ*($S259^(8/3))))^2,0)</f>
        <v>0</v>
      </c>
      <c r="U259" s="108">
        <f>IF($S259,(Vmin/(KV*($S259^(2/3))))^2,0)</f>
        <v>0</v>
      </c>
      <c r="V259" s="108">
        <f>IF($Z259,ROUND(MinDrop_2/$Z259,4),0)</f>
        <v>0</v>
      </c>
      <c r="W259" s="108">
        <f t="shared" ref="W259" si="653">IF($S259=0,0,MAX($T259:$V259))</f>
        <v>0</v>
      </c>
      <c r="X259" s="108">
        <f>IF(Inverts!$H259="yes",Inverts!$G259,Inverts!$I259)</f>
        <v>0</v>
      </c>
      <c r="Y259" s="105">
        <f>ROUND(KV*($S259^(2/3))*($X259^(0.5)),2)</f>
        <v>0</v>
      </c>
      <c r="Z259" s="106">
        <f>INDEX(Tribs!$H$3:$H$102,MATCH($A259,Tribs!$A$3:$A$102,0))</f>
        <v>0</v>
      </c>
      <c r="AA259" s="105">
        <f t="shared" ref="AA259" si="654">IF($Y259,($Z259/$Y259)*(1/60),0)</f>
        <v>0</v>
      </c>
      <c r="AB259" s="111">
        <f>ROUND(KQ*($S259^(8/3))*($X259^(0.5)),2)</f>
        <v>0</v>
      </c>
      <c r="AC259" s="138" t="str">
        <f>IF(AND($AB259&gt;=($Q259-0.0049),$Y259&gt;=(Vmin-0.0049)),"OK","NG")</f>
        <v>NG</v>
      </c>
    </row>
    <row r="260" spans="1:29" x14ac:dyDescent="0.3">
      <c r="A260" s="121"/>
      <c r="B260" s="184"/>
      <c r="C260" s="54"/>
      <c r="D260" s="52"/>
      <c r="E260" s="52"/>
      <c r="F260" s="117"/>
      <c r="G260" s="119">
        <f t="shared" ref="G260" si="655">IF($B260,INDEX($H$4:$H$499,(MATCH($B260,$A$4:$A$499))),0)</f>
        <v>0</v>
      </c>
      <c r="H260" s="113"/>
      <c r="I260" s="52"/>
      <c r="J260" s="52"/>
      <c r="K260" s="123"/>
      <c r="L260" s="53">
        <f t="shared" ref="L260" si="656">IF($B260,INDEX($O$4:$O$499,MATCH($B260,$A$4:$A$499)),0)</f>
        <v>0</v>
      </c>
      <c r="M260" s="126">
        <f t="shared" ref="M260" si="657">IF($B260,INDEX($AA$4:$AA$499,MATCH($B260,$A$4:$A$499)),0)</f>
        <v>0</v>
      </c>
      <c r="N260" s="119">
        <f t="shared" ref="N260" si="658">($L260+$M260)</f>
        <v>0</v>
      </c>
      <c r="O260" s="130"/>
      <c r="P260" s="134"/>
      <c r="Q260" s="130"/>
      <c r="R260" s="52"/>
      <c r="S260" s="224">
        <f t="shared" ref="S260:S263" si="659">S259</f>
        <v>0</v>
      </c>
      <c r="T260" s="237"/>
      <c r="U260" s="237"/>
      <c r="V260" s="237"/>
      <c r="W260" s="237"/>
      <c r="X260" s="52"/>
      <c r="Y260" s="52"/>
      <c r="Z260" s="52"/>
      <c r="AA260" s="54"/>
      <c r="AB260" s="130"/>
      <c r="AC260" s="139"/>
    </row>
    <row r="261" spans="1:29" x14ac:dyDescent="0.3">
      <c r="A261" s="121"/>
      <c r="B261" s="184"/>
      <c r="C261" s="54"/>
      <c r="D261" s="52"/>
      <c r="E261" s="52"/>
      <c r="F261" s="117"/>
      <c r="G261" s="119">
        <f t="shared" si="499"/>
        <v>0</v>
      </c>
      <c r="H261" s="113"/>
      <c r="I261" s="52"/>
      <c r="J261" s="52"/>
      <c r="K261" s="124"/>
      <c r="L261" s="53">
        <f t="shared" si="526"/>
        <v>0</v>
      </c>
      <c r="M261" s="127">
        <f t="shared" si="527"/>
        <v>0</v>
      </c>
      <c r="N261" s="119">
        <f t="shared" si="528"/>
        <v>0</v>
      </c>
      <c r="O261" s="130"/>
      <c r="P261" s="134"/>
      <c r="Q261" s="130"/>
      <c r="R261" s="52"/>
      <c r="S261" s="224">
        <f t="shared" si="659"/>
        <v>0</v>
      </c>
      <c r="T261" s="237"/>
      <c r="U261" s="237"/>
      <c r="V261" s="237"/>
      <c r="W261" s="237"/>
      <c r="X261" s="52"/>
      <c r="Y261" s="52"/>
      <c r="Z261" s="52"/>
      <c r="AA261" s="54"/>
      <c r="AB261" s="130"/>
      <c r="AC261" s="139"/>
    </row>
    <row r="262" spans="1:29" x14ac:dyDescent="0.3">
      <c r="A262" s="121"/>
      <c r="B262" s="184"/>
      <c r="C262" s="54"/>
      <c r="D262" s="52"/>
      <c r="E262" s="52"/>
      <c r="F262" s="117"/>
      <c r="G262" s="119">
        <f t="shared" si="499"/>
        <v>0</v>
      </c>
      <c r="H262" s="113"/>
      <c r="I262" s="52"/>
      <c r="J262" s="52"/>
      <c r="K262" s="124"/>
      <c r="L262" s="53">
        <f t="shared" si="526"/>
        <v>0</v>
      </c>
      <c r="M262" s="127">
        <f t="shared" si="527"/>
        <v>0</v>
      </c>
      <c r="N262" s="119">
        <f t="shared" si="528"/>
        <v>0</v>
      </c>
      <c r="O262" s="130"/>
      <c r="P262" s="134"/>
      <c r="Q262" s="130"/>
      <c r="R262" s="52"/>
      <c r="S262" s="224">
        <f t="shared" si="659"/>
        <v>0</v>
      </c>
      <c r="T262" s="237"/>
      <c r="U262" s="237"/>
      <c r="V262" s="237"/>
      <c r="W262" s="237"/>
      <c r="X262" s="52"/>
      <c r="Y262" s="52"/>
      <c r="Z262" s="52"/>
      <c r="AA262" s="54"/>
      <c r="AB262" s="130"/>
      <c r="AC262" s="139"/>
    </row>
    <row r="263" spans="1:29" ht="15" thickBot="1" x14ac:dyDescent="0.35">
      <c r="A263" s="122"/>
      <c r="B263" s="185"/>
      <c r="C263" s="102"/>
      <c r="D263" s="101"/>
      <c r="E263" s="101"/>
      <c r="F263" s="118"/>
      <c r="G263" s="120">
        <f t="shared" si="499"/>
        <v>0</v>
      </c>
      <c r="H263" s="114"/>
      <c r="I263" s="101"/>
      <c r="J263" s="101"/>
      <c r="K263" s="125"/>
      <c r="L263" s="103">
        <f t="shared" si="526"/>
        <v>0</v>
      </c>
      <c r="M263" s="128">
        <f t="shared" si="527"/>
        <v>0</v>
      </c>
      <c r="N263" s="120">
        <f t="shared" si="528"/>
        <v>0</v>
      </c>
      <c r="O263" s="131"/>
      <c r="P263" s="135"/>
      <c r="Q263" s="131"/>
      <c r="R263" s="101"/>
      <c r="S263" s="104">
        <f t="shared" si="659"/>
        <v>0</v>
      </c>
      <c r="T263" s="238"/>
      <c r="U263" s="238"/>
      <c r="V263" s="238"/>
      <c r="W263" s="238"/>
      <c r="X263" s="101"/>
      <c r="Y263" s="101"/>
      <c r="Z263" s="101"/>
      <c r="AA263" s="102"/>
      <c r="AB263" s="131"/>
      <c r="AC263" s="140"/>
    </row>
    <row r="264" spans="1:29" x14ac:dyDescent="0.3">
      <c r="A264" s="115">
        <f t="shared" ref="A264" si="660">$A259+1</f>
        <v>53</v>
      </c>
      <c r="B264" s="186"/>
      <c r="C264" s="105">
        <f>INDEX(Tribs!$C$3:$C$102,MATCH($A264,Tribs!$A$3:$A$102,0))</f>
        <v>0</v>
      </c>
      <c r="D264" s="106">
        <f>INDEX(Tribs!$E$3:$E$102,MATCH($A264,Tribs!$A$3:$A$102,0))</f>
        <v>0</v>
      </c>
      <c r="E264" s="105">
        <f>INDEX(Tribs!$F$3:$F$102,MATCH($A264,Tribs!$A$3:$A$102,0))</f>
        <v>0</v>
      </c>
      <c r="F264" s="116">
        <f t="shared" ref="F264" si="661">($C264*$E264)</f>
        <v>0</v>
      </c>
      <c r="G264" s="110"/>
      <c r="H264" s="111">
        <f t="shared" ref="H264" si="662">($F264)+(SUM($G265:$G268))</f>
        <v>0</v>
      </c>
      <c r="I264" s="106">
        <f>INDEX(Tribs!$D$3:$D$102,MATCH($A264,Tribs!$A$3:$A$102,0))</f>
        <v>0</v>
      </c>
      <c r="J264" s="106">
        <f>INDEX(Tribs!$G$3:$G$102,MATCH($A264,Tribs!$A$3:$A$102,0))</f>
        <v>0</v>
      </c>
      <c r="K264" s="105">
        <f>($J264)/V_gutter*(1/60)</f>
        <v>0</v>
      </c>
      <c r="L264" s="112"/>
      <c r="M264" s="109"/>
      <c r="N264" s="129">
        <f t="shared" ref="N264" si="663">($I264+$K264)</f>
        <v>0</v>
      </c>
      <c r="O264" s="111">
        <f t="shared" ref="O264" si="664">MAX($N264:$N268)</f>
        <v>0</v>
      </c>
      <c r="P264" s="133">
        <f>IF($H264&gt;0,IF($O264&lt;=T_1,I_1,IF($O264&lt;=T_2,(($O264*M_1)+B_1),IF($O264&lt;=T_3,(($O264*M_2)+B_2),IF($O264&lt;=T_4,(($O264*M_3)+B_3),IF($O264&lt;=T_5,(($O264*M_4)+B_4),IF($O264&lt;=T_6,(($O264*M_5)+B_5),IF($O264&lt;=T_7,(($O264*M_6)+B_6),IF($O264&lt;=T_8,(($O264*M_7)+B_7),IF($O264&lt;=T_9,(($O264*M_8)+B_8),IF($O264&lt;=T_10,(($O264*M_9)+B_9))))))))))),0)</f>
        <v>0</v>
      </c>
      <c r="Q264" s="111">
        <f t="shared" ref="Q264" si="665">ROUND(($H264*$P264),2)</f>
        <v>0</v>
      </c>
      <c r="R264" s="107">
        <f>IF($Q264&gt;0,IF($Q264&lt;=UTH!$M$4,UTH!$J$4,IF($Q264&lt;=UTH!$M$5,UTH!$J$5,IF($Q264&lt;=UTH!$M$6,UTH!$J$6,IF($Q264&lt;=UTH!$M$7,UTH!$J$7,IF($Q264&lt;=UTH!$M$8,UTH!$J$8,IF($Q264&lt;=UTH!$M$9,UTH!$J$9,IF($Q264&lt;=UTH!$M$10,UTH!$J$10,IF($Q264&lt;=UTH!$M$11,UTH!$J$11,IF($Q264&lt;=UTH!$M$12,UTH!$J$12,IF($Q264&lt;=UTH!$M$13,UTH!$J$13,IF($Q264&lt;=UTH!$M$14,UTH!$J$14,IF($Q264&lt;=UTH!$M$15,UTH!$J$15,IF($Q264&lt;=UTH!$M$16,UTH!$J$16,IF($Q264&lt;=UTH!$M$17,UTH!$J$17,IF($Q264&lt;=UTH!$M$18,UTH!$J$18,IF($Q264&lt;=UTH!$M$19,UTH!$J$19,IF($Q264&lt;=UTH!$M$20,UTH!$J$20))))))))))))))))),0)</f>
        <v>0</v>
      </c>
      <c r="S264" s="107">
        <f>IF(Inverts!$D264="YES",Inverts!$C264,Inverts!$E264)</f>
        <v>0</v>
      </c>
      <c r="T264" s="108">
        <f>IF($S264,($Q264/(KQ*($S264^(8/3))))^2,0)</f>
        <v>0</v>
      </c>
      <c r="U264" s="108">
        <f>IF($S264,(Vmin/(KV*($S264^(2/3))))^2,0)</f>
        <v>0</v>
      </c>
      <c r="V264" s="108">
        <f>IF($Z264,ROUND(MinDrop_2/$Z264,4),0)</f>
        <v>0</v>
      </c>
      <c r="W264" s="108">
        <f t="shared" ref="W264" si="666">IF($S264=0,0,MAX($T264:$V264))</f>
        <v>0</v>
      </c>
      <c r="X264" s="108">
        <f>IF(Inverts!$H264="yes",Inverts!$G264,Inverts!$I264)</f>
        <v>0</v>
      </c>
      <c r="Y264" s="105">
        <f>ROUND(KV*($S264^(2/3))*($X264^(0.5)),2)</f>
        <v>0</v>
      </c>
      <c r="Z264" s="106">
        <f>INDEX(Tribs!$H$3:$H$102,MATCH($A264,Tribs!$A$3:$A$102,0))</f>
        <v>0</v>
      </c>
      <c r="AA264" s="105">
        <f t="shared" ref="AA264" si="667">IF($Y264,($Z264/$Y264)*(1/60),0)</f>
        <v>0</v>
      </c>
      <c r="AB264" s="111">
        <f>ROUND(KQ*($S264^(8/3))*($X264^(0.5)),2)</f>
        <v>0</v>
      </c>
      <c r="AC264" s="138" t="str">
        <f>IF(AND($AB264&gt;=($Q264-0.0049),$Y264&gt;=(Vmin-0.0049)),"OK","NG")</f>
        <v>NG</v>
      </c>
    </row>
    <row r="265" spans="1:29" x14ac:dyDescent="0.3">
      <c r="A265" s="121"/>
      <c r="B265" s="184"/>
      <c r="C265" s="54"/>
      <c r="D265" s="52"/>
      <c r="E265" s="52"/>
      <c r="F265" s="117"/>
      <c r="G265" s="119">
        <f t="shared" ref="G265:G328" si="668">IF($B265,INDEX($H$4:$H$499,(MATCH($B265,$A$4:$A$499))),0)</f>
        <v>0</v>
      </c>
      <c r="H265" s="113"/>
      <c r="I265" s="52"/>
      <c r="J265" s="52"/>
      <c r="K265" s="123"/>
      <c r="L265" s="53">
        <f t="shared" ref="L265" si="669">IF($B265,INDEX($O$4:$O$499,MATCH($B265,$A$4:$A$499)),0)</f>
        <v>0</v>
      </c>
      <c r="M265" s="126">
        <f t="shared" ref="M265" si="670">IF($B265,INDEX($AA$4:$AA$499,MATCH($B265,$A$4:$A$499)),0)</f>
        <v>0</v>
      </c>
      <c r="N265" s="119">
        <f t="shared" ref="N265" si="671">($L265+$M265)</f>
        <v>0</v>
      </c>
      <c r="O265" s="130"/>
      <c r="P265" s="134"/>
      <c r="Q265" s="130"/>
      <c r="R265" s="52"/>
      <c r="S265" s="224">
        <f t="shared" ref="S265:S268" si="672">S264</f>
        <v>0</v>
      </c>
      <c r="T265" s="237"/>
      <c r="U265" s="237"/>
      <c r="V265" s="237"/>
      <c r="W265" s="237"/>
      <c r="X265" s="52"/>
      <c r="Y265" s="52"/>
      <c r="Z265" s="52"/>
      <c r="AA265" s="54"/>
      <c r="AB265" s="130"/>
      <c r="AC265" s="139"/>
    </row>
    <row r="266" spans="1:29" x14ac:dyDescent="0.3">
      <c r="A266" s="121"/>
      <c r="B266" s="184"/>
      <c r="C266" s="54"/>
      <c r="D266" s="52"/>
      <c r="E266" s="52"/>
      <c r="F266" s="117"/>
      <c r="G266" s="119">
        <f t="shared" si="668"/>
        <v>0</v>
      </c>
      <c r="H266" s="113"/>
      <c r="I266" s="52"/>
      <c r="J266" s="52"/>
      <c r="K266" s="124"/>
      <c r="L266" s="53">
        <f t="shared" si="526"/>
        <v>0</v>
      </c>
      <c r="M266" s="127">
        <f t="shared" si="527"/>
        <v>0</v>
      </c>
      <c r="N266" s="119">
        <f t="shared" si="528"/>
        <v>0</v>
      </c>
      <c r="O266" s="130"/>
      <c r="P266" s="134"/>
      <c r="Q266" s="130"/>
      <c r="R266" s="52"/>
      <c r="S266" s="224">
        <f t="shared" si="672"/>
        <v>0</v>
      </c>
      <c r="T266" s="237"/>
      <c r="U266" s="237"/>
      <c r="V266" s="237"/>
      <c r="W266" s="237"/>
      <c r="X266" s="52"/>
      <c r="Y266" s="52"/>
      <c r="Z266" s="52"/>
      <c r="AA266" s="54"/>
      <c r="AB266" s="130"/>
      <c r="AC266" s="139"/>
    </row>
    <row r="267" spans="1:29" x14ac:dyDescent="0.3">
      <c r="A267" s="121"/>
      <c r="B267" s="184"/>
      <c r="C267" s="54"/>
      <c r="D267" s="52"/>
      <c r="E267" s="52"/>
      <c r="F267" s="117"/>
      <c r="G267" s="119">
        <f t="shared" si="668"/>
        <v>0</v>
      </c>
      <c r="H267" s="113"/>
      <c r="I267" s="52"/>
      <c r="J267" s="52"/>
      <c r="K267" s="124"/>
      <c r="L267" s="53">
        <f t="shared" si="526"/>
        <v>0</v>
      </c>
      <c r="M267" s="127">
        <f t="shared" si="527"/>
        <v>0</v>
      </c>
      <c r="N267" s="119">
        <f t="shared" si="528"/>
        <v>0</v>
      </c>
      <c r="O267" s="130"/>
      <c r="P267" s="134"/>
      <c r="Q267" s="130"/>
      <c r="R267" s="52"/>
      <c r="S267" s="224">
        <f t="shared" si="672"/>
        <v>0</v>
      </c>
      <c r="T267" s="237"/>
      <c r="U267" s="237"/>
      <c r="V267" s="237"/>
      <c r="W267" s="237"/>
      <c r="X267" s="52"/>
      <c r="Y267" s="52"/>
      <c r="Z267" s="52"/>
      <c r="AA267" s="54"/>
      <c r="AB267" s="130"/>
      <c r="AC267" s="139"/>
    </row>
    <row r="268" spans="1:29" ht="15" thickBot="1" x14ac:dyDescent="0.35">
      <c r="A268" s="122"/>
      <c r="B268" s="185"/>
      <c r="C268" s="102"/>
      <c r="D268" s="101"/>
      <c r="E268" s="101"/>
      <c r="F268" s="118"/>
      <c r="G268" s="120">
        <f t="shared" si="668"/>
        <v>0</v>
      </c>
      <c r="H268" s="114"/>
      <c r="I268" s="101"/>
      <c r="J268" s="101"/>
      <c r="K268" s="125"/>
      <c r="L268" s="103">
        <f t="shared" si="526"/>
        <v>0</v>
      </c>
      <c r="M268" s="128">
        <f t="shared" si="527"/>
        <v>0</v>
      </c>
      <c r="N268" s="120">
        <f t="shared" si="528"/>
        <v>0</v>
      </c>
      <c r="O268" s="131"/>
      <c r="P268" s="135"/>
      <c r="Q268" s="131"/>
      <c r="R268" s="101"/>
      <c r="S268" s="104">
        <f t="shared" si="672"/>
        <v>0</v>
      </c>
      <c r="T268" s="238"/>
      <c r="U268" s="238"/>
      <c r="V268" s="238"/>
      <c r="W268" s="238"/>
      <c r="X268" s="101"/>
      <c r="Y268" s="101"/>
      <c r="Z268" s="101"/>
      <c r="AA268" s="102"/>
      <c r="AB268" s="131"/>
      <c r="AC268" s="140"/>
    </row>
    <row r="269" spans="1:29" x14ac:dyDescent="0.3">
      <c r="A269" s="115">
        <f t="shared" ref="A269" si="673">$A264+1</f>
        <v>54</v>
      </c>
      <c r="B269" s="186"/>
      <c r="C269" s="105">
        <f>INDEX(Tribs!$C$3:$C$102,MATCH($A269,Tribs!$A$3:$A$102,0))</f>
        <v>0</v>
      </c>
      <c r="D269" s="106">
        <f>INDEX(Tribs!$E$3:$E$102,MATCH($A269,Tribs!$A$3:$A$102,0))</f>
        <v>0</v>
      </c>
      <c r="E269" s="105">
        <f>INDEX(Tribs!$F$3:$F$102,MATCH($A269,Tribs!$A$3:$A$102,0))</f>
        <v>0</v>
      </c>
      <c r="F269" s="116">
        <f t="shared" ref="F269" si="674">($C269*$E269)</f>
        <v>0</v>
      </c>
      <c r="G269" s="110"/>
      <c r="H269" s="111">
        <f t="shared" ref="H269" si="675">($F269)+(SUM($G270:$G273))</f>
        <v>0</v>
      </c>
      <c r="I269" s="106">
        <f>INDEX(Tribs!$D$3:$D$102,MATCH($A269,Tribs!$A$3:$A$102,0))</f>
        <v>0</v>
      </c>
      <c r="J269" s="106">
        <f>INDEX(Tribs!$G$3:$G$102,MATCH($A269,Tribs!$A$3:$A$102,0))</f>
        <v>0</v>
      </c>
      <c r="K269" s="105">
        <f>($J269)/V_gutter*(1/60)</f>
        <v>0</v>
      </c>
      <c r="L269" s="112"/>
      <c r="M269" s="109"/>
      <c r="N269" s="129">
        <f t="shared" ref="N269" si="676">($I269+$K269)</f>
        <v>0</v>
      </c>
      <c r="O269" s="111">
        <f t="shared" ref="O269" si="677">MAX($N269:$N273)</f>
        <v>0</v>
      </c>
      <c r="P269" s="133">
        <f>IF($H269&gt;0,IF($O269&lt;=T_1,I_1,IF($O269&lt;=T_2,(($O269*M_1)+B_1),IF($O269&lt;=T_3,(($O269*M_2)+B_2),IF($O269&lt;=T_4,(($O269*M_3)+B_3),IF($O269&lt;=T_5,(($O269*M_4)+B_4),IF($O269&lt;=T_6,(($O269*M_5)+B_5),IF($O269&lt;=T_7,(($O269*M_6)+B_6),IF($O269&lt;=T_8,(($O269*M_7)+B_7),IF($O269&lt;=T_9,(($O269*M_8)+B_8),IF($O269&lt;=T_10,(($O269*M_9)+B_9))))))))))),0)</f>
        <v>0</v>
      </c>
      <c r="Q269" s="111">
        <f t="shared" ref="Q269" si="678">ROUND(($H269*$P269),2)</f>
        <v>0</v>
      </c>
      <c r="R269" s="107">
        <f>IF($Q269&gt;0,IF($Q269&lt;=UTH!$M$4,UTH!$J$4,IF($Q269&lt;=UTH!$M$5,UTH!$J$5,IF($Q269&lt;=UTH!$M$6,UTH!$J$6,IF($Q269&lt;=UTH!$M$7,UTH!$J$7,IF($Q269&lt;=UTH!$M$8,UTH!$J$8,IF($Q269&lt;=UTH!$M$9,UTH!$J$9,IF($Q269&lt;=UTH!$M$10,UTH!$J$10,IF($Q269&lt;=UTH!$M$11,UTH!$J$11,IF($Q269&lt;=UTH!$M$12,UTH!$J$12,IF($Q269&lt;=UTH!$M$13,UTH!$J$13,IF($Q269&lt;=UTH!$M$14,UTH!$J$14,IF($Q269&lt;=UTH!$M$15,UTH!$J$15,IF($Q269&lt;=UTH!$M$16,UTH!$J$16,IF($Q269&lt;=UTH!$M$17,UTH!$J$17,IF($Q269&lt;=UTH!$M$18,UTH!$J$18,IF($Q269&lt;=UTH!$M$19,UTH!$J$19,IF($Q269&lt;=UTH!$M$20,UTH!$J$20))))))))))))))))),0)</f>
        <v>0</v>
      </c>
      <c r="S269" s="107">
        <f>IF(Inverts!$D269="YES",Inverts!$C269,Inverts!$E269)</f>
        <v>0</v>
      </c>
      <c r="T269" s="108">
        <f>IF($S269,($Q269/(KQ*($S269^(8/3))))^2,0)</f>
        <v>0</v>
      </c>
      <c r="U269" s="108">
        <f>IF($S269,(Vmin/(KV*($S269^(2/3))))^2,0)</f>
        <v>0</v>
      </c>
      <c r="V269" s="108">
        <f>IF($Z269,ROUND(MinDrop_2/$Z269,4),0)</f>
        <v>0</v>
      </c>
      <c r="W269" s="108">
        <f t="shared" ref="W269" si="679">IF($S269=0,0,MAX($T269:$V269))</f>
        <v>0</v>
      </c>
      <c r="X269" s="108">
        <f>IF(Inverts!$H269="yes",Inverts!$G269,Inverts!$I269)</f>
        <v>0</v>
      </c>
      <c r="Y269" s="105">
        <f>ROUND(KV*($S269^(2/3))*($X269^(0.5)),2)</f>
        <v>0</v>
      </c>
      <c r="Z269" s="106">
        <f>INDEX(Tribs!$H$3:$H$102,MATCH($A269,Tribs!$A$3:$A$102,0))</f>
        <v>0</v>
      </c>
      <c r="AA269" s="105">
        <f t="shared" ref="AA269" si="680">IF($Y269,($Z269/$Y269)*(1/60),0)</f>
        <v>0</v>
      </c>
      <c r="AB269" s="111">
        <f>ROUND(KQ*($S269^(8/3))*($X269^(0.5)),2)</f>
        <v>0</v>
      </c>
      <c r="AC269" s="138" t="str">
        <f>IF(AND($AB269&gt;=($Q269-0.0049),$Y269&gt;=(Vmin-0.0049)),"OK","NG")</f>
        <v>NG</v>
      </c>
    </row>
    <row r="270" spans="1:29" x14ac:dyDescent="0.3">
      <c r="A270" s="121"/>
      <c r="B270" s="184"/>
      <c r="C270" s="54"/>
      <c r="D270" s="52"/>
      <c r="E270" s="52"/>
      <c r="F270" s="117"/>
      <c r="G270" s="119">
        <f t="shared" ref="G270" si="681">IF($B270,INDEX($H$4:$H$499,(MATCH($B270,$A$4:$A$499))),0)</f>
        <v>0</v>
      </c>
      <c r="H270" s="113"/>
      <c r="I270" s="52"/>
      <c r="J270" s="52"/>
      <c r="K270" s="123"/>
      <c r="L270" s="53">
        <f t="shared" ref="L270" si="682">IF($B270,INDEX($O$4:$O$499,MATCH($B270,$A$4:$A$499)),0)</f>
        <v>0</v>
      </c>
      <c r="M270" s="126">
        <f t="shared" ref="M270" si="683">IF($B270,INDEX($AA$4:$AA$499,MATCH($B270,$A$4:$A$499)),0)</f>
        <v>0</v>
      </c>
      <c r="N270" s="119">
        <f t="shared" ref="N270" si="684">($L270+$M270)</f>
        <v>0</v>
      </c>
      <c r="O270" s="130"/>
      <c r="P270" s="134"/>
      <c r="Q270" s="130"/>
      <c r="R270" s="52"/>
      <c r="S270" s="224">
        <f t="shared" ref="S270:S273" si="685">S269</f>
        <v>0</v>
      </c>
      <c r="T270" s="237"/>
      <c r="U270" s="237"/>
      <c r="V270" s="237"/>
      <c r="W270" s="237"/>
      <c r="X270" s="52"/>
      <c r="Y270" s="52"/>
      <c r="Z270" s="52"/>
      <c r="AA270" s="54"/>
      <c r="AB270" s="130"/>
      <c r="AC270" s="139"/>
    </row>
    <row r="271" spans="1:29" x14ac:dyDescent="0.3">
      <c r="A271" s="121"/>
      <c r="B271" s="184"/>
      <c r="C271" s="54"/>
      <c r="D271" s="52"/>
      <c r="E271" s="52"/>
      <c r="F271" s="117"/>
      <c r="G271" s="119">
        <f t="shared" si="668"/>
        <v>0</v>
      </c>
      <c r="H271" s="113"/>
      <c r="I271" s="52"/>
      <c r="J271" s="52"/>
      <c r="K271" s="124"/>
      <c r="L271" s="53">
        <f t="shared" si="526"/>
        <v>0</v>
      </c>
      <c r="M271" s="127">
        <f t="shared" si="527"/>
        <v>0</v>
      </c>
      <c r="N271" s="119">
        <f t="shared" si="528"/>
        <v>0</v>
      </c>
      <c r="O271" s="130"/>
      <c r="P271" s="134"/>
      <c r="Q271" s="130"/>
      <c r="R271" s="52"/>
      <c r="S271" s="224">
        <f t="shared" si="685"/>
        <v>0</v>
      </c>
      <c r="T271" s="237"/>
      <c r="U271" s="237"/>
      <c r="V271" s="237"/>
      <c r="W271" s="237"/>
      <c r="X271" s="52"/>
      <c r="Y271" s="52"/>
      <c r="Z271" s="52"/>
      <c r="AA271" s="54"/>
      <c r="AB271" s="130"/>
      <c r="AC271" s="139"/>
    </row>
    <row r="272" spans="1:29" x14ac:dyDescent="0.3">
      <c r="A272" s="121"/>
      <c r="B272" s="184"/>
      <c r="C272" s="54"/>
      <c r="D272" s="52"/>
      <c r="E272" s="52"/>
      <c r="F272" s="117"/>
      <c r="G272" s="119">
        <f t="shared" si="668"/>
        <v>0</v>
      </c>
      <c r="H272" s="113"/>
      <c r="I272" s="52"/>
      <c r="J272" s="52"/>
      <c r="K272" s="124"/>
      <c r="L272" s="53">
        <f t="shared" si="526"/>
        <v>0</v>
      </c>
      <c r="M272" s="127">
        <f t="shared" si="527"/>
        <v>0</v>
      </c>
      <c r="N272" s="119">
        <f t="shared" si="528"/>
        <v>0</v>
      </c>
      <c r="O272" s="130"/>
      <c r="P272" s="134"/>
      <c r="Q272" s="130"/>
      <c r="R272" s="52"/>
      <c r="S272" s="224">
        <f t="shared" si="685"/>
        <v>0</v>
      </c>
      <c r="T272" s="237"/>
      <c r="U272" s="237"/>
      <c r="V272" s="237"/>
      <c r="W272" s="237"/>
      <c r="X272" s="52"/>
      <c r="Y272" s="52"/>
      <c r="Z272" s="52"/>
      <c r="AA272" s="54"/>
      <c r="AB272" s="130"/>
      <c r="AC272" s="139"/>
    </row>
    <row r="273" spans="1:29" ht="15" thickBot="1" x14ac:dyDescent="0.35">
      <c r="A273" s="122"/>
      <c r="B273" s="185"/>
      <c r="C273" s="102"/>
      <c r="D273" s="101"/>
      <c r="E273" s="101"/>
      <c r="F273" s="118"/>
      <c r="G273" s="120">
        <f t="shared" si="668"/>
        <v>0</v>
      </c>
      <c r="H273" s="114"/>
      <c r="I273" s="101"/>
      <c r="J273" s="101"/>
      <c r="K273" s="125"/>
      <c r="L273" s="103">
        <f t="shared" si="526"/>
        <v>0</v>
      </c>
      <c r="M273" s="128">
        <f t="shared" si="527"/>
        <v>0</v>
      </c>
      <c r="N273" s="120">
        <f t="shared" si="528"/>
        <v>0</v>
      </c>
      <c r="O273" s="131"/>
      <c r="P273" s="135"/>
      <c r="Q273" s="131"/>
      <c r="R273" s="101"/>
      <c r="S273" s="104">
        <f t="shared" si="685"/>
        <v>0</v>
      </c>
      <c r="T273" s="238"/>
      <c r="U273" s="238"/>
      <c r="V273" s="238"/>
      <c r="W273" s="238"/>
      <c r="X273" s="101"/>
      <c r="Y273" s="101"/>
      <c r="Z273" s="101"/>
      <c r="AA273" s="102"/>
      <c r="AB273" s="131"/>
      <c r="AC273" s="140"/>
    </row>
    <row r="274" spans="1:29" x14ac:dyDescent="0.3">
      <c r="A274" s="115">
        <f t="shared" ref="A274" si="686">$A269+1</f>
        <v>55</v>
      </c>
      <c r="B274" s="186"/>
      <c r="C274" s="105">
        <f>INDEX(Tribs!$C$3:$C$102,MATCH($A274,Tribs!$A$3:$A$102,0))</f>
        <v>0</v>
      </c>
      <c r="D274" s="106">
        <f>INDEX(Tribs!$E$3:$E$102,MATCH($A274,Tribs!$A$3:$A$102,0))</f>
        <v>0</v>
      </c>
      <c r="E274" s="105">
        <f>INDEX(Tribs!$F$3:$F$102,MATCH($A274,Tribs!$A$3:$A$102,0))</f>
        <v>0</v>
      </c>
      <c r="F274" s="116">
        <f t="shared" ref="F274" si="687">($C274*$E274)</f>
        <v>0</v>
      </c>
      <c r="G274" s="110"/>
      <c r="H274" s="111">
        <f t="shared" ref="H274" si="688">($F274)+(SUM($G275:$G278))</f>
        <v>0</v>
      </c>
      <c r="I274" s="106">
        <f>INDEX(Tribs!$D$3:$D$102,MATCH($A274,Tribs!$A$3:$A$102,0))</f>
        <v>0</v>
      </c>
      <c r="J274" s="106">
        <f>INDEX(Tribs!$G$3:$G$102,MATCH($A274,Tribs!$A$3:$A$102,0))</f>
        <v>0</v>
      </c>
      <c r="K274" s="105">
        <f>($J274)/V_gutter*(1/60)</f>
        <v>0</v>
      </c>
      <c r="L274" s="112"/>
      <c r="M274" s="109"/>
      <c r="N274" s="129">
        <f t="shared" ref="N274" si="689">($I274+$K274)</f>
        <v>0</v>
      </c>
      <c r="O274" s="111">
        <f t="shared" ref="O274" si="690">MAX($N274:$N278)</f>
        <v>0</v>
      </c>
      <c r="P274" s="133">
        <f>IF($H274&gt;0,IF($O274&lt;=T_1,I_1,IF($O274&lt;=T_2,(($O274*M_1)+B_1),IF($O274&lt;=T_3,(($O274*M_2)+B_2),IF($O274&lt;=T_4,(($O274*M_3)+B_3),IF($O274&lt;=T_5,(($O274*M_4)+B_4),IF($O274&lt;=T_6,(($O274*M_5)+B_5),IF($O274&lt;=T_7,(($O274*M_6)+B_6),IF($O274&lt;=T_8,(($O274*M_7)+B_7),IF($O274&lt;=T_9,(($O274*M_8)+B_8),IF($O274&lt;=T_10,(($O274*M_9)+B_9))))))))))),0)</f>
        <v>0</v>
      </c>
      <c r="Q274" s="111">
        <f t="shared" ref="Q274" si="691">ROUND(($H274*$P274),2)</f>
        <v>0</v>
      </c>
      <c r="R274" s="107">
        <f>IF($Q274&gt;0,IF($Q274&lt;=UTH!$M$4,UTH!$J$4,IF($Q274&lt;=UTH!$M$5,UTH!$J$5,IF($Q274&lt;=UTH!$M$6,UTH!$J$6,IF($Q274&lt;=UTH!$M$7,UTH!$J$7,IF($Q274&lt;=UTH!$M$8,UTH!$J$8,IF($Q274&lt;=UTH!$M$9,UTH!$J$9,IF($Q274&lt;=UTH!$M$10,UTH!$J$10,IF($Q274&lt;=UTH!$M$11,UTH!$J$11,IF($Q274&lt;=UTH!$M$12,UTH!$J$12,IF($Q274&lt;=UTH!$M$13,UTH!$J$13,IF($Q274&lt;=UTH!$M$14,UTH!$J$14,IF($Q274&lt;=UTH!$M$15,UTH!$J$15,IF($Q274&lt;=UTH!$M$16,UTH!$J$16,IF($Q274&lt;=UTH!$M$17,UTH!$J$17,IF($Q274&lt;=UTH!$M$18,UTH!$J$18,IF($Q274&lt;=UTH!$M$19,UTH!$J$19,IF($Q274&lt;=UTH!$M$20,UTH!$J$20))))))))))))))))),0)</f>
        <v>0</v>
      </c>
      <c r="S274" s="107">
        <f>IF(Inverts!$D274="YES",Inverts!$C274,Inverts!$E274)</f>
        <v>0</v>
      </c>
      <c r="T274" s="108">
        <f>IF($S274,($Q274/(KQ*($S274^(8/3))))^2,0)</f>
        <v>0</v>
      </c>
      <c r="U274" s="108">
        <f>IF($S274,(Vmin/(KV*($S274^(2/3))))^2,0)</f>
        <v>0</v>
      </c>
      <c r="V274" s="108">
        <f>IF($Z274,ROUND(MinDrop_2/$Z274,4),0)</f>
        <v>0</v>
      </c>
      <c r="W274" s="108">
        <f t="shared" ref="W274" si="692">IF($S274=0,0,MAX($T274:$V274))</f>
        <v>0</v>
      </c>
      <c r="X274" s="108">
        <f>IF(Inverts!$H274="yes",Inverts!$G274,Inverts!$I274)</f>
        <v>0</v>
      </c>
      <c r="Y274" s="105">
        <f>ROUND(KV*($S274^(2/3))*($X274^(0.5)),2)</f>
        <v>0</v>
      </c>
      <c r="Z274" s="106">
        <f>INDEX(Tribs!$H$3:$H$102,MATCH($A274,Tribs!$A$3:$A$102,0))</f>
        <v>0</v>
      </c>
      <c r="AA274" s="105">
        <f t="shared" ref="AA274" si="693">IF($Y274,($Z274/$Y274)*(1/60),0)</f>
        <v>0</v>
      </c>
      <c r="AB274" s="111">
        <f>ROUND(KQ*($S274^(8/3))*($X274^(0.5)),2)</f>
        <v>0</v>
      </c>
      <c r="AC274" s="138" t="str">
        <f>IF(AND($AB274&gt;=($Q274-0.0049),$Y274&gt;=(Vmin-0.0049)),"OK","NG")</f>
        <v>NG</v>
      </c>
    </row>
    <row r="275" spans="1:29" x14ac:dyDescent="0.3">
      <c r="A275" s="121"/>
      <c r="B275" s="184"/>
      <c r="C275" s="54"/>
      <c r="D275" s="52"/>
      <c r="E275" s="52"/>
      <c r="F275" s="117"/>
      <c r="G275" s="119">
        <f t="shared" ref="G275" si="694">IF($B275,INDEX($H$4:$H$499,(MATCH($B275,$A$4:$A$499))),0)</f>
        <v>0</v>
      </c>
      <c r="H275" s="113"/>
      <c r="I275" s="52"/>
      <c r="J275" s="52"/>
      <c r="K275" s="123"/>
      <c r="L275" s="53">
        <f t="shared" ref="L275:L338" si="695">IF($B275,INDEX($O$4:$O$499,MATCH($B275,$A$4:$A$499)),0)</f>
        <v>0</v>
      </c>
      <c r="M275" s="126">
        <f t="shared" ref="M275:M338" si="696">IF($B275,INDEX($AA$4:$AA$499,MATCH($B275,$A$4:$A$499)),0)</f>
        <v>0</v>
      </c>
      <c r="N275" s="119">
        <f t="shared" ref="N275:N338" si="697">($L275+$M275)</f>
        <v>0</v>
      </c>
      <c r="O275" s="130"/>
      <c r="P275" s="134"/>
      <c r="Q275" s="130"/>
      <c r="R275" s="52"/>
      <c r="S275" s="224">
        <f t="shared" ref="S275:S278" si="698">S274</f>
        <v>0</v>
      </c>
      <c r="T275" s="237"/>
      <c r="U275" s="237"/>
      <c r="V275" s="237"/>
      <c r="W275" s="237"/>
      <c r="X275" s="52"/>
      <c r="Y275" s="52"/>
      <c r="Z275" s="52"/>
      <c r="AA275" s="54"/>
      <c r="AB275" s="130"/>
      <c r="AC275" s="139"/>
    </row>
    <row r="276" spans="1:29" x14ac:dyDescent="0.3">
      <c r="A276" s="121"/>
      <c r="B276" s="184"/>
      <c r="C276" s="54"/>
      <c r="D276" s="52"/>
      <c r="E276" s="52"/>
      <c r="F276" s="117"/>
      <c r="G276" s="119">
        <f t="shared" si="668"/>
        <v>0</v>
      </c>
      <c r="H276" s="113"/>
      <c r="I276" s="52"/>
      <c r="J276" s="52"/>
      <c r="K276" s="124"/>
      <c r="L276" s="53">
        <f t="shared" si="695"/>
        <v>0</v>
      </c>
      <c r="M276" s="127">
        <f t="shared" si="696"/>
        <v>0</v>
      </c>
      <c r="N276" s="119">
        <f t="shared" si="697"/>
        <v>0</v>
      </c>
      <c r="O276" s="130"/>
      <c r="P276" s="134"/>
      <c r="Q276" s="130"/>
      <c r="R276" s="52"/>
      <c r="S276" s="224">
        <f t="shared" si="698"/>
        <v>0</v>
      </c>
      <c r="T276" s="237"/>
      <c r="U276" s="237"/>
      <c r="V276" s="237"/>
      <c r="W276" s="237"/>
      <c r="X276" s="52"/>
      <c r="Y276" s="52"/>
      <c r="Z276" s="52"/>
      <c r="AA276" s="54"/>
      <c r="AB276" s="130"/>
      <c r="AC276" s="139"/>
    </row>
    <row r="277" spans="1:29" x14ac:dyDescent="0.3">
      <c r="A277" s="121"/>
      <c r="B277" s="184"/>
      <c r="C277" s="54"/>
      <c r="D277" s="52"/>
      <c r="E277" s="52"/>
      <c r="F277" s="117"/>
      <c r="G277" s="119">
        <f t="shared" si="668"/>
        <v>0</v>
      </c>
      <c r="H277" s="113"/>
      <c r="I277" s="52"/>
      <c r="J277" s="52"/>
      <c r="K277" s="124"/>
      <c r="L277" s="53">
        <f t="shared" si="695"/>
        <v>0</v>
      </c>
      <c r="M277" s="127">
        <f t="shared" si="696"/>
        <v>0</v>
      </c>
      <c r="N277" s="119">
        <f t="shared" si="697"/>
        <v>0</v>
      </c>
      <c r="O277" s="130"/>
      <c r="P277" s="134"/>
      <c r="Q277" s="130"/>
      <c r="R277" s="52"/>
      <c r="S277" s="224">
        <f t="shared" si="698"/>
        <v>0</v>
      </c>
      <c r="T277" s="237"/>
      <c r="U277" s="237"/>
      <c r="V277" s="237"/>
      <c r="W277" s="237"/>
      <c r="X277" s="52"/>
      <c r="Y277" s="52"/>
      <c r="Z277" s="52"/>
      <c r="AA277" s="54"/>
      <c r="AB277" s="130"/>
      <c r="AC277" s="139"/>
    </row>
    <row r="278" spans="1:29" ht="15" thickBot="1" x14ac:dyDescent="0.35">
      <c r="A278" s="122"/>
      <c r="B278" s="185"/>
      <c r="C278" s="102"/>
      <c r="D278" s="101"/>
      <c r="E278" s="101"/>
      <c r="F278" s="118"/>
      <c r="G278" s="120">
        <f t="shared" si="668"/>
        <v>0</v>
      </c>
      <c r="H278" s="114"/>
      <c r="I278" s="101"/>
      <c r="J278" s="101"/>
      <c r="K278" s="125"/>
      <c r="L278" s="103">
        <f t="shared" si="695"/>
        <v>0</v>
      </c>
      <c r="M278" s="128">
        <f t="shared" si="696"/>
        <v>0</v>
      </c>
      <c r="N278" s="120">
        <f t="shared" si="697"/>
        <v>0</v>
      </c>
      <c r="O278" s="131"/>
      <c r="P278" s="135"/>
      <c r="Q278" s="131"/>
      <c r="R278" s="101"/>
      <c r="S278" s="104">
        <f t="shared" si="698"/>
        <v>0</v>
      </c>
      <c r="T278" s="238"/>
      <c r="U278" s="238"/>
      <c r="V278" s="238"/>
      <c r="W278" s="238"/>
      <c r="X278" s="101"/>
      <c r="Y278" s="101"/>
      <c r="Z278" s="101"/>
      <c r="AA278" s="102"/>
      <c r="AB278" s="131"/>
      <c r="AC278" s="140"/>
    </row>
    <row r="279" spans="1:29" x14ac:dyDescent="0.3">
      <c r="A279" s="115">
        <f t="shared" ref="A279" si="699">$A274+1</f>
        <v>56</v>
      </c>
      <c r="B279" s="186"/>
      <c r="C279" s="105">
        <f>INDEX(Tribs!$C$3:$C$102,MATCH($A279,Tribs!$A$3:$A$102,0))</f>
        <v>0</v>
      </c>
      <c r="D279" s="106">
        <f>INDEX(Tribs!$E$3:$E$102,MATCH($A279,Tribs!$A$3:$A$102,0))</f>
        <v>0</v>
      </c>
      <c r="E279" s="105">
        <f>INDEX(Tribs!$F$3:$F$102,MATCH($A279,Tribs!$A$3:$A$102,0))</f>
        <v>0</v>
      </c>
      <c r="F279" s="116">
        <f t="shared" ref="F279" si="700">($C279*$E279)</f>
        <v>0</v>
      </c>
      <c r="G279" s="110"/>
      <c r="H279" s="111">
        <f t="shared" ref="H279" si="701">($F279)+(SUM($G280:$G283))</f>
        <v>0</v>
      </c>
      <c r="I279" s="106">
        <f>INDEX(Tribs!$D$3:$D$102,MATCH($A279,Tribs!$A$3:$A$102,0))</f>
        <v>0</v>
      </c>
      <c r="J279" s="106">
        <f>INDEX(Tribs!$G$3:$G$102,MATCH($A279,Tribs!$A$3:$A$102,0))</f>
        <v>0</v>
      </c>
      <c r="K279" s="105">
        <f>($J279)/V_gutter*(1/60)</f>
        <v>0</v>
      </c>
      <c r="L279" s="112"/>
      <c r="M279" s="109"/>
      <c r="N279" s="129">
        <f t="shared" ref="N279" si="702">($I279+$K279)</f>
        <v>0</v>
      </c>
      <c r="O279" s="111">
        <f t="shared" ref="O279" si="703">MAX($N279:$N283)</f>
        <v>0</v>
      </c>
      <c r="P279" s="133">
        <f>IF($H279&gt;0,IF($O279&lt;=T_1,I_1,IF($O279&lt;=T_2,(($O279*M_1)+B_1),IF($O279&lt;=T_3,(($O279*M_2)+B_2),IF($O279&lt;=T_4,(($O279*M_3)+B_3),IF($O279&lt;=T_5,(($O279*M_4)+B_4),IF($O279&lt;=T_6,(($O279*M_5)+B_5),IF($O279&lt;=T_7,(($O279*M_6)+B_6),IF($O279&lt;=T_8,(($O279*M_7)+B_7),IF($O279&lt;=T_9,(($O279*M_8)+B_8),IF($O279&lt;=T_10,(($O279*M_9)+B_9))))))))))),0)</f>
        <v>0</v>
      </c>
      <c r="Q279" s="111">
        <f t="shared" ref="Q279" si="704">ROUND(($H279*$P279),2)</f>
        <v>0</v>
      </c>
      <c r="R279" s="107">
        <f>IF($Q279&gt;0,IF($Q279&lt;=UTH!$M$4,UTH!$J$4,IF($Q279&lt;=UTH!$M$5,UTH!$J$5,IF($Q279&lt;=UTH!$M$6,UTH!$J$6,IF($Q279&lt;=UTH!$M$7,UTH!$J$7,IF($Q279&lt;=UTH!$M$8,UTH!$J$8,IF($Q279&lt;=UTH!$M$9,UTH!$J$9,IF($Q279&lt;=UTH!$M$10,UTH!$J$10,IF($Q279&lt;=UTH!$M$11,UTH!$J$11,IF($Q279&lt;=UTH!$M$12,UTH!$J$12,IF($Q279&lt;=UTH!$M$13,UTH!$J$13,IF($Q279&lt;=UTH!$M$14,UTH!$J$14,IF($Q279&lt;=UTH!$M$15,UTH!$J$15,IF($Q279&lt;=UTH!$M$16,UTH!$J$16,IF($Q279&lt;=UTH!$M$17,UTH!$J$17,IF($Q279&lt;=UTH!$M$18,UTH!$J$18,IF($Q279&lt;=UTH!$M$19,UTH!$J$19,IF($Q279&lt;=UTH!$M$20,UTH!$J$20))))))))))))))))),0)</f>
        <v>0</v>
      </c>
      <c r="S279" s="107">
        <f>IF(Inverts!$D279="YES",Inverts!$C279,Inverts!$E279)</f>
        <v>0</v>
      </c>
      <c r="T279" s="108">
        <f>IF($S279,($Q279/(KQ*($S279^(8/3))))^2,0)</f>
        <v>0</v>
      </c>
      <c r="U279" s="108">
        <f>IF($S279,(Vmin/(KV*($S279^(2/3))))^2,0)</f>
        <v>0</v>
      </c>
      <c r="V279" s="108">
        <f>IF($Z279,ROUND(MinDrop_2/$Z279,4),0)</f>
        <v>0</v>
      </c>
      <c r="W279" s="108">
        <f t="shared" ref="W279" si="705">IF($S279=0,0,MAX($T279:$V279))</f>
        <v>0</v>
      </c>
      <c r="X279" s="108">
        <f>IF(Inverts!$H279="yes",Inverts!$G279,Inverts!$I279)</f>
        <v>0</v>
      </c>
      <c r="Y279" s="105">
        <f>ROUND(KV*($S279^(2/3))*($X279^(0.5)),2)</f>
        <v>0</v>
      </c>
      <c r="Z279" s="106">
        <f>INDEX(Tribs!$H$3:$H$102,MATCH($A279,Tribs!$A$3:$A$102,0))</f>
        <v>0</v>
      </c>
      <c r="AA279" s="105">
        <f t="shared" ref="AA279" si="706">IF($Y279,($Z279/$Y279)*(1/60),0)</f>
        <v>0</v>
      </c>
      <c r="AB279" s="111">
        <f>ROUND(KQ*($S279^(8/3))*($X279^(0.5)),2)</f>
        <v>0</v>
      </c>
      <c r="AC279" s="138" t="str">
        <f>IF(AND($AB279&gt;=($Q279-0.0049),$Y279&gt;=(Vmin-0.0049)),"OK","NG")</f>
        <v>NG</v>
      </c>
    </row>
    <row r="280" spans="1:29" x14ac:dyDescent="0.3">
      <c r="A280" s="121"/>
      <c r="B280" s="184"/>
      <c r="C280" s="54"/>
      <c r="D280" s="52"/>
      <c r="E280" s="52"/>
      <c r="F280" s="117"/>
      <c r="G280" s="119">
        <f t="shared" ref="G280" si="707">IF($B280,INDEX($H$4:$H$499,(MATCH($B280,$A$4:$A$499))),0)</f>
        <v>0</v>
      </c>
      <c r="H280" s="113"/>
      <c r="I280" s="52"/>
      <c r="J280" s="52"/>
      <c r="K280" s="123"/>
      <c r="L280" s="53">
        <f t="shared" ref="L280" si="708">IF($B280,INDEX($O$4:$O$499,MATCH($B280,$A$4:$A$499)),0)</f>
        <v>0</v>
      </c>
      <c r="M280" s="126">
        <f t="shared" ref="M280" si="709">IF($B280,INDEX($AA$4:$AA$499,MATCH($B280,$A$4:$A$499)),0)</f>
        <v>0</v>
      </c>
      <c r="N280" s="119">
        <f t="shared" ref="N280" si="710">($L280+$M280)</f>
        <v>0</v>
      </c>
      <c r="O280" s="130"/>
      <c r="P280" s="134"/>
      <c r="Q280" s="130"/>
      <c r="R280" s="52"/>
      <c r="S280" s="224">
        <f t="shared" ref="S280:S283" si="711">S279</f>
        <v>0</v>
      </c>
      <c r="T280" s="237"/>
      <c r="U280" s="237"/>
      <c r="V280" s="237"/>
      <c r="W280" s="237"/>
      <c r="X280" s="52"/>
      <c r="Y280" s="52"/>
      <c r="Z280" s="52"/>
      <c r="AA280" s="54"/>
      <c r="AB280" s="130"/>
      <c r="AC280" s="139"/>
    </row>
    <row r="281" spans="1:29" x14ac:dyDescent="0.3">
      <c r="A281" s="121"/>
      <c r="B281" s="184"/>
      <c r="C281" s="54"/>
      <c r="D281" s="52"/>
      <c r="E281" s="52"/>
      <c r="F281" s="117"/>
      <c r="G281" s="119">
        <f t="shared" si="668"/>
        <v>0</v>
      </c>
      <c r="H281" s="113"/>
      <c r="I281" s="52"/>
      <c r="J281" s="52"/>
      <c r="K281" s="124"/>
      <c r="L281" s="53">
        <f t="shared" si="695"/>
        <v>0</v>
      </c>
      <c r="M281" s="127">
        <f t="shared" si="696"/>
        <v>0</v>
      </c>
      <c r="N281" s="119">
        <f t="shared" si="697"/>
        <v>0</v>
      </c>
      <c r="O281" s="130"/>
      <c r="P281" s="134"/>
      <c r="Q281" s="130"/>
      <c r="R281" s="52"/>
      <c r="S281" s="224">
        <f t="shared" si="711"/>
        <v>0</v>
      </c>
      <c r="T281" s="237"/>
      <c r="U281" s="237"/>
      <c r="V281" s="237"/>
      <c r="W281" s="237"/>
      <c r="X281" s="52"/>
      <c r="Y281" s="52"/>
      <c r="Z281" s="52"/>
      <c r="AA281" s="54"/>
      <c r="AB281" s="130"/>
      <c r="AC281" s="139"/>
    </row>
    <row r="282" spans="1:29" x14ac:dyDescent="0.3">
      <c r="A282" s="121"/>
      <c r="B282" s="184"/>
      <c r="C282" s="54"/>
      <c r="D282" s="52"/>
      <c r="E282" s="52"/>
      <c r="F282" s="117"/>
      <c r="G282" s="119">
        <f t="shared" si="668"/>
        <v>0</v>
      </c>
      <c r="H282" s="113"/>
      <c r="I282" s="52"/>
      <c r="J282" s="52"/>
      <c r="K282" s="124"/>
      <c r="L282" s="53">
        <f t="shared" si="695"/>
        <v>0</v>
      </c>
      <c r="M282" s="127">
        <f t="shared" si="696"/>
        <v>0</v>
      </c>
      <c r="N282" s="119">
        <f t="shared" si="697"/>
        <v>0</v>
      </c>
      <c r="O282" s="130"/>
      <c r="P282" s="134"/>
      <c r="Q282" s="130"/>
      <c r="R282" s="52"/>
      <c r="S282" s="224">
        <f t="shared" si="711"/>
        <v>0</v>
      </c>
      <c r="T282" s="237"/>
      <c r="U282" s="237"/>
      <c r="V282" s="237"/>
      <c r="W282" s="237"/>
      <c r="X282" s="52"/>
      <c r="Y282" s="52"/>
      <c r="Z282" s="52"/>
      <c r="AA282" s="54"/>
      <c r="AB282" s="130"/>
      <c r="AC282" s="139"/>
    </row>
    <row r="283" spans="1:29" ht="15" thickBot="1" x14ac:dyDescent="0.35">
      <c r="A283" s="122"/>
      <c r="B283" s="185"/>
      <c r="C283" s="102"/>
      <c r="D283" s="101"/>
      <c r="E283" s="101"/>
      <c r="F283" s="118"/>
      <c r="G283" s="120">
        <f t="shared" si="668"/>
        <v>0</v>
      </c>
      <c r="H283" s="114"/>
      <c r="I283" s="101"/>
      <c r="J283" s="101"/>
      <c r="K283" s="125"/>
      <c r="L283" s="103">
        <f t="shared" si="695"/>
        <v>0</v>
      </c>
      <c r="M283" s="128">
        <f t="shared" si="696"/>
        <v>0</v>
      </c>
      <c r="N283" s="120">
        <f t="shared" si="697"/>
        <v>0</v>
      </c>
      <c r="O283" s="131"/>
      <c r="P283" s="135"/>
      <c r="Q283" s="131"/>
      <c r="R283" s="101"/>
      <c r="S283" s="104">
        <f t="shared" si="711"/>
        <v>0</v>
      </c>
      <c r="T283" s="238"/>
      <c r="U283" s="238"/>
      <c r="V283" s="238"/>
      <c r="W283" s="238"/>
      <c r="X283" s="101"/>
      <c r="Y283" s="101"/>
      <c r="Z283" s="101"/>
      <c r="AA283" s="102"/>
      <c r="AB283" s="131"/>
      <c r="AC283" s="140"/>
    </row>
    <row r="284" spans="1:29" x14ac:dyDescent="0.3">
      <c r="A284" s="115">
        <f t="shared" ref="A284" si="712">$A279+1</f>
        <v>57</v>
      </c>
      <c r="B284" s="186"/>
      <c r="C284" s="105">
        <f>INDEX(Tribs!$C$3:$C$102,MATCH($A284,Tribs!$A$3:$A$102,0))</f>
        <v>0</v>
      </c>
      <c r="D284" s="106">
        <f>INDEX(Tribs!$E$3:$E$102,MATCH($A284,Tribs!$A$3:$A$102,0))</f>
        <v>0</v>
      </c>
      <c r="E284" s="105">
        <f>INDEX(Tribs!$F$3:$F$102,MATCH($A284,Tribs!$A$3:$A$102,0))</f>
        <v>0</v>
      </c>
      <c r="F284" s="116">
        <f t="shared" ref="F284" si="713">($C284*$E284)</f>
        <v>0</v>
      </c>
      <c r="G284" s="110"/>
      <c r="H284" s="111">
        <f t="shared" ref="H284" si="714">($F284)+(SUM($G285:$G288))</f>
        <v>0</v>
      </c>
      <c r="I284" s="106">
        <f>INDEX(Tribs!$D$3:$D$102,MATCH($A284,Tribs!$A$3:$A$102,0))</f>
        <v>0</v>
      </c>
      <c r="J284" s="106">
        <f>INDEX(Tribs!$G$3:$G$102,MATCH($A284,Tribs!$A$3:$A$102,0))</f>
        <v>0</v>
      </c>
      <c r="K284" s="105">
        <f>($J284)/V_gutter*(1/60)</f>
        <v>0</v>
      </c>
      <c r="L284" s="112"/>
      <c r="M284" s="109"/>
      <c r="N284" s="129">
        <f t="shared" ref="N284" si="715">($I284+$K284)</f>
        <v>0</v>
      </c>
      <c r="O284" s="111">
        <f t="shared" ref="O284" si="716">MAX($N284:$N288)</f>
        <v>0</v>
      </c>
      <c r="P284" s="133">
        <f>IF($H284&gt;0,IF($O284&lt;=T_1,I_1,IF($O284&lt;=T_2,(($O284*M_1)+B_1),IF($O284&lt;=T_3,(($O284*M_2)+B_2),IF($O284&lt;=T_4,(($O284*M_3)+B_3),IF($O284&lt;=T_5,(($O284*M_4)+B_4),IF($O284&lt;=T_6,(($O284*M_5)+B_5),IF($O284&lt;=T_7,(($O284*M_6)+B_6),IF($O284&lt;=T_8,(($O284*M_7)+B_7),IF($O284&lt;=T_9,(($O284*M_8)+B_8),IF($O284&lt;=T_10,(($O284*M_9)+B_9))))))))))),0)</f>
        <v>0</v>
      </c>
      <c r="Q284" s="111">
        <f t="shared" ref="Q284" si="717">ROUND(($H284*$P284),2)</f>
        <v>0</v>
      </c>
      <c r="R284" s="107">
        <f>IF($Q284&gt;0,IF($Q284&lt;=UTH!$M$4,UTH!$J$4,IF($Q284&lt;=UTH!$M$5,UTH!$J$5,IF($Q284&lt;=UTH!$M$6,UTH!$J$6,IF($Q284&lt;=UTH!$M$7,UTH!$J$7,IF($Q284&lt;=UTH!$M$8,UTH!$J$8,IF($Q284&lt;=UTH!$M$9,UTH!$J$9,IF($Q284&lt;=UTH!$M$10,UTH!$J$10,IF($Q284&lt;=UTH!$M$11,UTH!$J$11,IF($Q284&lt;=UTH!$M$12,UTH!$J$12,IF($Q284&lt;=UTH!$M$13,UTH!$J$13,IF($Q284&lt;=UTH!$M$14,UTH!$J$14,IF($Q284&lt;=UTH!$M$15,UTH!$J$15,IF($Q284&lt;=UTH!$M$16,UTH!$J$16,IF($Q284&lt;=UTH!$M$17,UTH!$J$17,IF($Q284&lt;=UTH!$M$18,UTH!$J$18,IF($Q284&lt;=UTH!$M$19,UTH!$J$19,IF($Q284&lt;=UTH!$M$20,UTH!$J$20))))))))))))))))),0)</f>
        <v>0</v>
      </c>
      <c r="S284" s="107">
        <f>IF(Inverts!$D284="YES",Inverts!$C284,Inverts!$E284)</f>
        <v>0</v>
      </c>
      <c r="T284" s="108">
        <f>IF($S284,($Q284/(KQ*($S284^(8/3))))^2,0)</f>
        <v>0</v>
      </c>
      <c r="U284" s="108">
        <f>IF($S284,(Vmin/(KV*($S284^(2/3))))^2,0)</f>
        <v>0</v>
      </c>
      <c r="V284" s="108">
        <f>IF($Z284,ROUND(MinDrop_2/$Z284,4),0)</f>
        <v>0</v>
      </c>
      <c r="W284" s="108">
        <f t="shared" ref="W284" si="718">IF($S284=0,0,MAX($T284:$V284))</f>
        <v>0</v>
      </c>
      <c r="X284" s="108">
        <f>IF(Inverts!$H284="yes",Inverts!$G284,Inverts!$I284)</f>
        <v>0</v>
      </c>
      <c r="Y284" s="105">
        <f>ROUND(KV*($S284^(2/3))*($X284^(0.5)),2)</f>
        <v>0</v>
      </c>
      <c r="Z284" s="106">
        <f>INDEX(Tribs!$H$3:$H$102,MATCH($A284,Tribs!$A$3:$A$102,0))</f>
        <v>0</v>
      </c>
      <c r="AA284" s="105">
        <f t="shared" ref="AA284" si="719">IF($Y284,($Z284/$Y284)*(1/60),0)</f>
        <v>0</v>
      </c>
      <c r="AB284" s="111">
        <f>ROUND(KQ*($S284^(8/3))*($X284^(0.5)),2)</f>
        <v>0</v>
      </c>
      <c r="AC284" s="138" t="str">
        <f>IF(AND($AB284&gt;=($Q284-0.0049),$Y284&gt;=(Vmin-0.0049)),"OK","NG")</f>
        <v>NG</v>
      </c>
    </row>
    <row r="285" spans="1:29" x14ac:dyDescent="0.3">
      <c r="A285" s="121"/>
      <c r="B285" s="184"/>
      <c r="C285" s="54"/>
      <c r="D285" s="52"/>
      <c r="E285" s="52"/>
      <c r="F285" s="117"/>
      <c r="G285" s="119">
        <f t="shared" ref="G285" si="720">IF($B285,INDEX($H$4:$H$499,(MATCH($B285,$A$4:$A$499))),0)</f>
        <v>0</v>
      </c>
      <c r="H285" s="113"/>
      <c r="I285" s="52"/>
      <c r="J285" s="52"/>
      <c r="K285" s="123"/>
      <c r="L285" s="53">
        <f t="shared" ref="L285" si="721">IF($B285,INDEX($O$4:$O$499,MATCH($B285,$A$4:$A$499)),0)</f>
        <v>0</v>
      </c>
      <c r="M285" s="126">
        <f t="shared" ref="M285" si="722">IF($B285,INDEX($AA$4:$AA$499,MATCH($B285,$A$4:$A$499)),0)</f>
        <v>0</v>
      </c>
      <c r="N285" s="119">
        <f t="shared" ref="N285" si="723">($L285+$M285)</f>
        <v>0</v>
      </c>
      <c r="O285" s="130"/>
      <c r="P285" s="134"/>
      <c r="Q285" s="130"/>
      <c r="R285" s="52"/>
      <c r="S285" s="224">
        <f t="shared" ref="S285:S288" si="724">S284</f>
        <v>0</v>
      </c>
      <c r="T285" s="237"/>
      <c r="U285" s="237"/>
      <c r="V285" s="237"/>
      <c r="W285" s="237"/>
      <c r="X285" s="52"/>
      <c r="Y285" s="52"/>
      <c r="Z285" s="52"/>
      <c r="AA285" s="54"/>
      <c r="AB285" s="130"/>
      <c r="AC285" s="139"/>
    </row>
    <row r="286" spans="1:29" x14ac:dyDescent="0.3">
      <c r="A286" s="121"/>
      <c r="B286" s="184"/>
      <c r="C286" s="54"/>
      <c r="D286" s="52"/>
      <c r="E286" s="52"/>
      <c r="F286" s="117"/>
      <c r="G286" s="119">
        <f t="shared" si="668"/>
        <v>0</v>
      </c>
      <c r="H286" s="113"/>
      <c r="I286" s="52"/>
      <c r="J286" s="52"/>
      <c r="K286" s="124"/>
      <c r="L286" s="53">
        <f t="shared" si="695"/>
        <v>0</v>
      </c>
      <c r="M286" s="127">
        <f t="shared" si="696"/>
        <v>0</v>
      </c>
      <c r="N286" s="119">
        <f t="shared" si="697"/>
        <v>0</v>
      </c>
      <c r="O286" s="130"/>
      <c r="P286" s="134"/>
      <c r="Q286" s="130"/>
      <c r="R286" s="52"/>
      <c r="S286" s="224">
        <f t="shared" si="724"/>
        <v>0</v>
      </c>
      <c r="T286" s="237"/>
      <c r="U286" s="237"/>
      <c r="V286" s="237"/>
      <c r="W286" s="237"/>
      <c r="X286" s="52"/>
      <c r="Y286" s="52"/>
      <c r="Z286" s="52"/>
      <c r="AA286" s="54"/>
      <c r="AB286" s="130"/>
      <c r="AC286" s="139"/>
    </row>
    <row r="287" spans="1:29" x14ac:dyDescent="0.3">
      <c r="A287" s="121"/>
      <c r="B287" s="184"/>
      <c r="C287" s="54"/>
      <c r="D287" s="52"/>
      <c r="E287" s="52"/>
      <c r="F287" s="117"/>
      <c r="G287" s="119">
        <f t="shared" si="668"/>
        <v>0</v>
      </c>
      <c r="H287" s="113"/>
      <c r="I287" s="52"/>
      <c r="J287" s="52"/>
      <c r="K287" s="124"/>
      <c r="L287" s="53">
        <f t="shared" si="695"/>
        <v>0</v>
      </c>
      <c r="M287" s="127">
        <f t="shared" si="696"/>
        <v>0</v>
      </c>
      <c r="N287" s="119">
        <f t="shared" si="697"/>
        <v>0</v>
      </c>
      <c r="O287" s="130"/>
      <c r="P287" s="134"/>
      <c r="Q287" s="130"/>
      <c r="R287" s="52"/>
      <c r="S287" s="224">
        <f t="shared" si="724"/>
        <v>0</v>
      </c>
      <c r="T287" s="237"/>
      <c r="U287" s="237"/>
      <c r="V287" s="237"/>
      <c r="W287" s="237"/>
      <c r="X287" s="52"/>
      <c r="Y287" s="52"/>
      <c r="Z287" s="52"/>
      <c r="AA287" s="54"/>
      <c r="AB287" s="130"/>
      <c r="AC287" s="139"/>
    </row>
    <row r="288" spans="1:29" ht="15" thickBot="1" x14ac:dyDescent="0.35">
      <c r="A288" s="122"/>
      <c r="B288" s="185"/>
      <c r="C288" s="102"/>
      <c r="D288" s="101"/>
      <c r="E288" s="101"/>
      <c r="F288" s="118"/>
      <c r="G288" s="120">
        <f t="shared" si="668"/>
        <v>0</v>
      </c>
      <c r="H288" s="114"/>
      <c r="I288" s="101"/>
      <c r="J288" s="101"/>
      <c r="K288" s="125"/>
      <c r="L288" s="103">
        <f t="shared" si="695"/>
        <v>0</v>
      </c>
      <c r="M288" s="128">
        <f t="shared" si="696"/>
        <v>0</v>
      </c>
      <c r="N288" s="120">
        <f t="shared" si="697"/>
        <v>0</v>
      </c>
      <c r="O288" s="131"/>
      <c r="P288" s="135"/>
      <c r="Q288" s="131"/>
      <c r="R288" s="101"/>
      <c r="S288" s="104">
        <f t="shared" si="724"/>
        <v>0</v>
      </c>
      <c r="T288" s="238"/>
      <c r="U288" s="238"/>
      <c r="V288" s="238"/>
      <c r="W288" s="238"/>
      <c r="X288" s="101"/>
      <c r="Y288" s="101"/>
      <c r="Z288" s="101"/>
      <c r="AA288" s="102"/>
      <c r="AB288" s="131"/>
      <c r="AC288" s="140"/>
    </row>
    <row r="289" spans="1:29" x14ac:dyDescent="0.3">
      <c r="A289" s="115">
        <f t="shared" ref="A289" si="725">$A284+1</f>
        <v>58</v>
      </c>
      <c r="B289" s="186"/>
      <c r="C289" s="105">
        <f>INDEX(Tribs!$C$3:$C$102,MATCH($A289,Tribs!$A$3:$A$102,0))</f>
        <v>0</v>
      </c>
      <c r="D289" s="106">
        <f>INDEX(Tribs!$E$3:$E$102,MATCH($A289,Tribs!$A$3:$A$102,0))</f>
        <v>0</v>
      </c>
      <c r="E289" s="105">
        <f>INDEX(Tribs!$F$3:$F$102,MATCH($A289,Tribs!$A$3:$A$102,0))</f>
        <v>0</v>
      </c>
      <c r="F289" s="116">
        <f t="shared" ref="F289" si="726">($C289*$E289)</f>
        <v>0</v>
      </c>
      <c r="G289" s="110"/>
      <c r="H289" s="111">
        <f t="shared" ref="H289" si="727">($F289)+(SUM($G290:$G293))</f>
        <v>0</v>
      </c>
      <c r="I289" s="106">
        <f>INDEX(Tribs!$D$3:$D$102,MATCH($A289,Tribs!$A$3:$A$102,0))</f>
        <v>0</v>
      </c>
      <c r="J289" s="106">
        <f>INDEX(Tribs!$G$3:$G$102,MATCH($A289,Tribs!$A$3:$A$102,0))</f>
        <v>0</v>
      </c>
      <c r="K289" s="105">
        <f>($J289)/V_gutter*(1/60)</f>
        <v>0</v>
      </c>
      <c r="L289" s="112"/>
      <c r="M289" s="109"/>
      <c r="N289" s="129">
        <f t="shared" ref="N289" si="728">($I289+$K289)</f>
        <v>0</v>
      </c>
      <c r="O289" s="111">
        <f t="shared" ref="O289" si="729">MAX($N289:$N293)</f>
        <v>0</v>
      </c>
      <c r="P289" s="133">
        <f>IF($H289&gt;0,IF($O289&lt;=T_1,I_1,IF($O289&lt;=T_2,(($O289*M_1)+B_1),IF($O289&lt;=T_3,(($O289*M_2)+B_2),IF($O289&lt;=T_4,(($O289*M_3)+B_3),IF($O289&lt;=T_5,(($O289*M_4)+B_4),IF($O289&lt;=T_6,(($O289*M_5)+B_5),IF($O289&lt;=T_7,(($O289*M_6)+B_6),IF($O289&lt;=T_8,(($O289*M_7)+B_7),IF($O289&lt;=T_9,(($O289*M_8)+B_8),IF($O289&lt;=T_10,(($O289*M_9)+B_9))))))))))),0)</f>
        <v>0</v>
      </c>
      <c r="Q289" s="111">
        <f t="shared" ref="Q289" si="730">ROUND(($H289*$P289),2)</f>
        <v>0</v>
      </c>
      <c r="R289" s="107">
        <f>IF($Q289&gt;0,IF($Q289&lt;=UTH!$M$4,UTH!$J$4,IF($Q289&lt;=UTH!$M$5,UTH!$J$5,IF($Q289&lt;=UTH!$M$6,UTH!$J$6,IF($Q289&lt;=UTH!$M$7,UTH!$J$7,IF($Q289&lt;=UTH!$M$8,UTH!$J$8,IF($Q289&lt;=UTH!$M$9,UTH!$J$9,IF($Q289&lt;=UTH!$M$10,UTH!$J$10,IF($Q289&lt;=UTH!$M$11,UTH!$J$11,IF($Q289&lt;=UTH!$M$12,UTH!$J$12,IF($Q289&lt;=UTH!$M$13,UTH!$J$13,IF($Q289&lt;=UTH!$M$14,UTH!$J$14,IF($Q289&lt;=UTH!$M$15,UTH!$J$15,IF($Q289&lt;=UTH!$M$16,UTH!$J$16,IF($Q289&lt;=UTH!$M$17,UTH!$J$17,IF($Q289&lt;=UTH!$M$18,UTH!$J$18,IF($Q289&lt;=UTH!$M$19,UTH!$J$19,IF($Q289&lt;=UTH!$M$20,UTH!$J$20))))))))))))))))),0)</f>
        <v>0</v>
      </c>
      <c r="S289" s="107">
        <f>IF(Inverts!$D289="YES",Inverts!$C289,Inverts!$E289)</f>
        <v>0</v>
      </c>
      <c r="T289" s="108">
        <f>IF($S289,($Q289/(KQ*($S289^(8/3))))^2,0)</f>
        <v>0</v>
      </c>
      <c r="U289" s="108">
        <f>IF($S289,(Vmin/(KV*($S289^(2/3))))^2,0)</f>
        <v>0</v>
      </c>
      <c r="V289" s="108">
        <f>IF($Z289,ROUND(MinDrop_2/$Z289,4),0)</f>
        <v>0</v>
      </c>
      <c r="W289" s="108">
        <f t="shared" ref="W289" si="731">IF($S289=0,0,MAX($T289:$V289))</f>
        <v>0</v>
      </c>
      <c r="X289" s="108">
        <f>IF(Inverts!$H289="yes",Inverts!$G289,Inverts!$I289)</f>
        <v>0</v>
      </c>
      <c r="Y289" s="105">
        <f>ROUND(KV*($S289^(2/3))*($X289^(0.5)),2)</f>
        <v>0</v>
      </c>
      <c r="Z289" s="106">
        <f>INDEX(Tribs!$H$3:$H$102,MATCH($A289,Tribs!$A$3:$A$102,0))</f>
        <v>0</v>
      </c>
      <c r="AA289" s="105">
        <f t="shared" ref="AA289" si="732">IF($Y289,($Z289/$Y289)*(1/60),0)</f>
        <v>0</v>
      </c>
      <c r="AB289" s="111">
        <f>ROUND(KQ*($S289^(8/3))*($X289^(0.5)),2)</f>
        <v>0</v>
      </c>
      <c r="AC289" s="138" t="str">
        <f>IF(AND($AB289&gt;=($Q289-0.0049),$Y289&gt;=(Vmin-0.0049)),"OK","NG")</f>
        <v>NG</v>
      </c>
    </row>
    <row r="290" spans="1:29" x14ac:dyDescent="0.3">
      <c r="A290" s="121"/>
      <c r="B290" s="184"/>
      <c r="C290" s="54"/>
      <c r="D290" s="52"/>
      <c r="E290" s="52"/>
      <c r="F290" s="117"/>
      <c r="G290" s="119">
        <f t="shared" ref="G290" si="733">IF($B290,INDEX($H$4:$H$499,(MATCH($B290,$A$4:$A$499))),0)</f>
        <v>0</v>
      </c>
      <c r="H290" s="113"/>
      <c r="I290" s="52"/>
      <c r="J290" s="52"/>
      <c r="K290" s="123"/>
      <c r="L290" s="53">
        <f t="shared" ref="L290" si="734">IF($B290,INDEX($O$4:$O$499,MATCH($B290,$A$4:$A$499)),0)</f>
        <v>0</v>
      </c>
      <c r="M290" s="126">
        <f t="shared" ref="M290" si="735">IF($B290,INDEX($AA$4:$AA$499,MATCH($B290,$A$4:$A$499)),0)</f>
        <v>0</v>
      </c>
      <c r="N290" s="119">
        <f t="shared" ref="N290" si="736">($L290+$M290)</f>
        <v>0</v>
      </c>
      <c r="O290" s="130"/>
      <c r="P290" s="134"/>
      <c r="Q290" s="130"/>
      <c r="R290" s="52"/>
      <c r="S290" s="224">
        <f t="shared" ref="S290:S293" si="737">S289</f>
        <v>0</v>
      </c>
      <c r="T290" s="237"/>
      <c r="U290" s="237"/>
      <c r="V290" s="237"/>
      <c r="W290" s="237"/>
      <c r="X290" s="52"/>
      <c r="Y290" s="52"/>
      <c r="Z290" s="52"/>
      <c r="AA290" s="54"/>
      <c r="AB290" s="130"/>
      <c r="AC290" s="139"/>
    </row>
    <row r="291" spans="1:29" x14ac:dyDescent="0.3">
      <c r="A291" s="121"/>
      <c r="B291" s="184"/>
      <c r="C291" s="54"/>
      <c r="D291" s="52"/>
      <c r="E291" s="52"/>
      <c r="F291" s="117"/>
      <c r="G291" s="119">
        <f t="shared" si="668"/>
        <v>0</v>
      </c>
      <c r="H291" s="113"/>
      <c r="I291" s="52"/>
      <c r="J291" s="52"/>
      <c r="K291" s="124"/>
      <c r="L291" s="53">
        <f t="shared" si="695"/>
        <v>0</v>
      </c>
      <c r="M291" s="127">
        <f t="shared" si="696"/>
        <v>0</v>
      </c>
      <c r="N291" s="119">
        <f t="shared" si="697"/>
        <v>0</v>
      </c>
      <c r="O291" s="130"/>
      <c r="P291" s="134"/>
      <c r="Q291" s="130"/>
      <c r="R291" s="52"/>
      <c r="S291" s="224">
        <f t="shared" si="737"/>
        <v>0</v>
      </c>
      <c r="T291" s="237"/>
      <c r="U291" s="237"/>
      <c r="V291" s="237"/>
      <c r="W291" s="237"/>
      <c r="X291" s="52"/>
      <c r="Y291" s="52"/>
      <c r="Z291" s="52"/>
      <c r="AA291" s="54"/>
      <c r="AB291" s="130"/>
      <c r="AC291" s="139"/>
    </row>
    <row r="292" spans="1:29" x14ac:dyDescent="0.3">
      <c r="A292" s="121"/>
      <c r="B292" s="184"/>
      <c r="C292" s="54"/>
      <c r="D292" s="52"/>
      <c r="E292" s="52"/>
      <c r="F292" s="117"/>
      <c r="G292" s="119">
        <f t="shared" si="668"/>
        <v>0</v>
      </c>
      <c r="H292" s="113"/>
      <c r="I292" s="52"/>
      <c r="J292" s="52"/>
      <c r="K292" s="124"/>
      <c r="L292" s="53">
        <f t="shared" si="695"/>
        <v>0</v>
      </c>
      <c r="M292" s="127">
        <f t="shared" si="696"/>
        <v>0</v>
      </c>
      <c r="N292" s="119">
        <f t="shared" si="697"/>
        <v>0</v>
      </c>
      <c r="O292" s="130"/>
      <c r="P292" s="134"/>
      <c r="Q292" s="130"/>
      <c r="R292" s="52"/>
      <c r="S292" s="224">
        <f t="shared" si="737"/>
        <v>0</v>
      </c>
      <c r="T292" s="237"/>
      <c r="U292" s="237"/>
      <c r="V292" s="237"/>
      <c r="W292" s="237"/>
      <c r="X292" s="52"/>
      <c r="Y292" s="52"/>
      <c r="Z292" s="52"/>
      <c r="AA292" s="54"/>
      <c r="AB292" s="130"/>
      <c r="AC292" s="139"/>
    </row>
    <row r="293" spans="1:29" ht="15" thickBot="1" x14ac:dyDescent="0.35">
      <c r="A293" s="122"/>
      <c r="B293" s="185"/>
      <c r="C293" s="102"/>
      <c r="D293" s="101"/>
      <c r="E293" s="101"/>
      <c r="F293" s="118"/>
      <c r="G293" s="120">
        <f t="shared" si="668"/>
        <v>0</v>
      </c>
      <c r="H293" s="114"/>
      <c r="I293" s="101"/>
      <c r="J293" s="101"/>
      <c r="K293" s="125"/>
      <c r="L293" s="103">
        <f t="shared" si="695"/>
        <v>0</v>
      </c>
      <c r="M293" s="128">
        <f t="shared" si="696"/>
        <v>0</v>
      </c>
      <c r="N293" s="120">
        <f t="shared" si="697"/>
        <v>0</v>
      </c>
      <c r="O293" s="131"/>
      <c r="P293" s="135"/>
      <c r="Q293" s="131"/>
      <c r="R293" s="101"/>
      <c r="S293" s="104">
        <f t="shared" si="737"/>
        <v>0</v>
      </c>
      <c r="T293" s="238"/>
      <c r="U293" s="238"/>
      <c r="V293" s="238"/>
      <c r="W293" s="238"/>
      <c r="X293" s="101"/>
      <c r="Y293" s="101"/>
      <c r="Z293" s="101"/>
      <c r="AA293" s="102"/>
      <c r="AB293" s="131"/>
      <c r="AC293" s="140"/>
    </row>
    <row r="294" spans="1:29" x14ac:dyDescent="0.3">
      <c r="A294" s="115">
        <f t="shared" ref="A294" si="738">$A289+1</f>
        <v>59</v>
      </c>
      <c r="B294" s="186"/>
      <c r="C294" s="105">
        <f>INDEX(Tribs!$C$3:$C$102,MATCH($A294,Tribs!$A$3:$A$102,0))</f>
        <v>0</v>
      </c>
      <c r="D294" s="106">
        <f>INDEX(Tribs!$E$3:$E$102,MATCH($A294,Tribs!$A$3:$A$102,0))</f>
        <v>0</v>
      </c>
      <c r="E294" s="105">
        <f>INDEX(Tribs!$F$3:$F$102,MATCH($A294,Tribs!$A$3:$A$102,0))</f>
        <v>0</v>
      </c>
      <c r="F294" s="116">
        <f t="shared" ref="F294" si="739">($C294*$E294)</f>
        <v>0</v>
      </c>
      <c r="G294" s="110"/>
      <c r="H294" s="111">
        <f t="shared" ref="H294" si="740">($F294)+(SUM($G295:$G298))</f>
        <v>0</v>
      </c>
      <c r="I294" s="106">
        <f>INDEX(Tribs!$D$3:$D$102,MATCH($A294,Tribs!$A$3:$A$102,0))</f>
        <v>0</v>
      </c>
      <c r="J294" s="106">
        <f>INDEX(Tribs!$G$3:$G$102,MATCH($A294,Tribs!$A$3:$A$102,0))</f>
        <v>0</v>
      </c>
      <c r="K294" s="105">
        <f>($J294)/V_gutter*(1/60)</f>
        <v>0</v>
      </c>
      <c r="L294" s="112"/>
      <c r="M294" s="109"/>
      <c r="N294" s="129">
        <f t="shared" ref="N294" si="741">($I294+$K294)</f>
        <v>0</v>
      </c>
      <c r="O294" s="111">
        <f t="shared" ref="O294" si="742">MAX($N294:$N298)</f>
        <v>0</v>
      </c>
      <c r="P294" s="133">
        <f>IF($H294&gt;0,IF($O294&lt;=T_1,I_1,IF($O294&lt;=T_2,(($O294*M_1)+B_1),IF($O294&lt;=T_3,(($O294*M_2)+B_2),IF($O294&lt;=T_4,(($O294*M_3)+B_3),IF($O294&lt;=T_5,(($O294*M_4)+B_4),IF($O294&lt;=T_6,(($O294*M_5)+B_5),IF($O294&lt;=T_7,(($O294*M_6)+B_6),IF($O294&lt;=T_8,(($O294*M_7)+B_7),IF($O294&lt;=T_9,(($O294*M_8)+B_8),IF($O294&lt;=T_10,(($O294*M_9)+B_9))))))))))),0)</f>
        <v>0</v>
      </c>
      <c r="Q294" s="111">
        <f t="shared" ref="Q294" si="743">ROUND(($H294*$P294),2)</f>
        <v>0</v>
      </c>
      <c r="R294" s="107">
        <f>IF($Q294&gt;0,IF($Q294&lt;=UTH!$M$4,UTH!$J$4,IF($Q294&lt;=UTH!$M$5,UTH!$J$5,IF($Q294&lt;=UTH!$M$6,UTH!$J$6,IF($Q294&lt;=UTH!$M$7,UTH!$J$7,IF($Q294&lt;=UTH!$M$8,UTH!$J$8,IF($Q294&lt;=UTH!$M$9,UTH!$J$9,IF($Q294&lt;=UTH!$M$10,UTH!$J$10,IF($Q294&lt;=UTH!$M$11,UTH!$J$11,IF($Q294&lt;=UTH!$M$12,UTH!$J$12,IF($Q294&lt;=UTH!$M$13,UTH!$J$13,IF($Q294&lt;=UTH!$M$14,UTH!$J$14,IF($Q294&lt;=UTH!$M$15,UTH!$J$15,IF($Q294&lt;=UTH!$M$16,UTH!$J$16,IF($Q294&lt;=UTH!$M$17,UTH!$J$17,IF($Q294&lt;=UTH!$M$18,UTH!$J$18,IF($Q294&lt;=UTH!$M$19,UTH!$J$19,IF($Q294&lt;=UTH!$M$20,UTH!$J$20))))))))))))))))),0)</f>
        <v>0</v>
      </c>
      <c r="S294" s="107">
        <f>IF(Inverts!$D294="YES",Inverts!$C294,Inverts!$E294)</f>
        <v>0</v>
      </c>
      <c r="T294" s="108">
        <f>IF($S294,($Q294/(KQ*($S294^(8/3))))^2,0)</f>
        <v>0</v>
      </c>
      <c r="U294" s="108">
        <f>IF($S294,(Vmin/(KV*($S294^(2/3))))^2,0)</f>
        <v>0</v>
      </c>
      <c r="V294" s="108">
        <f>IF($Z294,ROUND(MinDrop_2/$Z294,4),0)</f>
        <v>0</v>
      </c>
      <c r="W294" s="108">
        <f t="shared" ref="W294" si="744">IF($S294=0,0,MAX($T294:$V294))</f>
        <v>0</v>
      </c>
      <c r="X294" s="108">
        <f>IF(Inverts!$H294="yes",Inverts!$G294,Inverts!$I294)</f>
        <v>0</v>
      </c>
      <c r="Y294" s="105">
        <f>ROUND(KV*($S294^(2/3))*($X294^(0.5)),2)</f>
        <v>0</v>
      </c>
      <c r="Z294" s="106">
        <f>INDEX(Tribs!$H$3:$H$102,MATCH($A294,Tribs!$A$3:$A$102,0))</f>
        <v>0</v>
      </c>
      <c r="AA294" s="105">
        <f t="shared" ref="AA294" si="745">IF($Y294,($Z294/$Y294)*(1/60),0)</f>
        <v>0</v>
      </c>
      <c r="AB294" s="111">
        <f>ROUND(KQ*($S294^(8/3))*($X294^(0.5)),2)</f>
        <v>0</v>
      </c>
      <c r="AC294" s="138" t="str">
        <f>IF(AND($AB294&gt;=($Q294-0.0049),$Y294&gt;=(Vmin-0.0049)),"OK","NG")</f>
        <v>NG</v>
      </c>
    </row>
    <row r="295" spans="1:29" x14ac:dyDescent="0.3">
      <c r="A295" s="121"/>
      <c r="B295" s="184"/>
      <c r="C295" s="54"/>
      <c r="D295" s="52"/>
      <c r="E295" s="52"/>
      <c r="F295" s="117"/>
      <c r="G295" s="119">
        <f t="shared" ref="G295" si="746">IF($B295,INDEX($H$4:$H$499,(MATCH($B295,$A$4:$A$499))),0)</f>
        <v>0</v>
      </c>
      <c r="H295" s="113"/>
      <c r="I295" s="52"/>
      <c r="J295" s="52"/>
      <c r="K295" s="123"/>
      <c r="L295" s="53">
        <f t="shared" ref="L295" si="747">IF($B295,INDEX($O$4:$O$499,MATCH($B295,$A$4:$A$499)),0)</f>
        <v>0</v>
      </c>
      <c r="M295" s="126">
        <f t="shared" ref="M295" si="748">IF($B295,INDEX($AA$4:$AA$499,MATCH($B295,$A$4:$A$499)),0)</f>
        <v>0</v>
      </c>
      <c r="N295" s="119">
        <f t="shared" ref="N295" si="749">($L295+$M295)</f>
        <v>0</v>
      </c>
      <c r="O295" s="130"/>
      <c r="P295" s="134"/>
      <c r="Q295" s="130"/>
      <c r="R295" s="52"/>
      <c r="S295" s="224">
        <f t="shared" ref="S295:S298" si="750">S294</f>
        <v>0</v>
      </c>
      <c r="T295" s="237"/>
      <c r="U295" s="237"/>
      <c r="V295" s="237"/>
      <c r="W295" s="237"/>
      <c r="X295" s="52"/>
      <c r="Y295" s="52"/>
      <c r="Z295" s="52"/>
      <c r="AA295" s="54"/>
      <c r="AB295" s="130"/>
      <c r="AC295" s="139"/>
    </row>
    <row r="296" spans="1:29" x14ac:dyDescent="0.3">
      <c r="A296" s="121"/>
      <c r="B296" s="184"/>
      <c r="C296" s="54"/>
      <c r="D296" s="52"/>
      <c r="E296" s="52"/>
      <c r="F296" s="117"/>
      <c r="G296" s="119">
        <f t="shared" si="668"/>
        <v>0</v>
      </c>
      <c r="H296" s="113"/>
      <c r="I296" s="52"/>
      <c r="J296" s="52"/>
      <c r="K296" s="124"/>
      <c r="L296" s="53">
        <f t="shared" si="695"/>
        <v>0</v>
      </c>
      <c r="M296" s="127">
        <f t="shared" si="696"/>
        <v>0</v>
      </c>
      <c r="N296" s="119">
        <f t="shared" si="697"/>
        <v>0</v>
      </c>
      <c r="O296" s="130"/>
      <c r="P296" s="134"/>
      <c r="Q296" s="130"/>
      <c r="R296" s="52"/>
      <c r="S296" s="224">
        <f t="shared" si="750"/>
        <v>0</v>
      </c>
      <c r="T296" s="237"/>
      <c r="U296" s="237"/>
      <c r="V296" s="237"/>
      <c r="W296" s="237"/>
      <c r="X296" s="52"/>
      <c r="Y296" s="52"/>
      <c r="Z296" s="52"/>
      <c r="AA296" s="54"/>
      <c r="AB296" s="130"/>
      <c r="AC296" s="139"/>
    </row>
    <row r="297" spans="1:29" x14ac:dyDescent="0.3">
      <c r="A297" s="121"/>
      <c r="B297" s="184"/>
      <c r="C297" s="54"/>
      <c r="D297" s="52"/>
      <c r="E297" s="52"/>
      <c r="F297" s="117"/>
      <c r="G297" s="119">
        <f t="shared" si="668"/>
        <v>0</v>
      </c>
      <c r="H297" s="113"/>
      <c r="I297" s="52"/>
      <c r="J297" s="52"/>
      <c r="K297" s="124"/>
      <c r="L297" s="53">
        <f t="shared" si="695"/>
        <v>0</v>
      </c>
      <c r="M297" s="127">
        <f t="shared" si="696"/>
        <v>0</v>
      </c>
      <c r="N297" s="119">
        <f t="shared" si="697"/>
        <v>0</v>
      </c>
      <c r="O297" s="130"/>
      <c r="P297" s="134"/>
      <c r="Q297" s="130"/>
      <c r="R297" s="52"/>
      <c r="S297" s="224">
        <f t="shared" si="750"/>
        <v>0</v>
      </c>
      <c r="T297" s="237"/>
      <c r="U297" s="237"/>
      <c r="V297" s="237"/>
      <c r="W297" s="237"/>
      <c r="X297" s="52"/>
      <c r="Y297" s="52"/>
      <c r="Z297" s="52"/>
      <c r="AA297" s="54"/>
      <c r="AB297" s="130"/>
      <c r="AC297" s="139"/>
    </row>
    <row r="298" spans="1:29" ht="15" thickBot="1" x14ac:dyDescent="0.35">
      <c r="A298" s="122"/>
      <c r="B298" s="185"/>
      <c r="C298" s="102"/>
      <c r="D298" s="101"/>
      <c r="E298" s="101"/>
      <c r="F298" s="118"/>
      <c r="G298" s="120">
        <f t="shared" si="668"/>
        <v>0</v>
      </c>
      <c r="H298" s="114"/>
      <c r="I298" s="101"/>
      <c r="J298" s="101"/>
      <c r="K298" s="125"/>
      <c r="L298" s="103">
        <f t="shared" si="695"/>
        <v>0</v>
      </c>
      <c r="M298" s="128">
        <f t="shared" si="696"/>
        <v>0</v>
      </c>
      <c r="N298" s="120">
        <f t="shared" si="697"/>
        <v>0</v>
      </c>
      <c r="O298" s="131"/>
      <c r="P298" s="135"/>
      <c r="Q298" s="131"/>
      <c r="R298" s="101"/>
      <c r="S298" s="104">
        <f t="shared" si="750"/>
        <v>0</v>
      </c>
      <c r="T298" s="238"/>
      <c r="U298" s="238"/>
      <c r="V298" s="238"/>
      <c r="W298" s="238"/>
      <c r="X298" s="101"/>
      <c r="Y298" s="101"/>
      <c r="Z298" s="101"/>
      <c r="AA298" s="102"/>
      <c r="AB298" s="131"/>
      <c r="AC298" s="140"/>
    </row>
    <row r="299" spans="1:29" x14ac:dyDescent="0.3">
      <c r="A299" s="115">
        <f t="shared" ref="A299" si="751">$A294+1</f>
        <v>60</v>
      </c>
      <c r="B299" s="186"/>
      <c r="C299" s="105">
        <f>INDEX(Tribs!$C$3:$C$102,MATCH($A299,Tribs!$A$3:$A$102,0))</f>
        <v>0</v>
      </c>
      <c r="D299" s="106">
        <f>INDEX(Tribs!$E$3:$E$102,MATCH($A299,Tribs!$A$3:$A$102,0))</f>
        <v>0</v>
      </c>
      <c r="E299" s="105">
        <f>INDEX(Tribs!$F$3:$F$102,MATCH($A299,Tribs!$A$3:$A$102,0))</f>
        <v>0</v>
      </c>
      <c r="F299" s="116">
        <f t="shared" ref="F299" si="752">($C299*$E299)</f>
        <v>0</v>
      </c>
      <c r="G299" s="110"/>
      <c r="H299" s="111">
        <f t="shared" ref="H299" si="753">($F299)+(SUM($G300:$G303))</f>
        <v>0</v>
      </c>
      <c r="I299" s="106">
        <f>INDEX(Tribs!$D$3:$D$102,MATCH($A299,Tribs!$A$3:$A$102,0))</f>
        <v>0</v>
      </c>
      <c r="J299" s="106">
        <f>INDEX(Tribs!$G$3:$G$102,MATCH($A299,Tribs!$A$3:$A$102,0))</f>
        <v>0</v>
      </c>
      <c r="K299" s="105">
        <f>($J299)/V_gutter*(1/60)</f>
        <v>0</v>
      </c>
      <c r="L299" s="112"/>
      <c r="M299" s="109"/>
      <c r="N299" s="129">
        <f t="shared" ref="N299" si="754">($I299+$K299)</f>
        <v>0</v>
      </c>
      <c r="O299" s="111">
        <f t="shared" ref="O299" si="755">MAX($N299:$N303)</f>
        <v>0</v>
      </c>
      <c r="P299" s="133">
        <f>IF($H299&gt;0,IF($O299&lt;=T_1,I_1,IF($O299&lt;=T_2,(($O299*M_1)+B_1),IF($O299&lt;=T_3,(($O299*M_2)+B_2),IF($O299&lt;=T_4,(($O299*M_3)+B_3),IF($O299&lt;=T_5,(($O299*M_4)+B_4),IF($O299&lt;=T_6,(($O299*M_5)+B_5),IF($O299&lt;=T_7,(($O299*M_6)+B_6),IF($O299&lt;=T_8,(($O299*M_7)+B_7),IF($O299&lt;=T_9,(($O299*M_8)+B_8),IF($O299&lt;=T_10,(($O299*M_9)+B_9))))))))))),0)</f>
        <v>0</v>
      </c>
      <c r="Q299" s="111">
        <f t="shared" ref="Q299" si="756">ROUND(($H299*$P299),2)</f>
        <v>0</v>
      </c>
      <c r="R299" s="107">
        <f>IF($Q299&gt;0,IF($Q299&lt;=UTH!$M$4,UTH!$J$4,IF($Q299&lt;=UTH!$M$5,UTH!$J$5,IF($Q299&lt;=UTH!$M$6,UTH!$J$6,IF($Q299&lt;=UTH!$M$7,UTH!$J$7,IF($Q299&lt;=UTH!$M$8,UTH!$J$8,IF($Q299&lt;=UTH!$M$9,UTH!$J$9,IF($Q299&lt;=UTH!$M$10,UTH!$J$10,IF($Q299&lt;=UTH!$M$11,UTH!$J$11,IF($Q299&lt;=UTH!$M$12,UTH!$J$12,IF($Q299&lt;=UTH!$M$13,UTH!$J$13,IF($Q299&lt;=UTH!$M$14,UTH!$J$14,IF($Q299&lt;=UTH!$M$15,UTH!$J$15,IF($Q299&lt;=UTH!$M$16,UTH!$J$16,IF($Q299&lt;=UTH!$M$17,UTH!$J$17,IF($Q299&lt;=UTH!$M$18,UTH!$J$18,IF($Q299&lt;=UTH!$M$19,UTH!$J$19,IF($Q299&lt;=UTH!$M$20,UTH!$J$20))))))))))))))))),0)</f>
        <v>0</v>
      </c>
      <c r="S299" s="107">
        <f>IF(Inverts!$D299="YES",Inverts!$C299,Inverts!$E299)</f>
        <v>0</v>
      </c>
      <c r="T299" s="108">
        <f>IF($S299,($Q299/(KQ*($S299^(8/3))))^2,0)</f>
        <v>0</v>
      </c>
      <c r="U299" s="108">
        <f>IF($S299,(Vmin/(KV*($S299^(2/3))))^2,0)</f>
        <v>0</v>
      </c>
      <c r="V299" s="108">
        <f>IF($Z299,ROUND(MinDrop_2/$Z299,4),0)</f>
        <v>0</v>
      </c>
      <c r="W299" s="108">
        <f t="shared" ref="W299" si="757">IF($S299=0,0,MAX($T299:$V299))</f>
        <v>0</v>
      </c>
      <c r="X299" s="108">
        <f>IF(Inverts!$H299="yes",Inverts!$G299,Inverts!$I299)</f>
        <v>0</v>
      </c>
      <c r="Y299" s="105">
        <f>ROUND(KV*($S299^(2/3))*($X299^(0.5)),2)</f>
        <v>0</v>
      </c>
      <c r="Z299" s="106">
        <f>INDEX(Tribs!$H$3:$H$102,MATCH($A299,Tribs!$A$3:$A$102,0))</f>
        <v>0</v>
      </c>
      <c r="AA299" s="105">
        <f t="shared" ref="AA299" si="758">IF($Y299,($Z299/$Y299)*(1/60),0)</f>
        <v>0</v>
      </c>
      <c r="AB299" s="111">
        <f>ROUND(KQ*($S299^(8/3))*($X299^(0.5)),2)</f>
        <v>0</v>
      </c>
      <c r="AC299" s="138" t="str">
        <f>IF(AND($AB299&gt;=($Q299-0.0049),$Y299&gt;=(Vmin-0.0049)),"OK","NG")</f>
        <v>NG</v>
      </c>
    </row>
    <row r="300" spans="1:29" x14ac:dyDescent="0.3">
      <c r="A300" s="121"/>
      <c r="B300" s="184"/>
      <c r="C300" s="54"/>
      <c r="D300" s="52"/>
      <c r="E300" s="52"/>
      <c r="F300" s="117"/>
      <c r="G300" s="119">
        <f t="shared" ref="G300" si="759">IF($B300,INDEX($H$4:$H$499,(MATCH($B300,$A$4:$A$499))),0)</f>
        <v>0</v>
      </c>
      <c r="H300" s="113"/>
      <c r="I300" s="52"/>
      <c r="J300" s="52"/>
      <c r="K300" s="123"/>
      <c r="L300" s="53">
        <f t="shared" ref="L300" si="760">IF($B300,INDEX($O$4:$O$499,MATCH($B300,$A$4:$A$499)),0)</f>
        <v>0</v>
      </c>
      <c r="M300" s="126">
        <f t="shared" ref="M300" si="761">IF($B300,INDEX($AA$4:$AA$499,MATCH($B300,$A$4:$A$499)),0)</f>
        <v>0</v>
      </c>
      <c r="N300" s="119">
        <f t="shared" ref="N300" si="762">($L300+$M300)</f>
        <v>0</v>
      </c>
      <c r="O300" s="130"/>
      <c r="P300" s="134"/>
      <c r="Q300" s="130"/>
      <c r="R300" s="52"/>
      <c r="S300" s="224">
        <f t="shared" ref="S300:S303" si="763">S299</f>
        <v>0</v>
      </c>
      <c r="T300" s="237"/>
      <c r="U300" s="237"/>
      <c r="V300" s="237"/>
      <c r="W300" s="237"/>
      <c r="X300" s="52"/>
      <c r="Y300" s="52"/>
      <c r="Z300" s="52"/>
      <c r="AA300" s="54"/>
      <c r="AB300" s="130"/>
      <c r="AC300" s="139"/>
    </row>
    <row r="301" spans="1:29" x14ac:dyDescent="0.3">
      <c r="A301" s="121"/>
      <c r="B301" s="184"/>
      <c r="C301" s="54"/>
      <c r="D301" s="52"/>
      <c r="E301" s="52"/>
      <c r="F301" s="117"/>
      <c r="G301" s="119">
        <f t="shared" si="668"/>
        <v>0</v>
      </c>
      <c r="H301" s="113"/>
      <c r="I301" s="52"/>
      <c r="J301" s="52"/>
      <c r="K301" s="124"/>
      <c r="L301" s="53">
        <f t="shared" si="695"/>
        <v>0</v>
      </c>
      <c r="M301" s="127">
        <f t="shared" si="696"/>
        <v>0</v>
      </c>
      <c r="N301" s="119">
        <f t="shared" si="697"/>
        <v>0</v>
      </c>
      <c r="O301" s="130"/>
      <c r="P301" s="134"/>
      <c r="Q301" s="130"/>
      <c r="R301" s="52"/>
      <c r="S301" s="224">
        <f t="shared" si="763"/>
        <v>0</v>
      </c>
      <c r="T301" s="237"/>
      <c r="U301" s="237"/>
      <c r="V301" s="237"/>
      <c r="W301" s="237"/>
      <c r="X301" s="52"/>
      <c r="Y301" s="52"/>
      <c r="Z301" s="52"/>
      <c r="AA301" s="54"/>
      <c r="AB301" s="130"/>
      <c r="AC301" s="139"/>
    </row>
    <row r="302" spans="1:29" x14ac:dyDescent="0.3">
      <c r="A302" s="121"/>
      <c r="B302" s="184"/>
      <c r="C302" s="54"/>
      <c r="D302" s="52"/>
      <c r="E302" s="52"/>
      <c r="F302" s="117"/>
      <c r="G302" s="119">
        <f t="shared" si="668"/>
        <v>0</v>
      </c>
      <c r="H302" s="113"/>
      <c r="I302" s="52"/>
      <c r="J302" s="52"/>
      <c r="K302" s="124"/>
      <c r="L302" s="53">
        <f t="shared" si="695"/>
        <v>0</v>
      </c>
      <c r="M302" s="127">
        <f t="shared" si="696"/>
        <v>0</v>
      </c>
      <c r="N302" s="119">
        <f t="shared" si="697"/>
        <v>0</v>
      </c>
      <c r="O302" s="130"/>
      <c r="P302" s="134"/>
      <c r="Q302" s="130"/>
      <c r="R302" s="52"/>
      <c r="S302" s="224">
        <f t="shared" si="763"/>
        <v>0</v>
      </c>
      <c r="T302" s="237"/>
      <c r="U302" s="237"/>
      <c r="V302" s="237"/>
      <c r="W302" s="237"/>
      <c r="X302" s="52"/>
      <c r="Y302" s="52"/>
      <c r="Z302" s="52"/>
      <c r="AA302" s="54"/>
      <c r="AB302" s="130"/>
      <c r="AC302" s="139"/>
    </row>
    <row r="303" spans="1:29" ht="15" thickBot="1" x14ac:dyDescent="0.35">
      <c r="A303" s="122"/>
      <c r="B303" s="185"/>
      <c r="C303" s="102"/>
      <c r="D303" s="101"/>
      <c r="E303" s="101"/>
      <c r="F303" s="118"/>
      <c r="G303" s="120">
        <f t="shared" si="668"/>
        <v>0</v>
      </c>
      <c r="H303" s="114"/>
      <c r="I303" s="101"/>
      <c r="J303" s="101"/>
      <c r="K303" s="125"/>
      <c r="L303" s="103">
        <f t="shared" si="695"/>
        <v>0</v>
      </c>
      <c r="M303" s="128">
        <f t="shared" si="696"/>
        <v>0</v>
      </c>
      <c r="N303" s="120">
        <f t="shared" si="697"/>
        <v>0</v>
      </c>
      <c r="O303" s="131"/>
      <c r="P303" s="135"/>
      <c r="Q303" s="131"/>
      <c r="R303" s="101"/>
      <c r="S303" s="104">
        <f t="shared" si="763"/>
        <v>0</v>
      </c>
      <c r="T303" s="238"/>
      <c r="U303" s="238"/>
      <c r="V303" s="238"/>
      <c r="W303" s="238"/>
      <c r="X303" s="101"/>
      <c r="Y303" s="101"/>
      <c r="Z303" s="101"/>
      <c r="AA303" s="102"/>
      <c r="AB303" s="131"/>
      <c r="AC303" s="140"/>
    </row>
    <row r="304" spans="1:29" x14ac:dyDescent="0.3">
      <c r="A304" s="115">
        <f t="shared" ref="A304" si="764">$A299+1</f>
        <v>61</v>
      </c>
      <c r="B304" s="186"/>
      <c r="C304" s="105">
        <f>INDEX(Tribs!$C$3:$C$102,MATCH($A304,Tribs!$A$3:$A$102,0))</f>
        <v>0</v>
      </c>
      <c r="D304" s="106">
        <f>INDEX(Tribs!$E$3:$E$102,MATCH($A304,Tribs!$A$3:$A$102,0))</f>
        <v>0</v>
      </c>
      <c r="E304" s="105">
        <f>INDEX(Tribs!$F$3:$F$102,MATCH($A304,Tribs!$A$3:$A$102,0))</f>
        <v>0</v>
      </c>
      <c r="F304" s="116">
        <f t="shared" ref="F304" si="765">($C304*$E304)</f>
        <v>0</v>
      </c>
      <c r="G304" s="110"/>
      <c r="H304" s="111">
        <f t="shared" ref="H304" si="766">($F304)+(SUM($G305:$G308))</f>
        <v>0</v>
      </c>
      <c r="I304" s="106">
        <f>INDEX(Tribs!$D$3:$D$102,MATCH($A304,Tribs!$A$3:$A$102,0))</f>
        <v>0</v>
      </c>
      <c r="J304" s="106">
        <f>INDEX(Tribs!$G$3:$G$102,MATCH($A304,Tribs!$A$3:$A$102,0))</f>
        <v>0</v>
      </c>
      <c r="K304" s="105">
        <f>($J304)/V_gutter*(1/60)</f>
        <v>0</v>
      </c>
      <c r="L304" s="112"/>
      <c r="M304" s="109"/>
      <c r="N304" s="129">
        <f t="shared" ref="N304" si="767">($I304+$K304)</f>
        <v>0</v>
      </c>
      <c r="O304" s="111">
        <f t="shared" ref="O304" si="768">MAX($N304:$N308)</f>
        <v>0</v>
      </c>
      <c r="P304" s="133">
        <f>IF($H304&gt;0,IF($O304&lt;=T_1,I_1,IF($O304&lt;=T_2,(($O304*M_1)+B_1),IF($O304&lt;=T_3,(($O304*M_2)+B_2),IF($O304&lt;=T_4,(($O304*M_3)+B_3),IF($O304&lt;=T_5,(($O304*M_4)+B_4),IF($O304&lt;=T_6,(($O304*M_5)+B_5),IF($O304&lt;=T_7,(($O304*M_6)+B_6),IF($O304&lt;=T_8,(($O304*M_7)+B_7),IF($O304&lt;=T_9,(($O304*M_8)+B_8),IF($O304&lt;=T_10,(($O304*M_9)+B_9))))))))))),0)</f>
        <v>0</v>
      </c>
      <c r="Q304" s="111">
        <f t="shared" ref="Q304" si="769">ROUND(($H304*$P304),2)</f>
        <v>0</v>
      </c>
      <c r="R304" s="107">
        <f>IF($Q304&gt;0,IF($Q304&lt;=UTH!$M$4,UTH!$J$4,IF($Q304&lt;=UTH!$M$5,UTH!$J$5,IF($Q304&lt;=UTH!$M$6,UTH!$J$6,IF($Q304&lt;=UTH!$M$7,UTH!$J$7,IF($Q304&lt;=UTH!$M$8,UTH!$J$8,IF($Q304&lt;=UTH!$M$9,UTH!$J$9,IF($Q304&lt;=UTH!$M$10,UTH!$J$10,IF($Q304&lt;=UTH!$M$11,UTH!$J$11,IF($Q304&lt;=UTH!$M$12,UTH!$J$12,IF($Q304&lt;=UTH!$M$13,UTH!$J$13,IF($Q304&lt;=UTH!$M$14,UTH!$J$14,IF($Q304&lt;=UTH!$M$15,UTH!$J$15,IF($Q304&lt;=UTH!$M$16,UTH!$J$16,IF($Q304&lt;=UTH!$M$17,UTH!$J$17,IF($Q304&lt;=UTH!$M$18,UTH!$J$18,IF($Q304&lt;=UTH!$M$19,UTH!$J$19,IF($Q304&lt;=UTH!$M$20,UTH!$J$20))))))))))))))))),0)</f>
        <v>0</v>
      </c>
      <c r="S304" s="107">
        <f>IF(Inverts!$D304="YES",Inverts!$C304,Inverts!$E304)</f>
        <v>0</v>
      </c>
      <c r="T304" s="108">
        <f>IF($S304,($Q304/(KQ*($S304^(8/3))))^2,0)</f>
        <v>0</v>
      </c>
      <c r="U304" s="108">
        <f>IF($S304,(Vmin/(KV*($S304^(2/3))))^2,0)</f>
        <v>0</v>
      </c>
      <c r="V304" s="108">
        <f>IF($Z304,ROUND(MinDrop_2/$Z304,4),0)</f>
        <v>0</v>
      </c>
      <c r="W304" s="108">
        <f t="shared" ref="W304" si="770">IF($S304=0,0,MAX($T304:$V304))</f>
        <v>0</v>
      </c>
      <c r="X304" s="108">
        <f>IF(Inverts!$H304="yes",Inverts!$G304,Inverts!$I304)</f>
        <v>0</v>
      </c>
      <c r="Y304" s="105">
        <f>ROUND(KV*($S304^(2/3))*($X304^(0.5)),2)</f>
        <v>0</v>
      </c>
      <c r="Z304" s="106">
        <f>INDEX(Tribs!$H$3:$H$102,MATCH($A304,Tribs!$A$3:$A$102,0))</f>
        <v>0</v>
      </c>
      <c r="AA304" s="105">
        <f t="shared" ref="AA304" si="771">IF($Y304,($Z304/$Y304)*(1/60),0)</f>
        <v>0</v>
      </c>
      <c r="AB304" s="111">
        <f>ROUND(KQ*($S304^(8/3))*($X304^(0.5)),2)</f>
        <v>0</v>
      </c>
      <c r="AC304" s="138" t="str">
        <f>IF(AND($AB304&gt;=($Q304-0.0049),$Y304&gt;=(Vmin-0.0049)),"OK","NG")</f>
        <v>NG</v>
      </c>
    </row>
    <row r="305" spans="1:29" x14ac:dyDescent="0.3">
      <c r="A305" s="121"/>
      <c r="B305" s="184"/>
      <c r="C305" s="54"/>
      <c r="D305" s="52"/>
      <c r="E305" s="52"/>
      <c r="F305" s="117"/>
      <c r="G305" s="119">
        <f t="shared" ref="G305" si="772">IF($B305,INDEX($H$4:$H$499,(MATCH($B305,$A$4:$A$499))),0)</f>
        <v>0</v>
      </c>
      <c r="H305" s="113"/>
      <c r="I305" s="52"/>
      <c r="J305" s="52"/>
      <c r="K305" s="123"/>
      <c r="L305" s="53">
        <f t="shared" ref="L305" si="773">IF($B305,INDEX($O$4:$O$499,MATCH($B305,$A$4:$A$499)),0)</f>
        <v>0</v>
      </c>
      <c r="M305" s="126">
        <f t="shared" ref="M305" si="774">IF($B305,INDEX($AA$4:$AA$499,MATCH($B305,$A$4:$A$499)),0)</f>
        <v>0</v>
      </c>
      <c r="N305" s="119">
        <f t="shared" ref="N305" si="775">($L305+$M305)</f>
        <v>0</v>
      </c>
      <c r="O305" s="130"/>
      <c r="P305" s="134"/>
      <c r="Q305" s="130"/>
      <c r="R305" s="52"/>
      <c r="S305" s="224">
        <f t="shared" ref="S305:S308" si="776">S304</f>
        <v>0</v>
      </c>
      <c r="T305" s="237"/>
      <c r="U305" s="237"/>
      <c r="V305" s="237"/>
      <c r="W305" s="237"/>
      <c r="X305" s="52"/>
      <c r="Y305" s="52"/>
      <c r="Z305" s="52"/>
      <c r="AA305" s="54"/>
      <c r="AB305" s="130"/>
      <c r="AC305" s="139"/>
    </row>
    <row r="306" spans="1:29" x14ac:dyDescent="0.3">
      <c r="A306" s="121"/>
      <c r="B306" s="184"/>
      <c r="C306" s="54"/>
      <c r="D306" s="52"/>
      <c r="E306" s="52"/>
      <c r="F306" s="117"/>
      <c r="G306" s="119">
        <f t="shared" si="668"/>
        <v>0</v>
      </c>
      <c r="H306" s="113"/>
      <c r="I306" s="52"/>
      <c r="J306" s="52"/>
      <c r="K306" s="124"/>
      <c r="L306" s="53">
        <f t="shared" si="695"/>
        <v>0</v>
      </c>
      <c r="M306" s="127">
        <f t="shared" si="696"/>
        <v>0</v>
      </c>
      <c r="N306" s="119">
        <f t="shared" si="697"/>
        <v>0</v>
      </c>
      <c r="O306" s="130"/>
      <c r="P306" s="134"/>
      <c r="Q306" s="130"/>
      <c r="R306" s="52"/>
      <c r="S306" s="224">
        <f t="shared" si="776"/>
        <v>0</v>
      </c>
      <c r="T306" s="237"/>
      <c r="U306" s="237"/>
      <c r="V306" s="237"/>
      <c r="W306" s="237"/>
      <c r="X306" s="52"/>
      <c r="Y306" s="52"/>
      <c r="Z306" s="52"/>
      <c r="AA306" s="54"/>
      <c r="AB306" s="130"/>
      <c r="AC306" s="139"/>
    </row>
    <row r="307" spans="1:29" x14ac:dyDescent="0.3">
      <c r="A307" s="121"/>
      <c r="B307" s="184"/>
      <c r="C307" s="54"/>
      <c r="D307" s="52"/>
      <c r="E307" s="52"/>
      <c r="F307" s="117"/>
      <c r="G307" s="119">
        <f t="shared" si="668"/>
        <v>0</v>
      </c>
      <c r="H307" s="113"/>
      <c r="I307" s="52"/>
      <c r="J307" s="52"/>
      <c r="K307" s="124"/>
      <c r="L307" s="53">
        <f t="shared" si="695"/>
        <v>0</v>
      </c>
      <c r="M307" s="127">
        <f t="shared" si="696"/>
        <v>0</v>
      </c>
      <c r="N307" s="119">
        <f t="shared" si="697"/>
        <v>0</v>
      </c>
      <c r="O307" s="130"/>
      <c r="P307" s="134"/>
      <c r="Q307" s="130"/>
      <c r="R307" s="52"/>
      <c r="S307" s="224">
        <f t="shared" si="776"/>
        <v>0</v>
      </c>
      <c r="T307" s="237"/>
      <c r="U307" s="237"/>
      <c r="V307" s="237"/>
      <c r="W307" s="237"/>
      <c r="X307" s="52"/>
      <c r="Y307" s="52"/>
      <c r="Z307" s="52"/>
      <c r="AA307" s="54"/>
      <c r="AB307" s="130"/>
      <c r="AC307" s="139"/>
    </row>
    <row r="308" spans="1:29" ht="15" thickBot="1" x14ac:dyDescent="0.35">
      <c r="A308" s="122"/>
      <c r="B308" s="185"/>
      <c r="C308" s="102"/>
      <c r="D308" s="101"/>
      <c r="E308" s="101"/>
      <c r="F308" s="118"/>
      <c r="G308" s="120">
        <f t="shared" si="668"/>
        <v>0</v>
      </c>
      <c r="H308" s="114"/>
      <c r="I308" s="101"/>
      <c r="J308" s="101"/>
      <c r="K308" s="125"/>
      <c r="L308" s="103">
        <f t="shared" si="695"/>
        <v>0</v>
      </c>
      <c r="M308" s="128">
        <f t="shared" si="696"/>
        <v>0</v>
      </c>
      <c r="N308" s="120">
        <f t="shared" si="697"/>
        <v>0</v>
      </c>
      <c r="O308" s="131"/>
      <c r="P308" s="135"/>
      <c r="Q308" s="131"/>
      <c r="R308" s="101"/>
      <c r="S308" s="104">
        <f t="shared" si="776"/>
        <v>0</v>
      </c>
      <c r="T308" s="238"/>
      <c r="U308" s="238"/>
      <c r="V308" s="238"/>
      <c r="W308" s="238"/>
      <c r="X308" s="101"/>
      <c r="Y308" s="101"/>
      <c r="Z308" s="101"/>
      <c r="AA308" s="102"/>
      <c r="AB308" s="131"/>
      <c r="AC308" s="140"/>
    </row>
    <row r="309" spans="1:29" x14ac:dyDescent="0.3">
      <c r="A309" s="115">
        <f t="shared" ref="A309" si="777">$A304+1</f>
        <v>62</v>
      </c>
      <c r="B309" s="186"/>
      <c r="C309" s="105">
        <f>INDEX(Tribs!$C$3:$C$102,MATCH($A309,Tribs!$A$3:$A$102,0))</f>
        <v>0</v>
      </c>
      <c r="D309" s="106">
        <f>INDEX(Tribs!$E$3:$E$102,MATCH($A309,Tribs!$A$3:$A$102,0))</f>
        <v>0</v>
      </c>
      <c r="E309" s="105">
        <f>INDEX(Tribs!$F$3:$F$102,MATCH($A309,Tribs!$A$3:$A$102,0))</f>
        <v>0</v>
      </c>
      <c r="F309" s="116">
        <f t="shared" ref="F309" si="778">($C309*$E309)</f>
        <v>0</v>
      </c>
      <c r="G309" s="110"/>
      <c r="H309" s="111">
        <f t="shared" ref="H309" si="779">($F309)+(SUM($G310:$G313))</f>
        <v>0</v>
      </c>
      <c r="I309" s="106">
        <f>INDEX(Tribs!$D$3:$D$102,MATCH($A309,Tribs!$A$3:$A$102,0))</f>
        <v>0</v>
      </c>
      <c r="J309" s="106">
        <f>INDEX(Tribs!$G$3:$G$102,MATCH($A309,Tribs!$A$3:$A$102,0))</f>
        <v>0</v>
      </c>
      <c r="K309" s="105">
        <f>($J309)/V_gutter*(1/60)</f>
        <v>0</v>
      </c>
      <c r="L309" s="112"/>
      <c r="M309" s="109"/>
      <c r="N309" s="129">
        <f t="shared" ref="N309" si="780">($I309+$K309)</f>
        <v>0</v>
      </c>
      <c r="O309" s="111">
        <f t="shared" ref="O309" si="781">MAX($N309:$N313)</f>
        <v>0</v>
      </c>
      <c r="P309" s="133">
        <f>IF($H309&gt;0,IF($O309&lt;=T_1,I_1,IF($O309&lt;=T_2,(($O309*M_1)+B_1),IF($O309&lt;=T_3,(($O309*M_2)+B_2),IF($O309&lt;=T_4,(($O309*M_3)+B_3),IF($O309&lt;=T_5,(($O309*M_4)+B_4),IF($O309&lt;=T_6,(($O309*M_5)+B_5),IF($O309&lt;=T_7,(($O309*M_6)+B_6),IF($O309&lt;=T_8,(($O309*M_7)+B_7),IF($O309&lt;=T_9,(($O309*M_8)+B_8),IF($O309&lt;=T_10,(($O309*M_9)+B_9))))))))))),0)</f>
        <v>0</v>
      </c>
      <c r="Q309" s="111">
        <f t="shared" ref="Q309" si="782">ROUND(($H309*$P309),2)</f>
        <v>0</v>
      </c>
      <c r="R309" s="107">
        <f>IF($Q309&gt;0,IF($Q309&lt;=UTH!$M$4,UTH!$J$4,IF($Q309&lt;=UTH!$M$5,UTH!$J$5,IF($Q309&lt;=UTH!$M$6,UTH!$J$6,IF($Q309&lt;=UTH!$M$7,UTH!$J$7,IF($Q309&lt;=UTH!$M$8,UTH!$J$8,IF($Q309&lt;=UTH!$M$9,UTH!$J$9,IF($Q309&lt;=UTH!$M$10,UTH!$J$10,IF($Q309&lt;=UTH!$M$11,UTH!$J$11,IF($Q309&lt;=UTH!$M$12,UTH!$J$12,IF($Q309&lt;=UTH!$M$13,UTH!$J$13,IF($Q309&lt;=UTH!$M$14,UTH!$J$14,IF($Q309&lt;=UTH!$M$15,UTH!$J$15,IF($Q309&lt;=UTH!$M$16,UTH!$J$16,IF($Q309&lt;=UTH!$M$17,UTH!$J$17,IF($Q309&lt;=UTH!$M$18,UTH!$J$18,IF($Q309&lt;=UTH!$M$19,UTH!$J$19,IF($Q309&lt;=UTH!$M$20,UTH!$J$20))))))))))))))))),0)</f>
        <v>0</v>
      </c>
      <c r="S309" s="107">
        <f>IF(Inverts!$D309="YES",Inverts!$C309,Inverts!$E309)</f>
        <v>0</v>
      </c>
      <c r="T309" s="108">
        <f>IF($S309,($Q309/(KQ*($S309^(8/3))))^2,0)</f>
        <v>0</v>
      </c>
      <c r="U309" s="108">
        <f>IF($S309,(Vmin/(KV*($S309^(2/3))))^2,0)</f>
        <v>0</v>
      </c>
      <c r="V309" s="108">
        <f>IF($Z309,ROUND(MinDrop_2/$Z309,4),0)</f>
        <v>0</v>
      </c>
      <c r="W309" s="108">
        <f t="shared" ref="W309" si="783">IF($S309=0,0,MAX($T309:$V309))</f>
        <v>0</v>
      </c>
      <c r="X309" s="108">
        <f>IF(Inverts!$H309="yes",Inverts!$G309,Inverts!$I309)</f>
        <v>0</v>
      </c>
      <c r="Y309" s="105">
        <f>ROUND(KV*($S309^(2/3))*($X309^(0.5)),2)</f>
        <v>0</v>
      </c>
      <c r="Z309" s="106">
        <f>INDEX(Tribs!$H$3:$H$102,MATCH($A309,Tribs!$A$3:$A$102,0))</f>
        <v>0</v>
      </c>
      <c r="AA309" s="105">
        <f t="shared" ref="AA309" si="784">IF($Y309,($Z309/$Y309)*(1/60),0)</f>
        <v>0</v>
      </c>
      <c r="AB309" s="111">
        <f>ROUND(KQ*($S309^(8/3))*($X309^(0.5)),2)</f>
        <v>0</v>
      </c>
      <c r="AC309" s="138" t="str">
        <f>IF(AND($AB309&gt;=($Q309-0.0049),$Y309&gt;=(Vmin-0.0049)),"OK","NG")</f>
        <v>NG</v>
      </c>
    </row>
    <row r="310" spans="1:29" x14ac:dyDescent="0.3">
      <c r="A310" s="121"/>
      <c r="B310" s="184"/>
      <c r="C310" s="54"/>
      <c r="D310" s="52"/>
      <c r="E310" s="52"/>
      <c r="F310" s="117"/>
      <c r="G310" s="119">
        <f t="shared" ref="G310" si="785">IF($B310,INDEX($H$4:$H$499,(MATCH($B310,$A$4:$A$499))),0)</f>
        <v>0</v>
      </c>
      <c r="H310" s="113"/>
      <c r="I310" s="52"/>
      <c r="J310" s="52"/>
      <c r="K310" s="123"/>
      <c r="L310" s="53">
        <f t="shared" ref="L310" si="786">IF($B310,INDEX($O$4:$O$499,MATCH($B310,$A$4:$A$499)),0)</f>
        <v>0</v>
      </c>
      <c r="M310" s="126">
        <f t="shared" ref="M310" si="787">IF($B310,INDEX($AA$4:$AA$499,MATCH($B310,$A$4:$A$499)),0)</f>
        <v>0</v>
      </c>
      <c r="N310" s="119">
        <f t="shared" ref="N310" si="788">($L310+$M310)</f>
        <v>0</v>
      </c>
      <c r="O310" s="130"/>
      <c r="P310" s="134"/>
      <c r="Q310" s="130"/>
      <c r="R310" s="52"/>
      <c r="S310" s="224">
        <f t="shared" ref="S310:S313" si="789">S309</f>
        <v>0</v>
      </c>
      <c r="T310" s="237"/>
      <c r="U310" s="237"/>
      <c r="V310" s="237"/>
      <c r="W310" s="237"/>
      <c r="X310" s="52"/>
      <c r="Y310" s="52"/>
      <c r="Z310" s="52"/>
      <c r="AA310" s="54"/>
      <c r="AB310" s="130"/>
      <c r="AC310" s="139"/>
    </row>
    <row r="311" spans="1:29" x14ac:dyDescent="0.3">
      <c r="A311" s="121"/>
      <c r="B311" s="184"/>
      <c r="C311" s="54"/>
      <c r="D311" s="52"/>
      <c r="E311" s="52"/>
      <c r="F311" s="117"/>
      <c r="G311" s="119">
        <f t="shared" si="668"/>
        <v>0</v>
      </c>
      <c r="H311" s="113"/>
      <c r="I311" s="52"/>
      <c r="J311" s="52"/>
      <c r="K311" s="124"/>
      <c r="L311" s="53">
        <f t="shared" si="695"/>
        <v>0</v>
      </c>
      <c r="M311" s="127">
        <f t="shared" si="696"/>
        <v>0</v>
      </c>
      <c r="N311" s="119">
        <f t="shared" si="697"/>
        <v>0</v>
      </c>
      <c r="O311" s="130"/>
      <c r="P311" s="134"/>
      <c r="Q311" s="130"/>
      <c r="R311" s="52"/>
      <c r="S311" s="224">
        <f t="shared" si="789"/>
        <v>0</v>
      </c>
      <c r="T311" s="237"/>
      <c r="U311" s="237"/>
      <c r="V311" s="237"/>
      <c r="W311" s="237"/>
      <c r="X311" s="52"/>
      <c r="Y311" s="52"/>
      <c r="Z311" s="52"/>
      <c r="AA311" s="54"/>
      <c r="AB311" s="130"/>
      <c r="AC311" s="139"/>
    </row>
    <row r="312" spans="1:29" x14ac:dyDescent="0.3">
      <c r="A312" s="121"/>
      <c r="B312" s="184"/>
      <c r="C312" s="54"/>
      <c r="D312" s="52"/>
      <c r="E312" s="52"/>
      <c r="F312" s="117"/>
      <c r="G312" s="119">
        <f t="shared" si="668"/>
        <v>0</v>
      </c>
      <c r="H312" s="113"/>
      <c r="I312" s="52"/>
      <c r="J312" s="52"/>
      <c r="K312" s="124"/>
      <c r="L312" s="53">
        <f t="shared" si="695"/>
        <v>0</v>
      </c>
      <c r="M312" s="127">
        <f t="shared" si="696"/>
        <v>0</v>
      </c>
      <c r="N312" s="119">
        <f t="shared" si="697"/>
        <v>0</v>
      </c>
      <c r="O312" s="130"/>
      <c r="P312" s="134"/>
      <c r="Q312" s="130"/>
      <c r="R312" s="52"/>
      <c r="S312" s="224">
        <f t="shared" si="789"/>
        <v>0</v>
      </c>
      <c r="T312" s="237"/>
      <c r="U312" s="237"/>
      <c r="V312" s="237"/>
      <c r="W312" s="237"/>
      <c r="X312" s="52"/>
      <c r="Y312" s="52"/>
      <c r="Z312" s="52"/>
      <c r="AA312" s="54"/>
      <c r="AB312" s="130"/>
      <c r="AC312" s="139"/>
    </row>
    <row r="313" spans="1:29" ht="15" thickBot="1" x14ac:dyDescent="0.35">
      <c r="A313" s="122"/>
      <c r="B313" s="185"/>
      <c r="C313" s="102"/>
      <c r="D313" s="101"/>
      <c r="E313" s="101"/>
      <c r="F313" s="118"/>
      <c r="G313" s="120">
        <f t="shared" si="668"/>
        <v>0</v>
      </c>
      <c r="H313" s="114"/>
      <c r="I313" s="101"/>
      <c r="J313" s="101"/>
      <c r="K313" s="125"/>
      <c r="L313" s="103">
        <f t="shared" si="695"/>
        <v>0</v>
      </c>
      <c r="M313" s="128">
        <f t="shared" si="696"/>
        <v>0</v>
      </c>
      <c r="N313" s="120">
        <f t="shared" si="697"/>
        <v>0</v>
      </c>
      <c r="O313" s="131"/>
      <c r="P313" s="135"/>
      <c r="Q313" s="131"/>
      <c r="R313" s="101"/>
      <c r="S313" s="104">
        <f t="shared" si="789"/>
        <v>0</v>
      </c>
      <c r="T313" s="238"/>
      <c r="U313" s="238"/>
      <c r="V313" s="238"/>
      <c r="W313" s="238"/>
      <c r="X313" s="101"/>
      <c r="Y313" s="101"/>
      <c r="Z313" s="101"/>
      <c r="AA313" s="102"/>
      <c r="AB313" s="131"/>
      <c r="AC313" s="140"/>
    </row>
    <row r="314" spans="1:29" x14ac:dyDescent="0.3">
      <c r="A314" s="115">
        <f t="shared" ref="A314" si="790">$A309+1</f>
        <v>63</v>
      </c>
      <c r="B314" s="186"/>
      <c r="C314" s="105">
        <f>INDEX(Tribs!$C$3:$C$102,MATCH($A314,Tribs!$A$3:$A$102,0))</f>
        <v>0</v>
      </c>
      <c r="D314" s="106">
        <f>INDEX(Tribs!$E$3:$E$102,MATCH($A314,Tribs!$A$3:$A$102,0))</f>
        <v>0</v>
      </c>
      <c r="E314" s="105">
        <f>INDEX(Tribs!$F$3:$F$102,MATCH($A314,Tribs!$A$3:$A$102,0))</f>
        <v>0</v>
      </c>
      <c r="F314" s="116">
        <f t="shared" ref="F314" si="791">($C314*$E314)</f>
        <v>0</v>
      </c>
      <c r="G314" s="110"/>
      <c r="H314" s="111">
        <f t="shared" ref="H314" si="792">($F314)+(SUM($G315:$G318))</f>
        <v>0</v>
      </c>
      <c r="I314" s="106">
        <f>INDEX(Tribs!$D$3:$D$102,MATCH($A314,Tribs!$A$3:$A$102,0))</f>
        <v>0</v>
      </c>
      <c r="J314" s="106">
        <f>INDEX(Tribs!$G$3:$G$102,MATCH($A314,Tribs!$A$3:$A$102,0))</f>
        <v>0</v>
      </c>
      <c r="K314" s="105">
        <f>($J314)/V_gutter*(1/60)</f>
        <v>0</v>
      </c>
      <c r="L314" s="112"/>
      <c r="M314" s="109"/>
      <c r="N314" s="129">
        <f t="shared" ref="N314" si="793">($I314+$K314)</f>
        <v>0</v>
      </c>
      <c r="O314" s="111">
        <f t="shared" ref="O314" si="794">MAX($N314:$N318)</f>
        <v>0</v>
      </c>
      <c r="P314" s="133">
        <f>IF($H314&gt;0,IF($O314&lt;=T_1,I_1,IF($O314&lt;=T_2,(($O314*M_1)+B_1),IF($O314&lt;=T_3,(($O314*M_2)+B_2),IF($O314&lt;=T_4,(($O314*M_3)+B_3),IF($O314&lt;=T_5,(($O314*M_4)+B_4),IF($O314&lt;=T_6,(($O314*M_5)+B_5),IF($O314&lt;=T_7,(($O314*M_6)+B_6),IF($O314&lt;=T_8,(($O314*M_7)+B_7),IF($O314&lt;=T_9,(($O314*M_8)+B_8),IF($O314&lt;=T_10,(($O314*M_9)+B_9))))))))))),0)</f>
        <v>0</v>
      </c>
      <c r="Q314" s="111">
        <f t="shared" ref="Q314" si="795">ROUND(($H314*$P314),2)</f>
        <v>0</v>
      </c>
      <c r="R314" s="107">
        <f>IF($Q314&gt;0,IF($Q314&lt;=UTH!$M$4,UTH!$J$4,IF($Q314&lt;=UTH!$M$5,UTH!$J$5,IF($Q314&lt;=UTH!$M$6,UTH!$J$6,IF($Q314&lt;=UTH!$M$7,UTH!$J$7,IF($Q314&lt;=UTH!$M$8,UTH!$J$8,IF($Q314&lt;=UTH!$M$9,UTH!$J$9,IF($Q314&lt;=UTH!$M$10,UTH!$J$10,IF($Q314&lt;=UTH!$M$11,UTH!$J$11,IF($Q314&lt;=UTH!$M$12,UTH!$J$12,IF($Q314&lt;=UTH!$M$13,UTH!$J$13,IF($Q314&lt;=UTH!$M$14,UTH!$J$14,IF($Q314&lt;=UTH!$M$15,UTH!$J$15,IF($Q314&lt;=UTH!$M$16,UTH!$J$16,IF($Q314&lt;=UTH!$M$17,UTH!$J$17,IF($Q314&lt;=UTH!$M$18,UTH!$J$18,IF($Q314&lt;=UTH!$M$19,UTH!$J$19,IF($Q314&lt;=UTH!$M$20,UTH!$J$20))))))))))))))))),0)</f>
        <v>0</v>
      </c>
      <c r="S314" s="107">
        <f>IF(Inverts!$D314="YES",Inverts!$C314,Inverts!$E314)</f>
        <v>0</v>
      </c>
      <c r="T314" s="108">
        <f>IF($S314,($Q314/(KQ*($S314^(8/3))))^2,0)</f>
        <v>0</v>
      </c>
      <c r="U314" s="108">
        <f>IF($S314,(Vmin/(KV*($S314^(2/3))))^2,0)</f>
        <v>0</v>
      </c>
      <c r="V314" s="108">
        <f>IF($Z314,ROUND(MinDrop_2/$Z314,4),0)</f>
        <v>0</v>
      </c>
      <c r="W314" s="108">
        <f t="shared" ref="W314" si="796">IF($S314=0,0,MAX($T314:$V314))</f>
        <v>0</v>
      </c>
      <c r="X314" s="108">
        <f>IF(Inverts!$H314="yes",Inverts!$G314,Inverts!$I314)</f>
        <v>0</v>
      </c>
      <c r="Y314" s="105">
        <f>ROUND(KV*($S314^(2/3))*($X314^(0.5)),2)</f>
        <v>0</v>
      </c>
      <c r="Z314" s="106">
        <f>INDEX(Tribs!$H$3:$H$102,MATCH($A314,Tribs!$A$3:$A$102,0))</f>
        <v>0</v>
      </c>
      <c r="AA314" s="105">
        <f t="shared" ref="AA314" si="797">IF($Y314,($Z314/$Y314)*(1/60),0)</f>
        <v>0</v>
      </c>
      <c r="AB314" s="111">
        <f>ROUND(KQ*($S314^(8/3))*($X314^(0.5)),2)</f>
        <v>0</v>
      </c>
      <c r="AC314" s="138" t="str">
        <f>IF(AND($AB314&gt;=($Q314-0.0049),$Y314&gt;=(Vmin-0.0049)),"OK","NG")</f>
        <v>NG</v>
      </c>
    </row>
    <row r="315" spans="1:29" x14ac:dyDescent="0.3">
      <c r="A315" s="121"/>
      <c r="B315" s="184"/>
      <c r="C315" s="54"/>
      <c r="D315" s="52"/>
      <c r="E315" s="52"/>
      <c r="F315" s="117"/>
      <c r="G315" s="119">
        <f t="shared" ref="G315" si="798">IF($B315,INDEX($H$4:$H$499,(MATCH($B315,$A$4:$A$499))),0)</f>
        <v>0</v>
      </c>
      <c r="H315" s="113"/>
      <c r="I315" s="52"/>
      <c r="J315" s="52"/>
      <c r="K315" s="123"/>
      <c r="L315" s="53">
        <f t="shared" ref="L315" si="799">IF($B315,INDEX($O$4:$O$499,MATCH($B315,$A$4:$A$499)),0)</f>
        <v>0</v>
      </c>
      <c r="M315" s="126">
        <f t="shared" ref="M315" si="800">IF($B315,INDEX($AA$4:$AA$499,MATCH($B315,$A$4:$A$499)),0)</f>
        <v>0</v>
      </c>
      <c r="N315" s="119">
        <f t="shared" ref="N315" si="801">($L315+$M315)</f>
        <v>0</v>
      </c>
      <c r="O315" s="130"/>
      <c r="P315" s="134"/>
      <c r="Q315" s="130"/>
      <c r="R315" s="52"/>
      <c r="S315" s="224">
        <f t="shared" ref="S315:S318" si="802">S314</f>
        <v>0</v>
      </c>
      <c r="T315" s="237"/>
      <c r="U315" s="237"/>
      <c r="V315" s="237"/>
      <c r="W315" s="237"/>
      <c r="X315" s="52"/>
      <c r="Y315" s="52"/>
      <c r="Z315" s="52"/>
      <c r="AA315" s="54"/>
      <c r="AB315" s="130"/>
      <c r="AC315" s="139"/>
    </row>
    <row r="316" spans="1:29" x14ac:dyDescent="0.3">
      <c r="A316" s="121"/>
      <c r="B316" s="184"/>
      <c r="C316" s="54"/>
      <c r="D316" s="52"/>
      <c r="E316" s="52"/>
      <c r="F316" s="117"/>
      <c r="G316" s="119">
        <f t="shared" si="668"/>
        <v>0</v>
      </c>
      <c r="H316" s="113"/>
      <c r="I316" s="52"/>
      <c r="J316" s="52"/>
      <c r="K316" s="124"/>
      <c r="L316" s="53">
        <f t="shared" si="695"/>
        <v>0</v>
      </c>
      <c r="M316" s="127">
        <f t="shared" si="696"/>
        <v>0</v>
      </c>
      <c r="N316" s="119">
        <f t="shared" si="697"/>
        <v>0</v>
      </c>
      <c r="O316" s="130"/>
      <c r="P316" s="134"/>
      <c r="Q316" s="130"/>
      <c r="R316" s="52"/>
      <c r="S316" s="224">
        <f t="shared" si="802"/>
        <v>0</v>
      </c>
      <c r="T316" s="237"/>
      <c r="U316" s="237"/>
      <c r="V316" s="237"/>
      <c r="W316" s="237"/>
      <c r="X316" s="52"/>
      <c r="Y316" s="52"/>
      <c r="Z316" s="52"/>
      <c r="AA316" s="54"/>
      <c r="AB316" s="130"/>
      <c r="AC316" s="139"/>
    </row>
    <row r="317" spans="1:29" x14ac:dyDescent="0.3">
      <c r="A317" s="121"/>
      <c r="B317" s="184"/>
      <c r="C317" s="54"/>
      <c r="D317" s="52"/>
      <c r="E317" s="52"/>
      <c r="F317" s="117"/>
      <c r="G317" s="119">
        <f t="shared" si="668"/>
        <v>0</v>
      </c>
      <c r="H317" s="113"/>
      <c r="I317" s="52"/>
      <c r="J317" s="52"/>
      <c r="K317" s="124"/>
      <c r="L317" s="53">
        <f t="shared" si="695"/>
        <v>0</v>
      </c>
      <c r="M317" s="127">
        <f t="shared" si="696"/>
        <v>0</v>
      </c>
      <c r="N317" s="119">
        <f t="shared" si="697"/>
        <v>0</v>
      </c>
      <c r="O317" s="130"/>
      <c r="P317" s="134"/>
      <c r="Q317" s="130"/>
      <c r="R317" s="52"/>
      <c r="S317" s="224">
        <f t="shared" si="802"/>
        <v>0</v>
      </c>
      <c r="T317" s="237"/>
      <c r="U317" s="237"/>
      <c r="V317" s="237"/>
      <c r="W317" s="237"/>
      <c r="X317" s="52"/>
      <c r="Y317" s="52"/>
      <c r="Z317" s="52"/>
      <c r="AA317" s="54"/>
      <c r="AB317" s="130"/>
      <c r="AC317" s="139"/>
    </row>
    <row r="318" spans="1:29" ht="15" thickBot="1" x14ac:dyDescent="0.35">
      <c r="A318" s="122"/>
      <c r="B318" s="185"/>
      <c r="C318" s="102"/>
      <c r="D318" s="101"/>
      <c r="E318" s="101"/>
      <c r="F318" s="118"/>
      <c r="G318" s="120">
        <f t="shared" si="668"/>
        <v>0</v>
      </c>
      <c r="H318" s="114"/>
      <c r="I318" s="101"/>
      <c r="J318" s="101"/>
      <c r="K318" s="125"/>
      <c r="L318" s="103">
        <f t="shared" si="695"/>
        <v>0</v>
      </c>
      <c r="M318" s="128">
        <f t="shared" si="696"/>
        <v>0</v>
      </c>
      <c r="N318" s="120">
        <f t="shared" si="697"/>
        <v>0</v>
      </c>
      <c r="O318" s="131"/>
      <c r="P318" s="135"/>
      <c r="Q318" s="131"/>
      <c r="R318" s="101"/>
      <c r="S318" s="104">
        <f t="shared" si="802"/>
        <v>0</v>
      </c>
      <c r="T318" s="238"/>
      <c r="U318" s="238"/>
      <c r="V318" s="238"/>
      <c r="W318" s="238"/>
      <c r="X318" s="101"/>
      <c r="Y318" s="101"/>
      <c r="Z318" s="101"/>
      <c r="AA318" s="102"/>
      <c r="AB318" s="131"/>
      <c r="AC318" s="140"/>
    </row>
    <row r="319" spans="1:29" x14ac:dyDescent="0.3">
      <c r="A319" s="115">
        <f t="shared" ref="A319" si="803">$A314+1</f>
        <v>64</v>
      </c>
      <c r="B319" s="186"/>
      <c r="C319" s="105">
        <f>INDEX(Tribs!$C$3:$C$102,MATCH($A319,Tribs!$A$3:$A$102,0))</f>
        <v>0</v>
      </c>
      <c r="D319" s="106">
        <f>INDEX(Tribs!$E$3:$E$102,MATCH($A319,Tribs!$A$3:$A$102,0))</f>
        <v>0</v>
      </c>
      <c r="E319" s="105">
        <f>INDEX(Tribs!$F$3:$F$102,MATCH($A319,Tribs!$A$3:$A$102,0))</f>
        <v>0</v>
      </c>
      <c r="F319" s="116">
        <f t="shared" ref="F319" si="804">($C319*$E319)</f>
        <v>0</v>
      </c>
      <c r="G319" s="110"/>
      <c r="H319" s="111">
        <f t="shared" ref="H319" si="805">($F319)+(SUM($G320:$G323))</f>
        <v>0</v>
      </c>
      <c r="I319" s="106">
        <f>INDEX(Tribs!$D$3:$D$102,MATCH($A319,Tribs!$A$3:$A$102,0))</f>
        <v>0</v>
      </c>
      <c r="J319" s="106">
        <f>INDEX(Tribs!$G$3:$G$102,MATCH($A319,Tribs!$A$3:$A$102,0))</f>
        <v>0</v>
      </c>
      <c r="K319" s="105">
        <f>($J319)/V_gutter*(1/60)</f>
        <v>0</v>
      </c>
      <c r="L319" s="112"/>
      <c r="M319" s="109"/>
      <c r="N319" s="129">
        <f t="shared" ref="N319" si="806">($I319+$K319)</f>
        <v>0</v>
      </c>
      <c r="O319" s="111">
        <f t="shared" ref="O319" si="807">MAX($N319:$N323)</f>
        <v>0</v>
      </c>
      <c r="P319" s="133">
        <f>IF($H319&gt;0,IF($O319&lt;=T_1,I_1,IF($O319&lt;=T_2,(($O319*M_1)+B_1),IF($O319&lt;=T_3,(($O319*M_2)+B_2),IF($O319&lt;=T_4,(($O319*M_3)+B_3),IF($O319&lt;=T_5,(($O319*M_4)+B_4),IF($O319&lt;=T_6,(($O319*M_5)+B_5),IF($O319&lt;=T_7,(($O319*M_6)+B_6),IF($O319&lt;=T_8,(($O319*M_7)+B_7),IF($O319&lt;=T_9,(($O319*M_8)+B_8),IF($O319&lt;=T_10,(($O319*M_9)+B_9))))))))))),0)</f>
        <v>0</v>
      </c>
      <c r="Q319" s="111">
        <f t="shared" ref="Q319" si="808">ROUND(($H319*$P319),2)</f>
        <v>0</v>
      </c>
      <c r="R319" s="107">
        <f>IF($Q319&gt;0,IF($Q319&lt;=UTH!$M$4,UTH!$J$4,IF($Q319&lt;=UTH!$M$5,UTH!$J$5,IF($Q319&lt;=UTH!$M$6,UTH!$J$6,IF($Q319&lt;=UTH!$M$7,UTH!$J$7,IF($Q319&lt;=UTH!$M$8,UTH!$J$8,IF($Q319&lt;=UTH!$M$9,UTH!$J$9,IF($Q319&lt;=UTH!$M$10,UTH!$J$10,IF($Q319&lt;=UTH!$M$11,UTH!$J$11,IF($Q319&lt;=UTH!$M$12,UTH!$J$12,IF($Q319&lt;=UTH!$M$13,UTH!$J$13,IF($Q319&lt;=UTH!$M$14,UTH!$J$14,IF($Q319&lt;=UTH!$M$15,UTH!$J$15,IF($Q319&lt;=UTH!$M$16,UTH!$J$16,IF($Q319&lt;=UTH!$M$17,UTH!$J$17,IF($Q319&lt;=UTH!$M$18,UTH!$J$18,IF($Q319&lt;=UTH!$M$19,UTH!$J$19,IF($Q319&lt;=UTH!$M$20,UTH!$J$20))))))))))))))))),0)</f>
        <v>0</v>
      </c>
      <c r="S319" s="107">
        <f>IF(Inverts!$D319="YES",Inverts!$C319,Inverts!$E319)</f>
        <v>0</v>
      </c>
      <c r="T319" s="108">
        <f>IF($S319,($Q319/(KQ*($S319^(8/3))))^2,0)</f>
        <v>0</v>
      </c>
      <c r="U319" s="108">
        <f>IF($S319,(Vmin/(KV*($S319^(2/3))))^2,0)</f>
        <v>0</v>
      </c>
      <c r="V319" s="108">
        <f>IF($Z319,ROUND(MinDrop_2/$Z319,4),0)</f>
        <v>0</v>
      </c>
      <c r="W319" s="108">
        <f t="shared" ref="W319" si="809">IF($S319=0,0,MAX($T319:$V319))</f>
        <v>0</v>
      </c>
      <c r="X319" s="108">
        <f>IF(Inverts!$H319="yes",Inverts!$G319,Inverts!$I319)</f>
        <v>0</v>
      </c>
      <c r="Y319" s="105">
        <f>ROUND(KV*($S319^(2/3))*($X319^(0.5)),2)</f>
        <v>0</v>
      </c>
      <c r="Z319" s="106">
        <f>INDEX(Tribs!$H$3:$H$102,MATCH($A319,Tribs!$A$3:$A$102,0))</f>
        <v>0</v>
      </c>
      <c r="AA319" s="105">
        <f t="shared" ref="AA319" si="810">IF($Y319,($Z319/$Y319)*(1/60),0)</f>
        <v>0</v>
      </c>
      <c r="AB319" s="111">
        <f>ROUND(KQ*($S319^(8/3))*($X319^(0.5)),2)</f>
        <v>0</v>
      </c>
      <c r="AC319" s="138" t="str">
        <f>IF(AND($AB319&gt;=($Q319-0.0049),$Y319&gt;=(Vmin-0.0049)),"OK","NG")</f>
        <v>NG</v>
      </c>
    </row>
    <row r="320" spans="1:29" x14ac:dyDescent="0.3">
      <c r="A320" s="121"/>
      <c r="B320" s="184"/>
      <c r="C320" s="54"/>
      <c r="D320" s="52"/>
      <c r="E320" s="52"/>
      <c r="F320" s="117"/>
      <c r="G320" s="119">
        <f t="shared" ref="G320" si="811">IF($B320,INDEX($H$4:$H$499,(MATCH($B320,$A$4:$A$499))),0)</f>
        <v>0</v>
      </c>
      <c r="H320" s="113"/>
      <c r="I320" s="52"/>
      <c r="J320" s="52"/>
      <c r="K320" s="123"/>
      <c r="L320" s="53">
        <f t="shared" ref="L320" si="812">IF($B320,INDEX($O$4:$O$499,MATCH($B320,$A$4:$A$499)),0)</f>
        <v>0</v>
      </c>
      <c r="M320" s="126">
        <f t="shared" ref="M320" si="813">IF($B320,INDEX($AA$4:$AA$499,MATCH($B320,$A$4:$A$499)),0)</f>
        <v>0</v>
      </c>
      <c r="N320" s="119">
        <f t="shared" ref="N320" si="814">($L320+$M320)</f>
        <v>0</v>
      </c>
      <c r="O320" s="130"/>
      <c r="P320" s="134"/>
      <c r="Q320" s="130"/>
      <c r="R320" s="52"/>
      <c r="S320" s="224">
        <f t="shared" ref="S320:S323" si="815">S319</f>
        <v>0</v>
      </c>
      <c r="T320" s="237"/>
      <c r="U320" s="237"/>
      <c r="V320" s="237"/>
      <c r="W320" s="237"/>
      <c r="X320" s="52"/>
      <c r="Y320" s="52"/>
      <c r="Z320" s="52"/>
      <c r="AA320" s="54"/>
      <c r="AB320" s="130"/>
      <c r="AC320" s="139"/>
    </row>
    <row r="321" spans="1:29" x14ac:dyDescent="0.3">
      <c r="A321" s="121"/>
      <c r="B321" s="184"/>
      <c r="C321" s="54"/>
      <c r="D321" s="52"/>
      <c r="E321" s="52"/>
      <c r="F321" s="117"/>
      <c r="G321" s="119">
        <f t="shared" si="668"/>
        <v>0</v>
      </c>
      <c r="H321" s="113"/>
      <c r="I321" s="52"/>
      <c r="J321" s="52"/>
      <c r="K321" s="124"/>
      <c r="L321" s="53">
        <f t="shared" si="695"/>
        <v>0</v>
      </c>
      <c r="M321" s="127">
        <f t="shared" si="696"/>
        <v>0</v>
      </c>
      <c r="N321" s="119">
        <f t="shared" si="697"/>
        <v>0</v>
      </c>
      <c r="O321" s="130"/>
      <c r="P321" s="134"/>
      <c r="Q321" s="130"/>
      <c r="R321" s="52"/>
      <c r="S321" s="224">
        <f t="shared" si="815"/>
        <v>0</v>
      </c>
      <c r="T321" s="237"/>
      <c r="U321" s="237"/>
      <c r="V321" s="237"/>
      <c r="W321" s="237"/>
      <c r="X321" s="52"/>
      <c r="Y321" s="52"/>
      <c r="Z321" s="52"/>
      <c r="AA321" s="54"/>
      <c r="AB321" s="130"/>
      <c r="AC321" s="139"/>
    </row>
    <row r="322" spans="1:29" x14ac:dyDescent="0.3">
      <c r="A322" s="121"/>
      <c r="B322" s="184"/>
      <c r="C322" s="54"/>
      <c r="D322" s="52"/>
      <c r="E322" s="52"/>
      <c r="F322" s="117"/>
      <c r="G322" s="119">
        <f t="shared" si="668"/>
        <v>0</v>
      </c>
      <c r="H322" s="113"/>
      <c r="I322" s="52"/>
      <c r="J322" s="52"/>
      <c r="K322" s="124"/>
      <c r="L322" s="53">
        <f t="shared" si="695"/>
        <v>0</v>
      </c>
      <c r="M322" s="127">
        <f t="shared" si="696"/>
        <v>0</v>
      </c>
      <c r="N322" s="119">
        <f t="shared" si="697"/>
        <v>0</v>
      </c>
      <c r="O322" s="130"/>
      <c r="P322" s="134"/>
      <c r="Q322" s="130"/>
      <c r="R322" s="52"/>
      <c r="S322" s="224">
        <f t="shared" si="815"/>
        <v>0</v>
      </c>
      <c r="T322" s="237"/>
      <c r="U322" s="237"/>
      <c r="V322" s="237"/>
      <c r="W322" s="237"/>
      <c r="X322" s="52"/>
      <c r="Y322" s="52"/>
      <c r="Z322" s="52"/>
      <c r="AA322" s="54"/>
      <c r="AB322" s="130"/>
      <c r="AC322" s="139"/>
    </row>
    <row r="323" spans="1:29" ht="15" thickBot="1" x14ac:dyDescent="0.35">
      <c r="A323" s="122"/>
      <c r="B323" s="185"/>
      <c r="C323" s="102"/>
      <c r="D323" s="101"/>
      <c r="E323" s="101"/>
      <c r="F323" s="118"/>
      <c r="G323" s="120">
        <f t="shared" si="668"/>
        <v>0</v>
      </c>
      <c r="H323" s="114"/>
      <c r="I323" s="101"/>
      <c r="J323" s="101"/>
      <c r="K323" s="125"/>
      <c r="L323" s="103">
        <f t="shared" si="695"/>
        <v>0</v>
      </c>
      <c r="M323" s="128">
        <f t="shared" si="696"/>
        <v>0</v>
      </c>
      <c r="N323" s="120">
        <f t="shared" si="697"/>
        <v>0</v>
      </c>
      <c r="O323" s="131"/>
      <c r="P323" s="135"/>
      <c r="Q323" s="131"/>
      <c r="R323" s="101"/>
      <c r="S323" s="104">
        <f t="shared" si="815"/>
        <v>0</v>
      </c>
      <c r="T323" s="238"/>
      <c r="U323" s="238"/>
      <c r="V323" s="238"/>
      <c r="W323" s="238"/>
      <c r="X323" s="101"/>
      <c r="Y323" s="101"/>
      <c r="Z323" s="101"/>
      <c r="AA323" s="102"/>
      <c r="AB323" s="131"/>
      <c r="AC323" s="140"/>
    </row>
    <row r="324" spans="1:29" x14ac:dyDescent="0.3">
      <c r="A324" s="115">
        <f t="shared" ref="A324" si="816">$A319+1</f>
        <v>65</v>
      </c>
      <c r="B324" s="186"/>
      <c r="C324" s="105">
        <f>INDEX(Tribs!$C$3:$C$102,MATCH($A324,Tribs!$A$3:$A$102,0))</f>
        <v>0</v>
      </c>
      <c r="D324" s="106">
        <f>INDEX(Tribs!$E$3:$E$102,MATCH($A324,Tribs!$A$3:$A$102,0))</f>
        <v>0</v>
      </c>
      <c r="E324" s="105">
        <f>INDEX(Tribs!$F$3:$F$102,MATCH($A324,Tribs!$A$3:$A$102,0))</f>
        <v>0</v>
      </c>
      <c r="F324" s="116">
        <f t="shared" ref="F324" si="817">($C324*$E324)</f>
        <v>0</v>
      </c>
      <c r="G324" s="110"/>
      <c r="H324" s="111">
        <f t="shared" ref="H324" si="818">($F324)+(SUM($G325:$G328))</f>
        <v>0</v>
      </c>
      <c r="I324" s="106">
        <f>INDEX(Tribs!$D$3:$D$102,MATCH($A324,Tribs!$A$3:$A$102,0))</f>
        <v>0</v>
      </c>
      <c r="J324" s="106">
        <f>INDEX(Tribs!$G$3:$G$102,MATCH($A324,Tribs!$A$3:$A$102,0))</f>
        <v>0</v>
      </c>
      <c r="K324" s="105">
        <f>($J324)/V_gutter*(1/60)</f>
        <v>0</v>
      </c>
      <c r="L324" s="112"/>
      <c r="M324" s="109"/>
      <c r="N324" s="129">
        <f t="shared" ref="N324" si="819">($I324+$K324)</f>
        <v>0</v>
      </c>
      <c r="O324" s="111">
        <f t="shared" ref="O324" si="820">MAX($N324:$N328)</f>
        <v>0</v>
      </c>
      <c r="P324" s="133">
        <f>IF($H324&gt;0,IF($O324&lt;=T_1,I_1,IF($O324&lt;=T_2,(($O324*M_1)+B_1),IF($O324&lt;=T_3,(($O324*M_2)+B_2),IF($O324&lt;=T_4,(($O324*M_3)+B_3),IF($O324&lt;=T_5,(($O324*M_4)+B_4),IF($O324&lt;=T_6,(($O324*M_5)+B_5),IF($O324&lt;=T_7,(($O324*M_6)+B_6),IF($O324&lt;=T_8,(($O324*M_7)+B_7),IF($O324&lt;=T_9,(($O324*M_8)+B_8),IF($O324&lt;=T_10,(($O324*M_9)+B_9))))))))))),0)</f>
        <v>0</v>
      </c>
      <c r="Q324" s="111">
        <f t="shared" ref="Q324" si="821">ROUND(($H324*$P324),2)</f>
        <v>0</v>
      </c>
      <c r="R324" s="107">
        <f>IF($Q324&gt;0,IF($Q324&lt;=UTH!$M$4,UTH!$J$4,IF($Q324&lt;=UTH!$M$5,UTH!$J$5,IF($Q324&lt;=UTH!$M$6,UTH!$J$6,IF($Q324&lt;=UTH!$M$7,UTH!$J$7,IF($Q324&lt;=UTH!$M$8,UTH!$J$8,IF($Q324&lt;=UTH!$M$9,UTH!$J$9,IF($Q324&lt;=UTH!$M$10,UTH!$J$10,IF($Q324&lt;=UTH!$M$11,UTH!$J$11,IF($Q324&lt;=UTH!$M$12,UTH!$J$12,IF($Q324&lt;=UTH!$M$13,UTH!$J$13,IF($Q324&lt;=UTH!$M$14,UTH!$J$14,IF($Q324&lt;=UTH!$M$15,UTH!$J$15,IF($Q324&lt;=UTH!$M$16,UTH!$J$16,IF($Q324&lt;=UTH!$M$17,UTH!$J$17,IF($Q324&lt;=UTH!$M$18,UTH!$J$18,IF($Q324&lt;=UTH!$M$19,UTH!$J$19,IF($Q324&lt;=UTH!$M$20,UTH!$J$20))))))))))))))))),0)</f>
        <v>0</v>
      </c>
      <c r="S324" s="107">
        <f>IF(Inverts!$D324="YES",Inverts!$C324,Inverts!$E324)</f>
        <v>0</v>
      </c>
      <c r="T324" s="108">
        <f>IF($S324,($Q324/(KQ*($S324^(8/3))))^2,0)</f>
        <v>0</v>
      </c>
      <c r="U324" s="108">
        <f>IF($S324,(Vmin/(KV*($S324^(2/3))))^2,0)</f>
        <v>0</v>
      </c>
      <c r="V324" s="108">
        <f>IF($Z324,ROUND(MinDrop_2/$Z324,4),0)</f>
        <v>0</v>
      </c>
      <c r="W324" s="108">
        <f t="shared" ref="W324" si="822">IF($S324=0,0,MAX($T324:$V324))</f>
        <v>0</v>
      </c>
      <c r="X324" s="108">
        <f>IF(Inverts!$H324="yes",Inverts!$G324,Inverts!$I324)</f>
        <v>0</v>
      </c>
      <c r="Y324" s="105">
        <f>ROUND(KV*($S324^(2/3))*($X324^(0.5)),2)</f>
        <v>0</v>
      </c>
      <c r="Z324" s="106">
        <f>INDEX(Tribs!$H$3:$H$102,MATCH($A324,Tribs!$A$3:$A$102,0))</f>
        <v>0</v>
      </c>
      <c r="AA324" s="105">
        <f t="shared" ref="AA324" si="823">IF($Y324,($Z324/$Y324)*(1/60),0)</f>
        <v>0</v>
      </c>
      <c r="AB324" s="111">
        <f>ROUND(KQ*($S324^(8/3))*($X324^(0.5)),2)</f>
        <v>0</v>
      </c>
      <c r="AC324" s="138" t="str">
        <f>IF(AND($AB324&gt;=($Q324-0.0049),$Y324&gt;=(Vmin-0.0049)),"OK","NG")</f>
        <v>NG</v>
      </c>
    </row>
    <row r="325" spans="1:29" x14ac:dyDescent="0.3">
      <c r="A325" s="121"/>
      <c r="B325" s="184"/>
      <c r="C325" s="54"/>
      <c r="D325" s="52"/>
      <c r="E325" s="52"/>
      <c r="F325" s="117"/>
      <c r="G325" s="119">
        <f t="shared" ref="G325" si="824">IF($B325,INDEX($H$4:$H$499,(MATCH($B325,$A$4:$A$499))),0)</f>
        <v>0</v>
      </c>
      <c r="H325" s="113"/>
      <c r="I325" s="52"/>
      <c r="J325" s="52"/>
      <c r="K325" s="123"/>
      <c r="L325" s="53">
        <f t="shared" ref="L325" si="825">IF($B325,INDEX($O$4:$O$499,MATCH($B325,$A$4:$A$499)),0)</f>
        <v>0</v>
      </c>
      <c r="M325" s="126">
        <f t="shared" ref="M325" si="826">IF($B325,INDEX($AA$4:$AA$499,MATCH($B325,$A$4:$A$499)),0)</f>
        <v>0</v>
      </c>
      <c r="N325" s="119">
        <f t="shared" ref="N325" si="827">($L325+$M325)</f>
        <v>0</v>
      </c>
      <c r="O325" s="130"/>
      <c r="P325" s="134"/>
      <c r="Q325" s="130"/>
      <c r="R325" s="52"/>
      <c r="S325" s="224">
        <f t="shared" ref="S325:S328" si="828">S324</f>
        <v>0</v>
      </c>
      <c r="T325" s="237"/>
      <c r="U325" s="237"/>
      <c r="V325" s="237"/>
      <c r="W325" s="237"/>
      <c r="X325" s="52"/>
      <c r="Y325" s="52"/>
      <c r="Z325" s="52"/>
      <c r="AA325" s="54"/>
      <c r="AB325" s="130"/>
      <c r="AC325" s="139"/>
    </row>
    <row r="326" spans="1:29" x14ac:dyDescent="0.3">
      <c r="A326" s="121"/>
      <c r="B326" s="184"/>
      <c r="C326" s="54"/>
      <c r="D326" s="52"/>
      <c r="E326" s="52"/>
      <c r="F326" s="117"/>
      <c r="G326" s="119">
        <f t="shared" si="668"/>
        <v>0</v>
      </c>
      <c r="H326" s="113"/>
      <c r="I326" s="52"/>
      <c r="J326" s="52"/>
      <c r="K326" s="124"/>
      <c r="L326" s="53">
        <f t="shared" si="695"/>
        <v>0</v>
      </c>
      <c r="M326" s="127">
        <f t="shared" si="696"/>
        <v>0</v>
      </c>
      <c r="N326" s="119">
        <f t="shared" si="697"/>
        <v>0</v>
      </c>
      <c r="O326" s="130"/>
      <c r="P326" s="134"/>
      <c r="Q326" s="130"/>
      <c r="R326" s="52"/>
      <c r="S326" s="224">
        <f t="shared" si="828"/>
        <v>0</v>
      </c>
      <c r="T326" s="237"/>
      <c r="U326" s="237"/>
      <c r="V326" s="237"/>
      <c r="W326" s="237"/>
      <c r="X326" s="52"/>
      <c r="Y326" s="52"/>
      <c r="Z326" s="52"/>
      <c r="AA326" s="54"/>
      <c r="AB326" s="130"/>
      <c r="AC326" s="139"/>
    </row>
    <row r="327" spans="1:29" x14ac:dyDescent="0.3">
      <c r="A327" s="121"/>
      <c r="B327" s="184"/>
      <c r="C327" s="54"/>
      <c r="D327" s="52"/>
      <c r="E327" s="52"/>
      <c r="F327" s="117"/>
      <c r="G327" s="119">
        <f t="shared" si="668"/>
        <v>0</v>
      </c>
      <c r="H327" s="113"/>
      <c r="I327" s="52"/>
      <c r="J327" s="52"/>
      <c r="K327" s="124"/>
      <c r="L327" s="53">
        <f t="shared" si="695"/>
        <v>0</v>
      </c>
      <c r="M327" s="127">
        <f t="shared" si="696"/>
        <v>0</v>
      </c>
      <c r="N327" s="119">
        <f t="shared" si="697"/>
        <v>0</v>
      </c>
      <c r="O327" s="130"/>
      <c r="P327" s="134"/>
      <c r="Q327" s="130"/>
      <c r="R327" s="52"/>
      <c r="S327" s="224">
        <f t="shared" si="828"/>
        <v>0</v>
      </c>
      <c r="T327" s="237"/>
      <c r="U327" s="237"/>
      <c r="V327" s="237"/>
      <c r="W327" s="237"/>
      <c r="X327" s="52"/>
      <c r="Y327" s="52"/>
      <c r="Z327" s="52"/>
      <c r="AA327" s="54"/>
      <c r="AB327" s="130"/>
      <c r="AC327" s="139"/>
    </row>
    <row r="328" spans="1:29" ht="15" thickBot="1" x14ac:dyDescent="0.35">
      <c r="A328" s="122"/>
      <c r="B328" s="185"/>
      <c r="C328" s="102"/>
      <c r="D328" s="101"/>
      <c r="E328" s="101"/>
      <c r="F328" s="118"/>
      <c r="G328" s="120">
        <f t="shared" si="668"/>
        <v>0</v>
      </c>
      <c r="H328" s="114"/>
      <c r="I328" s="101"/>
      <c r="J328" s="101"/>
      <c r="K328" s="125"/>
      <c r="L328" s="103">
        <f t="shared" si="695"/>
        <v>0</v>
      </c>
      <c r="M328" s="128">
        <f t="shared" si="696"/>
        <v>0</v>
      </c>
      <c r="N328" s="120">
        <f t="shared" si="697"/>
        <v>0</v>
      </c>
      <c r="O328" s="131"/>
      <c r="P328" s="135"/>
      <c r="Q328" s="131"/>
      <c r="R328" s="101"/>
      <c r="S328" s="104">
        <f t="shared" si="828"/>
        <v>0</v>
      </c>
      <c r="T328" s="238"/>
      <c r="U328" s="238"/>
      <c r="V328" s="238"/>
      <c r="W328" s="238"/>
      <c r="X328" s="101"/>
      <c r="Y328" s="101"/>
      <c r="Z328" s="101"/>
      <c r="AA328" s="102"/>
      <c r="AB328" s="131"/>
      <c r="AC328" s="140"/>
    </row>
    <row r="329" spans="1:29" x14ac:dyDescent="0.3">
      <c r="A329" s="115">
        <f t="shared" ref="A329" si="829">$A324+1</f>
        <v>66</v>
      </c>
      <c r="B329" s="186"/>
      <c r="C329" s="105">
        <f>INDEX(Tribs!$C$3:$C$102,MATCH($A329,Tribs!$A$3:$A$102,0))</f>
        <v>0</v>
      </c>
      <c r="D329" s="106">
        <f>INDEX(Tribs!$E$3:$E$102,MATCH($A329,Tribs!$A$3:$A$102,0))</f>
        <v>0</v>
      </c>
      <c r="E329" s="105">
        <f>INDEX(Tribs!$F$3:$F$102,MATCH($A329,Tribs!$A$3:$A$102,0))</f>
        <v>0</v>
      </c>
      <c r="F329" s="116">
        <f t="shared" ref="F329" si="830">($C329*$E329)</f>
        <v>0</v>
      </c>
      <c r="G329" s="110"/>
      <c r="H329" s="111">
        <f t="shared" ref="H329" si="831">($F329)+(SUM($G330:$G333))</f>
        <v>0</v>
      </c>
      <c r="I329" s="106">
        <f>INDEX(Tribs!$D$3:$D$102,MATCH($A329,Tribs!$A$3:$A$102,0))</f>
        <v>0</v>
      </c>
      <c r="J329" s="106">
        <f>INDEX(Tribs!$G$3:$G$102,MATCH($A329,Tribs!$A$3:$A$102,0))</f>
        <v>0</v>
      </c>
      <c r="K329" s="105">
        <f>($J329)/V_gutter*(1/60)</f>
        <v>0</v>
      </c>
      <c r="L329" s="112"/>
      <c r="M329" s="109"/>
      <c r="N329" s="129">
        <f t="shared" ref="N329" si="832">($I329+$K329)</f>
        <v>0</v>
      </c>
      <c r="O329" s="111">
        <f t="shared" ref="O329" si="833">MAX($N329:$N333)</f>
        <v>0</v>
      </c>
      <c r="P329" s="133">
        <f>IF($H329&gt;0,IF($O329&lt;=T_1,I_1,IF($O329&lt;=T_2,(($O329*M_1)+B_1),IF($O329&lt;=T_3,(($O329*M_2)+B_2),IF($O329&lt;=T_4,(($O329*M_3)+B_3),IF($O329&lt;=T_5,(($O329*M_4)+B_4),IF($O329&lt;=T_6,(($O329*M_5)+B_5),IF($O329&lt;=T_7,(($O329*M_6)+B_6),IF($O329&lt;=T_8,(($O329*M_7)+B_7),IF($O329&lt;=T_9,(($O329*M_8)+B_8),IF($O329&lt;=T_10,(($O329*M_9)+B_9))))))))))),0)</f>
        <v>0</v>
      </c>
      <c r="Q329" s="111">
        <f t="shared" ref="Q329" si="834">ROUND(($H329*$P329),2)</f>
        <v>0</v>
      </c>
      <c r="R329" s="107">
        <f>IF($Q329&gt;0,IF($Q329&lt;=UTH!$M$4,UTH!$J$4,IF($Q329&lt;=UTH!$M$5,UTH!$J$5,IF($Q329&lt;=UTH!$M$6,UTH!$J$6,IF($Q329&lt;=UTH!$M$7,UTH!$J$7,IF($Q329&lt;=UTH!$M$8,UTH!$J$8,IF($Q329&lt;=UTH!$M$9,UTH!$J$9,IF($Q329&lt;=UTH!$M$10,UTH!$J$10,IF($Q329&lt;=UTH!$M$11,UTH!$J$11,IF($Q329&lt;=UTH!$M$12,UTH!$J$12,IF($Q329&lt;=UTH!$M$13,UTH!$J$13,IF($Q329&lt;=UTH!$M$14,UTH!$J$14,IF($Q329&lt;=UTH!$M$15,UTH!$J$15,IF($Q329&lt;=UTH!$M$16,UTH!$J$16,IF($Q329&lt;=UTH!$M$17,UTH!$J$17,IF($Q329&lt;=UTH!$M$18,UTH!$J$18,IF($Q329&lt;=UTH!$M$19,UTH!$J$19,IF($Q329&lt;=UTH!$M$20,UTH!$J$20))))))))))))))))),0)</f>
        <v>0</v>
      </c>
      <c r="S329" s="107">
        <f>IF(Inverts!$D329="YES",Inverts!$C329,Inverts!$E329)</f>
        <v>0</v>
      </c>
      <c r="T329" s="108">
        <f>IF($S329,($Q329/(KQ*($S329^(8/3))))^2,0)</f>
        <v>0</v>
      </c>
      <c r="U329" s="108">
        <f>IF($S329,(Vmin/(KV*($S329^(2/3))))^2,0)</f>
        <v>0</v>
      </c>
      <c r="V329" s="108">
        <f>IF($Z329,ROUND(MinDrop_2/$Z329,4),0)</f>
        <v>0</v>
      </c>
      <c r="W329" s="108">
        <f t="shared" ref="W329" si="835">IF($S329=0,0,MAX($T329:$V329))</f>
        <v>0</v>
      </c>
      <c r="X329" s="108">
        <f>IF(Inverts!$H329="yes",Inverts!$G329,Inverts!$I329)</f>
        <v>0</v>
      </c>
      <c r="Y329" s="105">
        <f>ROUND(KV*($S329^(2/3))*($X329^(0.5)),2)</f>
        <v>0</v>
      </c>
      <c r="Z329" s="106">
        <f>INDEX(Tribs!$H$3:$H$102,MATCH($A329,Tribs!$A$3:$A$102,0))</f>
        <v>0</v>
      </c>
      <c r="AA329" s="105">
        <f t="shared" ref="AA329" si="836">IF($Y329,($Z329/$Y329)*(1/60),0)</f>
        <v>0</v>
      </c>
      <c r="AB329" s="111">
        <f>ROUND(KQ*($S329^(8/3))*($X329^(0.5)),2)</f>
        <v>0</v>
      </c>
      <c r="AC329" s="138" t="str">
        <f>IF(AND($AB329&gt;=($Q329-0.0049),$Y329&gt;=(Vmin-0.0049)),"OK","NG")</f>
        <v>NG</v>
      </c>
    </row>
    <row r="330" spans="1:29" x14ac:dyDescent="0.3">
      <c r="A330" s="121"/>
      <c r="B330" s="184"/>
      <c r="C330" s="54"/>
      <c r="D330" s="52"/>
      <c r="E330" s="52"/>
      <c r="F330" s="117"/>
      <c r="G330" s="119">
        <f t="shared" ref="G330:G393" si="837">IF($B330,INDEX($H$4:$H$499,(MATCH($B330,$A$4:$A$499))),0)</f>
        <v>0</v>
      </c>
      <c r="H330" s="113"/>
      <c r="I330" s="52"/>
      <c r="J330" s="52"/>
      <c r="K330" s="123"/>
      <c r="L330" s="53">
        <f t="shared" ref="L330" si="838">IF($B330,INDEX($O$4:$O$499,MATCH($B330,$A$4:$A$499)),0)</f>
        <v>0</v>
      </c>
      <c r="M330" s="126">
        <f t="shared" ref="M330" si="839">IF($B330,INDEX($AA$4:$AA$499,MATCH($B330,$A$4:$A$499)),0)</f>
        <v>0</v>
      </c>
      <c r="N330" s="119">
        <f t="shared" ref="N330" si="840">($L330+$M330)</f>
        <v>0</v>
      </c>
      <c r="O330" s="130"/>
      <c r="P330" s="134"/>
      <c r="Q330" s="130"/>
      <c r="R330" s="52"/>
      <c r="S330" s="224">
        <f t="shared" ref="S330:S333" si="841">S329</f>
        <v>0</v>
      </c>
      <c r="T330" s="237"/>
      <c r="U330" s="237"/>
      <c r="V330" s="237"/>
      <c r="W330" s="237"/>
      <c r="X330" s="52"/>
      <c r="Y330" s="52"/>
      <c r="Z330" s="52"/>
      <c r="AA330" s="54"/>
      <c r="AB330" s="130"/>
      <c r="AC330" s="139"/>
    </row>
    <row r="331" spans="1:29" x14ac:dyDescent="0.3">
      <c r="A331" s="121"/>
      <c r="B331" s="184"/>
      <c r="C331" s="54"/>
      <c r="D331" s="52"/>
      <c r="E331" s="52"/>
      <c r="F331" s="117"/>
      <c r="G331" s="119">
        <f t="shared" si="837"/>
        <v>0</v>
      </c>
      <c r="H331" s="113"/>
      <c r="I331" s="52"/>
      <c r="J331" s="52"/>
      <c r="K331" s="124"/>
      <c r="L331" s="53">
        <f t="shared" si="695"/>
        <v>0</v>
      </c>
      <c r="M331" s="127">
        <f t="shared" si="696"/>
        <v>0</v>
      </c>
      <c r="N331" s="119">
        <f t="shared" si="697"/>
        <v>0</v>
      </c>
      <c r="O331" s="130"/>
      <c r="P331" s="134"/>
      <c r="Q331" s="130"/>
      <c r="R331" s="52"/>
      <c r="S331" s="224">
        <f t="shared" si="841"/>
        <v>0</v>
      </c>
      <c r="T331" s="237"/>
      <c r="U331" s="237"/>
      <c r="V331" s="237"/>
      <c r="W331" s="237"/>
      <c r="X331" s="52"/>
      <c r="Y331" s="52"/>
      <c r="Z331" s="52"/>
      <c r="AA331" s="54"/>
      <c r="AB331" s="130"/>
      <c r="AC331" s="139"/>
    </row>
    <row r="332" spans="1:29" x14ac:dyDescent="0.3">
      <c r="A332" s="121"/>
      <c r="B332" s="184"/>
      <c r="C332" s="54"/>
      <c r="D332" s="52"/>
      <c r="E332" s="52"/>
      <c r="F332" s="117"/>
      <c r="G332" s="119">
        <f t="shared" si="837"/>
        <v>0</v>
      </c>
      <c r="H332" s="113"/>
      <c r="I332" s="52"/>
      <c r="J332" s="52"/>
      <c r="K332" s="124"/>
      <c r="L332" s="53">
        <f t="shared" si="695"/>
        <v>0</v>
      </c>
      <c r="M332" s="127">
        <f t="shared" si="696"/>
        <v>0</v>
      </c>
      <c r="N332" s="119">
        <f t="shared" si="697"/>
        <v>0</v>
      </c>
      <c r="O332" s="130"/>
      <c r="P332" s="134"/>
      <c r="Q332" s="130"/>
      <c r="R332" s="52"/>
      <c r="S332" s="224">
        <f t="shared" si="841"/>
        <v>0</v>
      </c>
      <c r="T332" s="237"/>
      <c r="U332" s="237"/>
      <c r="V332" s="237"/>
      <c r="W332" s="237"/>
      <c r="X332" s="52"/>
      <c r="Y332" s="52"/>
      <c r="Z332" s="52"/>
      <c r="AA332" s="54"/>
      <c r="AB332" s="130"/>
      <c r="AC332" s="139"/>
    </row>
    <row r="333" spans="1:29" ht="15" thickBot="1" x14ac:dyDescent="0.35">
      <c r="A333" s="122"/>
      <c r="B333" s="185"/>
      <c r="C333" s="102"/>
      <c r="D333" s="101"/>
      <c r="E333" s="101"/>
      <c r="F333" s="118"/>
      <c r="G333" s="120">
        <f t="shared" si="837"/>
        <v>0</v>
      </c>
      <c r="H333" s="114"/>
      <c r="I333" s="101"/>
      <c r="J333" s="101"/>
      <c r="K333" s="125"/>
      <c r="L333" s="103">
        <f t="shared" si="695"/>
        <v>0</v>
      </c>
      <c r="M333" s="128">
        <f t="shared" si="696"/>
        <v>0</v>
      </c>
      <c r="N333" s="120">
        <f t="shared" si="697"/>
        <v>0</v>
      </c>
      <c r="O333" s="131"/>
      <c r="P333" s="135"/>
      <c r="Q333" s="131"/>
      <c r="R333" s="101"/>
      <c r="S333" s="104">
        <f t="shared" si="841"/>
        <v>0</v>
      </c>
      <c r="T333" s="238"/>
      <c r="U333" s="238"/>
      <c r="V333" s="238"/>
      <c r="W333" s="238"/>
      <c r="X333" s="101"/>
      <c r="Y333" s="101"/>
      <c r="Z333" s="101"/>
      <c r="AA333" s="102"/>
      <c r="AB333" s="131"/>
      <c r="AC333" s="140"/>
    </row>
    <row r="334" spans="1:29" x14ac:dyDescent="0.3">
      <c r="A334" s="115">
        <f t="shared" ref="A334" si="842">$A329+1</f>
        <v>67</v>
      </c>
      <c r="B334" s="186"/>
      <c r="C334" s="105">
        <f>INDEX(Tribs!$C$3:$C$102,MATCH($A334,Tribs!$A$3:$A$102,0))</f>
        <v>0</v>
      </c>
      <c r="D334" s="106">
        <f>INDEX(Tribs!$E$3:$E$102,MATCH($A334,Tribs!$A$3:$A$102,0))</f>
        <v>0</v>
      </c>
      <c r="E334" s="105">
        <f>INDEX(Tribs!$F$3:$F$102,MATCH($A334,Tribs!$A$3:$A$102,0))</f>
        <v>0</v>
      </c>
      <c r="F334" s="116">
        <f t="shared" ref="F334" si="843">($C334*$E334)</f>
        <v>0</v>
      </c>
      <c r="G334" s="110"/>
      <c r="H334" s="111">
        <f t="shared" ref="H334" si="844">($F334)+(SUM($G335:$G338))</f>
        <v>0</v>
      </c>
      <c r="I334" s="106">
        <f>INDEX(Tribs!$D$3:$D$102,MATCH($A334,Tribs!$A$3:$A$102,0))</f>
        <v>0</v>
      </c>
      <c r="J334" s="106">
        <f>INDEX(Tribs!$G$3:$G$102,MATCH($A334,Tribs!$A$3:$A$102,0))</f>
        <v>0</v>
      </c>
      <c r="K334" s="105">
        <f>($J334)/V_gutter*(1/60)</f>
        <v>0</v>
      </c>
      <c r="L334" s="112"/>
      <c r="M334" s="109"/>
      <c r="N334" s="129">
        <f t="shared" ref="N334" si="845">($I334+$K334)</f>
        <v>0</v>
      </c>
      <c r="O334" s="111">
        <f t="shared" ref="O334" si="846">MAX($N334:$N338)</f>
        <v>0</v>
      </c>
      <c r="P334" s="133">
        <f>IF($H334&gt;0,IF($O334&lt;=T_1,I_1,IF($O334&lt;=T_2,(($O334*M_1)+B_1),IF($O334&lt;=T_3,(($O334*M_2)+B_2),IF($O334&lt;=T_4,(($O334*M_3)+B_3),IF($O334&lt;=T_5,(($O334*M_4)+B_4),IF($O334&lt;=T_6,(($O334*M_5)+B_5),IF($O334&lt;=T_7,(($O334*M_6)+B_6),IF($O334&lt;=T_8,(($O334*M_7)+B_7),IF($O334&lt;=T_9,(($O334*M_8)+B_8),IF($O334&lt;=T_10,(($O334*M_9)+B_9))))))))))),0)</f>
        <v>0</v>
      </c>
      <c r="Q334" s="111">
        <f t="shared" ref="Q334" si="847">ROUND(($H334*$P334),2)</f>
        <v>0</v>
      </c>
      <c r="R334" s="107">
        <f>IF($Q334&gt;0,IF($Q334&lt;=UTH!$M$4,UTH!$J$4,IF($Q334&lt;=UTH!$M$5,UTH!$J$5,IF($Q334&lt;=UTH!$M$6,UTH!$J$6,IF($Q334&lt;=UTH!$M$7,UTH!$J$7,IF($Q334&lt;=UTH!$M$8,UTH!$J$8,IF($Q334&lt;=UTH!$M$9,UTH!$J$9,IF($Q334&lt;=UTH!$M$10,UTH!$J$10,IF($Q334&lt;=UTH!$M$11,UTH!$J$11,IF($Q334&lt;=UTH!$M$12,UTH!$J$12,IF($Q334&lt;=UTH!$M$13,UTH!$J$13,IF($Q334&lt;=UTH!$M$14,UTH!$J$14,IF($Q334&lt;=UTH!$M$15,UTH!$J$15,IF($Q334&lt;=UTH!$M$16,UTH!$J$16,IF($Q334&lt;=UTH!$M$17,UTH!$J$17,IF($Q334&lt;=UTH!$M$18,UTH!$J$18,IF($Q334&lt;=UTH!$M$19,UTH!$J$19,IF($Q334&lt;=UTH!$M$20,UTH!$J$20))))))))))))))))),0)</f>
        <v>0</v>
      </c>
      <c r="S334" s="107">
        <f>IF(Inverts!$D334="YES",Inverts!$C334,Inverts!$E334)</f>
        <v>0</v>
      </c>
      <c r="T334" s="108">
        <f>IF($S334,($Q334/(KQ*($S334^(8/3))))^2,0)</f>
        <v>0</v>
      </c>
      <c r="U334" s="108">
        <f>IF($S334,(Vmin/(KV*($S334^(2/3))))^2,0)</f>
        <v>0</v>
      </c>
      <c r="V334" s="108">
        <f>IF($Z334,ROUND(MinDrop_2/$Z334,4),0)</f>
        <v>0</v>
      </c>
      <c r="W334" s="108">
        <f t="shared" ref="W334" si="848">IF($S334=0,0,MAX($T334:$V334))</f>
        <v>0</v>
      </c>
      <c r="X334" s="108">
        <f>IF(Inverts!$H334="yes",Inverts!$G334,Inverts!$I334)</f>
        <v>0</v>
      </c>
      <c r="Y334" s="105">
        <f>ROUND(KV*($S334^(2/3))*($X334^(0.5)),2)</f>
        <v>0</v>
      </c>
      <c r="Z334" s="106">
        <f>INDEX(Tribs!$H$3:$H$102,MATCH($A334,Tribs!$A$3:$A$102,0))</f>
        <v>0</v>
      </c>
      <c r="AA334" s="105">
        <f t="shared" ref="AA334" si="849">IF($Y334,($Z334/$Y334)*(1/60),0)</f>
        <v>0</v>
      </c>
      <c r="AB334" s="111">
        <f>ROUND(KQ*($S334^(8/3))*($X334^(0.5)),2)</f>
        <v>0</v>
      </c>
      <c r="AC334" s="138" t="str">
        <f>IF(AND($AB334&gt;=($Q334-0.0049),$Y334&gt;=(Vmin-0.0049)),"OK","NG")</f>
        <v>NG</v>
      </c>
    </row>
    <row r="335" spans="1:29" x14ac:dyDescent="0.3">
      <c r="A335" s="121"/>
      <c r="B335" s="184"/>
      <c r="C335" s="54"/>
      <c r="D335" s="52"/>
      <c r="E335" s="52"/>
      <c r="F335" s="117"/>
      <c r="G335" s="119">
        <f t="shared" ref="G335" si="850">IF($B335,INDEX($H$4:$H$499,(MATCH($B335,$A$4:$A$499))),0)</f>
        <v>0</v>
      </c>
      <c r="H335" s="113"/>
      <c r="I335" s="52"/>
      <c r="J335" s="52"/>
      <c r="K335" s="123"/>
      <c r="L335" s="53">
        <f t="shared" ref="L335" si="851">IF($B335,INDEX($O$4:$O$499,MATCH($B335,$A$4:$A$499)),0)</f>
        <v>0</v>
      </c>
      <c r="M335" s="126">
        <f t="shared" ref="M335" si="852">IF($B335,INDEX($AA$4:$AA$499,MATCH($B335,$A$4:$A$499)),0)</f>
        <v>0</v>
      </c>
      <c r="N335" s="119">
        <f t="shared" ref="N335" si="853">($L335+$M335)</f>
        <v>0</v>
      </c>
      <c r="O335" s="130"/>
      <c r="P335" s="134"/>
      <c r="Q335" s="130"/>
      <c r="R335" s="52"/>
      <c r="S335" s="224">
        <f t="shared" ref="S335:S338" si="854">S334</f>
        <v>0</v>
      </c>
      <c r="T335" s="237"/>
      <c r="U335" s="237"/>
      <c r="V335" s="237"/>
      <c r="W335" s="237"/>
      <c r="X335" s="52"/>
      <c r="Y335" s="52"/>
      <c r="Z335" s="52"/>
      <c r="AA335" s="54"/>
      <c r="AB335" s="130"/>
      <c r="AC335" s="139"/>
    </row>
    <row r="336" spans="1:29" x14ac:dyDescent="0.3">
      <c r="A336" s="121"/>
      <c r="B336" s="184"/>
      <c r="C336" s="54"/>
      <c r="D336" s="52"/>
      <c r="E336" s="52"/>
      <c r="F336" s="117"/>
      <c r="G336" s="119">
        <f t="shared" si="837"/>
        <v>0</v>
      </c>
      <c r="H336" s="113"/>
      <c r="I336" s="52"/>
      <c r="J336" s="52"/>
      <c r="K336" s="124"/>
      <c r="L336" s="53">
        <f t="shared" si="695"/>
        <v>0</v>
      </c>
      <c r="M336" s="127">
        <f t="shared" si="696"/>
        <v>0</v>
      </c>
      <c r="N336" s="119">
        <f t="shared" si="697"/>
        <v>0</v>
      </c>
      <c r="O336" s="130"/>
      <c r="P336" s="134"/>
      <c r="Q336" s="130"/>
      <c r="R336" s="52"/>
      <c r="S336" s="224">
        <f t="shared" si="854"/>
        <v>0</v>
      </c>
      <c r="T336" s="237"/>
      <c r="U336" s="237"/>
      <c r="V336" s="237"/>
      <c r="W336" s="237"/>
      <c r="X336" s="52"/>
      <c r="Y336" s="52"/>
      <c r="Z336" s="52"/>
      <c r="AA336" s="54"/>
      <c r="AB336" s="130"/>
      <c r="AC336" s="139"/>
    </row>
    <row r="337" spans="1:29" x14ac:dyDescent="0.3">
      <c r="A337" s="121"/>
      <c r="B337" s="184"/>
      <c r="C337" s="54"/>
      <c r="D337" s="52"/>
      <c r="E337" s="52"/>
      <c r="F337" s="117"/>
      <c r="G337" s="119">
        <f t="shared" si="837"/>
        <v>0</v>
      </c>
      <c r="H337" s="113"/>
      <c r="I337" s="52"/>
      <c r="J337" s="52"/>
      <c r="K337" s="124"/>
      <c r="L337" s="53">
        <f t="shared" si="695"/>
        <v>0</v>
      </c>
      <c r="M337" s="127">
        <f t="shared" si="696"/>
        <v>0</v>
      </c>
      <c r="N337" s="119">
        <f t="shared" si="697"/>
        <v>0</v>
      </c>
      <c r="O337" s="130"/>
      <c r="P337" s="134"/>
      <c r="Q337" s="130"/>
      <c r="R337" s="52"/>
      <c r="S337" s="224">
        <f t="shared" si="854"/>
        <v>0</v>
      </c>
      <c r="T337" s="237"/>
      <c r="U337" s="237"/>
      <c r="V337" s="237"/>
      <c r="W337" s="237"/>
      <c r="X337" s="52"/>
      <c r="Y337" s="52"/>
      <c r="Z337" s="52"/>
      <c r="AA337" s="54"/>
      <c r="AB337" s="130"/>
      <c r="AC337" s="139"/>
    </row>
    <row r="338" spans="1:29" ht="15" thickBot="1" x14ac:dyDescent="0.35">
      <c r="A338" s="122"/>
      <c r="B338" s="185"/>
      <c r="C338" s="102"/>
      <c r="D338" s="101"/>
      <c r="E338" s="101"/>
      <c r="F338" s="118"/>
      <c r="G338" s="120">
        <f t="shared" si="837"/>
        <v>0</v>
      </c>
      <c r="H338" s="114"/>
      <c r="I338" s="101"/>
      <c r="J338" s="101"/>
      <c r="K338" s="125"/>
      <c r="L338" s="103">
        <f t="shared" si="695"/>
        <v>0</v>
      </c>
      <c r="M338" s="128">
        <f t="shared" si="696"/>
        <v>0</v>
      </c>
      <c r="N338" s="120">
        <f t="shared" si="697"/>
        <v>0</v>
      </c>
      <c r="O338" s="131"/>
      <c r="P338" s="135"/>
      <c r="Q338" s="131"/>
      <c r="R338" s="101"/>
      <c r="S338" s="104">
        <f t="shared" si="854"/>
        <v>0</v>
      </c>
      <c r="T338" s="238"/>
      <c r="U338" s="238"/>
      <c r="V338" s="238"/>
      <c r="W338" s="238"/>
      <c r="X338" s="101"/>
      <c r="Y338" s="101"/>
      <c r="Z338" s="101"/>
      <c r="AA338" s="102"/>
      <c r="AB338" s="131"/>
      <c r="AC338" s="140"/>
    </row>
    <row r="339" spans="1:29" x14ac:dyDescent="0.3">
      <c r="A339" s="115">
        <f t="shared" ref="A339" si="855">$A334+1</f>
        <v>68</v>
      </c>
      <c r="B339" s="186"/>
      <c r="C339" s="105">
        <f>INDEX(Tribs!$C$3:$C$102,MATCH($A339,Tribs!$A$3:$A$102,0))</f>
        <v>0</v>
      </c>
      <c r="D339" s="106">
        <f>INDEX(Tribs!$E$3:$E$102,MATCH($A339,Tribs!$A$3:$A$102,0))</f>
        <v>0</v>
      </c>
      <c r="E339" s="105">
        <f>INDEX(Tribs!$F$3:$F$102,MATCH($A339,Tribs!$A$3:$A$102,0))</f>
        <v>0</v>
      </c>
      <c r="F339" s="116">
        <f t="shared" ref="F339" si="856">($C339*$E339)</f>
        <v>0</v>
      </c>
      <c r="G339" s="110"/>
      <c r="H339" s="111">
        <f t="shared" ref="H339" si="857">($F339)+(SUM($G340:$G343))</f>
        <v>0</v>
      </c>
      <c r="I339" s="106">
        <f>INDEX(Tribs!$D$3:$D$102,MATCH($A339,Tribs!$A$3:$A$102,0))</f>
        <v>0</v>
      </c>
      <c r="J339" s="106">
        <f>INDEX(Tribs!$G$3:$G$102,MATCH($A339,Tribs!$A$3:$A$102,0))</f>
        <v>0</v>
      </c>
      <c r="K339" s="105">
        <f>($J339)/V_gutter*(1/60)</f>
        <v>0</v>
      </c>
      <c r="L339" s="112"/>
      <c r="M339" s="109"/>
      <c r="N339" s="129">
        <f t="shared" ref="N339" si="858">($I339+$K339)</f>
        <v>0</v>
      </c>
      <c r="O339" s="111">
        <f t="shared" ref="O339" si="859">MAX($N339:$N343)</f>
        <v>0</v>
      </c>
      <c r="P339" s="133">
        <f>IF($H339&gt;0,IF($O339&lt;=T_1,I_1,IF($O339&lt;=T_2,(($O339*M_1)+B_1),IF($O339&lt;=T_3,(($O339*M_2)+B_2),IF($O339&lt;=T_4,(($O339*M_3)+B_3),IF($O339&lt;=T_5,(($O339*M_4)+B_4),IF($O339&lt;=T_6,(($O339*M_5)+B_5),IF($O339&lt;=T_7,(($O339*M_6)+B_6),IF($O339&lt;=T_8,(($O339*M_7)+B_7),IF($O339&lt;=T_9,(($O339*M_8)+B_8),IF($O339&lt;=T_10,(($O339*M_9)+B_9))))))))))),0)</f>
        <v>0</v>
      </c>
      <c r="Q339" s="111">
        <f t="shared" ref="Q339" si="860">ROUND(($H339*$P339),2)</f>
        <v>0</v>
      </c>
      <c r="R339" s="107">
        <f>IF($Q339&gt;0,IF($Q339&lt;=UTH!$M$4,UTH!$J$4,IF($Q339&lt;=UTH!$M$5,UTH!$J$5,IF($Q339&lt;=UTH!$M$6,UTH!$J$6,IF($Q339&lt;=UTH!$M$7,UTH!$J$7,IF($Q339&lt;=UTH!$M$8,UTH!$J$8,IF($Q339&lt;=UTH!$M$9,UTH!$J$9,IF($Q339&lt;=UTH!$M$10,UTH!$J$10,IF($Q339&lt;=UTH!$M$11,UTH!$J$11,IF($Q339&lt;=UTH!$M$12,UTH!$J$12,IF($Q339&lt;=UTH!$M$13,UTH!$J$13,IF($Q339&lt;=UTH!$M$14,UTH!$J$14,IF($Q339&lt;=UTH!$M$15,UTH!$J$15,IF($Q339&lt;=UTH!$M$16,UTH!$J$16,IF($Q339&lt;=UTH!$M$17,UTH!$J$17,IF($Q339&lt;=UTH!$M$18,UTH!$J$18,IF($Q339&lt;=UTH!$M$19,UTH!$J$19,IF($Q339&lt;=UTH!$M$20,UTH!$J$20))))))))))))))))),0)</f>
        <v>0</v>
      </c>
      <c r="S339" s="107">
        <f>IF(Inverts!$D339="YES",Inverts!$C339,Inverts!$E339)</f>
        <v>0</v>
      </c>
      <c r="T339" s="108">
        <f>IF($S339,($Q339/(KQ*($S339^(8/3))))^2,0)</f>
        <v>0</v>
      </c>
      <c r="U339" s="108">
        <f>IF($S339,(Vmin/(KV*($S339^(2/3))))^2,0)</f>
        <v>0</v>
      </c>
      <c r="V339" s="108">
        <f>IF($Z339,ROUND(MinDrop_2/$Z339,4),0)</f>
        <v>0</v>
      </c>
      <c r="W339" s="108">
        <f t="shared" ref="W339" si="861">IF($S339=0,0,MAX($T339:$V339))</f>
        <v>0</v>
      </c>
      <c r="X339" s="108">
        <f>IF(Inverts!$H339="yes",Inverts!$G339,Inverts!$I339)</f>
        <v>0</v>
      </c>
      <c r="Y339" s="105">
        <f>ROUND(KV*($S339^(2/3))*($X339^(0.5)),2)</f>
        <v>0</v>
      </c>
      <c r="Z339" s="106">
        <f>INDEX(Tribs!$H$3:$H$102,MATCH($A339,Tribs!$A$3:$A$102,0))</f>
        <v>0</v>
      </c>
      <c r="AA339" s="105">
        <f t="shared" ref="AA339" si="862">IF($Y339,($Z339/$Y339)*(1/60),0)</f>
        <v>0</v>
      </c>
      <c r="AB339" s="111">
        <f>ROUND(KQ*($S339^(8/3))*($X339^(0.5)),2)</f>
        <v>0</v>
      </c>
      <c r="AC339" s="138" t="str">
        <f>IF(AND($AB339&gt;=($Q339-0.0049),$Y339&gt;=(Vmin-0.0049)),"OK","NG")</f>
        <v>NG</v>
      </c>
    </row>
    <row r="340" spans="1:29" x14ac:dyDescent="0.3">
      <c r="A340" s="121"/>
      <c r="B340" s="184"/>
      <c r="C340" s="54"/>
      <c r="D340" s="52"/>
      <c r="E340" s="52"/>
      <c r="F340" s="117"/>
      <c r="G340" s="119">
        <f t="shared" ref="G340" si="863">IF($B340,INDEX($H$4:$H$499,(MATCH($B340,$A$4:$A$499))),0)</f>
        <v>0</v>
      </c>
      <c r="H340" s="113"/>
      <c r="I340" s="52"/>
      <c r="J340" s="52"/>
      <c r="K340" s="123"/>
      <c r="L340" s="53">
        <f t="shared" ref="L340:L403" si="864">IF($B340,INDEX($O$4:$O$499,MATCH($B340,$A$4:$A$499)),0)</f>
        <v>0</v>
      </c>
      <c r="M340" s="126">
        <f t="shared" ref="M340:M403" si="865">IF($B340,INDEX($AA$4:$AA$499,MATCH($B340,$A$4:$A$499)),0)</f>
        <v>0</v>
      </c>
      <c r="N340" s="119">
        <f t="shared" ref="N340:N403" si="866">($L340+$M340)</f>
        <v>0</v>
      </c>
      <c r="O340" s="130"/>
      <c r="P340" s="134"/>
      <c r="Q340" s="130"/>
      <c r="R340" s="52"/>
      <c r="S340" s="224">
        <f t="shared" ref="S340:S343" si="867">S339</f>
        <v>0</v>
      </c>
      <c r="T340" s="237"/>
      <c r="U340" s="237"/>
      <c r="V340" s="237"/>
      <c r="W340" s="237"/>
      <c r="X340" s="52"/>
      <c r="Y340" s="52"/>
      <c r="Z340" s="52"/>
      <c r="AA340" s="54"/>
      <c r="AB340" s="130"/>
      <c r="AC340" s="139"/>
    </row>
    <row r="341" spans="1:29" x14ac:dyDescent="0.3">
      <c r="A341" s="121"/>
      <c r="B341" s="184"/>
      <c r="C341" s="54"/>
      <c r="D341" s="52"/>
      <c r="E341" s="52"/>
      <c r="F341" s="117"/>
      <c r="G341" s="119">
        <f t="shared" si="837"/>
        <v>0</v>
      </c>
      <c r="H341" s="113"/>
      <c r="I341" s="52"/>
      <c r="J341" s="52"/>
      <c r="K341" s="124"/>
      <c r="L341" s="53">
        <f t="shared" si="864"/>
        <v>0</v>
      </c>
      <c r="M341" s="127">
        <f t="shared" si="865"/>
        <v>0</v>
      </c>
      <c r="N341" s="119">
        <f t="shared" si="866"/>
        <v>0</v>
      </c>
      <c r="O341" s="130"/>
      <c r="P341" s="134"/>
      <c r="Q341" s="130"/>
      <c r="R341" s="52"/>
      <c r="S341" s="224">
        <f t="shared" si="867"/>
        <v>0</v>
      </c>
      <c r="T341" s="237"/>
      <c r="U341" s="237"/>
      <c r="V341" s="237"/>
      <c r="W341" s="237"/>
      <c r="X341" s="52"/>
      <c r="Y341" s="52"/>
      <c r="Z341" s="52"/>
      <c r="AA341" s="54"/>
      <c r="AB341" s="130"/>
      <c r="AC341" s="139"/>
    </row>
    <row r="342" spans="1:29" x14ac:dyDescent="0.3">
      <c r="A342" s="121"/>
      <c r="B342" s="184"/>
      <c r="C342" s="54"/>
      <c r="D342" s="52"/>
      <c r="E342" s="52"/>
      <c r="F342" s="117"/>
      <c r="G342" s="119">
        <f t="shared" si="837"/>
        <v>0</v>
      </c>
      <c r="H342" s="113"/>
      <c r="I342" s="52"/>
      <c r="J342" s="52"/>
      <c r="K342" s="124"/>
      <c r="L342" s="53">
        <f t="shared" si="864"/>
        <v>0</v>
      </c>
      <c r="M342" s="127">
        <f t="shared" si="865"/>
        <v>0</v>
      </c>
      <c r="N342" s="119">
        <f t="shared" si="866"/>
        <v>0</v>
      </c>
      <c r="O342" s="130"/>
      <c r="P342" s="134"/>
      <c r="Q342" s="130"/>
      <c r="R342" s="52"/>
      <c r="S342" s="224">
        <f t="shared" si="867"/>
        <v>0</v>
      </c>
      <c r="T342" s="237"/>
      <c r="U342" s="237"/>
      <c r="V342" s="237"/>
      <c r="W342" s="237"/>
      <c r="X342" s="52"/>
      <c r="Y342" s="52"/>
      <c r="Z342" s="52"/>
      <c r="AA342" s="54"/>
      <c r="AB342" s="130"/>
      <c r="AC342" s="139"/>
    </row>
    <row r="343" spans="1:29" ht="15" thickBot="1" x14ac:dyDescent="0.35">
      <c r="A343" s="122"/>
      <c r="B343" s="185"/>
      <c r="C343" s="102"/>
      <c r="D343" s="101"/>
      <c r="E343" s="101"/>
      <c r="F343" s="118"/>
      <c r="G343" s="120">
        <f t="shared" si="837"/>
        <v>0</v>
      </c>
      <c r="H343" s="114"/>
      <c r="I343" s="101"/>
      <c r="J343" s="101"/>
      <c r="K343" s="125"/>
      <c r="L343" s="103">
        <f t="shared" si="864"/>
        <v>0</v>
      </c>
      <c r="M343" s="128">
        <f t="shared" si="865"/>
        <v>0</v>
      </c>
      <c r="N343" s="120">
        <f t="shared" si="866"/>
        <v>0</v>
      </c>
      <c r="O343" s="131"/>
      <c r="P343" s="135"/>
      <c r="Q343" s="131"/>
      <c r="R343" s="101"/>
      <c r="S343" s="104">
        <f t="shared" si="867"/>
        <v>0</v>
      </c>
      <c r="T343" s="238"/>
      <c r="U343" s="238"/>
      <c r="V343" s="238"/>
      <c r="W343" s="238"/>
      <c r="X343" s="101"/>
      <c r="Y343" s="101"/>
      <c r="Z343" s="101"/>
      <c r="AA343" s="102"/>
      <c r="AB343" s="131"/>
      <c r="AC343" s="140"/>
    </row>
    <row r="344" spans="1:29" x14ac:dyDescent="0.3">
      <c r="A344" s="115">
        <f t="shared" ref="A344" si="868">$A339+1</f>
        <v>69</v>
      </c>
      <c r="B344" s="186"/>
      <c r="C344" s="105">
        <f>INDEX(Tribs!$C$3:$C$102,MATCH($A344,Tribs!$A$3:$A$102,0))</f>
        <v>0</v>
      </c>
      <c r="D344" s="106">
        <f>INDEX(Tribs!$E$3:$E$102,MATCH($A344,Tribs!$A$3:$A$102,0))</f>
        <v>0</v>
      </c>
      <c r="E344" s="105">
        <f>INDEX(Tribs!$F$3:$F$102,MATCH($A344,Tribs!$A$3:$A$102,0))</f>
        <v>0</v>
      </c>
      <c r="F344" s="116">
        <f t="shared" ref="F344" si="869">($C344*$E344)</f>
        <v>0</v>
      </c>
      <c r="G344" s="110"/>
      <c r="H344" s="111">
        <f t="shared" ref="H344" si="870">($F344)+(SUM($G345:$G348))</f>
        <v>0</v>
      </c>
      <c r="I344" s="106">
        <f>INDEX(Tribs!$D$3:$D$102,MATCH($A344,Tribs!$A$3:$A$102,0))</f>
        <v>0</v>
      </c>
      <c r="J344" s="106">
        <f>INDEX(Tribs!$G$3:$G$102,MATCH($A344,Tribs!$A$3:$A$102,0))</f>
        <v>0</v>
      </c>
      <c r="K344" s="105">
        <f>($J344)/V_gutter*(1/60)</f>
        <v>0</v>
      </c>
      <c r="L344" s="112"/>
      <c r="M344" s="109"/>
      <c r="N344" s="129">
        <f t="shared" ref="N344" si="871">($I344+$K344)</f>
        <v>0</v>
      </c>
      <c r="O344" s="111">
        <f t="shared" ref="O344" si="872">MAX($N344:$N348)</f>
        <v>0</v>
      </c>
      <c r="P344" s="133">
        <f>IF($H344&gt;0,IF($O344&lt;=T_1,I_1,IF($O344&lt;=T_2,(($O344*M_1)+B_1),IF($O344&lt;=T_3,(($O344*M_2)+B_2),IF($O344&lt;=T_4,(($O344*M_3)+B_3),IF($O344&lt;=T_5,(($O344*M_4)+B_4),IF($O344&lt;=T_6,(($O344*M_5)+B_5),IF($O344&lt;=T_7,(($O344*M_6)+B_6),IF($O344&lt;=T_8,(($O344*M_7)+B_7),IF($O344&lt;=T_9,(($O344*M_8)+B_8),IF($O344&lt;=T_10,(($O344*M_9)+B_9))))))))))),0)</f>
        <v>0</v>
      </c>
      <c r="Q344" s="111">
        <f t="shared" ref="Q344" si="873">ROUND(($H344*$P344),2)</f>
        <v>0</v>
      </c>
      <c r="R344" s="107">
        <f>IF($Q344&gt;0,IF($Q344&lt;=UTH!$M$4,UTH!$J$4,IF($Q344&lt;=UTH!$M$5,UTH!$J$5,IF($Q344&lt;=UTH!$M$6,UTH!$J$6,IF($Q344&lt;=UTH!$M$7,UTH!$J$7,IF($Q344&lt;=UTH!$M$8,UTH!$J$8,IF($Q344&lt;=UTH!$M$9,UTH!$J$9,IF($Q344&lt;=UTH!$M$10,UTH!$J$10,IF($Q344&lt;=UTH!$M$11,UTH!$J$11,IF($Q344&lt;=UTH!$M$12,UTH!$J$12,IF($Q344&lt;=UTH!$M$13,UTH!$J$13,IF($Q344&lt;=UTH!$M$14,UTH!$J$14,IF($Q344&lt;=UTH!$M$15,UTH!$J$15,IF($Q344&lt;=UTH!$M$16,UTH!$J$16,IF($Q344&lt;=UTH!$M$17,UTH!$J$17,IF($Q344&lt;=UTH!$M$18,UTH!$J$18,IF($Q344&lt;=UTH!$M$19,UTH!$J$19,IF($Q344&lt;=UTH!$M$20,UTH!$J$20))))))))))))))))),0)</f>
        <v>0</v>
      </c>
      <c r="S344" s="107">
        <f>IF(Inverts!$D344="YES",Inverts!$C344,Inverts!$E344)</f>
        <v>0</v>
      </c>
      <c r="T344" s="108">
        <f>IF($S344,($Q344/(KQ*($S344^(8/3))))^2,0)</f>
        <v>0</v>
      </c>
      <c r="U344" s="108">
        <f>IF($S344,(Vmin/(KV*($S344^(2/3))))^2,0)</f>
        <v>0</v>
      </c>
      <c r="V344" s="108">
        <f>IF($Z344,ROUND(MinDrop_2/$Z344,4),0)</f>
        <v>0</v>
      </c>
      <c r="W344" s="108">
        <f t="shared" ref="W344" si="874">IF($S344=0,0,MAX($T344:$V344))</f>
        <v>0</v>
      </c>
      <c r="X344" s="108">
        <f>IF(Inverts!$H344="yes",Inverts!$G344,Inverts!$I344)</f>
        <v>0</v>
      </c>
      <c r="Y344" s="105">
        <f>ROUND(KV*($S344^(2/3))*($X344^(0.5)),2)</f>
        <v>0</v>
      </c>
      <c r="Z344" s="106">
        <f>INDEX(Tribs!$H$3:$H$102,MATCH($A344,Tribs!$A$3:$A$102,0))</f>
        <v>0</v>
      </c>
      <c r="AA344" s="105">
        <f t="shared" ref="AA344" si="875">IF($Y344,($Z344/$Y344)*(1/60),0)</f>
        <v>0</v>
      </c>
      <c r="AB344" s="111">
        <f>ROUND(KQ*($S344^(8/3))*($X344^(0.5)),2)</f>
        <v>0</v>
      </c>
      <c r="AC344" s="138" t="str">
        <f>IF(AND($AB344&gt;=($Q344-0.0049),$Y344&gt;=(Vmin-0.0049)),"OK","NG")</f>
        <v>NG</v>
      </c>
    </row>
    <row r="345" spans="1:29" x14ac:dyDescent="0.3">
      <c r="A345" s="121"/>
      <c r="B345" s="184"/>
      <c r="C345" s="54"/>
      <c r="D345" s="52"/>
      <c r="E345" s="52"/>
      <c r="F345" s="117"/>
      <c r="G345" s="119">
        <f t="shared" ref="G345" si="876">IF($B345,INDEX($H$4:$H$499,(MATCH($B345,$A$4:$A$499))),0)</f>
        <v>0</v>
      </c>
      <c r="H345" s="113"/>
      <c r="I345" s="52"/>
      <c r="J345" s="52"/>
      <c r="K345" s="123"/>
      <c r="L345" s="53">
        <f t="shared" ref="L345" si="877">IF($B345,INDEX($O$4:$O$499,MATCH($B345,$A$4:$A$499)),0)</f>
        <v>0</v>
      </c>
      <c r="M345" s="126">
        <f t="shared" ref="M345" si="878">IF($B345,INDEX($AA$4:$AA$499,MATCH($B345,$A$4:$A$499)),0)</f>
        <v>0</v>
      </c>
      <c r="N345" s="119">
        <f t="shared" ref="N345" si="879">($L345+$M345)</f>
        <v>0</v>
      </c>
      <c r="O345" s="130"/>
      <c r="P345" s="134"/>
      <c r="Q345" s="130"/>
      <c r="R345" s="52"/>
      <c r="S345" s="224">
        <f t="shared" ref="S345:S348" si="880">S344</f>
        <v>0</v>
      </c>
      <c r="T345" s="237"/>
      <c r="U345" s="237"/>
      <c r="V345" s="237"/>
      <c r="W345" s="237"/>
      <c r="X345" s="52"/>
      <c r="Y345" s="52"/>
      <c r="Z345" s="52"/>
      <c r="AA345" s="54"/>
      <c r="AB345" s="130"/>
      <c r="AC345" s="139"/>
    </row>
    <row r="346" spans="1:29" x14ac:dyDescent="0.3">
      <c r="A346" s="121"/>
      <c r="B346" s="184"/>
      <c r="C346" s="54"/>
      <c r="D346" s="52"/>
      <c r="E346" s="52"/>
      <c r="F346" s="117"/>
      <c r="G346" s="119">
        <f t="shared" si="837"/>
        <v>0</v>
      </c>
      <c r="H346" s="113"/>
      <c r="I346" s="52"/>
      <c r="J346" s="52"/>
      <c r="K346" s="124"/>
      <c r="L346" s="53">
        <f t="shared" si="864"/>
        <v>0</v>
      </c>
      <c r="M346" s="127">
        <f t="shared" si="865"/>
        <v>0</v>
      </c>
      <c r="N346" s="119">
        <f t="shared" si="866"/>
        <v>0</v>
      </c>
      <c r="O346" s="130"/>
      <c r="P346" s="134"/>
      <c r="Q346" s="130"/>
      <c r="R346" s="52"/>
      <c r="S346" s="224">
        <f t="shared" si="880"/>
        <v>0</v>
      </c>
      <c r="T346" s="237"/>
      <c r="U346" s="237"/>
      <c r="V346" s="237"/>
      <c r="W346" s="237"/>
      <c r="X346" s="52"/>
      <c r="Y346" s="52"/>
      <c r="Z346" s="52"/>
      <c r="AA346" s="54"/>
      <c r="AB346" s="130"/>
      <c r="AC346" s="139"/>
    </row>
    <row r="347" spans="1:29" x14ac:dyDescent="0.3">
      <c r="A347" s="121"/>
      <c r="B347" s="184"/>
      <c r="C347" s="54"/>
      <c r="D347" s="52"/>
      <c r="E347" s="52"/>
      <c r="F347" s="117"/>
      <c r="G347" s="119">
        <f t="shared" si="837"/>
        <v>0</v>
      </c>
      <c r="H347" s="113"/>
      <c r="I347" s="52"/>
      <c r="J347" s="52"/>
      <c r="K347" s="124"/>
      <c r="L347" s="53">
        <f t="shared" si="864"/>
        <v>0</v>
      </c>
      <c r="M347" s="127">
        <f t="shared" si="865"/>
        <v>0</v>
      </c>
      <c r="N347" s="119">
        <f t="shared" si="866"/>
        <v>0</v>
      </c>
      <c r="O347" s="130"/>
      <c r="P347" s="134"/>
      <c r="Q347" s="130"/>
      <c r="R347" s="52"/>
      <c r="S347" s="224">
        <f t="shared" si="880"/>
        <v>0</v>
      </c>
      <c r="T347" s="237"/>
      <c r="U347" s="237"/>
      <c r="V347" s="237"/>
      <c r="W347" s="237"/>
      <c r="X347" s="52"/>
      <c r="Y347" s="52"/>
      <c r="Z347" s="52"/>
      <c r="AA347" s="54"/>
      <c r="AB347" s="130"/>
      <c r="AC347" s="139"/>
    </row>
    <row r="348" spans="1:29" ht="15" thickBot="1" x14ac:dyDescent="0.35">
      <c r="A348" s="122"/>
      <c r="B348" s="185"/>
      <c r="C348" s="102"/>
      <c r="D348" s="101"/>
      <c r="E348" s="101"/>
      <c r="F348" s="118"/>
      <c r="G348" s="120">
        <f t="shared" si="837"/>
        <v>0</v>
      </c>
      <c r="H348" s="114"/>
      <c r="I348" s="101"/>
      <c r="J348" s="101"/>
      <c r="K348" s="125"/>
      <c r="L348" s="103">
        <f t="shared" si="864"/>
        <v>0</v>
      </c>
      <c r="M348" s="128">
        <f t="shared" si="865"/>
        <v>0</v>
      </c>
      <c r="N348" s="120">
        <f t="shared" si="866"/>
        <v>0</v>
      </c>
      <c r="O348" s="131"/>
      <c r="P348" s="135"/>
      <c r="Q348" s="131"/>
      <c r="R348" s="101"/>
      <c r="S348" s="104">
        <f t="shared" si="880"/>
        <v>0</v>
      </c>
      <c r="T348" s="238"/>
      <c r="U348" s="238"/>
      <c r="V348" s="238"/>
      <c r="W348" s="238"/>
      <c r="X348" s="101"/>
      <c r="Y348" s="101"/>
      <c r="Z348" s="101"/>
      <c r="AA348" s="102"/>
      <c r="AB348" s="131"/>
      <c r="AC348" s="140"/>
    </row>
    <row r="349" spans="1:29" x14ac:dyDescent="0.3">
      <c r="A349" s="115">
        <f t="shared" ref="A349" si="881">$A344+1</f>
        <v>70</v>
      </c>
      <c r="B349" s="186"/>
      <c r="C349" s="105">
        <f>INDEX(Tribs!$C$3:$C$102,MATCH($A349,Tribs!$A$3:$A$102,0))</f>
        <v>0</v>
      </c>
      <c r="D349" s="106">
        <f>INDEX(Tribs!$E$3:$E$102,MATCH($A349,Tribs!$A$3:$A$102,0))</f>
        <v>0</v>
      </c>
      <c r="E349" s="105">
        <f>INDEX(Tribs!$F$3:$F$102,MATCH($A349,Tribs!$A$3:$A$102,0))</f>
        <v>0</v>
      </c>
      <c r="F349" s="116">
        <f t="shared" ref="F349" si="882">($C349*$E349)</f>
        <v>0</v>
      </c>
      <c r="G349" s="110"/>
      <c r="H349" s="111">
        <f t="shared" ref="H349" si="883">($F349)+(SUM($G350:$G353))</f>
        <v>0</v>
      </c>
      <c r="I349" s="106">
        <f>INDEX(Tribs!$D$3:$D$102,MATCH($A349,Tribs!$A$3:$A$102,0))</f>
        <v>0</v>
      </c>
      <c r="J349" s="106">
        <f>INDEX(Tribs!$G$3:$G$102,MATCH($A349,Tribs!$A$3:$A$102,0))</f>
        <v>0</v>
      </c>
      <c r="K349" s="105">
        <f>($J349)/V_gutter*(1/60)</f>
        <v>0</v>
      </c>
      <c r="L349" s="112"/>
      <c r="M349" s="109"/>
      <c r="N349" s="129">
        <f t="shared" ref="N349" si="884">($I349+$K349)</f>
        <v>0</v>
      </c>
      <c r="O349" s="111">
        <f t="shared" ref="O349" si="885">MAX($N349:$N353)</f>
        <v>0</v>
      </c>
      <c r="P349" s="133">
        <f>IF($H349&gt;0,IF($O349&lt;=T_1,I_1,IF($O349&lt;=T_2,(($O349*M_1)+B_1),IF($O349&lt;=T_3,(($O349*M_2)+B_2),IF($O349&lt;=T_4,(($O349*M_3)+B_3),IF($O349&lt;=T_5,(($O349*M_4)+B_4),IF($O349&lt;=T_6,(($O349*M_5)+B_5),IF($O349&lt;=T_7,(($O349*M_6)+B_6),IF($O349&lt;=T_8,(($O349*M_7)+B_7),IF($O349&lt;=T_9,(($O349*M_8)+B_8),IF($O349&lt;=T_10,(($O349*M_9)+B_9))))))))))),0)</f>
        <v>0</v>
      </c>
      <c r="Q349" s="111">
        <f t="shared" ref="Q349" si="886">ROUND(($H349*$P349),2)</f>
        <v>0</v>
      </c>
      <c r="R349" s="107">
        <f>IF($Q349&gt;0,IF($Q349&lt;=UTH!$M$4,UTH!$J$4,IF($Q349&lt;=UTH!$M$5,UTH!$J$5,IF($Q349&lt;=UTH!$M$6,UTH!$J$6,IF($Q349&lt;=UTH!$M$7,UTH!$J$7,IF($Q349&lt;=UTH!$M$8,UTH!$J$8,IF($Q349&lt;=UTH!$M$9,UTH!$J$9,IF($Q349&lt;=UTH!$M$10,UTH!$J$10,IF($Q349&lt;=UTH!$M$11,UTH!$J$11,IF($Q349&lt;=UTH!$M$12,UTH!$J$12,IF($Q349&lt;=UTH!$M$13,UTH!$J$13,IF($Q349&lt;=UTH!$M$14,UTH!$J$14,IF($Q349&lt;=UTH!$M$15,UTH!$J$15,IF($Q349&lt;=UTH!$M$16,UTH!$J$16,IF($Q349&lt;=UTH!$M$17,UTH!$J$17,IF($Q349&lt;=UTH!$M$18,UTH!$J$18,IF($Q349&lt;=UTH!$M$19,UTH!$J$19,IF($Q349&lt;=UTH!$M$20,UTH!$J$20))))))))))))))))),0)</f>
        <v>0</v>
      </c>
      <c r="S349" s="107">
        <f>IF(Inverts!$D349="YES",Inverts!$C349,Inverts!$E349)</f>
        <v>0</v>
      </c>
      <c r="T349" s="108">
        <f>IF($S349,($Q349/(KQ*($S349^(8/3))))^2,0)</f>
        <v>0</v>
      </c>
      <c r="U349" s="108">
        <f>IF($S349,(Vmin/(KV*($S349^(2/3))))^2,0)</f>
        <v>0</v>
      </c>
      <c r="V349" s="108">
        <f>IF($Z349,ROUND(MinDrop_2/$Z349,4),0)</f>
        <v>0</v>
      </c>
      <c r="W349" s="108">
        <f t="shared" ref="W349" si="887">IF($S349=0,0,MAX($T349:$V349))</f>
        <v>0</v>
      </c>
      <c r="X349" s="108">
        <f>IF(Inverts!$H349="yes",Inverts!$G349,Inverts!$I349)</f>
        <v>0</v>
      </c>
      <c r="Y349" s="105">
        <f>ROUND(KV*($S349^(2/3))*($X349^(0.5)),2)</f>
        <v>0</v>
      </c>
      <c r="Z349" s="106">
        <f>INDEX(Tribs!$H$3:$H$102,MATCH($A349,Tribs!$A$3:$A$102,0))</f>
        <v>0</v>
      </c>
      <c r="AA349" s="105">
        <f t="shared" ref="AA349" si="888">IF($Y349,($Z349/$Y349)*(1/60),0)</f>
        <v>0</v>
      </c>
      <c r="AB349" s="111">
        <f>ROUND(KQ*($S349^(8/3))*($X349^(0.5)),2)</f>
        <v>0</v>
      </c>
      <c r="AC349" s="138" t="str">
        <f>IF(AND($AB349&gt;=($Q349-0.0049),$Y349&gt;=(Vmin-0.0049)),"OK","NG")</f>
        <v>NG</v>
      </c>
    </row>
    <row r="350" spans="1:29" x14ac:dyDescent="0.3">
      <c r="A350" s="121"/>
      <c r="B350" s="184"/>
      <c r="C350" s="54"/>
      <c r="D350" s="52"/>
      <c r="E350" s="52"/>
      <c r="F350" s="117"/>
      <c r="G350" s="119">
        <f t="shared" ref="G350" si="889">IF($B350,INDEX($H$4:$H$499,(MATCH($B350,$A$4:$A$499))),0)</f>
        <v>0</v>
      </c>
      <c r="H350" s="113"/>
      <c r="I350" s="52"/>
      <c r="J350" s="52"/>
      <c r="K350" s="123"/>
      <c r="L350" s="53">
        <f t="shared" ref="L350" si="890">IF($B350,INDEX($O$4:$O$499,MATCH($B350,$A$4:$A$499)),0)</f>
        <v>0</v>
      </c>
      <c r="M350" s="126">
        <f t="shared" ref="M350" si="891">IF($B350,INDEX($AA$4:$AA$499,MATCH($B350,$A$4:$A$499)),0)</f>
        <v>0</v>
      </c>
      <c r="N350" s="119">
        <f t="shared" ref="N350" si="892">($L350+$M350)</f>
        <v>0</v>
      </c>
      <c r="O350" s="130"/>
      <c r="P350" s="134"/>
      <c r="Q350" s="130"/>
      <c r="R350" s="52"/>
      <c r="S350" s="224">
        <f t="shared" ref="S350:S353" si="893">S349</f>
        <v>0</v>
      </c>
      <c r="T350" s="237"/>
      <c r="U350" s="237"/>
      <c r="V350" s="237"/>
      <c r="W350" s="237"/>
      <c r="X350" s="52"/>
      <c r="Y350" s="52"/>
      <c r="Z350" s="52"/>
      <c r="AA350" s="54"/>
      <c r="AB350" s="130"/>
      <c r="AC350" s="139"/>
    </row>
    <row r="351" spans="1:29" x14ac:dyDescent="0.3">
      <c r="A351" s="121"/>
      <c r="B351" s="184"/>
      <c r="C351" s="54"/>
      <c r="D351" s="52"/>
      <c r="E351" s="52"/>
      <c r="F351" s="117"/>
      <c r="G351" s="119">
        <f t="shared" si="837"/>
        <v>0</v>
      </c>
      <c r="H351" s="113"/>
      <c r="I351" s="52"/>
      <c r="J351" s="52"/>
      <c r="K351" s="124"/>
      <c r="L351" s="53">
        <f t="shared" si="864"/>
        <v>0</v>
      </c>
      <c r="M351" s="127">
        <f t="shared" si="865"/>
        <v>0</v>
      </c>
      <c r="N351" s="119">
        <f t="shared" si="866"/>
        <v>0</v>
      </c>
      <c r="O351" s="130"/>
      <c r="P351" s="134"/>
      <c r="Q351" s="130"/>
      <c r="R351" s="52"/>
      <c r="S351" s="224">
        <f t="shared" si="893"/>
        <v>0</v>
      </c>
      <c r="T351" s="237"/>
      <c r="U351" s="237"/>
      <c r="V351" s="237"/>
      <c r="W351" s="237"/>
      <c r="X351" s="52"/>
      <c r="Y351" s="52"/>
      <c r="Z351" s="52"/>
      <c r="AA351" s="54"/>
      <c r="AB351" s="130"/>
      <c r="AC351" s="139"/>
    </row>
    <row r="352" spans="1:29" x14ac:dyDescent="0.3">
      <c r="A352" s="121"/>
      <c r="B352" s="184"/>
      <c r="C352" s="54"/>
      <c r="D352" s="52"/>
      <c r="E352" s="52"/>
      <c r="F352" s="117"/>
      <c r="G352" s="119">
        <f t="shared" si="837"/>
        <v>0</v>
      </c>
      <c r="H352" s="113"/>
      <c r="I352" s="52"/>
      <c r="J352" s="52"/>
      <c r="K352" s="124"/>
      <c r="L352" s="53">
        <f t="shared" si="864"/>
        <v>0</v>
      </c>
      <c r="M352" s="127">
        <f t="shared" si="865"/>
        <v>0</v>
      </c>
      <c r="N352" s="119">
        <f t="shared" si="866"/>
        <v>0</v>
      </c>
      <c r="O352" s="130"/>
      <c r="P352" s="134"/>
      <c r="Q352" s="130"/>
      <c r="R352" s="52"/>
      <c r="S352" s="224">
        <f t="shared" si="893"/>
        <v>0</v>
      </c>
      <c r="T352" s="237"/>
      <c r="U352" s="237"/>
      <c r="V352" s="237"/>
      <c r="W352" s="237"/>
      <c r="X352" s="52"/>
      <c r="Y352" s="52"/>
      <c r="Z352" s="52"/>
      <c r="AA352" s="54"/>
      <c r="AB352" s="130"/>
      <c r="AC352" s="139"/>
    </row>
    <row r="353" spans="1:29" ht="15" thickBot="1" x14ac:dyDescent="0.35">
      <c r="A353" s="122"/>
      <c r="B353" s="185"/>
      <c r="C353" s="102"/>
      <c r="D353" s="101"/>
      <c r="E353" s="101"/>
      <c r="F353" s="118"/>
      <c r="G353" s="120">
        <f t="shared" si="837"/>
        <v>0</v>
      </c>
      <c r="H353" s="114"/>
      <c r="I353" s="101"/>
      <c r="J353" s="101"/>
      <c r="K353" s="125"/>
      <c r="L353" s="103">
        <f t="shared" si="864"/>
        <v>0</v>
      </c>
      <c r="M353" s="128">
        <f t="shared" si="865"/>
        <v>0</v>
      </c>
      <c r="N353" s="120">
        <f t="shared" si="866"/>
        <v>0</v>
      </c>
      <c r="O353" s="131"/>
      <c r="P353" s="135"/>
      <c r="Q353" s="131"/>
      <c r="R353" s="101"/>
      <c r="S353" s="104">
        <f t="shared" si="893"/>
        <v>0</v>
      </c>
      <c r="T353" s="238"/>
      <c r="U353" s="238"/>
      <c r="V353" s="238"/>
      <c r="W353" s="238"/>
      <c r="X353" s="101"/>
      <c r="Y353" s="101"/>
      <c r="Z353" s="101"/>
      <c r="AA353" s="102"/>
      <c r="AB353" s="131"/>
      <c r="AC353" s="140"/>
    </row>
    <row r="354" spans="1:29" x14ac:dyDescent="0.3">
      <c r="A354" s="115">
        <f t="shared" ref="A354" si="894">$A349+1</f>
        <v>71</v>
      </c>
      <c r="B354" s="186"/>
      <c r="C354" s="105">
        <f>INDEX(Tribs!$C$3:$C$102,MATCH($A354,Tribs!$A$3:$A$102,0))</f>
        <v>0</v>
      </c>
      <c r="D354" s="106">
        <f>INDEX(Tribs!$E$3:$E$102,MATCH($A354,Tribs!$A$3:$A$102,0))</f>
        <v>0</v>
      </c>
      <c r="E354" s="105">
        <f>INDEX(Tribs!$F$3:$F$102,MATCH($A354,Tribs!$A$3:$A$102,0))</f>
        <v>0</v>
      </c>
      <c r="F354" s="116">
        <f t="shared" ref="F354" si="895">($C354*$E354)</f>
        <v>0</v>
      </c>
      <c r="G354" s="110"/>
      <c r="H354" s="111">
        <f t="shared" ref="H354" si="896">($F354)+(SUM($G355:$G358))</f>
        <v>0</v>
      </c>
      <c r="I354" s="106">
        <f>INDEX(Tribs!$D$3:$D$102,MATCH($A354,Tribs!$A$3:$A$102,0))</f>
        <v>0</v>
      </c>
      <c r="J354" s="106">
        <f>INDEX(Tribs!$G$3:$G$102,MATCH($A354,Tribs!$A$3:$A$102,0))</f>
        <v>0</v>
      </c>
      <c r="K354" s="105">
        <f>($J354)/V_gutter*(1/60)</f>
        <v>0</v>
      </c>
      <c r="L354" s="112"/>
      <c r="M354" s="109"/>
      <c r="N354" s="129">
        <f t="shared" ref="N354" si="897">($I354+$K354)</f>
        <v>0</v>
      </c>
      <c r="O354" s="111">
        <f t="shared" ref="O354" si="898">MAX($N354:$N358)</f>
        <v>0</v>
      </c>
      <c r="P354" s="133">
        <f>IF($H354&gt;0,IF($O354&lt;=T_1,I_1,IF($O354&lt;=T_2,(($O354*M_1)+B_1),IF($O354&lt;=T_3,(($O354*M_2)+B_2),IF($O354&lt;=T_4,(($O354*M_3)+B_3),IF($O354&lt;=T_5,(($O354*M_4)+B_4),IF($O354&lt;=T_6,(($O354*M_5)+B_5),IF($O354&lt;=T_7,(($O354*M_6)+B_6),IF($O354&lt;=T_8,(($O354*M_7)+B_7),IF($O354&lt;=T_9,(($O354*M_8)+B_8),IF($O354&lt;=T_10,(($O354*M_9)+B_9))))))))))),0)</f>
        <v>0</v>
      </c>
      <c r="Q354" s="111">
        <f t="shared" ref="Q354" si="899">ROUND(($H354*$P354),2)</f>
        <v>0</v>
      </c>
      <c r="R354" s="107">
        <f>IF($Q354&gt;0,IF($Q354&lt;=UTH!$M$4,UTH!$J$4,IF($Q354&lt;=UTH!$M$5,UTH!$J$5,IF($Q354&lt;=UTH!$M$6,UTH!$J$6,IF($Q354&lt;=UTH!$M$7,UTH!$J$7,IF($Q354&lt;=UTH!$M$8,UTH!$J$8,IF($Q354&lt;=UTH!$M$9,UTH!$J$9,IF($Q354&lt;=UTH!$M$10,UTH!$J$10,IF($Q354&lt;=UTH!$M$11,UTH!$J$11,IF($Q354&lt;=UTH!$M$12,UTH!$J$12,IF($Q354&lt;=UTH!$M$13,UTH!$J$13,IF($Q354&lt;=UTH!$M$14,UTH!$J$14,IF($Q354&lt;=UTH!$M$15,UTH!$J$15,IF($Q354&lt;=UTH!$M$16,UTH!$J$16,IF($Q354&lt;=UTH!$M$17,UTH!$J$17,IF($Q354&lt;=UTH!$M$18,UTH!$J$18,IF($Q354&lt;=UTH!$M$19,UTH!$J$19,IF($Q354&lt;=UTH!$M$20,UTH!$J$20))))))))))))))))),0)</f>
        <v>0</v>
      </c>
      <c r="S354" s="107">
        <f>IF(Inverts!$D354="YES",Inverts!$C354,Inverts!$E354)</f>
        <v>0</v>
      </c>
      <c r="T354" s="108">
        <f>IF($S354,($Q354/(KQ*($S354^(8/3))))^2,0)</f>
        <v>0</v>
      </c>
      <c r="U354" s="108">
        <f>IF($S354,(Vmin/(KV*($S354^(2/3))))^2,0)</f>
        <v>0</v>
      </c>
      <c r="V354" s="108">
        <f>IF($Z354,ROUND(MinDrop_2/$Z354,4),0)</f>
        <v>0</v>
      </c>
      <c r="W354" s="108">
        <f t="shared" ref="W354" si="900">IF($S354=0,0,MAX($T354:$V354))</f>
        <v>0</v>
      </c>
      <c r="X354" s="108">
        <f>IF(Inverts!$H354="yes",Inverts!$G354,Inverts!$I354)</f>
        <v>0</v>
      </c>
      <c r="Y354" s="105">
        <f>ROUND(KV*($S354^(2/3))*($X354^(0.5)),2)</f>
        <v>0</v>
      </c>
      <c r="Z354" s="106">
        <f>INDEX(Tribs!$H$3:$H$102,MATCH($A354,Tribs!$A$3:$A$102,0))</f>
        <v>0</v>
      </c>
      <c r="AA354" s="105">
        <f t="shared" ref="AA354" si="901">IF($Y354,($Z354/$Y354)*(1/60),0)</f>
        <v>0</v>
      </c>
      <c r="AB354" s="111">
        <f>ROUND(KQ*($S354^(8/3))*($X354^(0.5)),2)</f>
        <v>0</v>
      </c>
      <c r="AC354" s="138" t="str">
        <f>IF(AND($AB354&gt;=($Q354-0.0049),$Y354&gt;=(Vmin-0.0049)),"OK","NG")</f>
        <v>NG</v>
      </c>
    </row>
    <row r="355" spans="1:29" x14ac:dyDescent="0.3">
      <c r="A355" s="121"/>
      <c r="B355" s="184"/>
      <c r="C355" s="54"/>
      <c r="D355" s="52"/>
      <c r="E355" s="52"/>
      <c r="F355" s="117"/>
      <c r="G355" s="119">
        <f t="shared" ref="G355" si="902">IF($B355,INDEX($H$4:$H$499,(MATCH($B355,$A$4:$A$499))),0)</f>
        <v>0</v>
      </c>
      <c r="H355" s="113"/>
      <c r="I355" s="52"/>
      <c r="J355" s="52"/>
      <c r="K355" s="123"/>
      <c r="L355" s="53">
        <f t="shared" ref="L355" si="903">IF($B355,INDEX($O$4:$O$499,MATCH($B355,$A$4:$A$499)),0)</f>
        <v>0</v>
      </c>
      <c r="M355" s="126">
        <f t="shared" ref="M355" si="904">IF($B355,INDEX($AA$4:$AA$499,MATCH($B355,$A$4:$A$499)),0)</f>
        <v>0</v>
      </c>
      <c r="N355" s="119">
        <f t="shared" ref="N355" si="905">($L355+$M355)</f>
        <v>0</v>
      </c>
      <c r="O355" s="130"/>
      <c r="P355" s="134"/>
      <c r="Q355" s="130"/>
      <c r="R355" s="52"/>
      <c r="S355" s="224">
        <f t="shared" ref="S355:S358" si="906">S354</f>
        <v>0</v>
      </c>
      <c r="T355" s="237"/>
      <c r="U355" s="237"/>
      <c r="V355" s="237"/>
      <c r="W355" s="237"/>
      <c r="X355" s="52"/>
      <c r="Y355" s="52"/>
      <c r="Z355" s="52"/>
      <c r="AA355" s="54"/>
      <c r="AB355" s="130"/>
      <c r="AC355" s="139"/>
    </row>
    <row r="356" spans="1:29" x14ac:dyDescent="0.3">
      <c r="A356" s="121"/>
      <c r="B356" s="184"/>
      <c r="C356" s="54"/>
      <c r="D356" s="52"/>
      <c r="E356" s="52"/>
      <c r="F356" s="117"/>
      <c r="G356" s="119">
        <f t="shared" si="837"/>
        <v>0</v>
      </c>
      <c r="H356" s="113"/>
      <c r="I356" s="52"/>
      <c r="J356" s="52"/>
      <c r="K356" s="124"/>
      <c r="L356" s="53">
        <f t="shared" si="864"/>
        <v>0</v>
      </c>
      <c r="M356" s="127">
        <f t="shared" si="865"/>
        <v>0</v>
      </c>
      <c r="N356" s="119">
        <f t="shared" si="866"/>
        <v>0</v>
      </c>
      <c r="O356" s="130"/>
      <c r="P356" s="134"/>
      <c r="Q356" s="130"/>
      <c r="R356" s="52"/>
      <c r="S356" s="224">
        <f t="shared" si="906"/>
        <v>0</v>
      </c>
      <c r="T356" s="237"/>
      <c r="U356" s="237"/>
      <c r="V356" s="237"/>
      <c r="W356" s="237"/>
      <c r="X356" s="52"/>
      <c r="Y356" s="52"/>
      <c r="Z356" s="52"/>
      <c r="AA356" s="54"/>
      <c r="AB356" s="130"/>
      <c r="AC356" s="139"/>
    </row>
    <row r="357" spans="1:29" x14ac:dyDescent="0.3">
      <c r="A357" s="121"/>
      <c r="B357" s="184"/>
      <c r="C357" s="54"/>
      <c r="D357" s="52"/>
      <c r="E357" s="52"/>
      <c r="F357" s="117"/>
      <c r="G357" s="119">
        <f t="shared" si="837"/>
        <v>0</v>
      </c>
      <c r="H357" s="113"/>
      <c r="I357" s="52"/>
      <c r="J357" s="52"/>
      <c r="K357" s="124"/>
      <c r="L357" s="53">
        <f t="shared" si="864"/>
        <v>0</v>
      </c>
      <c r="M357" s="127">
        <f t="shared" si="865"/>
        <v>0</v>
      </c>
      <c r="N357" s="119">
        <f t="shared" si="866"/>
        <v>0</v>
      </c>
      <c r="O357" s="130"/>
      <c r="P357" s="134"/>
      <c r="Q357" s="130"/>
      <c r="R357" s="52"/>
      <c r="S357" s="224">
        <f t="shared" si="906"/>
        <v>0</v>
      </c>
      <c r="T357" s="237"/>
      <c r="U357" s="237"/>
      <c r="V357" s="237"/>
      <c r="W357" s="237"/>
      <c r="X357" s="52"/>
      <c r="Y357" s="52"/>
      <c r="Z357" s="52"/>
      <c r="AA357" s="54"/>
      <c r="AB357" s="130"/>
      <c r="AC357" s="139"/>
    </row>
    <row r="358" spans="1:29" ht="15" thickBot="1" x14ac:dyDescent="0.35">
      <c r="A358" s="122"/>
      <c r="B358" s="185"/>
      <c r="C358" s="102"/>
      <c r="D358" s="101"/>
      <c r="E358" s="101"/>
      <c r="F358" s="118"/>
      <c r="G358" s="120">
        <f t="shared" si="837"/>
        <v>0</v>
      </c>
      <c r="H358" s="114"/>
      <c r="I358" s="101"/>
      <c r="J358" s="101"/>
      <c r="K358" s="125"/>
      <c r="L358" s="103">
        <f t="shared" si="864"/>
        <v>0</v>
      </c>
      <c r="M358" s="128">
        <f t="shared" si="865"/>
        <v>0</v>
      </c>
      <c r="N358" s="120">
        <f t="shared" si="866"/>
        <v>0</v>
      </c>
      <c r="O358" s="131"/>
      <c r="P358" s="135"/>
      <c r="Q358" s="131"/>
      <c r="R358" s="101"/>
      <c r="S358" s="104">
        <f t="shared" si="906"/>
        <v>0</v>
      </c>
      <c r="T358" s="238"/>
      <c r="U358" s="238"/>
      <c r="V358" s="238"/>
      <c r="W358" s="238"/>
      <c r="X358" s="101"/>
      <c r="Y358" s="101"/>
      <c r="Z358" s="101"/>
      <c r="AA358" s="102"/>
      <c r="AB358" s="131"/>
      <c r="AC358" s="140"/>
    </row>
    <row r="359" spans="1:29" x14ac:dyDescent="0.3">
      <c r="A359" s="115">
        <f t="shared" ref="A359" si="907">$A354+1</f>
        <v>72</v>
      </c>
      <c r="B359" s="186"/>
      <c r="C359" s="105">
        <f>INDEX(Tribs!$C$3:$C$102,MATCH($A359,Tribs!$A$3:$A$102,0))</f>
        <v>0</v>
      </c>
      <c r="D359" s="106">
        <f>INDEX(Tribs!$E$3:$E$102,MATCH($A359,Tribs!$A$3:$A$102,0))</f>
        <v>0</v>
      </c>
      <c r="E359" s="105">
        <f>INDEX(Tribs!$F$3:$F$102,MATCH($A359,Tribs!$A$3:$A$102,0))</f>
        <v>0</v>
      </c>
      <c r="F359" s="116">
        <f t="shared" ref="F359" si="908">($C359*$E359)</f>
        <v>0</v>
      </c>
      <c r="G359" s="110"/>
      <c r="H359" s="111">
        <f t="shared" ref="H359" si="909">($F359)+(SUM($G360:$G363))</f>
        <v>0</v>
      </c>
      <c r="I359" s="106">
        <f>INDEX(Tribs!$D$3:$D$102,MATCH($A359,Tribs!$A$3:$A$102,0))</f>
        <v>0</v>
      </c>
      <c r="J359" s="106">
        <f>INDEX(Tribs!$G$3:$G$102,MATCH($A359,Tribs!$A$3:$A$102,0))</f>
        <v>0</v>
      </c>
      <c r="K359" s="105">
        <f>($J359)/V_gutter*(1/60)</f>
        <v>0</v>
      </c>
      <c r="L359" s="112"/>
      <c r="M359" s="109"/>
      <c r="N359" s="129">
        <f t="shared" ref="N359" si="910">($I359+$K359)</f>
        <v>0</v>
      </c>
      <c r="O359" s="111">
        <f t="shared" ref="O359" si="911">MAX($N359:$N363)</f>
        <v>0</v>
      </c>
      <c r="P359" s="133">
        <f>IF($H359&gt;0,IF($O359&lt;=T_1,I_1,IF($O359&lt;=T_2,(($O359*M_1)+B_1),IF($O359&lt;=T_3,(($O359*M_2)+B_2),IF($O359&lt;=T_4,(($O359*M_3)+B_3),IF($O359&lt;=T_5,(($O359*M_4)+B_4),IF($O359&lt;=T_6,(($O359*M_5)+B_5),IF($O359&lt;=T_7,(($O359*M_6)+B_6),IF($O359&lt;=T_8,(($O359*M_7)+B_7),IF($O359&lt;=T_9,(($O359*M_8)+B_8),IF($O359&lt;=T_10,(($O359*M_9)+B_9))))))))))),0)</f>
        <v>0</v>
      </c>
      <c r="Q359" s="111">
        <f t="shared" ref="Q359" si="912">ROUND(($H359*$P359),2)</f>
        <v>0</v>
      </c>
      <c r="R359" s="107">
        <f>IF($Q359&gt;0,IF($Q359&lt;=UTH!$M$4,UTH!$J$4,IF($Q359&lt;=UTH!$M$5,UTH!$J$5,IF($Q359&lt;=UTH!$M$6,UTH!$J$6,IF($Q359&lt;=UTH!$M$7,UTH!$J$7,IF($Q359&lt;=UTH!$M$8,UTH!$J$8,IF($Q359&lt;=UTH!$M$9,UTH!$J$9,IF($Q359&lt;=UTH!$M$10,UTH!$J$10,IF($Q359&lt;=UTH!$M$11,UTH!$J$11,IF($Q359&lt;=UTH!$M$12,UTH!$J$12,IF($Q359&lt;=UTH!$M$13,UTH!$J$13,IF($Q359&lt;=UTH!$M$14,UTH!$J$14,IF($Q359&lt;=UTH!$M$15,UTH!$J$15,IF($Q359&lt;=UTH!$M$16,UTH!$J$16,IF($Q359&lt;=UTH!$M$17,UTH!$J$17,IF($Q359&lt;=UTH!$M$18,UTH!$J$18,IF($Q359&lt;=UTH!$M$19,UTH!$J$19,IF($Q359&lt;=UTH!$M$20,UTH!$J$20))))))))))))))))),0)</f>
        <v>0</v>
      </c>
      <c r="S359" s="107">
        <f>IF(Inverts!$D359="YES",Inverts!$C359,Inverts!$E359)</f>
        <v>0</v>
      </c>
      <c r="T359" s="108">
        <f>IF($S359,($Q359/(KQ*($S359^(8/3))))^2,0)</f>
        <v>0</v>
      </c>
      <c r="U359" s="108">
        <f>IF($S359,(Vmin/(KV*($S359^(2/3))))^2,0)</f>
        <v>0</v>
      </c>
      <c r="V359" s="108">
        <f>IF($Z359,ROUND(MinDrop_2/$Z359,4),0)</f>
        <v>0</v>
      </c>
      <c r="W359" s="108">
        <f t="shared" ref="W359" si="913">IF($S359=0,0,MAX($T359:$V359))</f>
        <v>0</v>
      </c>
      <c r="X359" s="108">
        <f>IF(Inverts!$H359="yes",Inverts!$G359,Inverts!$I359)</f>
        <v>0</v>
      </c>
      <c r="Y359" s="105">
        <f>ROUND(KV*($S359^(2/3))*($X359^(0.5)),2)</f>
        <v>0</v>
      </c>
      <c r="Z359" s="106">
        <f>INDEX(Tribs!$H$3:$H$102,MATCH($A359,Tribs!$A$3:$A$102,0))</f>
        <v>0</v>
      </c>
      <c r="AA359" s="105">
        <f t="shared" ref="AA359" si="914">IF($Y359,($Z359/$Y359)*(1/60),0)</f>
        <v>0</v>
      </c>
      <c r="AB359" s="111">
        <f>ROUND(KQ*($S359^(8/3))*($X359^(0.5)),2)</f>
        <v>0</v>
      </c>
      <c r="AC359" s="138" t="str">
        <f>IF(AND($AB359&gt;=($Q359-0.0049),$Y359&gt;=(Vmin-0.0049)),"OK","NG")</f>
        <v>NG</v>
      </c>
    </row>
    <row r="360" spans="1:29" x14ac:dyDescent="0.3">
      <c r="A360" s="121"/>
      <c r="B360" s="184"/>
      <c r="C360" s="54"/>
      <c r="D360" s="52"/>
      <c r="E360" s="52"/>
      <c r="F360" s="117"/>
      <c r="G360" s="119">
        <f t="shared" ref="G360" si="915">IF($B360,INDEX($H$4:$H$499,(MATCH($B360,$A$4:$A$499))),0)</f>
        <v>0</v>
      </c>
      <c r="H360" s="113"/>
      <c r="I360" s="52"/>
      <c r="J360" s="52"/>
      <c r="K360" s="123"/>
      <c r="L360" s="53">
        <f t="shared" ref="L360" si="916">IF($B360,INDEX($O$4:$O$499,MATCH($B360,$A$4:$A$499)),0)</f>
        <v>0</v>
      </c>
      <c r="M360" s="126">
        <f t="shared" ref="M360" si="917">IF($B360,INDEX($AA$4:$AA$499,MATCH($B360,$A$4:$A$499)),0)</f>
        <v>0</v>
      </c>
      <c r="N360" s="119">
        <f t="shared" ref="N360" si="918">($L360+$M360)</f>
        <v>0</v>
      </c>
      <c r="O360" s="130"/>
      <c r="P360" s="134"/>
      <c r="Q360" s="130"/>
      <c r="R360" s="52"/>
      <c r="S360" s="224">
        <f t="shared" ref="S360:S363" si="919">S359</f>
        <v>0</v>
      </c>
      <c r="T360" s="237"/>
      <c r="U360" s="237"/>
      <c r="V360" s="237"/>
      <c r="W360" s="237"/>
      <c r="X360" s="52"/>
      <c r="Y360" s="52"/>
      <c r="Z360" s="52"/>
      <c r="AA360" s="54"/>
      <c r="AB360" s="130"/>
      <c r="AC360" s="139"/>
    </row>
    <row r="361" spans="1:29" x14ac:dyDescent="0.3">
      <c r="A361" s="121"/>
      <c r="B361" s="184"/>
      <c r="C361" s="54"/>
      <c r="D361" s="52"/>
      <c r="E361" s="52"/>
      <c r="F361" s="117"/>
      <c r="G361" s="119">
        <f t="shared" si="837"/>
        <v>0</v>
      </c>
      <c r="H361" s="113"/>
      <c r="I361" s="52"/>
      <c r="J361" s="52"/>
      <c r="K361" s="124"/>
      <c r="L361" s="53">
        <f t="shared" si="864"/>
        <v>0</v>
      </c>
      <c r="M361" s="127">
        <f t="shared" si="865"/>
        <v>0</v>
      </c>
      <c r="N361" s="119">
        <f t="shared" si="866"/>
        <v>0</v>
      </c>
      <c r="O361" s="130"/>
      <c r="P361" s="134"/>
      <c r="Q361" s="130"/>
      <c r="R361" s="52"/>
      <c r="S361" s="224">
        <f t="shared" si="919"/>
        <v>0</v>
      </c>
      <c r="T361" s="237"/>
      <c r="U361" s="237"/>
      <c r="V361" s="237"/>
      <c r="W361" s="237"/>
      <c r="X361" s="52"/>
      <c r="Y361" s="52"/>
      <c r="Z361" s="52"/>
      <c r="AA361" s="54"/>
      <c r="AB361" s="130"/>
      <c r="AC361" s="139"/>
    </row>
    <row r="362" spans="1:29" x14ac:dyDescent="0.3">
      <c r="A362" s="121"/>
      <c r="B362" s="184"/>
      <c r="C362" s="54"/>
      <c r="D362" s="52"/>
      <c r="E362" s="52"/>
      <c r="F362" s="117"/>
      <c r="G362" s="119">
        <f t="shared" si="837"/>
        <v>0</v>
      </c>
      <c r="H362" s="113"/>
      <c r="I362" s="52"/>
      <c r="J362" s="52"/>
      <c r="K362" s="124"/>
      <c r="L362" s="53">
        <f t="shared" si="864"/>
        <v>0</v>
      </c>
      <c r="M362" s="127">
        <f t="shared" si="865"/>
        <v>0</v>
      </c>
      <c r="N362" s="119">
        <f t="shared" si="866"/>
        <v>0</v>
      </c>
      <c r="O362" s="130"/>
      <c r="P362" s="134"/>
      <c r="Q362" s="130"/>
      <c r="R362" s="52"/>
      <c r="S362" s="224">
        <f t="shared" si="919"/>
        <v>0</v>
      </c>
      <c r="T362" s="237"/>
      <c r="U362" s="237"/>
      <c r="V362" s="237"/>
      <c r="W362" s="237"/>
      <c r="X362" s="52"/>
      <c r="Y362" s="52"/>
      <c r="Z362" s="52"/>
      <c r="AA362" s="54"/>
      <c r="AB362" s="130"/>
      <c r="AC362" s="139"/>
    </row>
    <row r="363" spans="1:29" ht="15" thickBot="1" x14ac:dyDescent="0.35">
      <c r="A363" s="122"/>
      <c r="B363" s="185"/>
      <c r="C363" s="102"/>
      <c r="D363" s="101"/>
      <c r="E363" s="101"/>
      <c r="F363" s="118"/>
      <c r="G363" s="120">
        <f t="shared" si="837"/>
        <v>0</v>
      </c>
      <c r="H363" s="114"/>
      <c r="I363" s="101"/>
      <c r="J363" s="101"/>
      <c r="K363" s="125"/>
      <c r="L363" s="103">
        <f t="shared" si="864"/>
        <v>0</v>
      </c>
      <c r="M363" s="128">
        <f t="shared" si="865"/>
        <v>0</v>
      </c>
      <c r="N363" s="120">
        <f t="shared" si="866"/>
        <v>0</v>
      </c>
      <c r="O363" s="131"/>
      <c r="P363" s="135"/>
      <c r="Q363" s="131"/>
      <c r="R363" s="101"/>
      <c r="S363" s="104">
        <f t="shared" si="919"/>
        <v>0</v>
      </c>
      <c r="T363" s="238"/>
      <c r="U363" s="238"/>
      <c r="V363" s="238"/>
      <c r="W363" s="238"/>
      <c r="X363" s="101"/>
      <c r="Y363" s="101"/>
      <c r="Z363" s="101"/>
      <c r="AA363" s="102"/>
      <c r="AB363" s="131"/>
      <c r="AC363" s="140"/>
    </row>
    <row r="364" spans="1:29" x14ac:dyDescent="0.3">
      <c r="A364" s="115">
        <f t="shared" ref="A364" si="920">$A359+1</f>
        <v>73</v>
      </c>
      <c r="B364" s="186"/>
      <c r="C364" s="105">
        <f>INDEX(Tribs!$C$3:$C$102,MATCH($A364,Tribs!$A$3:$A$102,0))</f>
        <v>0</v>
      </c>
      <c r="D364" s="106">
        <f>INDEX(Tribs!$E$3:$E$102,MATCH($A364,Tribs!$A$3:$A$102,0))</f>
        <v>0</v>
      </c>
      <c r="E364" s="105">
        <f>INDEX(Tribs!$F$3:$F$102,MATCH($A364,Tribs!$A$3:$A$102,0))</f>
        <v>0</v>
      </c>
      <c r="F364" s="116">
        <f t="shared" ref="F364" si="921">($C364*$E364)</f>
        <v>0</v>
      </c>
      <c r="G364" s="110"/>
      <c r="H364" s="111">
        <f t="shared" ref="H364" si="922">($F364)+(SUM($G365:$G368))</f>
        <v>0</v>
      </c>
      <c r="I364" s="106">
        <f>INDEX(Tribs!$D$3:$D$102,MATCH($A364,Tribs!$A$3:$A$102,0))</f>
        <v>0</v>
      </c>
      <c r="J364" s="106">
        <f>INDEX(Tribs!$G$3:$G$102,MATCH($A364,Tribs!$A$3:$A$102,0))</f>
        <v>0</v>
      </c>
      <c r="K364" s="105">
        <f>($J364)/V_gutter*(1/60)</f>
        <v>0</v>
      </c>
      <c r="L364" s="112"/>
      <c r="M364" s="109"/>
      <c r="N364" s="129">
        <f t="shared" ref="N364" si="923">($I364+$K364)</f>
        <v>0</v>
      </c>
      <c r="O364" s="111">
        <f t="shared" ref="O364" si="924">MAX($N364:$N368)</f>
        <v>0</v>
      </c>
      <c r="P364" s="133">
        <f>IF($H364&gt;0,IF($O364&lt;=T_1,I_1,IF($O364&lt;=T_2,(($O364*M_1)+B_1),IF($O364&lt;=T_3,(($O364*M_2)+B_2),IF($O364&lt;=T_4,(($O364*M_3)+B_3),IF($O364&lt;=T_5,(($O364*M_4)+B_4),IF($O364&lt;=T_6,(($O364*M_5)+B_5),IF($O364&lt;=T_7,(($O364*M_6)+B_6),IF($O364&lt;=T_8,(($O364*M_7)+B_7),IF($O364&lt;=T_9,(($O364*M_8)+B_8),IF($O364&lt;=T_10,(($O364*M_9)+B_9))))))))))),0)</f>
        <v>0</v>
      </c>
      <c r="Q364" s="111">
        <f t="shared" ref="Q364" si="925">ROUND(($H364*$P364),2)</f>
        <v>0</v>
      </c>
      <c r="R364" s="107">
        <f>IF($Q364&gt;0,IF($Q364&lt;=UTH!$M$4,UTH!$J$4,IF($Q364&lt;=UTH!$M$5,UTH!$J$5,IF($Q364&lt;=UTH!$M$6,UTH!$J$6,IF($Q364&lt;=UTH!$M$7,UTH!$J$7,IF($Q364&lt;=UTH!$M$8,UTH!$J$8,IF($Q364&lt;=UTH!$M$9,UTH!$J$9,IF($Q364&lt;=UTH!$M$10,UTH!$J$10,IF($Q364&lt;=UTH!$M$11,UTH!$J$11,IF($Q364&lt;=UTH!$M$12,UTH!$J$12,IF($Q364&lt;=UTH!$M$13,UTH!$J$13,IF($Q364&lt;=UTH!$M$14,UTH!$J$14,IF($Q364&lt;=UTH!$M$15,UTH!$J$15,IF($Q364&lt;=UTH!$M$16,UTH!$J$16,IF($Q364&lt;=UTH!$M$17,UTH!$J$17,IF($Q364&lt;=UTH!$M$18,UTH!$J$18,IF($Q364&lt;=UTH!$M$19,UTH!$J$19,IF($Q364&lt;=UTH!$M$20,UTH!$J$20))))))))))))))))),0)</f>
        <v>0</v>
      </c>
      <c r="S364" s="107">
        <f>IF(Inverts!$D364="YES",Inverts!$C364,Inverts!$E364)</f>
        <v>0</v>
      </c>
      <c r="T364" s="108">
        <f>IF($S364,($Q364/(KQ*($S364^(8/3))))^2,0)</f>
        <v>0</v>
      </c>
      <c r="U364" s="108">
        <f>IF($S364,(Vmin/(KV*($S364^(2/3))))^2,0)</f>
        <v>0</v>
      </c>
      <c r="V364" s="108">
        <f>IF($Z364,ROUND(MinDrop_2/$Z364,4),0)</f>
        <v>0</v>
      </c>
      <c r="W364" s="108">
        <f t="shared" ref="W364" si="926">IF($S364=0,0,MAX($T364:$V364))</f>
        <v>0</v>
      </c>
      <c r="X364" s="108">
        <f>IF(Inverts!$H364="yes",Inverts!$G364,Inverts!$I364)</f>
        <v>0</v>
      </c>
      <c r="Y364" s="105">
        <f>ROUND(KV*($S364^(2/3))*($X364^(0.5)),2)</f>
        <v>0</v>
      </c>
      <c r="Z364" s="106">
        <f>INDEX(Tribs!$H$3:$H$102,MATCH($A364,Tribs!$A$3:$A$102,0))</f>
        <v>0</v>
      </c>
      <c r="AA364" s="105">
        <f t="shared" ref="AA364" si="927">IF($Y364,($Z364/$Y364)*(1/60),0)</f>
        <v>0</v>
      </c>
      <c r="AB364" s="111">
        <f>ROUND(KQ*($S364^(8/3))*($X364^(0.5)),2)</f>
        <v>0</v>
      </c>
      <c r="AC364" s="138" t="str">
        <f>IF(AND($AB364&gt;=($Q364-0.0049),$Y364&gt;=(Vmin-0.0049)),"OK","NG")</f>
        <v>NG</v>
      </c>
    </row>
    <row r="365" spans="1:29" x14ac:dyDescent="0.3">
      <c r="A365" s="121"/>
      <c r="B365" s="184"/>
      <c r="C365" s="54"/>
      <c r="D365" s="52"/>
      <c r="E365" s="52"/>
      <c r="F365" s="117"/>
      <c r="G365" s="119">
        <f t="shared" ref="G365" si="928">IF($B365,INDEX($H$4:$H$499,(MATCH($B365,$A$4:$A$499))),0)</f>
        <v>0</v>
      </c>
      <c r="H365" s="113"/>
      <c r="I365" s="52"/>
      <c r="J365" s="52"/>
      <c r="K365" s="123"/>
      <c r="L365" s="53">
        <f t="shared" ref="L365" si="929">IF($B365,INDEX($O$4:$O$499,MATCH($B365,$A$4:$A$499)),0)</f>
        <v>0</v>
      </c>
      <c r="M365" s="126">
        <f t="shared" ref="M365" si="930">IF($B365,INDEX($AA$4:$AA$499,MATCH($B365,$A$4:$A$499)),0)</f>
        <v>0</v>
      </c>
      <c r="N365" s="119">
        <f t="shared" ref="N365" si="931">($L365+$M365)</f>
        <v>0</v>
      </c>
      <c r="O365" s="130"/>
      <c r="P365" s="134"/>
      <c r="Q365" s="130"/>
      <c r="R365" s="52"/>
      <c r="S365" s="224">
        <f t="shared" ref="S365:S368" si="932">S364</f>
        <v>0</v>
      </c>
      <c r="T365" s="237"/>
      <c r="U365" s="237"/>
      <c r="V365" s="237"/>
      <c r="W365" s="237"/>
      <c r="X365" s="52"/>
      <c r="Y365" s="52"/>
      <c r="Z365" s="52"/>
      <c r="AA365" s="54"/>
      <c r="AB365" s="130"/>
      <c r="AC365" s="139"/>
    </row>
    <row r="366" spans="1:29" x14ac:dyDescent="0.3">
      <c r="A366" s="121"/>
      <c r="B366" s="184"/>
      <c r="C366" s="54"/>
      <c r="D366" s="52"/>
      <c r="E366" s="52"/>
      <c r="F366" s="117"/>
      <c r="G366" s="119">
        <f t="shared" si="837"/>
        <v>0</v>
      </c>
      <c r="H366" s="113"/>
      <c r="I366" s="52"/>
      <c r="J366" s="52"/>
      <c r="K366" s="124"/>
      <c r="L366" s="53">
        <f t="shared" si="864"/>
        <v>0</v>
      </c>
      <c r="M366" s="127">
        <f t="shared" si="865"/>
        <v>0</v>
      </c>
      <c r="N366" s="119">
        <f t="shared" si="866"/>
        <v>0</v>
      </c>
      <c r="O366" s="130"/>
      <c r="P366" s="134"/>
      <c r="Q366" s="130"/>
      <c r="R366" s="52"/>
      <c r="S366" s="224">
        <f t="shared" si="932"/>
        <v>0</v>
      </c>
      <c r="T366" s="237"/>
      <c r="U366" s="237"/>
      <c r="V366" s="237"/>
      <c r="W366" s="237"/>
      <c r="X366" s="52"/>
      <c r="Y366" s="52"/>
      <c r="Z366" s="52"/>
      <c r="AA366" s="54"/>
      <c r="AB366" s="130"/>
      <c r="AC366" s="139"/>
    </row>
    <row r="367" spans="1:29" x14ac:dyDescent="0.3">
      <c r="A367" s="121"/>
      <c r="B367" s="184"/>
      <c r="C367" s="54"/>
      <c r="D367" s="52"/>
      <c r="E367" s="52"/>
      <c r="F367" s="117"/>
      <c r="G367" s="119">
        <f t="shared" si="837"/>
        <v>0</v>
      </c>
      <c r="H367" s="113"/>
      <c r="I367" s="52"/>
      <c r="J367" s="52"/>
      <c r="K367" s="124"/>
      <c r="L367" s="53">
        <f t="shared" si="864"/>
        <v>0</v>
      </c>
      <c r="M367" s="127">
        <f t="shared" si="865"/>
        <v>0</v>
      </c>
      <c r="N367" s="119">
        <f t="shared" si="866"/>
        <v>0</v>
      </c>
      <c r="O367" s="130"/>
      <c r="P367" s="134"/>
      <c r="Q367" s="130"/>
      <c r="R367" s="52"/>
      <c r="S367" s="224">
        <f t="shared" si="932"/>
        <v>0</v>
      </c>
      <c r="T367" s="237"/>
      <c r="U367" s="237"/>
      <c r="V367" s="237"/>
      <c r="W367" s="237"/>
      <c r="X367" s="52"/>
      <c r="Y367" s="52"/>
      <c r="Z367" s="52"/>
      <c r="AA367" s="54"/>
      <c r="AB367" s="130"/>
      <c r="AC367" s="139"/>
    </row>
    <row r="368" spans="1:29" ht="15" thickBot="1" x14ac:dyDescent="0.35">
      <c r="A368" s="122"/>
      <c r="B368" s="185"/>
      <c r="C368" s="102"/>
      <c r="D368" s="101"/>
      <c r="E368" s="101"/>
      <c r="F368" s="118"/>
      <c r="G368" s="120">
        <f t="shared" si="837"/>
        <v>0</v>
      </c>
      <c r="H368" s="114"/>
      <c r="I368" s="101"/>
      <c r="J368" s="101"/>
      <c r="K368" s="125"/>
      <c r="L368" s="103">
        <f t="shared" si="864"/>
        <v>0</v>
      </c>
      <c r="M368" s="128">
        <f t="shared" si="865"/>
        <v>0</v>
      </c>
      <c r="N368" s="120">
        <f t="shared" si="866"/>
        <v>0</v>
      </c>
      <c r="O368" s="131"/>
      <c r="P368" s="135"/>
      <c r="Q368" s="131"/>
      <c r="R368" s="101"/>
      <c r="S368" s="104">
        <f t="shared" si="932"/>
        <v>0</v>
      </c>
      <c r="T368" s="238"/>
      <c r="U368" s="238"/>
      <c r="V368" s="238"/>
      <c r="W368" s="238"/>
      <c r="X368" s="101"/>
      <c r="Y368" s="101"/>
      <c r="Z368" s="101"/>
      <c r="AA368" s="102"/>
      <c r="AB368" s="131"/>
      <c r="AC368" s="140"/>
    </row>
    <row r="369" spans="1:29" x14ac:dyDescent="0.3">
      <c r="A369" s="115">
        <f t="shared" ref="A369" si="933">$A364+1</f>
        <v>74</v>
      </c>
      <c r="B369" s="186"/>
      <c r="C369" s="105">
        <f>INDEX(Tribs!$C$3:$C$102,MATCH($A369,Tribs!$A$3:$A$102,0))</f>
        <v>0</v>
      </c>
      <c r="D369" s="106">
        <f>INDEX(Tribs!$E$3:$E$102,MATCH($A369,Tribs!$A$3:$A$102,0))</f>
        <v>0</v>
      </c>
      <c r="E369" s="105">
        <f>INDEX(Tribs!$F$3:$F$102,MATCH($A369,Tribs!$A$3:$A$102,0))</f>
        <v>0</v>
      </c>
      <c r="F369" s="116">
        <f t="shared" ref="F369" si="934">($C369*$E369)</f>
        <v>0</v>
      </c>
      <c r="G369" s="110"/>
      <c r="H369" s="111">
        <f t="shared" ref="H369" si="935">($F369)+(SUM($G370:$G373))</f>
        <v>0</v>
      </c>
      <c r="I369" s="106">
        <f>INDEX(Tribs!$D$3:$D$102,MATCH($A369,Tribs!$A$3:$A$102,0))</f>
        <v>0</v>
      </c>
      <c r="J369" s="106">
        <f>INDEX(Tribs!$G$3:$G$102,MATCH($A369,Tribs!$A$3:$A$102,0))</f>
        <v>0</v>
      </c>
      <c r="K369" s="105">
        <f>($J369)/V_gutter*(1/60)</f>
        <v>0</v>
      </c>
      <c r="L369" s="112"/>
      <c r="M369" s="109"/>
      <c r="N369" s="129">
        <f t="shared" ref="N369" si="936">($I369+$K369)</f>
        <v>0</v>
      </c>
      <c r="O369" s="111">
        <f t="shared" ref="O369" si="937">MAX($N369:$N373)</f>
        <v>0</v>
      </c>
      <c r="P369" s="133">
        <f>IF($H369&gt;0,IF($O369&lt;=T_1,I_1,IF($O369&lt;=T_2,(($O369*M_1)+B_1),IF($O369&lt;=T_3,(($O369*M_2)+B_2),IF($O369&lt;=T_4,(($O369*M_3)+B_3),IF($O369&lt;=T_5,(($O369*M_4)+B_4),IF($O369&lt;=T_6,(($O369*M_5)+B_5),IF($O369&lt;=T_7,(($O369*M_6)+B_6),IF($O369&lt;=T_8,(($O369*M_7)+B_7),IF($O369&lt;=T_9,(($O369*M_8)+B_8),IF($O369&lt;=T_10,(($O369*M_9)+B_9))))))))))),0)</f>
        <v>0</v>
      </c>
      <c r="Q369" s="111">
        <f t="shared" ref="Q369" si="938">ROUND(($H369*$P369),2)</f>
        <v>0</v>
      </c>
      <c r="R369" s="107">
        <f>IF($Q369&gt;0,IF($Q369&lt;=UTH!$M$4,UTH!$J$4,IF($Q369&lt;=UTH!$M$5,UTH!$J$5,IF($Q369&lt;=UTH!$M$6,UTH!$J$6,IF($Q369&lt;=UTH!$M$7,UTH!$J$7,IF($Q369&lt;=UTH!$M$8,UTH!$J$8,IF($Q369&lt;=UTH!$M$9,UTH!$J$9,IF($Q369&lt;=UTH!$M$10,UTH!$J$10,IF($Q369&lt;=UTH!$M$11,UTH!$J$11,IF($Q369&lt;=UTH!$M$12,UTH!$J$12,IF($Q369&lt;=UTH!$M$13,UTH!$J$13,IF($Q369&lt;=UTH!$M$14,UTH!$J$14,IF($Q369&lt;=UTH!$M$15,UTH!$J$15,IF($Q369&lt;=UTH!$M$16,UTH!$J$16,IF($Q369&lt;=UTH!$M$17,UTH!$J$17,IF($Q369&lt;=UTH!$M$18,UTH!$J$18,IF($Q369&lt;=UTH!$M$19,UTH!$J$19,IF($Q369&lt;=UTH!$M$20,UTH!$J$20))))))))))))))))),0)</f>
        <v>0</v>
      </c>
      <c r="S369" s="107">
        <f>IF(Inverts!$D369="YES",Inverts!$C369,Inverts!$E369)</f>
        <v>0</v>
      </c>
      <c r="T369" s="108">
        <f>IF($S369,($Q369/(KQ*($S369^(8/3))))^2,0)</f>
        <v>0</v>
      </c>
      <c r="U369" s="108">
        <f>IF($S369,(Vmin/(KV*($S369^(2/3))))^2,0)</f>
        <v>0</v>
      </c>
      <c r="V369" s="108">
        <f>IF($Z369,ROUND(MinDrop_2/$Z369,4),0)</f>
        <v>0</v>
      </c>
      <c r="W369" s="108">
        <f t="shared" ref="W369" si="939">IF($S369=0,0,MAX($T369:$V369))</f>
        <v>0</v>
      </c>
      <c r="X369" s="108">
        <f>IF(Inverts!$H369="yes",Inverts!$G369,Inverts!$I369)</f>
        <v>0</v>
      </c>
      <c r="Y369" s="105">
        <f>ROUND(KV*($S369^(2/3))*($X369^(0.5)),2)</f>
        <v>0</v>
      </c>
      <c r="Z369" s="106">
        <f>INDEX(Tribs!$H$3:$H$102,MATCH($A369,Tribs!$A$3:$A$102,0))</f>
        <v>0</v>
      </c>
      <c r="AA369" s="105">
        <f t="shared" ref="AA369" si="940">IF($Y369,($Z369/$Y369)*(1/60),0)</f>
        <v>0</v>
      </c>
      <c r="AB369" s="111">
        <f>ROUND(KQ*($S369^(8/3))*($X369^(0.5)),2)</f>
        <v>0</v>
      </c>
      <c r="AC369" s="138" t="str">
        <f>IF(AND($AB369&gt;=($Q369-0.0049),$Y369&gt;=(Vmin-0.0049)),"OK","NG")</f>
        <v>NG</v>
      </c>
    </row>
    <row r="370" spans="1:29" x14ac:dyDescent="0.3">
      <c r="A370" s="121"/>
      <c r="B370" s="184"/>
      <c r="C370" s="54"/>
      <c r="D370" s="52"/>
      <c r="E370" s="52"/>
      <c r="F370" s="117"/>
      <c r="G370" s="119">
        <f t="shared" ref="G370" si="941">IF($B370,INDEX($H$4:$H$499,(MATCH($B370,$A$4:$A$499))),0)</f>
        <v>0</v>
      </c>
      <c r="H370" s="113"/>
      <c r="I370" s="52"/>
      <c r="J370" s="52"/>
      <c r="K370" s="123"/>
      <c r="L370" s="53">
        <f t="shared" ref="L370" si="942">IF($B370,INDEX($O$4:$O$499,MATCH($B370,$A$4:$A$499)),0)</f>
        <v>0</v>
      </c>
      <c r="M370" s="126">
        <f t="shared" ref="M370" si="943">IF($B370,INDEX($AA$4:$AA$499,MATCH($B370,$A$4:$A$499)),0)</f>
        <v>0</v>
      </c>
      <c r="N370" s="119">
        <f t="shared" ref="N370" si="944">($L370+$M370)</f>
        <v>0</v>
      </c>
      <c r="O370" s="130"/>
      <c r="P370" s="134"/>
      <c r="Q370" s="130"/>
      <c r="R370" s="52"/>
      <c r="S370" s="224">
        <f t="shared" ref="S370:S373" si="945">S369</f>
        <v>0</v>
      </c>
      <c r="T370" s="237"/>
      <c r="U370" s="237"/>
      <c r="V370" s="237"/>
      <c r="W370" s="237"/>
      <c r="X370" s="52"/>
      <c r="Y370" s="52"/>
      <c r="Z370" s="52"/>
      <c r="AA370" s="54"/>
      <c r="AB370" s="130"/>
      <c r="AC370" s="139"/>
    </row>
    <row r="371" spans="1:29" x14ac:dyDescent="0.3">
      <c r="A371" s="121"/>
      <c r="B371" s="184"/>
      <c r="C371" s="54"/>
      <c r="D371" s="52"/>
      <c r="E371" s="52"/>
      <c r="F371" s="117"/>
      <c r="G371" s="119">
        <f t="shared" si="837"/>
        <v>0</v>
      </c>
      <c r="H371" s="113"/>
      <c r="I371" s="52"/>
      <c r="J371" s="52"/>
      <c r="K371" s="124"/>
      <c r="L371" s="53">
        <f t="shared" si="864"/>
        <v>0</v>
      </c>
      <c r="M371" s="127">
        <f t="shared" si="865"/>
        <v>0</v>
      </c>
      <c r="N371" s="119">
        <f t="shared" si="866"/>
        <v>0</v>
      </c>
      <c r="O371" s="130"/>
      <c r="P371" s="134"/>
      <c r="Q371" s="130"/>
      <c r="R371" s="52"/>
      <c r="S371" s="224">
        <f t="shared" si="945"/>
        <v>0</v>
      </c>
      <c r="T371" s="237"/>
      <c r="U371" s="237"/>
      <c r="V371" s="237"/>
      <c r="W371" s="237"/>
      <c r="X371" s="52"/>
      <c r="Y371" s="52"/>
      <c r="Z371" s="52"/>
      <c r="AA371" s="54"/>
      <c r="AB371" s="130"/>
      <c r="AC371" s="139"/>
    </row>
    <row r="372" spans="1:29" x14ac:dyDescent="0.3">
      <c r="A372" s="121"/>
      <c r="B372" s="184"/>
      <c r="C372" s="54"/>
      <c r="D372" s="52"/>
      <c r="E372" s="52"/>
      <c r="F372" s="117"/>
      <c r="G372" s="119">
        <f t="shared" si="837"/>
        <v>0</v>
      </c>
      <c r="H372" s="113"/>
      <c r="I372" s="52"/>
      <c r="J372" s="52"/>
      <c r="K372" s="124"/>
      <c r="L372" s="53">
        <f t="shared" si="864"/>
        <v>0</v>
      </c>
      <c r="M372" s="127">
        <f t="shared" si="865"/>
        <v>0</v>
      </c>
      <c r="N372" s="119">
        <f t="shared" si="866"/>
        <v>0</v>
      </c>
      <c r="O372" s="130"/>
      <c r="P372" s="134"/>
      <c r="Q372" s="130"/>
      <c r="R372" s="52"/>
      <c r="S372" s="224">
        <f t="shared" si="945"/>
        <v>0</v>
      </c>
      <c r="T372" s="237"/>
      <c r="U372" s="237"/>
      <c r="V372" s="237"/>
      <c r="W372" s="237"/>
      <c r="X372" s="52"/>
      <c r="Y372" s="52"/>
      <c r="Z372" s="52"/>
      <c r="AA372" s="54"/>
      <c r="AB372" s="130"/>
      <c r="AC372" s="139"/>
    </row>
    <row r="373" spans="1:29" ht="15" thickBot="1" x14ac:dyDescent="0.35">
      <c r="A373" s="122"/>
      <c r="B373" s="185"/>
      <c r="C373" s="102"/>
      <c r="D373" s="101"/>
      <c r="E373" s="101"/>
      <c r="F373" s="118"/>
      <c r="G373" s="120">
        <f t="shared" si="837"/>
        <v>0</v>
      </c>
      <c r="H373" s="114"/>
      <c r="I373" s="101"/>
      <c r="J373" s="101"/>
      <c r="K373" s="125"/>
      <c r="L373" s="103">
        <f t="shared" si="864"/>
        <v>0</v>
      </c>
      <c r="M373" s="128">
        <f t="shared" si="865"/>
        <v>0</v>
      </c>
      <c r="N373" s="120">
        <f t="shared" si="866"/>
        <v>0</v>
      </c>
      <c r="O373" s="131"/>
      <c r="P373" s="135"/>
      <c r="Q373" s="131"/>
      <c r="R373" s="101"/>
      <c r="S373" s="104">
        <f t="shared" si="945"/>
        <v>0</v>
      </c>
      <c r="T373" s="238"/>
      <c r="U373" s="238"/>
      <c r="V373" s="238"/>
      <c r="W373" s="238"/>
      <c r="X373" s="101"/>
      <c r="Y373" s="101"/>
      <c r="Z373" s="101"/>
      <c r="AA373" s="102"/>
      <c r="AB373" s="131"/>
      <c r="AC373" s="140"/>
    </row>
    <row r="374" spans="1:29" x14ac:dyDescent="0.3">
      <c r="A374" s="115">
        <f t="shared" ref="A374" si="946">$A369+1</f>
        <v>75</v>
      </c>
      <c r="B374" s="186"/>
      <c r="C374" s="105">
        <f>INDEX(Tribs!$C$3:$C$102,MATCH($A374,Tribs!$A$3:$A$102,0))</f>
        <v>0</v>
      </c>
      <c r="D374" s="106">
        <f>INDEX(Tribs!$E$3:$E$102,MATCH($A374,Tribs!$A$3:$A$102,0))</f>
        <v>0</v>
      </c>
      <c r="E374" s="105">
        <f>INDEX(Tribs!$F$3:$F$102,MATCH($A374,Tribs!$A$3:$A$102,0))</f>
        <v>0</v>
      </c>
      <c r="F374" s="116">
        <f t="shared" ref="F374" si="947">($C374*$E374)</f>
        <v>0</v>
      </c>
      <c r="G374" s="110"/>
      <c r="H374" s="111">
        <f t="shared" ref="H374" si="948">($F374)+(SUM($G375:$G378))</f>
        <v>0</v>
      </c>
      <c r="I374" s="106">
        <f>INDEX(Tribs!$D$3:$D$102,MATCH($A374,Tribs!$A$3:$A$102,0))</f>
        <v>0</v>
      </c>
      <c r="J374" s="106">
        <f>INDEX(Tribs!$G$3:$G$102,MATCH($A374,Tribs!$A$3:$A$102,0))</f>
        <v>0</v>
      </c>
      <c r="K374" s="105">
        <f>($J374)/V_gutter*(1/60)</f>
        <v>0</v>
      </c>
      <c r="L374" s="112"/>
      <c r="M374" s="109"/>
      <c r="N374" s="129">
        <f t="shared" ref="N374" si="949">($I374+$K374)</f>
        <v>0</v>
      </c>
      <c r="O374" s="111">
        <f t="shared" ref="O374" si="950">MAX($N374:$N378)</f>
        <v>0</v>
      </c>
      <c r="P374" s="133">
        <f>IF($H374&gt;0,IF($O374&lt;=T_1,I_1,IF($O374&lt;=T_2,(($O374*M_1)+B_1),IF($O374&lt;=T_3,(($O374*M_2)+B_2),IF($O374&lt;=T_4,(($O374*M_3)+B_3),IF($O374&lt;=T_5,(($O374*M_4)+B_4),IF($O374&lt;=T_6,(($O374*M_5)+B_5),IF($O374&lt;=T_7,(($O374*M_6)+B_6),IF($O374&lt;=T_8,(($O374*M_7)+B_7),IF($O374&lt;=T_9,(($O374*M_8)+B_8),IF($O374&lt;=T_10,(($O374*M_9)+B_9))))))))))),0)</f>
        <v>0</v>
      </c>
      <c r="Q374" s="111">
        <f t="shared" ref="Q374" si="951">ROUND(($H374*$P374),2)</f>
        <v>0</v>
      </c>
      <c r="R374" s="107">
        <f>IF($Q374&gt;0,IF($Q374&lt;=UTH!$M$4,UTH!$J$4,IF($Q374&lt;=UTH!$M$5,UTH!$J$5,IF($Q374&lt;=UTH!$M$6,UTH!$J$6,IF($Q374&lt;=UTH!$M$7,UTH!$J$7,IF($Q374&lt;=UTH!$M$8,UTH!$J$8,IF($Q374&lt;=UTH!$M$9,UTH!$J$9,IF($Q374&lt;=UTH!$M$10,UTH!$J$10,IF($Q374&lt;=UTH!$M$11,UTH!$J$11,IF($Q374&lt;=UTH!$M$12,UTH!$J$12,IF($Q374&lt;=UTH!$M$13,UTH!$J$13,IF($Q374&lt;=UTH!$M$14,UTH!$J$14,IF($Q374&lt;=UTH!$M$15,UTH!$J$15,IF($Q374&lt;=UTH!$M$16,UTH!$J$16,IF($Q374&lt;=UTH!$M$17,UTH!$J$17,IF($Q374&lt;=UTH!$M$18,UTH!$J$18,IF($Q374&lt;=UTH!$M$19,UTH!$J$19,IF($Q374&lt;=UTH!$M$20,UTH!$J$20))))))))))))))))),0)</f>
        <v>0</v>
      </c>
      <c r="S374" s="107">
        <f>IF(Inverts!$D374="YES",Inverts!$C374,Inverts!$E374)</f>
        <v>0</v>
      </c>
      <c r="T374" s="108">
        <f>IF($S374,($Q374/(KQ*($S374^(8/3))))^2,0)</f>
        <v>0</v>
      </c>
      <c r="U374" s="108">
        <f>IF($S374,(Vmin/(KV*($S374^(2/3))))^2,0)</f>
        <v>0</v>
      </c>
      <c r="V374" s="108">
        <f>IF($Z374,ROUND(MinDrop_2/$Z374,4),0)</f>
        <v>0</v>
      </c>
      <c r="W374" s="108">
        <f t="shared" ref="W374" si="952">IF($S374=0,0,MAX($T374:$V374))</f>
        <v>0</v>
      </c>
      <c r="X374" s="108">
        <f>IF(Inverts!$H374="yes",Inverts!$G374,Inverts!$I374)</f>
        <v>0</v>
      </c>
      <c r="Y374" s="105">
        <f>ROUND(KV*($S374^(2/3))*($X374^(0.5)),2)</f>
        <v>0</v>
      </c>
      <c r="Z374" s="106">
        <f>INDEX(Tribs!$H$3:$H$102,MATCH($A374,Tribs!$A$3:$A$102,0))</f>
        <v>0</v>
      </c>
      <c r="AA374" s="105">
        <f t="shared" ref="AA374" si="953">IF($Y374,($Z374/$Y374)*(1/60),0)</f>
        <v>0</v>
      </c>
      <c r="AB374" s="111">
        <f>ROUND(KQ*($S374^(8/3))*($X374^(0.5)),2)</f>
        <v>0</v>
      </c>
      <c r="AC374" s="138" t="str">
        <f>IF(AND($AB374&gt;=($Q374-0.0049),$Y374&gt;=(Vmin-0.0049)),"OK","NG")</f>
        <v>NG</v>
      </c>
    </row>
    <row r="375" spans="1:29" x14ac:dyDescent="0.3">
      <c r="A375" s="121"/>
      <c r="B375" s="184"/>
      <c r="C375" s="54"/>
      <c r="D375" s="52"/>
      <c r="E375" s="52"/>
      <c r="F375" s="117"/>
      <c r="G375" s="119">
        <f t="shared" ref="G375" si="954">IF($B375,INDEX($H$4:$H$499,(MATCH($B375,$A$4:$A$499))),0)</f>
        <v>0</v>
      </c>
      <c r="H375" s="113"/>
      <c r="I375" s="52"/>
      <c r="J375" s="52"/>
      <c r="K375" s="123"/>
      <c r="L375" s="53">
        <f t="shared" ref="L375" si="955">IF($B375,INDEX($O$4:$O$499,MATCH($B375,$A$4:$A$499)),0)</f>
        <v>0</v>
      </c>
      <c r="M375" s="126">
        <f t="shared" ref="M375" si="956">IF($B375,INDEX($AA$4:$AA$499,MATCH($B375,$A$4:$A$499)),0)</f>
        <v>0</v>
      </c>
      <c r="N375" s="119">
        <f t="shared" ref="N375" si="957">($L375+$M375)</f>
        <v>0</v>
      </c>
      <c r="O375" s="130"/>
      <c r="P375" s="134"/>
      <c r="Q375" s="130"/>
      <c r="R375" s="52"/>
      <c r="S375" s="224">
        <f t="shared" ref="S375:S378" si="958">S374</f>
        <v>0</v>
      </c>
      <c r="T375" s="237"/>
      <c r="U375" s="237"/>
      <c r="V375" s="237"/>
      <c r="W375" s="237"/>
      <c r="X375" s="52"/>
      <c r="Y375" s="52"/>
      <c r="Z375" s="52"/>
      <c r="AA375" s="54"/>
      <c r="AB375" s="130"/>
      <c r="AC375" s="139"/>
    </row>
    <row r="376" spans="1:29" x14ac:dyDescent="0.3">
      <c r="A376" s="121"/>
      <c r="B376" s="184"/>
      <c r="C376" s="54"/>
      <c r="D376" s="52"/>
      <c r="E376" s="52"/>
      <c r="F376" s="117"/>
      <c r="G376" s="119">
        <f t="shared" si="837"/>
        <v>0</v>
      </c>
      <c r="H376" s="113"/>
      <c r="I376" s="52"/>
      <c r="J376" s="52"/>
      <c r="K376" s="124"/>
      <c r="L376" s="53">
        <f t="shared" si="864"/>
        <v>0</v>
      </c>
      <c r="M376" s="127">
        <f t="shared" si="865"/>
        <v>0</v>
      </c>
      <c r="N376" s="119">
        <f t="shared" si="866"/>
        <v>0</v>
      </c>
      <c r="O376" s="130"/>
      <c r="P376" s="134"/>
      <c r="Q376" s="130"/>
      <c r="R376" s="52"/>
      <c r="S376" s="224">
        <f t="shared" si="958"/>
        <v>0</v>
      </c>
      <c r="T376" s="237"/>
      <c r="U376" s="237"/>
      <c r="V376" s="237"/>
      <c r="W376" s="237"/>
      <c r="X376" s="52"/>
      <c r="Y376" s="52"/>
      <c r="Z376" s="52"/>
      <c r="AA376" s="54"/>
      <c r="AB376" s="130"/>
      <c r="AC376" s="139"/>
    </row>
    <row r="377" spans="1:29" x14ac:dyDescent="0.3">
      <c r="A377" s="121"/>
      <c r="B377" s="184"/>
      <c r="C377" s="54"/>
      <c r="D377" s="52"/>
      <c r="E377" s="52"/>
      <c r="F377" s="117"/>
      <c r="G377" s="119">
        <f t="shared" si="837"/>
        <v>0</v>
      </c>
      <c r="H377" s="113"/>
      <c r="I377" s="52"/>
      <c r="J377" s="52"/>
      <c r="K377" s="124"/>
      <c r="L377" s="53">
        <f t="shared" si="864"/>
        <v>0</v>
      </c>
      <c r="M377" s="127">
        <f t="shared" si="865"/>
        <v>0</v>
      </c>
      <c r="N377" s="119">
        <f t="shared" si="866"/>
        <v>0</v>
      </c>
      <c r="O377" s="130"/>
      <c r="P377" s="134"/>
      <c r="Q377" s="130"/>
      <c r="R377" s="52"/>
      <c r="S377" s="224">
        <f t="shared" si="958"/>
        <v>0</v>
      </c>
      <c r="T377" s="237"/>
      <c r="U377" s="237"/>
      <c r="V377" s="237"/>
      <c r="W377" s="237"/>
      <c r="X377" s="52"/>
      <c r="Y377" s="52"/>
      <c r="Z377" s="52"/>
      <c r="AA377" s="54"/>
      <c r="AB377" s="130"/>
      <c r="AC377" s="139"/>
    </row>
    <row r="378" spans="1:29" ht="15" thickBot="1" x14ac:dyDescent="0.35">
      <c r="A378" s="122"/>
      <c r="B378" s="185"/>
      <c r="C378" s="102"/>
      <c r="D378" s="101"/>
      <c r="E378" s="101"/>
      <c r="F378" s="118"/>
      <c r="G378" s="120">
        <f t="shared" si="837"/>
        <v>0</v>
      </c>
      <c r="H378" s="114"/>
      <c r="I378" s="101"/>
      <c r="J378" s="101"/>
      <c r="K378" s="125"/>
      <c r="L378" s="103">
        <f t="shared" si="864"/>
        <v>0</v>
      </c>
      <c r="M378" s="128">
        <f t="shared" si="865"/>
        <v>0</v>
      </c>
      <c r="N378" s="120">
        <f t="shared" si="866"/>
        <v>0</v>
      </c>
      <c r="O378" s="131"/>
      <c r="P378" s="135"/>
      <c r="Q378" s="131"/>
      <c r="R378" s="101"/>
      <c r="S378" s="104">
        <f t="shared" si="958"/>
        <v>0</v>
      </c>
      <c r="T378" s="238"/>
      <c r="U378" s="238"/>
      <c r="V378" s="238"/>
      <c r="W378" s="238"/>
      <c r="X378" s="101"/>
      <c r="Y378" s="101"/>
      <c r="Z378" s="101"/>
      <c r="AA378" s="102"/>
      <c r="AB378" s="131"/>
      <c r="AC378" s="140"/>
    </row>
    <row r="379" spans="1:29" x14ac:dyDescent="0.3">
      <c r="A379" s="115">
        <f t="shared" ref="A379" si="959">$A374+1</f>
        <v>76</v>
      </c>
      <c r="B379" s="186"/>
      <c r="C379" s="105">
        <f>INDEX(Tribs!$C$3:$C$102,MATCH($A379,Tribs!$A$3:$A$102,0))</f>
        <v>0</v>
      </c>
      <c r="D379" s="106">
        <f>INDEX(Tribs!$E$3:$E$102,MATCH($A379,Tribs!$A$3:$A$102,0))</f>
        <v>0</v>
      </c>
      <c r="E379" s="105">
        <f>INDEX(Tribs!$F$3:$F$102,MATCH($A379,Tribs!$A$3:$A$102,0))</f>
        <v>0</v>
      </c>
      <c r="F379" s="116">
        <f t="shared" ref="F379" si="960">($C379*$E379)</f>
        <v>0</v>
      </c>
      <c r="G379" s="110"/>
      <c r="H379" s="111">
        <f t="shared" ref="H379" si="961">($F379)+(SUM($G380:$G383))</f>
        <v>0</v>
      </c>
      <c r="I379" s="106">
        <f>INDEX(Tribs!$D$3:$D$102,MATCH($A379,Tribs!$A$3:$A$102,0))</f>
        <v>0</v>
      </c>
      <c r="J379" s="106">
        <f>INDEX(Tribs!$G$3:$G$102,MATCH($A379,Tribs!$A$3:$A$102,0))</f>
        <v>0</v>
      </c>
      <c r="K379" s="105">
        <f>($J379)/V_gutter*(1/60)</f>
        <v>0</v>
      </c>
      <c r="L379" s="112"/>
      <c r="M379" s="109"/>
      <c r="N379" s="129">
        <f t="shared" ref="N379" si="962">($I379+$K379)</f>
        <v>0</v>
      </c>
      <c r="O379" s="111">
        <f t="shared" ref="O379" si="963">MAX($N379:$N383)</f>
        <v>0</v>
      </c>
      <c r="P379" s="133">
        <f>IF($H379&gt;0,IF($O379&lt;=T_1,I_1,IF($O379&lt;=T_2,(($O379*M_1)+B_1),IF($O379&lt;=T_3,(($O379*M_2)+B_2),IF($O379&lt;=T_4,(($O379*M_3)+B_3),IF($O379&lt;=T_5,(($O379*M_4)+B_4),IF($O379&lt;=T_6,(($O379*M_5)+B_5),IF($O379&lt;=T_7,(($O379*M_6)+B_6),IF($O379&lt;=T_8,(($O379*M_7)+B_7),IF($O379&lt;=T_9,(($O379*M_8)+B_8),IF($O379&lt;=T_10,(($O379*M_9)+B_9))))))))))),0)</f>
        <v>0</v>
      </c>
      <c r="Q379" s="111">
        <f t="shared" ref="Q379" si="964">ROUND(($H379*$P379),2)</f>
        <v>0</v>
      </c>
      <c r="R379" s="107">
        <f>IF($Q379&gt;0,IF($Q379&lt;=UTH!$M$4,UTH!$J$4,IF($Q379&lt;=UTH!$M$5,UTH!$J$5,IF($Q379&lt;=UTH!$M$6,UTH!$J$6,IF($Q379&lt;=UTH!$M$7,UTH!$J$7,IF($Q379&lt;=UTH!$M$8,UTH!$J$8,IF($Q379&lt;=UTH!$M$9,UTH!$J$9,IF($Q379&lt;=UTH!$M$10,UTH!$J$10,IF($Q379&lt;=UTH!$M$11,UTH!$J$11,IF($Q379&lt;=UTH!$M$12,UTH!$J$12,IF($Q379&lt;=UTH!$M$13,UTH!$J$13,IF($Q379&lt;=UTH!$M$14,UTH!$J$14,IF($Q379&lt;=UTH!$M$15,UTH!$J$15,IF($Q379&lt;=UTH!$M$16,UTH!$J$16,IF($Q379&lt;=UTH!$M$17,UTH!$J$17,IF($Q379&lt;=UTH!$M$18,UTH!$J$18,IF($Q379&lt;=UTH!$M$19,UTH!$J$19,IF($Q379&lt;=UTH!$M$20,UTH!$J$20))))))))))))))))),0)</f>
        <v>0</v>
      </c>
      <c r="S379" s="107">
        <f>IF(Inverts!$D379="YES",Inverts!$C379,Inverts!$E379)</f>
        <v>0</v>
      </c>
      <c r="T379" s="108">
        <f>IF($S379,($Q379/(KQ*($S379^(8/3))))^2,0)</f>
        <v>0</v>
      </c>
      <c r="U379" s="108">
        <f>IF($S379,(Vmin/(KV*($S379^(2/3))))^2,0)</f>
        <v>0</v>
      </c>
      <c r="V379" s="108">
        <f>IF($Z379,ROUND(MinDrop_2/$Z379,4),0)</f>
        <v>0</v>
      </c>
      <c r="W379" s="108">
        <f t="shared" ref="W379" si="965">IF($S379=0,0,MAX($T379:$V379))</f>
        <v>0</v>
      </c>
      <c r="X379" s="108">
        <f>IF(Inverts!$H379="yes",Inverts!$G379,Inverts!$I379)</f>
        <v>0</v>
      </c>
      <c r="Y379" s="105">
        <f>ROUND(KV*($S379^(2/3))*($X379^(0.5)),2)</f>
        <v>0</v>
      </c>
      <c r="Z379" s="106">
        <f>INDEX(Tribs!$H$3:$H$102,MATCH($A379,Tribs!$A$3:$A$102,0))</f>
        <v>0</v>
      </c>
      <c r="AA379" s="105">
        <f t="shared" ref="AA379" si="966">IF($Y379,($Z379/$Y379)*(1/60),0)</f>
        <v>0</v>
      </c>
      <c r="AB379" s="111">
        <f>ROUND(KQ*($S379^(8/3))*($X379^(0.5)),2)</f>
        <v>0</v>
      </c>
      <c r="AC379" s="138" t="str">
        <f>IF(AND($AB379&gt;=($Q379-0.0049),$Y379&gt;=(Vmin-0.0049)),"OK","NG")</f>
        <v>NG</v>
      </c>
    </row>
    <row r="380" spans="1:29" x14ac:dyDescent="0.3">
      <c r="A380" s="121"/>
      <c r="B380" s="184"/>
      <c r="C380" s="54"/>
      <c r="D380" s="52"/>
      <c r="E380" s="52"/>
      <c r="F380" s="117"/>
      <c r="G380" s="119">
        <f t="shared" ref="G380" si="967">IF($B380,INDEX($H$4:$H$499,(MATCH($B380,$A$4:$A$499))),0)</f>
        <v>0</v>
      </c>
      <c r="H380" s="113"/>
      <c r="I380" s="52"/>
      <c r="J380" s="52"/>
      <c r="K380" s="123"/>
      <c r="L380" s="53">
        <f t="shared" ref="L380" si="968">IF($B380,INDEX($O$4:$O$499,MATCH($B380,$A$4:$A$499)),0)</f>
        <v>0</v>
      </c>
      <c r="M380" s="126">
        <f t="shared" ref="M380" si="969">IF($B380,INDEX($AA$4:$AA$499,MATCH($B380,$A$4:$A$499)),0)</f>
        <v>0</v>
      </c>
      <c r="N380" s="119">
        <f t="shared" ref="N380" si="970">($L380+$M380)</f>
        <v>0</v>
      </c>
      <c r="O380" s="130"/>
      <c r="P380" s="134"/>
      <c r="Q380" s="130"/>
      <c r="R380" s="52"/>
      <c r="S380" s="224">
        <f t="shared" ref="S380:S383" si="971">S379</f>
        <v>0</v>
      </c>
      <c r="T380" s="237"/>
      <c r="U380" s="237"/>
      <c r="V380" s="237"/>
      <c r="W380" s="237"/>
      <c r="X380" s="52"/>
      <c r="Y380" s="52"/>
      <c r="Z380" s="52"/>
      <c r="AA380" s="54"/>
      <c r="AB380" s="130"/>
      <c r="AC380" s="139"/>
    </row>
    <row r="381" spans="1:29" x14ac:dyDescent="0.3">
      <c r="A381" s="121"/>
      <c r="B381" s="184"/>
      <c r="C381" s="54"/>
      <c r="D381" s="52"/>
      <c r="E381" s="52"/>
      <c r="F381" s="117"/>
      <c r="G381" s="119">
        <f t="shared" si="837"/>
        <v>0</v>
      </c>
      <c r="H381" s="113"/>
      <c r="I381" s="52"/>
      <c r="J381" s="52"/>
      <c r="K381" s="124"/>
      <c r="L381" s="53">
        <f t="shared" si="864"/>
        <v>0</v>
      </c>
      <c r="M381" s="127">
        <f t="shared" si="865"/>
        <v>0</v>
      </c>
      <c r="N381" s="119">
        <f t="shared" si="866"/>
        <v>0</v>
      </c>
      <c r="O381" s="130"/>
      <c r="P381" s="134"/>
      <c r="Q381" s="130"/>
      <c r="R381" s="52"/>
      <c r="S381" s="224">
        <f t="shared" si="971"/>
        <v>0</v>
      </c>
      <c r="T381" s="237"/>
      <c r="U381" s="237"/>
      <c r="V381" s="237"/>
      <c r="W381" s="237"/>
      <c r="X381" s="52"/>
      <c r="Y381" s="52"/>
      <c r="Z381" s="52"/>
      <c r="AA381" s="54"/>
      <c r="AB381" s="130"/>
      <c r="AC381" s="139"/>
    </row>
    <row r="382" spans="1:29" x14ac:dyDescent="0.3">
      <c r="A382" s="121"/>
      <c r="B382" s="184"/>
      <c r="C382" s="54"/>
      <c r="D382" s="52"/>
      <c r="E382" s="52"/>
      <c r="F382" s="117"/>
      <c r="G382" s="119">
        <f t="shared" si="837"/>
        <v>0</v>
      </c>
      <c r="H382" s="113"/>
      <c r="I382" s="52"/>
      <c r="J382" s="52"/>
      <c r="K382" s="124"/>
      <c r="L382" s="53">
        <f t="shared" si="864"/>
        <v>0</v>
      </c>
      <c r="M382" s="127">
        <f t="shared" si="865"/>
        <v>0</v>
      </c>
      <c r="N382" s="119">
        <f t="shared" si="866"/>
        <v>0</v>
      </c>
      <c r="O382" s="130"/>
      <c r="P382" s="134"/>
      <c r="Q382" s="130"/>
      <c r="R382" s="52"/>
      <c r="S382" s="224">
        <f t="shared" si="971"/>
        <v>0</v>
      </c>
      <c r="T382" s="237"/>
      <c r="U382" s="237"/>
      <c r="V382" s="237"/>
      <c r="W382" s="237"/>
      <c r="X382" s="52"/>
      <c r="Y382" s="52"/>
      <c r="Z382" s="52"/>
      <c r="AA382" s="54"/>
      <c r="AB382" s="130"/>
      <c r="AC382" s="139"/>
    </row>
    <row r="383" spans="1:29" ht="15" thickBot="1" x14ac:dyDescent="0.35">
      <c r="A383" s="122"/>
      <c r="B383" s="185"/>
      <c r="C383" s="102"/>
      <c r="D383" s="101"/>
      <c r="E383" s="101"/>
      <c r="F383" s="118"/>
      <c r="G383" s="120">
        <f t="shared" si="837"/>
        <v>0</v>
      </c>
      <c r="H383" s="114"/>
      <c r="I383" s="101"/>
      <c r="J383" s="101"/>
      <c r="K383" s="125"/>
      <c r="L383" s="103">
        <f t="shared" si="864"/>
        <v>0</v>
      </c>
      <c r="M383" s="128">
        <f t="shared" si="865"/>
        <v>0</v>
      </c>
      <c r="N383" s="120">
        <f t="shared" si="866"/>
        <v>0</v>
      </c>
      <c r="O383" s="131"/>
      <c r="P383" s="135"/>
      <c r="Q383" s="131"/>
      <c r="R383" s="101"/>
      <c r="S383" s="104">
        <f t="shared" si="971"/>
        <v>0</v>
      </c>
      <c r="T383" s="238"/>
      <c r="U383" s="238"/>
      <c r="V383" s="238"/>
      <c r="W383" s="238"/>
      <c r="X383" s="101"/>
      <c r="Y383" s="101"/>
      <c r="Z383" s="101"/>
      <c r="AA383" s="102"/>
      <c r="AB383" s="131"/>
      <c r="AC383" s="140"/>
    </row>
    <row r="384" spans="1:29" x14ac:dyDescent="0.3">
      <c r="A384" s="115">
        <f t="shared" ref="A384" si="972">$A379+1</f>
        <v>77</v>
      </c>
      <c r="B384" s="186"/>
      <c r="C384" s="105">
        <f>INDEX(Tribs!$C$3:$C$102,MATCH($A384,Tribs!$A$3:$A$102,0))</f>
        <v>0</v>
      </c>
      <c r="D384" s="106">
        <f>INDEX(Tribs!$E$3:$E$102,MATCH($A384,Tribs!$A$3:$A$102,0))</f>
        <v>0</v>
      </c>
      <c r="E384" s="105">
        <f>INDEX(Tribs!$F$3:$F$102,MATCH($A384,Tribs!$A$3:$A$102,0))</f>
        <v>0</v>
      </c>
      <c r="F384" s="116">
        <f t="shared" ref="F384" si="973">($C384*$E384)</f>
        <v>0</v>
      </c>
      <c r="G384" s="110"/>
      <c r="H384" s="111">
        <f t="shared" ref="H384" si="974">($F384)+(SUM($G385:$G388))</f>
        <v>0</v>
      </c>
      <c r="I384" s="106">
        <f>INDEX(Tribs!$D$3:$D$102,MATCH($A384,Tribs!$A$3:$A$102,0))</f>
        <v>0</v>
      </c>
      <c r="J384" s="106">
        <f>INDEX(Tribs!$G$3:$G$102,MATCH($A384,Tribs!$A$3:$A$102,0))</f>
        <v>0</v>
      </c>
      <c r="K384" s="105">
        <f>($J384)/V_gutter*(1/60)</f>
        <v>0</v>
      </c>
      <c r="L384" s="112"/>
      <c r="M384" s="109"/>
      <c r="N384" s="129">
        <f t="shared" ref="N384" si="975">($I384+$K384)</f>
        <v>0</v>
      </c>
      <c r="O384" s="111">
        <f t="shared" ref="O384" si="976">MAX($N384:$N388)</f>
        <v>0</v>
      </c>
      <c r="P384" s="133">
        <f>IF($H384&gt;0,IF($O384&lt;=T_1,I_1,IF($O384&lt;=T_2,(($O384*M_1)+B_1),IF($O384&lt;=T_3,(($O384*M_2)+B_2),IF($O384&lt;=T_4,(($O384*M_3)+B_3),IF($O384&lt;=T_5,(($O384*M_4)+B_4),IF($O384&lt;=T_6,(($O384*M_5)+B_5),IF($O384&lt;=T_7,(($O384*M_6)+B_6),IF($O384&lt;=T_8,(($O384*M_7)+B_7),IF($O384&lt;=T_9,(($O384*M_8)+B_8),IF($O384&lt;=T_10,(($O384*M_9)+B_9))))))))))),0)</f>
        <v>0</v>
      </c>
      <c r="Q384" s="111">
        <f t="shared" ref="Q384" si="977">ROUND(($H384*$P384),2)</f>
        <v>0</v>
      </c>
      <c r="R384" s="107">
        <f>IF($Q384&gt;0,IF($Q384&lt;=UTH!$M$4,UTH!$J$4,IF($Q384&lt;=UTH!$M$5,UTH!$J$5,IF($Q384&lt;=UTH!$M$6,UTH!$J$6,IF($Q384&lt;=UTH!$M$7,UTH!$J$7,IF($Q384&lt;=UTH!$M$8,UTH!$J$8,IF($Q384&lt;=UTH!$M$9,UTH!$J$9,IF($Q384&lt;=UTH!$M$10,UTH!$J$10,IF($Q384&lt;=UTH!$M$11,UTH!$J$11,IF($Q384&lt;=UTH!$M$12,UTH!$J$12,IF($Q384&lt;=UTH!$M$13,UTH!$J$13,IF($Q384&lt;=UTH!$M$14,UTH!$J$14,IF($Q384&lt;=UTH!$M$15,UTH!$J$15,IF($Q384&lt;=UTH!$M$16,UTH!$J$16,IF($Q384&lt;=UTH!$M$17,UTH!$J$17,IF($Q384&lt;=UTH!$M$18,UTH!$J$18,IF($Q384&lt;=UTH!$M$19,UTH!$J$19,IF($Q384&lt;=UTH!$M$20,UTH!$J$20))))))))))))))))),0)</f>
        <v>0</v>
      </c>
      <c r="S384" s="107">
        <f>IF(Inverts!$D384="YES",Inverts!$C384,Inverts!$E384)</f>
        <v>0</v>
      </c>
      <c r="T384" s="108">
        <f>IF($S384,($Q384/(KQ*($S384^(8/3))))^2,0)</f>
        <v>0</v>
      </c>
      <c r="U384" s="108">
        <f>IF($S384,(Vmin/(KV*($S384^(2/3))))^2,0)</f>
        <v>0</v>
      </c>
      <c r="V384" s="108">
        <f>IF($Z384,ROUND(MinDrop_2/$Z384,4),0)</f>
        <v>0</v>
      </c>
      <c r="W384" s="108">
        <f t="shared" ref="W384" si="978">IF($S384=0,0,MAX($T384:$V384))</f>
        <v>0</v>
      </c>
      <c r="X384" s="108">
        <f>IF(Inverts!$H384="yes",Inverts!$G384,Inverts!$I384)</f>
        <v>0</v>
      </c>
      <c r="Y384" s="105">
        <f>ROUND(KV*($S384^(2/3))*($X384^(0.5)),2)</f>
        <v>0</v>
      </c>
      <c r="Z384" s="106">
        <f>INDEX(Tribs!$H$3:$H$102,MATCH($A384,Tribs!$A$3:$A$102,0))</f>
        <v>0</v>
      </c>
      <c r="AA384" s="105">
        <f t="shared" ref="AA384" si="979">IF($Y384,($Z384/$Y384)*(1/60),0)</f>
        <v>0</v>
      </c>
      <c r="AB384" s="111">
        <f>ROUND(KQ*($S384^(8/3))*($X384^(0.5)),2)</f>
        <v>0</v>
      </c>
      <c r="AC384" s="138" t="str">
        <f>IF(AND($AB384&gt;=($Q384-0.0049),$Y384&gt;=(Vmin-0.0049)),"OK","NG")</f>
        <v>NG</v>
      </c>
    </row>
    <row r="385" spans="1:29" x14ac:dyDescent="0.3">
      <c r="A385" s="121"/>
      <c r="B385" s="184"/>
      <c r="C385" s="54"/>
      <c r="D385" s="52"/>
      <c r="E385" s="52"/>
      <c r="F385" s="117"/>
      <c r="G385" s="119">
        <f t="shared" ref="G385" si="980">IF($B385,INDEX($H$4:$H$499,(MATCH($B385,$A$4:$A$499))),0)</f>
        <v>0</v>
      </c>
      <c r="H385" s="113"/>
      <c r="I385" s="52"/>
      <c r="J385" s="52"/>
      <c r="K385" s="123"/>
      <c r="L385" s="53">
        <f t="shared" ref="L385" si="981">IF($B385,INDEX($O$4:$O$499,MATCH($B385,$A$4:$A$499)),0)</f>
        <v>0</v>
      </c>
      <c r="M385" s="126">
        <f t="shared" ref="M385" si="982">IF($B385,INDEX($AA$4:$AA$499,MATCH($B385,$A$4:$A$499)),0)</f>
        <v>0</v>
      </c>
      <c r="N385" s="119">
        <f t="shared" ref="N385" si="983">($L385+$M385)</f>
        <v>0</v>
      </c>
      <c r="O385" s="130"/>
      <c r="P385" s="134"/>
      <c r="Q385" s="130"/>
      <c r="R385" s="52"/>
      <c r="S385" s="224">
        <f t="shared" ref="S385:S388" si="984">S384</f>
        <v>0</v>
      </c>
      <c r="T385" s="237"/>
      <c r="U385" s="237"/>
      <c r="V385" s="237"/>
      <c r="W385" s="237"/>
      <c r="X385" s="52"/>
      <c r="Y385" s="52"/>
      <c r="Z385" s="52"/>
      <c r="AA385" s="54"/>
      <c r="AB385" s="130"/>
      <c r="AC385" s="139"/>
    </row>
    <row r="386" spans="1:29" x14ac:dyDescent="0.3">
      <c r="A386" s="121"/>
      <c r="B386" s="184"/>
      <c r="C386" s="54"/>
      <c r="D386" s="52"/>
      <c r="E386" s="52"/>
      <c r="F386" s="117"/>
      <c r="G386" s="119">
        <f t="shared" si="837"/>
        <v>0</v>
      </c>
      <c r="H386" s="113"/>
      <c r="I386" s="52"/>
      <c r="J386" s="52"/>
      <c r="K386" s="124"/>
      <c r="L386" s="53">
        <f t="shared" si="864"/>
        <v>0</v>
      </c>
      <c r="M386" s="127">
        <f t="shared" si="865"/>
        <v>0</v>
      </c>
      <c r="N386" s="119">
        <f t="shared" si="866"/>
        <v>0</v>
      </c>
      <c r="O386" s="130"/>
      <c r="P386" s="134"/>
      <c r="Q386" s="130"/>
      <c r="R386" s="52"/>
      <c r="S386" s="224">
        <f t="shared" si="984"/>
        <v>0</v>
      </c>
      <c r="T386" s="237"/>
      <c r="U386" s="237"/>
      <c r="V386" s="237"/>
      <c r="W386" s="237"/>
      <c r="X386" s="52"/>
      <c r="Y386" s="52"/>
      <c r="Z386" s="52"/>
      <c r="AA386" s="54"/>
      <c r="AB386" s="130"/>
      <c r="AC386" s="139"/>
    </row>
    <row r="387" spans="1:29" x14ac:dyDescent="0.3">
      <c r="A387" s="121"/>
      <c r="B387" s="184"/>
      <c r="C387" s="54"/>
      <c r="D387" s="52"/>
      <c r="E387" s="52"/>
      <c r="F387" s="117"/>
      <c r="G387" s="119">
        <f t="shared" si="837"/>
        <v>0</v>
      </c>
      <c r="H387" s="113"/>
      <c r="I387" s="52"/>
      <c r="J387" s="52"/>
      <c r="K387" s="124"/>
      <c r="L387" s="53">
        <f t="shared" si="864"/>
        <v>0</v>
      </c>
      <c r="M387" s="127">
        <f t="shared" si="865"/>
        <v>0</v>
      </c>
      <c r="N387" s="119">
        <f t="shared" si="866"/>
        <v>0</v>
      </c>
      <c r="O387" s="130"/>
      <c r="P387" s="134"/>
      <c r="Q387" s="130"/>
      <c r="R387" s="52"/>
      <c r="S387" s="224">
        <f t="shared" si="984"/>
        <v>0</v>
      </c>
      <c r="T387" s="237"/>
      <c r="U387" s="237"/>
      <c r="V387" s="237"/>
      <c r="W387" s="237"/>
      <c r="X387" s="52"/>
      <c r="Y387" s="52"/>
      <c r="Z387" s="52"/>
      <c r="AA387" s="54"/>
      <c r="AB387" s="130"/>
      <c r="AC387" s="139"/>
    </row>
    <row r="388" spans="1:29" ht="15" thickBot="1" x14ac:dyDescent="0.35">
      <c r="A388" s="122"/>
      <c r="B388" s="185"/>
      <c r="C388" s="102"/>
      <c r="D388" s="101"/>
      <c r="E388" s="101"/>
      <c r="F388" s="118"/>
      <c r="G388" s="120">
        <f t="shared" si="837"/>
        <v>0</v>
      </c>
      <c r="H388" s="114"/>
      <c r="I388" s="101"/>
      <c r="J388" s="101"/>
      <c r="K388" s="125"/>
      <c r="L388" s="103">
        <f t="shared" si="864"/>
        <v>0</v>
      </c>
      <c r="M388" s="128">
        <f t="shared" si="865"/>
        <v>0</v>
      </c>
      <c r="N388" s="120">
        <f t="shared" si="866"/>
        <v>0</v>
      </c>
      <c r="O388" s="131"/>
      <c r="P388" s="135"/>
      <c r="Q388" s="131"/>
      <c r="R388" s="101"/>
      <c r="S388" s="104">
        <f t="shared" si="984"/>
        <v>0</v>
      </c>
      <c r="T388" s="238"/>
      <c r="U388" s="238"/>
      <c r="V388" s="238"/>
      <c r="W388" s="238"/>
      <c r="X388" s="101"/>
      <c r="Y388" s="101"/>
      <c r="Z388" s="101"/>
      <c r="AA388" s="102"/>
      <c r="AB388" s="131"/>
      <c r="AC388" s="140"/>
    </row>
    <row r="389" spans="1:29" x14ac:dyDescent="0.3">
      <c r="A389" s="115">
        <f t="shared" ref="A389" si="985">$A384+1</f>
        <v>78</v>
      </c>
      <c r="B389" s="186"/>
      <c r="C389" s="105">
        <f>INDEX(Tribs!$C$3:$C$102,MATCH($A389,Tribs!$A$3:$A$102,0))</f>
        <v>0</v>
      </c>
      <c r="D389" s="106">
        <f>INDEX(Tribs!$E$3:$E$102,MATCH($A389,Tribs!$A$3:$A$102,0))</f>
        <v>0</v>
      </c>
      <c r="E389" s="105">
        <f>INDEX(Tribs!$F$3:$F$102,MATCH($A389,Tribs!$A$3:$A$102,0))</f>
        <v>0</v>
      </c>
      <c r="F389" s="116">
        <f t="shared" ref="F389" si="986">($C389*$E389)</f>
        <v>0</v>
      </c>
      <c r="G389" s="110"/>
      <c r="H389" s="111">
        <f t="shared" ref="H389" si="987">($F389)+(SUM($G390:$G393))</f>
        <v>0</v>
      </c>
      <c r="I389" s="106">
        <f>INDEX(Tribs!$D$3:$D$102,MATCH($A389,Tribs!$A$3:$A$102,0))</f>
        <v>0</v>
      </c>
      <c r="J389" s="106">
        <f>INDEX(Tribs!$G$3:$G$102,MATCH($A389,Tribs!$A$3:$A$102,0))</f>
        <v>0</v>
      </c>
      <c r="K389" s="105">
        <f>($J389)/V_gutter*(1/60)</f>
        <v>0</v>
      </c>
      <c r="L389" s="112"/>
      <c r="M389" s="109"/>
      <c r="N389" s="129">
        <f t="shared" ref="N389" si="988">($I389+$K389)</f>
        <v>0</v>
      </c>
      <c r="O389" s="111">
        <f t="shared" ref="O389" si="989">MAX($N389:$N393)</f>
        <v>0</v>
      </c>
      <c r="P389" s="133">
        <f>IF($H389&gt;0,IF($O389&lt;=T_1,I_1,IF($O389&lt;=T_2,(($O389*M_1)+B_1),IF($O389&lt;=T_3,(($O389*M_2)+B_2),IF($O389&lt;=T_4,(($O389*M_3)+B_3),IF($O389&lt;=T_5,(($O389*M_4)+B_4),IF($O389&lt;=T_6,(($O389*M_5)+B_5),IF($O389&lt;=T_7,(($O389*M_6)+B_6),IF($O389&lt;=T_8,(($O389*M_7)+B_7),IF($O389&lt;=T_9,(($O389*M_8)+B_8),IF($O389&lt;=T_10,(($O389*M_9)+B_9))))))))))),0)</f>
        <v>0</v>
      </c>
      <c r="Q389" s="111">
        <f t="shared" ref="Q389" si="990">ROUND(($H389*$P389),2)</f>
        <v>0</v>
      </c>
      <c r="R389" s="107">
        <f>IF($Q389&gt;0,IF($Q389&lt;=UTH!$M$4,UTH!$J$4,IF($Q389&lt;=UTH!$M$5,UTH!$J$5,IF($Q389&lt;=UTH!$M$6,UTH!$J$6,IF($Q389&lt;=UTH!$M$7,UTH!$J$7,IF($Q389&lt;=UTH!$M$8,UTH!$J$8,IF($Q389&lt;=UTH!$M$9,UTH!$J$9,IF($Q389&lt;=UTH!$M$10,UTH!$J$10,IF($Q389&lt;=UTH!$M$11,UTH!$J$11,IF($Q389&lt;=UTH!$M$12,UTH!$J$12,IF($Q389&lt;=UTH!$M$13,UTH!$J$13,IF($Q389&lt;=UTH!$M$14,UTH!$J$14,IF($Q389&lt;=UTH!$M$15,UTH!$J$15,IF($Q389&lt;=UTH!$M$16,UTH!$J$16,IF($Q389&lt;=UTH!$M$17,UTH!$J$17,IF($Q389&lt;=UTH!$M$18,UTH!$J$18,IF($Q389&lt;=UTH!$M$19,UTH!$J$19,IF($Q389&lt;=UTH!$M$20,UTH!$J$20))))))))))))))))),0)</f>
        <v>0</v>
      </c>
      <c r="S389" s="107">
        <f>IF(Inverts!$D389="YES",Inverts!$C389,Inverts!$E389)</f>
        <v>0</v>
      </c>
      <c r="T389" s="108">
        <f>IF($S389,($Q389/(KQ*($S389^(8/3))))^2,0)</f>
        <v>0</v>
      </c>
      <c r="U389" s="108">
        <f>IF($S389,(Vmin/(KV*($S389^(2/3))))^2,0)</f>
        <v>0</v>
      </c>
      <c r="V389" s="108">
        <f>IF($Z389,ROUND(MinDrop_2/$Z389,4),0)</f>
        <v>0</v>
      </c>
      <c r="W389" s="108">
        <f t="shared" ref="W389" si="991">IF($S389=0,0,MAX($T389:$V389))</f>
        <v>0</v>
      </c>
      <c r="X389" s="108">
        <f>IF(Inverts!$H389="yes",Inverts!$G389,Inverts!$I389)</f>
        <v>0</v>
      </c>
      <c r="Y389" s="105">
        <f>ROUND(KV*($S389^(2/3))*($X389^(0.5)),2)</f>
        <v>0</v>
      </c>
      <c r="Z389" s="106">
        <f>INDEX(Tribs!$H$3:$H$102,MATCH($A389,Tribs!$A$3:$A$102,0))</f>
        <v>0</v>
      </c>
      <c r="AA389" s="105">
        <f t="shared" ref="AA389" si="992">IF($Y389,($Z389/$Y389)*(1/60),0)</f>
        <v>0</v>
      </c>
      <c r="AB389" s="111">
        <f>ROUND(KQ*($S389^(8/3))*($X389^(0.5)),2)</f>
        <v>0</v>
      </c>
      <c r="AC389" s="138" t="str">
        <f>IF(AND($AB389&gt;=($Q389-0.0049),$Y389&gt;=(Vmin-0.0049)),"OK","NG")</f>
        <v>NG</v>
      </c>
    </row>
    <row r="390" spans="1:29" x14ac:dyDescent="0.3">
      <c r="A390" s="121"/>
      <c r="B390" s="184"/>
      <c r="C390" s="54"/>
      <c r="D390" s="52"/>
      <c r="E390" s="52"/>
      <c r="F390" s="117"/>
      <c r="G390" s="119">
        <f t="shared" ref="G390" si="993">IF($B390,INDEX($H$4:$H$499,(MATCH($B390,$A$4:$A$499))),0)</f>
        <v>0</v>
      </c>
      <c r="H390" s="113"/>
      <c r="I390" s="52"/>
      <c r="J390" s="52"/>
      <c r="K390" s="123"/>
      <c r="L390" s="53">
        <f t="shared" ref="L390" si="994">IF($B390,INDEX($O$4:$O$499,MATCH($B390,$A$4:$A$499)),0)</f>
        <v>0</v>
      </c>
      <c r="M390" s="126">
        <f t="shared" ref="M390" si="995">IF($B390,INDEX($AA$4:$AA$499,MATCH($B390,$A$4:$A$499)),0)</f>
        <v>0</v>
      </c>
      <c r="N390" s="119">
        <f t="shared" ref="N390" si="996">($L390+$M390)</f>
        <v>0</v>
      </c>
      <c r="O390" s="130"/>
      <c r="P390" s="134"/>
      <c r="Q390" s="130"/>
      <c r="R390" s="52"/>
      <c r="S390" s="224">
        <f t="shared" ref="S390:S393" si="997">S389</f>
        <v>0</v>
      </c>
      <c r="T390" s="237"/>
      <c r="U390" s="237"/>
      <c r="V390" s="237"/>
      <c r="W390" s="237"/>
      <c r="X390" s="52"/>
      <c r="Y390" s="52"/>
      <c r="Z390" s="52"/>
      <c r="AA390" s="54"/>
      <c r="AB390" s="130"/>
      <c r="AC390" s="139"/>
    </row>
    <row r="391" spans="1:29" x14ac:dyDescent="0.3">
      <c r="A391" s="121"/>
      <c r="B391" s="184"/>
      <c r="C391" s="54"/>
      <c r="D391" s="52"/>
      <c r="E391" s="52"/>
      <c r="F391" s="117"/>
      <c r="G391" s="119">
        <f t="shared" si="837"/>
        <v>0</v>
      </c>
      <c r="H391" s="113"/>
      <c r="I391" s="52"/>
      <c r="J391" s="52"/>
      <c r="K391" s="124"/>
      <c r="L391" s="53">
        <f t="shared" si="864"/>
        <v>0</v>
      </c>
      <c r="M391" s="127">
        <f t="shared" si="865"/>
        <v>0</v>
      </c>
      <c r="N391" s="119">
        <f t="shared" si="866"/>
        <v>0</v>
      </c>
      <c r="O391" s="130"/>
      <c r="P391" s="134"/>
      <c r="Q391" s="130"/>
      <c r="R391" s="52"/>
      <c r="S391" s="224">
        <f t="shared" si="997"/>
        <v>0</v>
      </c>
      <c r="T391" s="237"/>
      <c r="U391" s="237"/>
      <c r="V391" s="237"/>
      <c r="W391" s="237"/>
      <c r="X391" s="52"/>
      <c r="Y391" s="52"/>
      <c r="Z391" s="52"/>
      <c r="AA391" s="54"/>
      <c r="AB391" s="130"/>
      <c r="AC391" s="139"/>
    </row>
    <row r="392" spans="1:29" x14ac:dyDescent="0.3">
      <c r="A392" s="121"/>
      <c r="B392" s="184"/>
      <c r="C392" s="54"/>
      <c r="D392" s="52"/>
      <c r="E392" s="52"/>
      <c r="F392" s="117"/>
      <c r="G392" s="119">
        <f t="shared" si="837"/>
        <v>0</v>
      </c>
      <c r="H392" s="113"/>
      <c r="I392" s="52"/>
      <c r="J392" s="52"/>
      <c r="K392" s="124"/>
      <c r="L392" s="53">
        <f t="shared" si="864"/>
        <v>0</v>
      </c>
      <c r="M392" s="127">
        <f t="shared" si="865"/>
        <v>0</v>
      </c>
      <c r="N392" s="119">
        <f t="shared" si="866"/>
        <v>0</v>
      </c>
      <c r="O392" s="130"/>
      <c r="P392" s="134"/>
      <c r="Q392" s="130"/>
      <c r="R392" s="52"/>
      <c r="S392" s="224">
        <f t="shared" si="997"/>
        <v>0</v>
      </c>
      <c r="T392" s="237"/>
      <c r="U392" s="237"/>
      <c r="V392" s="237"/>
      <c r="W392" s="237"/>
      <c r="X392" s="52"/>
      <c r="Y392" s="52"/>
      <c r="Z392" s="52"/>
      <c r="AA392" s="54"/>
      <c r="AB392" s="130"/>
      <c r="AC392" s="139"/>
    </row>
    <row r="393" spans="1:29" ht="15" thickBot="1" x14ac:dyDescent="0.35">
      <c r="A393" s="122"/>
      <c r="B393" s="185"/>
      <c r="C393" s="102"/>
      <c r="D393" s="101"/>
      <c r="E393" s="101"/>
      <c r="F393" s="118"/>
      <c r="G393" s="120">
        <f t="shared" si="837"/>
        <v>0</v>
      </c>
      <c r="H393" s="114"/>
      <c r="I393" s="101"/>
      <c r="J393" s="101"/>
      <c r="K393" s="125"/>
      <c r="L393" s="103">
        <f t="shared" si="864"/>
        <v>0</v>
      </c>
      <c r="M393" s="128">
        <f t="shared" si="865"/>
        <v>0</v>
      </c>
      <c r="N393" s="120">
        <f t="shared" si="866"/>
        <v>0</v>
      </c>
      <c r="O393" s="131"/>
      <c r="P393" s="135"/>
      <c r="Q393" s="131"/>
      <c r="R393" s="101"/>
      <c r="S393" s="104">
        <f t="shared" si="997"/>
        <v>0</v>
      </c>
      <c r="T393" s="238"/>
      <c r="U393" s="238"/>
      <c r="V393" s="238"/>
      <c r="W393" s="238"/>
      <c r="X393" s="101"/>
      <c r="Y393" s="101"/>
      <c r="Z393" s="101"/>
      <c r="AA393" s="102"/>
      <c r="AB393" s="131"/>
      <c r="AC393" s="140"/>
    </row>
    <row r="394" spans="1:29" x14ac:dyDescent="0.3">
      <c r="A394" s="115">
        <f t="shared" ref="A394" si="998">$A389+1</f>
        <v>79</v>
      </c>
      <c r="B394" s="186"/>
      <c r="C394" s="105">
        <f>INDEX(Tribs!$C$3:$C$102,MATCH($A394,Tribs!$A$3:$A$102,0))</f>
        <v>0</v>
      </c>
      <c r="D394" s="106">
        <f>INDEX(Tribs!$E$3:$E$102,MATCH($A394,Tribs!$A$3:$A$102,0))</f>
        <v>0</v>
      </c>
      <c r="E394" s="105">
        <f>INDEX(Tribs!$F$3:$F$102,MATCH($A394,Tribs!$A$3:$A$102,0))</f>
        <v>0</v>
      </c>
      <c r="F394" s="116">
        <f t="shared" ref="F394" si="999">($C394*$E394)</f>
        <v>0</v>
      </c>
      <c r="G394" s="110"/>
      <c r="H394" s="111">
        <f t="shared" ref="H394" si="1000">($F394)+(SUM($G395:$G398))</f>
        <v>0</v>
      </c>
      <c r="I394" s="106">
        <f>INDEX(Tribs!$D$3:$D$102,MATCH($A394,Tribs!$A$3:$A$102,0))</f>
        <v>0</v>
      </c>
      <c r="J394" s="106">
        <f>INDEX(Tribs!$G$3:$G$102,MATCH($A394,Tribs!$A$3:$A$102,0))</f>
        <v>0</v>
      </c>
      <c r="K394" s="105">
        <f>($J394)/V_gutter*(1/60)</f>
        <v>0</v>
      </c>
      <c r="L394" s="112"/>
      <c r="M394" s="109"/>
      <c r="N394" s="129">
        <f t="shared" ref="N394" si="1001">($I394+$K394)</f>
        <v>0</v>
      </c>
      <c r="O394" s="111">
        <f t="shared" ref="O394" si="1002">MAX($N394:$N398)</f>
        <v>0</v>
      </c>
      <c r="P394" s="133">
        <f>IF($H394&gt;0,IF($O394&lt;=T_1,I_1,IF($O394&lt;=T_2,(($O394*M_1)+B_1),IF($O394&lt;=T_3,(($O394*M_2)+B_2),IF($O394&lt;=T_4,(($O394*M_3)+B_3),IF($O394&lt;=T_5,(($O394*M_4)+B_4),IF($O394&lt;=T_6,(($O394*M_5)+B_5),IF($O394&lt;=T_7,(($O394*M_6)+B_6),IF($O394&lt;=T_8,(($O394*M_7)+B_7),IF($O394&lt;=T_9,(($O394*M_8)+B_8),IF($O394&lt;=T_10,(($O394*M_9)+B_9))))))))))),0)</f>
        <v>0</v>
      </c>
      <c r="Q394" s="111">
        <f t="shared" ref="Q394" si="1003">ROUND(($H394*$P394),2)</f>
        <v>0</v>
      </c>
      <c r="R394" s="107">
        <f>IF($Q394&gt;0,IF($Q394&lt;=UTH!$M$4,UTH!$J$4,IF($Q394&lt;=UTH!$M$5,UTH!$J$5,IF($Q394&lt;=UTH!$M$6,UTH!$J$6,IF($Q394&lt;=UTH!$M$7,UTH!$J$7,IF($Q394&lt;=UTH!$M$8,UTH!$J$8,IF($Q394&lt;=UTH!$M$9,UTH!$J$9,IF($Q394&lt;=UTH!$M$10,UTH!$J$10,IF($Q394&lt;=UTH!$M$11,UTH!$J$11,IF($Q394&lt;=UTH!$M$12,UTH!$J$12,IF($Q394&lt;=UTH!$M$13,UTH!$J$13,IF($Q394&lt;=UTH!$M$14,UTH!$J$14,IF($Q394&lt;=UTH!$M$15,UTH!$J$15,IF($Q394&lt;=UTH!$M$16,UTH!$J$16,IF($Q394&lt;=UTH!$M$17,UTH!$J$17,IF($Q394&lt;=UTH!$M$18,UTH!$J$18,IF($Q394&lt;=UTH!$M$19,UTH!$J$19,IF($Q394&lt;=UTH!$M$20,UTH!$J$20))))))))))))))))),0)</f>
        <v>0</v>
      </c>
      <c r="S394" s="107">
        <f>IF(Inverts!$D394="YES",Inverts!$C394,Inverts!$E394)</f>
        <v>0</v>
      </c>
      <c r="T394" s="108">
        <f>IF($S394,($Q394/(KQ*($S394^(8/3))))^2,0)</f>
        <v>0</v>
      </c>
      <c r="U394" s="108">
        <f>IF($S394,(Vmin/(KV*($S394^(2/3))))^2,0)</f>
        <v>0</v>
      </c>
      <c r="V394" s="108">
        <f>IF($Z394,ROUND(MinDrop_2/$Z394,4),0)</f>
        <v>0</v>
      </c>
      <c r="W394" s="108">
        <f t="shared" ref="W394" si="1004">IF($S394=0,0,MAX($T394:$V394))</f>
        <v>0</v>
      </c>
      <c r="X394" s="108">
        <f>IF(Inverts!$H394="yes",Inverts!$G394,Inverts!$I394)</f>
        <v>0</v>
      </c>
      <c r="Y394" s="105">
        <f>ROUND(KV*($S394^(2/3))*($X394^(0.5)),2)</f>
        <v>0</v>
      </c>
      <c r="Z394" s="106">
        <f>INDEX(Tribs!$H$3:$H$102,MATCH($A394,Tribs!$A$3:$A$102,0))</f>
        <v>0</v>
      </c>
      <c r="AA394" s="105">
        <f t="shared" ref="AA394" si="1005">IF($Y394,($Z394/$Y394)*(1/60),0)</f>
        <v>0</v>
      </c>
      <c r="AB394" s="111">
        <f>ROUND(KQ*($S394^(8/3))*($X394^(0.5)),2)</f>
        <v>0</v>
      </c>
      <c r="AC394" s="138" t="str">
        <f>IF(AND($AB394&gt;=($Q394-0.0049),$Y394&gt;=(Vmin-0.0049)),"OK","NG")</f>
        <v>NG</v>
      </c>
    </row>
    <row r="395" spans="1:29" x14ac:dyDescent="0.3">
      <c r="A395" s="121"/>
      <c r="B395" s="184"/>
      <c r="C395" s="54"/>
      <c r="D395" s="52"/>
      <c r="E395" s="52"/>
      <c r="F395" s="117"/>
      <c r="G395" s="119">
        <f t="shared" ref="G395:G458" si="1006">IF($B395,INDEX($H$4:$H$499,(MATCH($B395,$A$4:$A$499))),0)</f>
        <v>0</v>
      </c>
      <c r="H395" s="113"/>
      <c r="I395" s="52"/>
      <c r="J395" s="52"/>
      <c r="K395" s="123"/>
      <c r="L395" s="53">
        <f t="shared" ref="L395" si="1007">IF($B395,INDEX($O$4:$O$499,MATCH($B395,$A$4:$A$499)),0)</f>
        <v>0</v>
      </c>
      <c r="M395" s="126">
        <f t="shared" ref="M395" si="1008">IF($B395,INDEX($AA$4:$AA$499,MATCH($B395,$A$4:$A$499)),0)</f>
        <v>0</v>
      </c>
      <c r="N395" s="119">
        <f t="shared" ref="N395" si="1009">($L395+$M395)</f>
        <v>0</v>
      </c>
      <c r="O395" s="130"/>
      <c r="P395" s="134"/>
      <c r="Q395" s="130"/>
      <c r="R395" s="52"/>
      <c r="S395" s="224">
        <f t="shared" ref="S395:S398" si="1010">S394</f>
        <v>0</v>
      </c>
      <c r="T395" s="237"/>
      <c r="U395" s="237"/>
      <c r="V395" s="237"/>
      <c r="W395" s="237"/>
      <c r="X395" s="52"/>
      <c r="Y395" s="52"/>
      <c r="Z395" s="52"/>
      <c r="AA395" s="54"/>
      <c r="AB395" s="130"/>
      <c r="AC395" s="139"/>
    </row>
    <row r="396" spans="1:29" x14ac:dyDescent="0.3">
      <c r="A396" s="121"/>
      <c r="B396" s="184"/>
      <c r="C396" s="54"/>
      <c r="D396" s="52"/>
      <c r="E396" s="52"/>
      <c r="F396" s="117"/>
      <c r="G396" s="119">
        <f t="shared" si="1006"/>
        <v>0</v>
      </c>
      <c r="H396" s="113"/>
      <c r="I396" s="52"/>
      <c r="J396" s="52"/>
      <c r="K396" s="124"/>
      <c r="L396" s="53">
        <f t="shared" si="864"/>
        <v>0</v>
      </c>
      <c r="M396" s="127">
        <f t="shared" si="865"/>
        <v>0</v>
      </c>
      <c r="N396" s="119">
        <f t="shared" si="866"/>
        <v>0</v>
      </c>
      <c r="O396" s="130"/>
      <c r="P396" s="134"/>
      <c r="Q396" s="130"/>
      <c r="R396" s="52"/>
      <c r="S396" s="224">
        <f t="shared" si="1010"/>
        <v>0</v>
      </c>
      <c r="T396" s="237"/>
      <c r="U396" s="237"/>
      <c r="V396" s="237"/>
      <c r="W396" s="237"/>
      <c r="X396" s="52"/>
      <c r="Y396" s="52"/>
      <c r="Z396" s="52"/>
      <c r="AA396" s="54"/>
      <c r="AB396" s="130"/>
      <c r="AC396" s="139"/>
    </row>
    <row r="397" spans="1:29" x14ac:dyDescent="0.3">
      <c r="A397" s="121"/>
      <c r="B397" s="184"/>
      <c r="C397" s="54"/>
      <c r="D397" s="52"/>
      <c r="E397" s="52"/>
      <c r="F397" s="117"/>
      <c r="G397" s="119">
        <f t="shared" si="1006"/>
        <v>0</v>
      </c>
      <c r="H397" s="113"/>
      <c r="I397" s="52"/>
      <c r="J397" s="52"/>
      <c r="K397" s="124"/>
      <c r="L397" s="53">
        <f t="shared" si="864"/>
        <v>0</v>
      </c>
      <c r="M397" s="127">
        <f t="shared" si="865"/>
        <v>0</v>
      </c>
      <c r="N397" s="119">
        <f t="shared" si="866"/>
        <v>0</v>
      </c>
      <c r="O397" s="130"/>
      <c r="P397" s="134"/>
      <c r="Q397" s="130"/>
      <c r="R397" s="52"/>
      <c r="S397" s="224">
        <f t="shared" si="1010"/>
        <v>0</v>
      </c>
      <c r="T397" s="237"/>
      <c r="U397" s="237"/>
      <c r="V397" s="237"/>
      <c r="W397" s="237"/>
      <c r="X397" s="52"/>
      <c r="Y397" s="52"/>
      <c r="Z397" s="52"/>
      <c r="AA397" s="54"/>
      <c r="AB397" s="130"/>
      <c r="AC397" s="139"/>
    </row>
    <row r="398" spans="1:29" ht="15" thickBot="1" x14ac:dyDescent="0.35">
      <c r="A398" s="122"/>
      <c r="B398" s="185"/>
      <c r="C398" s="102"/>
      <c r="D398" s="101"/>
      <c r="E398" s="101"/>
      <c r="F398" s="118"/>
      <c r="G398" s="120">
        <f t="shared" si="1006"/>
        <v>0</v>
      </c>
      <c r="H398" s="114"/>
      <c r="I398" s="101"/>
      <c r="J398" s="101"/>
      <c r="K398" s="125"/>
      <c r="L398" s="103">
        <f t="shared" si="864"/>
        <v>0</v>
      </c>
      <c r="M398" s="128">
        <f t="shared" si="865"/>
        <v>0</v>
      </c>
      <c r="N398" s="120">
        <f t="shared" si="866"/>
        <v>0</v>
      </c>
      <c r="O398" s="131"/>
      <c r="P398" s="135"/>
      <c r="Q398" s="131"/>
      <c r="R398" s="101"/>
      <c r="S398" s="104">
        <f t="shared" si="1010"/>
        <v>0</v>
      </c>
      <c r="T398" s="238"/>
      <c r="U398" s="238"/>
      <c r="V398" s="238"/>
      <c r="W398" s="238"/>
      <c r="X398" s="101"/>
      <c r="Y398" s="101"/>
      <c r="Z398" s="101"/>
      <c r="AA398" s="102"/>
      <c r="AB398" s="131"/>
      <c r="AC398" s="140"/>
    </row>
    <row r="399" spans="1:29" x14ac:dyDescent="0.3">
      <c r="A399" s="115">
        <f t="shared" ref="A399" si="1011">$A394+1</f>
        <v>80</v>
      </c>
      <c r="B399" s="186"/>
      <c r="C399" s="105">
        <f>INDEX(Tribs!$C$3:$C$102,MATCH($A399,Tribs!$A$3:$A$102,0))</f>
        <v>0</v>
      </c>
      <c r="D399" s="106">
        <f>INDEX(Tribs!$E$3:$E$102,MATCH($A399,Tribs!$A$3:$A$102,0))</f>
        <v>0</v>
      </c>
      <c r="E399" s="105">
        <f>INDEX(Tribs!$F$3:$F$102,MATCH($A399,Tribs!$A$3:$A$102,0))</f>
        <v>0</v>
      </c>
      <c r="F399" s="116">
        <f t="shared" ref="F399" si="1012">($C399*$E399)</f>
        <v>0</v>
      </c>
      <c r="G399" s="110"/>
      <c r="H399" s="111">
        <f t="shared" ref="H399" si="1013">($F399)+(SUM($G400:$G403))</f>
        <v>0</v>
      </c>
      <c r="I399" s="106">
        <f>INDEX(Tribs!$D$3:$D$102,MATCH($A399,Tribs!$A$3:$A$102,0))</f>
        <v>0</v>
      </c>
      <c r="J399" s="106">
        <f>INDEX(Tribs!$G$3:$G$102,MATCH($A399,Tribs!$A$3:$A$102,0))</f>
        <v>0</v>
      </c>
      <c r="K399" s="105">
        <f>($J399)/V_gutter*(1/60)</f>
        <v>0</v>
      </c>
      <c r="L399" s="112"/>
      <c r="M399" s="109"/>
      <c r="N399" s="129">
        <f t="shared" ref="N399" si="1014">($I399+$K399)</f>
        <v>0</v>
      </c>
      <c r="O399" s="111">
        <f t="shared" ref="O399" si="1015">MAX($N399:$N403)</f>
        <v>0</v>
      </c>
      <c r="P399" s="133">
        <f>IF($H399&gt;0,IF($O399&lt;=T_1,I_1,IF($O399&lt;=T_2,(($O399*M_1)+B_1),IF($O399&lt;=T_3,(($O399*M_2)+B_2),IF($O399&lt;=T_4,(($O399*M_3)+B_3),IF($O399&lt;=T_5,(($O399*M_4)+B_4),IF($O399&lt;=T_6,(($O399*M_5)+B_5),IF($O399&lt;=T_7,(($O399*M_6)+B_6),IF($O399&lt;=T_8,(($O399*M_7)+B_7),IF($O399&lt;=T_9,(($O399*M_8)+B_8),IF($O399&lt;=T_10,(($O399*M_9)+B_9))))))))))),0)</f>
        <v>0</v>
      </c>
      <c r="Q399" s="111">
        <f t="shared" ref="Q399" si="1016">ROUND(($H399*$P399),2)</f>
        <v>0</v>
      </c>
      <c r="R399" s="107">
        <f>IF($Q399&gt;0,IF($Q399&lt;=UTH!$M$4,UTH!$J$4,IF($Q399&lt;=UTH!$M$5,UTH!$J$5,IF($Q399&lt;=UTH!$M$6,UTH!$J$6,IF($Q399&lt;=UTH!$M$7,UTH!$J$7,IF($Q399&lt;=UTH!$M$8,UTH!$J$8,IF($Q399&lt;=UTH!$M$9,UTH!$J$9,IF($Q399&lt;=UTH!$M$10,UTH!$J$10,IF($Q399&lt;=UTH!$M$11,UTH!$J$11,IF($Q399&lt;=UTH!$M$12,UTH!$J$12,IF($Q399&lt;=UTH!$M$13,UTH!$J$13,IF($Q399&lt;=UTH!$M$14,UTH!$J$14,IF($Q399&lt;=UTH!$M$15,UTH!$J$15,IF($Q399&lt;=UTH!$M$16,UTH!$J$16,IF($Q399&lt;=UTH!$M$17,UTH!$J$17,IF($Q399&lt;=UTH!$M$18,UTH!$J$18,IF($Q399&lt;=UTH!$M$19,UTH!$J$19,IF($Q399&lt;=UTH!$M$20,UTH!$J$20))))))))))))))))),0)</f>
        <v>0</v>
      </c>
      <c r="S399" s="107">
        <f>IF(Inverts!$D399="YES",Inverts!$C399,Inverts!$E399)</f>
        <v>0</v>
      </c>
      <c r="T399" s="108">
        <f>IF($S399,($Q399/(KQ*($S399^(8/3))))^2,0)</f>
        <v>0</v>
      </c>
      <c r="U399" s="108">
        <f>IF($S399,(Vmin/(KV*($S399^(2/3))))^2,0)</f>
        <v>0</v>
      </c>
      <c r="V399" s="108">
        <f>IF($Z399,ROUND(MinDrop_2/$Z399,4),0)</f>
        <v>0</v>
      </c>
      <c r="W399" s="108">
        <f t="shared" ref="W399" si="1017">IF($S399=0,0,MAX($T399:$V399))</f>
        <v>0</v>
      </c>
      <c r="X399" s="108">
        <f>IF(Inverts!$H399="yes",Inverts!$G399,Inverts!$I399)</f>
        <v>0</v>
      </c>
      <c r="Y399" s="105">
        <f>ROUND(KV*($S399^(2/3))*($X399^(0.5)),2)</f>
        <v>0</v>
      </c>
      <c r="Z399" s="106">
        <f>INDEX(Tribs!$H$3:$H$102,MATCH($A399,Tribs!$A$3:$A$102,0))</f>
        <v>0</v>
      </c>
      <c r="AA399" s="105">
        <f t="shared" ref="AA399" si="1018">IF($Y399,($Z399/$Y399)*(1/60),0)</f>
        <v>0</v>
      </c>
      <c r="AB399" s="111">
        <f>ROUND(KQ*($S399^(8/3))*($X399^(0.5)),2)</f>
        <v>0</v>
      </c>
      <c r="AC399" s="138" t="str">
        <f>IF(AND($AB399&gt;=($Q399-0.0049),$Y399&gt;=(Vmin-0.0049)),"OK","NG")</f>
        <v>NG</v>
      </c>
    </row>
    <row r="400" spans="1:29" x14ac:dyDescent="0.3">
      <c r="A400" s="121"/>
      <c r="B400" s="184"/>
      <c r="C400" s="54"/>
      <c r="D400" s="52"/>
      <c r="E400" s="52"/>
      <c r="F400" s="117"/>
      <c r="G400" s="119">
        <f t="shared" ref="G400" si="1019">IF($B400,INDEX($H$4:$H$499,(MATCH($B400,$A$4:$A$499))),0)</f>
        <v>0</v>
      </c>
      <c r="H400" s="113"/>
      <c r="I400" s="52"/>
      <c r="J400" s="52"/>
      <c r="K400" s="123"/>
      <c r="L400" s="53">
        <f t="shared" ref="L400" si="1020">IF($B400,INDEX($O$4:$O$499,MATCH($B400,$A$4:$A$499)),0)</f>
        <v>0</v>
      </c>
      <c r="M400" s="126">
        <f t="shared" ref="M400" si="1021">IF($B400,INDEX($AA$4:$AA$499,MATCH($B400,$A$4:$A$499)),0)</f>
        <v>0</v>
      </c>
      <c r="N400" s="119">
        <f t="shared" ref="N400" si="1022">($L400+$M400)</f>
        <v>0</v>
      </c>
      <c r="O400" s="130"/>
      <c r="P400" s="134"/>
      <c r="Q400" s="130"/>
      <c r="R400" s="52"/>
      <c r="S400" s="224">
        <f t="shared" ref="S400:S403" si="1023">S399</f>
        <v>0</v>
      </c>
      <c r="T400" s="237"/>
      <c r="U400" s="237"/>
      <c r="V400" s="237"/>
      <c r="W400" s="237"/>
      <c r="X400" s="52"/>
      <c r="Y400" s="52"/>
      <c r="Z400" s="52"/>
      <c r="AA400" s="54"/>
      <c r="AB400" s="130"/>
      <c r="AC400" s="139"/>
    </row>
    <row r="401" spans="1:29" x14ac:dyDescent="0.3">
      <c r="A401" s="121"/>
      <c r="B401" s="184"/>
      <c r="C401" s="54"/>
      <c r="D401" s="52"/>
      <c r="E401" s="52"/>
      <c r="F401" s="117"/>
      <c r="G401" s="119">
        <f t="shared" si="1006"/>
        <v>0</v>
      </c>
      <c r="H401" s="113"/>
      <c r="I401" s="52"/>
      <c r="J401" s="52"/>
      <c r="K401" s="124"/>
      <c r="L401" s="53">
        <f t="shared" si="864"/>
        <v>0</v>
      </c>
      <c r="M401" s="127">
        <f t="shared" si="865"/>
        <v>0</v>
      </c>
      <c r="N401" s="119">
        <f t="shared" si="866"/>
        <v>0</v>
      </c>
      <c r="O401" s="130"/>
      <c r="P401" s="134"/>
      <c r="Q401" s="130"/>
      <c r="R401" s="52"/>
      <c r="S401" s="224">
        <f t="shared" si="1023"/>
        <v>0</v>
      </c>
      <c r="T401" s="237"/>
      <c r="U401" s="237"/>
      <c r="V401" s="237"/>
      <c r="W401" s="237"/>
      <c r="X401" s="52"/>
      <c r="Y401" s="52"/>
      <c r="Z401" s="52"/>
      <c r="AA401" s="54"/>
      <c r="AB401" s="130"/>
      <c r="AC401" s="139"/>
    </row>
    <row r="402" spans="1:29" x14ac:dyDescent="0.3">
      <c r="A402" s="121"/>
      <c r="B402" s="184"/>
      <c r="C402" s="54"/>
      <c r="D402" s="52"/>
      <c r="E402" s="52"/>
      <c r="F402" s="117"/>
      <c r="G402" s="119">
        <f t="shared" si="1006"/>
        <v>0</v>
      </c>
      <c r="H402" s="113"/>
      <c r="I402" s="52"/>
      <c r="J402" s="52"/>
      <c r="K402" s="124"/>
      <c r="L402" s="53">
        <f t="shared" si="864"/>
        <v>0</v>
      </c>
      <c r="M402" s="127">
        <f t="shared" si="865"/>
        <v>0</v>
      </c>
      <c r="N402" s="119">
        <f t="shared" si="866"/>
        <v>0</v>
      </c>
      <c r="O402" s="130"/>
      <c r="P402" s="134"/>
      <c r="Q402" s="130"/>
      <c r="R402" s="52"/>
      <c r="S402" s="224">
        <f t="shared" si="1023"/>
        <v>0</v>
      </c>
      <c r="T402" s="237"/>
      <c r="U402" s="237"/>
      <c r="V402" s="237"/>
      <c r="W402" s="237"/>
      <c r="X402" s="52"/>
      <c r="Y402" s="52"/>
      <c r="Z402" s="52"/>
      <c r="AA402" s="54"/>
      <c r="AB402" s="130"/>
      <c r="AC402" s="139"/>
    </row>
    <row r="403" spans="1:29" ht="15" thickBot="1" x14ac:dyDescent="0.35">
      <c r="A403" s="122"/>
      <c r="B403" s="185"/>
      <c r="C403" s="102"/>
      <c r="D403" s="101"/>
      <c r="E403" s="101"/>
      <c r="F403" s="118"/>
      <c r="G403" s="120">
        <f t="shared" si="1006"/>
        <v>0</v>
      </c>
      <c r="H403" s="114"/>
      <c r="I403" s="101"/>
      <c r="J403" s="101"/>
      <c r="K403" s="125"/>
      <c r="L403" s="103">
        <f t="shared" si="864"/>
        <v>0</v>
      </c>
      <c r="M403" s="128">
        <f t="shared" si="865"/>
        <v>0</v>
      </c>
      <c r="N403" s="120">
        <f t="shared" si="866"/>
        <v>0</v>
      </c>
      <c r="O403" s="131"/>
      <c r="P403" s="135"/>
      <c r="Q403" s="131"/>
      <c r="R403" s="101"/>
      <c r="S403" s="104">
        <f t="shared" si="1023"/>
        <v>0</v>
      </c>
      <c r="T403" s="238"/>
      <c r="U403" s="238"/>
      <c r="V403" s="238"/>
      <c r="W403" s="238"/>
      <c r="X403" s="101"/>
      <c r="Y403" s="101"/>
      <c r="Z403" s="101"/>
      <c r="AA403" s="102"/>
      <c r="AB403" s="131"/>
      <c r="AC403" s="140"/>
    </row>
    <row r="404" spans="1:29" x14ac:dyDescent="0.3">
      <c r="A404" s="115">
        <f t="shared" ref="A404" si="1024">$A399+1</f>
        <v>81</v>
      </c>
      <c r="B404" s="186"/>
      <c r="C404" s="105">
        <f>INDEX(Tribs!$C$3:$C$102,MATCH($A404,Tribs!$A$3:$A$102,0))</f>
        <v>0</v>
      </c>
      <c r="D404" s="106">
        <f>INDEX(Tribs!$E$3:$E$102,MATCH($A404,Tribs!$A$3:$A$102,0))</f>
        <v>0</v>
      </c>
      <c r="E404" s="105">
        <f>INDEX(Tribs!$F$3:$F$102,MATCH($A404,Tribs!$A$3:$A$102,0))</f>
        <v>0</v>
      </c>
      <c r="F404" s="116">
        <f t="shared" ref="F404" si="1025">($C404*$E404)</f>
        <v>0</v>
      </c>
      <c r="G404" s="110"/>
      <c r="H404" s="111">
        <f t="shared" ref="H404" si="1026">($F404)+(SUM($G405:$G408))</f>
        <v>0</v>
      </c>
      <c r="I404" s="106">
        <f>INDEX(Tribs!$D$3:$D$102,MATCH($A404,Tribs!$A$3:$A$102,0))</f>
        <v>0</v>
      </c>
      <c r="J404" s="106">
        <f>INDEX(Tribs!$G$3:$G$102,MATCH($A404,Tribs!$A$3:$A$102,0))</f>
        <v>0</v>
      </c>
      <c r="K404" s="105">
        <f>($J404)/V_gutter*(1/60)</f>
        <v>0</v>
      </c>
      <c r="L404" s="112"/>
      <c r="M404" s="109"/>
      <c r="N404" s="129">
        <f t="shared" ref="N404" si="1027">($I404+$K404)</f>
        <v>0</v>
      </c>
      <c r="O404" s="111">
        <f t="shared" ref="O404" si="1028">MAX($N404:$N408)</f>
        <v>0</v>
      </c>
      <c r="P404" s="133">
        <f>IF($H404&gt;0,IF($O404&lt;=T_1,I_1,IF($O404&lt;=T_2,(($O404*M_1)+B_1),IF($O404&lt;=T_3,(($O404*M_2)+B_2),IF($O404&lt;=T_4,(($O404*M_3)+B_3),IF($O404&lt;=T_5,(($O404*M_4)+B_4),IF($O404&lt;=T_6,(($O404*M_5)+B_5),IF($O404&lt;=T_7,(($O404*M_6)+B_6),IF($O404&lt;=T_8,(($O404*M_7)+B_7),IF($O404&lt;=T_9,(($O404*M_8)+B_8),IF($O404&lt;=T_10,(($O404*M_9)+B_9))))))))))),0)</f>
        <v>0</v>
      </c>
      <c r="Q404" s="111">
        <f t="shared" ref="Q404" si="1029">ROUND(($H404*$P404),2)</f>
        <v>0</v>
      </c>
      <c r="R404" s="107">
        <f>IF($Q404&gt;0,IF($Q404&lt;=UTH!$M$4,UTH!$J$4,IF($Q404&lt;=UTH!$M$5,UTH!$J$5,IF($Q404&lt;=UTH!$M$6,UTH!$J$6,IF($Q404&lt;=UTH!$M$7,UTH!$J$7,IF($Q404&lt;=UTH!$M$8,UTH!$J$8,IF($Q404&lt;=UTH!$M$9,UTH!$J$9,IF($Q404&lt;=UTH!$M$10,UTH!$J$10,IF($Q404&lt;=UTH!$M$11,UTH!$J$11,IF($Q404&lt;=UTH!$M$12,UTH!$J$12,IF($Q404&lt;=UTH!$M$13,UTH!$J$13,IF($Q404&lt;=UTH!$M$14,UTH!$J$14,IF($Q404&lt;=UTH!$M$15,UTH!$J$15,IF($Q404&lt;=UTH!$M$16,UTH!$J$16,IF($Q404&lt;=UTH!$M$17,UTH!$J$17,IF($Q404&lt;=UTH!$M$18,UTH!$J$18,IF($Q404&lt;=UTH!$M$19,UTH!$J$19,IF($Q404&lt;=UTH!$M$20,UTH!$J$20))))))))))))))))),0)</f>
        <v>0</v>
      </c>
      <c r="S404" s="107">
        <f>IF(Inverts!$D404="YES",Inverts!$C404,Inverts!$E404)</f>
        <v>0</v>
      </c>
      <c r="T404" s="108">
        <f>IF($S404,($Q404/(KQ*($S404^(8/3))))^2,0)</f>
        <v>0</v>
      </c>
      <c r="U404" s="108">
        <f>IF($S404,(Vmin/(KV*($S404^(2/3))))^2,0)</f>
        <v>0</v>
      </c>
      <c r="V404" s="108">
        <f>IF($Z404,ROUND(MinDrop_2/$Z404,4),0)</f>
        <v>0</v>
      </c>
      <c r="W404" s="108">
        <f t="shared" ref="W404" si="1030">IF($S404=0,0,MAX($T404:$V404))</f>
        <v>0</v>
      </c>
      <c r="X404" s="108">
        <f>IF(Inverts!$H404="yes",Inverts!$G404,Inverts!$I404)</f>
        <v>0</v>
      </c>
      <c r="Y404" s="105">
        <f>ROUND(KV*($S404^(2/3))*($X404^(0.5)),2)</f>
        <v>0</v>
      </c>
      <c r="Z404" s="106">
        <f>INDEX(Tribs!$H$3:$H$102,MATCH($A404,Tribs!$A$3:$A$102,0))</f>
        <v>0</v>
      </c>
      <c r="AA404" s="105">
        <f t="shared" ref="AA404" si="1031">IF($Y404,($Z404/$Y404)*(1/60),0)</f>
        <v>0</v>
      </c>
      <c r="AB404" s="111">
        <f>ROUND(KQ*($S404^(8/3))*($X404^(0.5)),2)</f>
        <v>0</v>
      </c>
      <c r="AC404" s="138" t="str">
        <f>IF(AND($AB404&gt;=($Q404-0.0049),$Y404&gt;=(Vmin-0.0049)),"OK","NG")</f>
        <v>NG</v>
      </c>
    </row>
    <row r="405" spans="1:29" x14ac:dyDescent="0.3">
      <c r="A405" s="121"/>
      <c r="B405" s="184"/>
      <c r="C405" s="54"/>
      <c r="D405" s="52"/>
      <c r="E405" s="52"/>
      <c r="F405" s="117"/>
      <c r="G405" s="119">
        <f t="shared" ref="G405" si="1032">IF($B405,INDEX($H$4:$H$499,(MATCH($B405,$A$4:$A$499))),0)</f>
        <v>0</v>
      </c>
      <c r="H405" s="113"/>
      <c r="I405" s="52"/>
      <c r="J405" s="52"/>
      <c r="K405" s="123"/>
      <c r="L405" s="53">
        <f t="shared" ref="L405:L468" si="1033">IF($B405,INDEX($O$4:$O$499,MATCH($B405,$A$4:$A$499)),0)</f>
        <v>0</v>
      </c>
      <c r="M405" s="126">
        <f t="shared" ref="M405:M468" si="1034">IF($B405,INDEX($AA$4:$AA$499,MATCH($B405,$A$4:$A$499)),0)</f>
        <v>0</v>
      </c>
      <c r="N405" s="119">
        <f t="shared" ref="N405:N468" si="1035">($L405+$M405)</f>
        <v>0</v>
      </c>
      <c r="O405" s="130"/>
      <c r="P405" s="134"/>
      <c r="Q405" s="130"/>
      <c r="R405" s="52"/>
      <c r="S405" s="224">
        <f t="shared" ref="S405:S408" si="1036">S404</f>
        <v>0</v>
      </c>
      <c r="T405" s="237"/>
      <c r="U405" s="237"/>
      <c r="V405" s="237"/>
      <c r="W405" s="237"/>
      <c r="X405" s="52"/>
      <c r="Y405" s="52"/>
      <c r="Z405" s="52"/>
      <c r="AA405" s="54"/>
      <c r="AB405" s="130"/>
      <c r="AC405" s="139"/>
    </row>
    <row r="406" spans="1:29" x14ac:dyDescent="0.3">
      <c r="A406" s="121"/>
      <c r="B406" s="184"/>
      <c r="C406" s="54"/>
      <c r="D406" s="52"/>
      <c r="E406" s="52"/>
      <c r="F406" s="117"/>
      <c r="G406" s="119">
        <f t="shared" si="1006"/>
        <v>0</v>
      </c>
      <c r="H406" s="113"/>
      <c r="I406" s="52"/>
      <c r="J406" s="52"/>
      <c r="K406" s="124"/>
      <c r="L406" s="53">
        <f t="shared" si="1033"/>
        <v>0</v>
      </c>
      <c r="M406" s="127">
        <f t="shared" si="1034"/>
        <v>0</v>
      </c>
      <c r="N406" s="119">
        <f t="shared" si="1035"/>
        <v>0</v>
      </c>
      <c r="O406" s="130"/>
      <c r="P406" s="134"/>
      <c r="Q406" s="130"/>
      <c r="R406" s="52"/>
      <c r="S406" s="224">
        <f t="shared" si="1036"/>
        <v>0</v>
      </c>
      <c r="T406" s="237"/>
      <c r="U406" s="237"/>
      <c r="V406" s="237"/>
      <c r="W406" s="237"/>
      <c r="X406" s="52"/>
      <c r="Y406" s="52"/>
      <c r="Z406" s="52"/>
      <c r="AA406" s="54"/>
      <c r="AB406" s="130"/>
      <c r="AC406" s="139"/>
    </row>
    <row r="407" spans="1:29" x14ac:dyDescent="0.3">
      <c r="A407" s="121"/>
      <c r="B407" s="184"/>
      <c r="C407" s="54"/>
      <c r="D407" s="52"/>
      <c r="E407" s="52"/>
      <c r="F407" s="117"/>
      <c r="G407" s="119">
        <f t="shared" si="1006"/>
        <v>0</v>
      </c>
      <c r="H407" s="113"/>
      <c r="I407" s="52"/>
      <c r="J407" s="52"/>
      <c r="K407" s="124"/>
      <c r="L407" s="53">
        <f t="shared" si="1033"/>
        <v>0</v>
      </c>
      <c r="M407" s="127">
        <f t="shared" si="1034"/>
        <v>0</v>
      </c>
      <c r="N407" s="119">
        <f t="shared" si="1035"/>
        <v>0</v>
      </c>
      <c r="O407" s="130"/>
      <c r="P407" s="134"/>
      <c r="Q407" s="130"/>
      <c r="R407" s="52"/>
      <c r="S407" s="224">
        <f t="shared" si="1036"/>
        <v>0</v>
      </c>
      <c r="T407" s="237"/>
      <c r="U407" s="237"/>
      <c r="V407" s="237"/>
      <c r="W407" s="237"/>
      <c r="X407" s="52"/>
      <c r="Y407" s="52"/>
      <c r="Z407" s="52"/>
      <c r="AA407" s="54"/>
      <c r="AB407" s="130"/>
      <c r="AC407" s="139"/>
    </row>
    <row r="408" spans="1:29" ht="15" thickBot="1" x14ac:dyDescent="0.35">
      <c r="A408" s="122"/>
      <c r="B408" s="185"/>
      <c r="C408" s="102"/>
      <c r="D408" s="101"/>
      <c r="E408" s="101"/>
      <c r="F408" s="118"/>
      <c r="G408" s="120">
        <f t="shared" si="1006"/>
        <v>0</v>
      </c>
      <c r="H408" s="114"/>
      <c r="I408" s="101"/>
      <c r="J408" s="101"/>
      <c r="K408" s="125"/>
      <c r="L408" s="103">
        <f t="shared" si="1033"/>
        <v>0</v>
      </c>
      <c r="M408" s="128">
        <f t="shared" si="1034"/>
        <v>0</v>
      </c>
      <c r="N408" s="120">
        <f t="shared" si="1035"/>
        <v>0</v>
      </c>
      <c r="O408" s="131"/>
      <c r="P408" s="135"/>
      <c r="Q408" s="131"/>
      <c r="R408" s="101"/>
      <c r="S408" s="104">
        <f t="shared" si="1036"/>
        <v>0</v>
      </c>
      <c r="T408" s="238"/>
      <c r="U408" s="238"/>
      <c r="V408" s="238"/>
      <c r="W408" s="238"/>
      <c r="X408" s="101"/>
      <c r="Y408" s="101"/>
      <c r="Z408" s="101"/>
      <c r="AA408" s="102"/>
      <c r="AB408" s="131"/>
      <c r="AC408" s="140"/>
    </row>
    <row r="409" spans="1:29" x14ac:dyDescent="0.3">
      <c r="A409" s="115">
        <f t="shared" ref="A409" si="1037">$A404+1</f>
        <v>82</v>
      </c>
      <c r="B409" s="186"/>
      <c r="C409" s="105">
        <f>INDEX(Tribs!$C$3:$C$102,MATCH($A409,Tribs!$A$3:$A$102,0))</f>
        <v>0</v>
      </c>
      <c r="D409" s="106">
        <f>INDEX(Tribs!$E$3:$E$102,MATCH($A409,Tribs!$A$3:$A$102,0))</f>
        <v>0</v>
      </c>
      <c r="E409" s="105">
        <f>INDEX(Tribs!$F$3:$F$102,MATCH($A409,Tribs!$A$3:$A$102,0))</f>
        <v>0</v>
      </c>
      <c r="F409" s="116">
        <f t="shared" ref="F409" si="1038">($C409*$E409)</f>
        <v>0</v>
      </c>
      <c r="G409" s="110"/>
      <c r="H409" s="111">
        <f t="shared" ref="H409" si="1039">($F409)+(SUM($G410:$G413))</f>
        <v>0</v>
      </c>
      <c r="I409" s="106">
        <f>INDEX(Tribs!$D$3:$D$102,MATCH($A409,Tribs!$A$3:$A$102,0))</f>
        <v>0</v>
      </c>
      <c r="J409" s="106">
        <f>INDEX(Tribs!$G$3:$G$102,MATCH($A409,Tribs!$A$3:$A$102,0))</f>
        <v>0</v>
      </c>
      <c r="K409" s="105">
        <f>($J409)/V_gutter*(1/60)</f>
        <v>0</v>
      </c>
      <c r="L409" s="112"/>
      <c r="M409" s="109"/>
      <c r="N409" s="129">
        <f t="shared" ref="N409" si="1040">($I409+$K409)</f>
        <v>0</v>
      </c>
      <c r="O409" s="111">
        <f t="shared" ref="O409" si="1041">MAX($N409:$N413)</f>
        <v>0</v>
      </c>
      <c r="P409" s="133">
        <f>IF($H409&gt;0,IF($O409&lt;=T_1,I_1,IF($O409&lt;=T_2,(($O409*M_1)+B_1),IF($O409&lt;=T_3,(($O409*M_2)+B_2),IF($O409&lt;=T_4,(($O409*M_3)+B_3),IF($O409&lt;=T_5,(($O409*M_4)+B_4),IF($O409&lt;=T_6,(($O409*M_5)+B_5),IF($O409&lt;=T_7,(($O409*M_6)+B_6),IF($O409&lt;=T_8,(($O409*M_7)+B_7),IF($O409&lt;=T_9,(($O409*M_8)+B_8),IF($O409&lt;=T_10,(($O409*M_9)+B_9))))))))))),0)</f>
        <v>0</v>
      </c>
      <c r="Q409" s="111">
        <f t="shared" ref="Q409" si="1042">ROUND(($H409*$P409),2)</f>
        <v>0</v>
      </c>
      <c r="R409" s="107">
        <f>IF($Q409&gt;0,IF($Q409&lt;=UTH!$M$4,UTH!$J$4,IF($Q409&lt;=UTH!$M$5,UTH!$J$5,IF($Q409&lt;=UTH!$M$6,UTH!$J$6,IF($Q409&lt;=UTH!$M$7,UTH!$J$7,IF($Q409&lt;=UTH!$M$8,UTH!$J$8,IF($Q409&lt;=UTH!$M$9,UTH!$J$9,IF($Q409&lt;=UTH!$M$10,UTH!$J$10,IF($Q409&lt;=UTH!$M$11,UTH!$J$11,IF($Q409&lt;=UTH!$M$12,UTH!$J$12,IF($Q409&lt;=UTH!$M$13,UTH!$J$13,IF($Q409&lt;=UTH!$M$14,UTH!$J$14,IF($Q409&lt;=UTH!$M$15,UTH!$J$15,IF($Q409&lt;=UTH!$M$16,UTH!$J$16,IF($Q409&lt;=UTH!$M$17,UTH!$J$17,IF($Q409&lt;=UTH!$M$18,UTH!$J$18,IF($Q409&lt;=UTH!$M$19,UTH!$J$19,IF($Q409&lt;=UTH!$M$20,UTH!$J$20))))))))))))))))),0)</f>
        <v>0</v>
      </c>
      <c r="S409" s="107">
        <f>IF(Inverts!$D409="YES",Inverts!$C409,Inverts!$E409)</f>
        <v>0</v>
      </c>
      <c r="T409" s="108">
        <f>IF($S409,($Q409/(KQ*($S409^(8/3))))^2,0)</f>
        <v>0</v>
      </c>
      <c r="U409" s="108">
        <f>IF($S409,(Vmin/(KV*($S409^(2/3))))^2,0)</f>
        <v>0</v>
      </c>
      <c r="V409" s="108">
        <f>IF($Z409,ROUND(MinDrop_2/$Z409,4),0)</f>
        <v>0</v>
      </c>
      <c r="W409" s="108">
        <f t="shared" ref="W409" si="1043">IF($S409=0,0,MAX($T409:$V409))</f>
        <v>0</v>
      </c>
      <c r="X409" s="108">
        <f>IF(Inverts!$H409="yes",Inverts!$G409,Inverts!$I409)</f>
        <v>0</v>
      </c>
      <c r="Y409" s="105">
        <f>ROUND(KV*($S409^(2/3))*($X409^(0.5)),2)</f>
        <v>0</v>
      </c>
      <c r="Z409" s="106">
        <f>INDEX(Tribs!$H$3:$H$102,MATCH($A409,Tribs!$A$3:$A$102,0))</f>
        <v>0</v>
      </c>
      <c r="AA409" s="105">
        <f t="shared" ref="AA409" si="1044">IF($Y409,($Z409/$Y409)*(1/60),0)</f>
        <v>0</v>
      </c>
      <c r="AB409" s="111">
        <f>ROUND(KQ*($S409^(8/3))*($X409^(0.5)),2)</f>
        <v>0</v>
      </c>
      <c r="AC409" s="138" t="str">
        <f>IF(AND($AB409&gt;=($Q409-0.0049),$Y409&gt;=(Vmin-0.0049)),"OK","NG")</f>
        <v>NG</v>
      </c>
    </row>
    <row r="410" spans="1:29" x14ac:dyDescent="0.3">
      <c r="A410" s="121"/>
      <c r="B410" s="184"/>
      <c r="C410" s="54"/>
      <c r="D410" s="52"/>
      <c r="E410" s="52"/>
      <c r="F410" s="117"/>
      <c r="G410" s="119">
        <f t="shared" ref="G410" si="1045">IF($B410,INDEX($H$4:$H$499,(MATCH($B410,$A$4:$A$499))),0)</f>
        <v>0</v>
      </c>
      <c r="H410" s="113"/>
      <c r="I410" s="52"/>
      <c r="J410" s="52"/>
      <c r="K410" s="123"/>
      <c r="L410" s="53">
        <f t="shared" ref="L410" si="1046">IF($B410,INDEX($O$4:$O$499,MATCH($B410,$A$4:$A$499)),0)</f>
        <v>0</v>
      </c>
      <c r="M410" s="126">
        <f t="shared" ref="M410" si="1047">IF($B410,INDEX($AA$4:$AA$499,MATCH($B410,$A$4:$A$499)),0)</f>
        <v>0</v>
      </c>
      <c r="N410" s="119">
        <f t="shared" ref="N410" si="1048">($L410+$M410)</f>
        <v>0</v>
      </c>
      <c r="O410" s="130"/>
      <c r="P410" s="134"/>
      <c r="Q410" s="130"/>
      <c r="R410" s="52"/>
      <c r="S410" s="224">
        <f t="shared" ref="S410:S413" si="1049">S409</f>
        <v>0</v>
      </c>
      <c r="T410" s="237"/>
      <c r="U410" s="237"/>
      <c r="V410" s="237"/>
      <c r="W410" s="237"/>
      <c r="X410" s="52"/>
      <c r="Y410" s="52"/>
      <c r="Z410" s="52"/>
      <c r="AA410" s="54"/>
      <c r="AB410" s="130"/>
      <c r="AC410" s="139"/>
    </row>
    <row r="411" spans="1:29" x14ac:dyDescent="0.3">
      <c r="A411" s="121"/>
      <c r="B411" s="184"/>
      <c r="C411" s="54"/>
      <c r="D411" s="52"/>
      <c r="E411" s="52"/>
      <c r="F411" s="117"/>
      <c r="G411" s="119">
        <f t="shared" si="1006"/>
        <v>0</v>
      </c>
      <c r="H411" s="113"/>
      <c r="I411" s="52"/>
      <c r="J411" s="52"/>
      <c r="K411" s="124"/>
      <c r="L411" s="53">
        <f t="shared" si="1033"/>
        <v>0</v>
      </c>
      <c r="M411" s="127">
        <f t="shared" si="1034"/>
        <v>0</v>
      </c>
      <c r="N411" s="119">
        <f t="shared" si="1035"/>
        <v>0</v>
      </c>
      <c r="O411" s="130"/>
      <c r="P411" s="134"/>
      <c r="Q411" s="130"/>
      <c r="R411" s="52"/>
      <c r="S411" s="224">
        <f t="shared" si="1049"/>
        <v>0</v>
      </c>
      <c r="T411" s="237"/>
      <c r="U411" s="237"/>
      <c r="V411" s="237"/>
      <c r="W411" s="237"/>
      <c r="X411" s="52"/>
      <c r="Y411" s="52"/>
      <c r="Z411" s="52"/>
      <c r="AA411" s="54"/>
      <c r="AB411" s="130"/>
      <c r="AC411" s="139"/>
    </row>
    <row r="412" spans="1:29" x14ac:dyDescent="0.3">
      <c r="A412" s="121"/>
      <c r="B412" s="184"/>
      <c r="C412" s="54"/>
      <c r="D412" s="52"/>
      <c r="E412" s="52"/>
      <c r="F412" s="117"/>
      <c r="G412" s="119">
        <f t="shared" si="1006"/>
        <v>0</v>
      </c>
      <c r="H412" s="113"/>
      <c r="I412" s="52"/>
      <c r="J412" s="52"/>
      <c r="K412" s="124"/>
      <c r="L412" s="53">
        <f t="shared" si="1033"/>
        <v>0</v>
      </c>
      <c r="M412" s="127">
        <f t="shared" si="1034"/>
        <v>0</v>
      </c>
      <c r="N412" s="119">
        <f t="shared" si="1035"/>
        <v>0</v>
      </c>
      <c r="O412" s="130"/>
      <c r="P412" s="134"/>
      <c r="Q412" s="130"/>
      <c r="R412" s="52"/>
      <c r="S412" s="224">
        <f t="shared" si="1049"/>
        <v>0</v>
      </c>
      <c r="T412" s="237"/>
      <c r="U412" s="237"/>
      <c r="V412" s="237"/>
      <c r="W412" s="237"/>
      <c r="X412" s="52"/>
      <c r="Y412" s="52"/>
      <c r="Z412" s="52"/>
      <c r="AA412" s="54"/>
      <c r="AB412" s="130"/>
      <c r="AC412" s="139"/>
    </row>
    <row r="413" spans="1:29" ht="15" thickBot="1" x14ac:dyDescent="0.35">
      <c r="A413" s="122"/>
      <c r="B413" s="185"/>
      <c r="C413" s="102"/>
      <c r="D413" s="101"/>
      <c r="E413" s="101"/>
      <c r="F413" s="118"/>
      <c r="G413" s="120">
        <f t="shared" si="1006"/>
        <v>0</v>
      </c>
      <c r="H413" s="114"/>
      <c r="I413" s="101"/>
      <c r="J413" s="101"/>
      <c r="K413" s="125"/>
      <c r="L413" s="103">
        <f t="shared" si="1033"/>
        <v>0</v>
      </c>
      <c r="M413" s="128">
        <f t="shared" si="1034"/>
        <v>0</v>
      </c>
      <c r="N413" s="120">
        <f t="shared" si="1035"/>
        <v>0</v>
      </c>
      <c r="O413" s="131"/>
      <c r="P413" s="135"/>
      <c r="Q413" s="131"/>
      <c r="R413" s="101"/>
      <c r="S413" s="104">
        <f t="shared" si="1049"/>
        <v>0</v>
      </c>
      <c r="T413" s="238"/>
      <c r="U413" s="238"/>
      <c r="V413" s="238"/>
      <c r="W413" s="238"/>
      <c r="X413" s="101"/>
      <c r="Y413" s="101"/>
      <c r="Z413" s="101"/>
      <c r="AA413" s="102"/>
      <c r="AB413" s="131"/>
      <c r="AC413" s="140"/>
    </row>
    <row r="414" spans="1:29" x14ac:dyDescent="0.3">
      <c r="A414" s="115">
        <f t="shared" ref="A414" si="1050">$A409+1</f>
        <v>83</v>
      </c>
      <c r="B414" s="186"/>
      <c r="C414" s="105">
        <f>INDEX(Tribs!$C$3:$C$102,MATCH($A414,Tribs!$A$3:$A$102,0))</f>
        <v>0</v>
      </c>
      <c r="D414" s="106">
        <f>INDEX(Tribs!$E$3:$E$102,MATCH($A414,Tribs!$A$3:$A$102,0))</f>
        <v>0</v>
      </c>
      <c r="E414" s="105">
        <f>INDEX(Tribs!$F$3:$F$102,MATCH($A414,Tribs!$A$3:$A$102,0))</f>
        <v>0</v>
      </c>
      <c r="F414" s="116">
        <f t="shared" ref="F414" si="1051">($C414*$E414)</f>
        <v>0</v>
      </c>
      <c r="G414" s="110"/>
      <c r="H414" s="111">
        <f t="shared" ref="H414" si="1052">($F414)+(SUM($G415:$G418))</f>
        <v>0</v>
      </c>
      <c r="I414" s="106">
        <f>INDEX(Tribs!$D$3:$D$102,MATCH($A414,Tribs!$A$3:$A$102,0))</f>
        <v>0</v>
      </c>
      <c r="J414" s="106">
        <f>INDEX(Tribs!$G$3:$G$102,MATCH($A414,Tribs!$A$3:$A$102,0))</f>
        <v>0</v>
      </c>
      <c r="K414" s="105">
        <f>($J414)/V_gutter*(1/60)</f>
        <v>0</v>
      </c>
      <c r="L414" s="112"/>
      <c r="M414" s="109"/>
      <c r="N414" s="129">
        <f t="shared" ref="N414" si="1053">($I414+$K414)</f>
        <v>0</v>
      </c>
      <c r="O414" s="111">
        <f t="shared" ref="O414" si="1054">MAX($N414:$N418)</f>
        <v>0</v>
      </c>
      <c r="P414" s="133">
        <f>IF($H414&gt;0,IF($O414&lt;=T_1,I_1,IF($O414&lt;=T_2,(($O414*M_1)+B_1),IF($O414&lt;=T_3,(($O414*M_2)+B_2),IF($O414&lt;=T_4,(($O414*M_3)+B_3),IF($O414&lt;=T_5,(($O414*M_4)+B_4),IF($O414&lt;=T_6,(($O414*M_5)+B_5),IF($O414&lt;=T_7,(($O414*M_6)+B_6),IF($O414&lt;=T_8,(($O414*M_7)+B_7),IF($O414&lt;=T_9,(($O414*M_8)+B_8),IF($O414&lt;=T_10,(($O414*M_9)+B_9))))))))))),0)</f>
        <v>0</v>
      </c>
      <c r="Q414" s="111">
        <f t="shared" ref="Q414" si="1055">ROUND(($H414*$P414),2)</f>
        <v>0</v>
      </c>
      <c r="R414" s="107">
        <f>IF($Q414&gt;0,IF($Q414&lt;=UTH!$M$4,UTH!$J$4,IF($Q414&lt;=UTH!$M$5,UTH!$J$5,IF($Q414&lt;=UTH!$M$6,UTH!$J$6,IF($Q414&lt;=UTH!$M$7,UTH!$J$7,IF($Q414&lt;=UTH!$M$8,UTH!$J$8,IF($Q414&lt;=UTH!$M$9,UTH!$J$9,IF($Q414&lt;=UTH!$M$10,UTH!$J$10,IF($Q414&lt;=UTH!$M$11,UTH!$J$11,IF($Q414&lt;=UTH!$M$12,UTH!$J$12,IF($Q414&lt;=UTH!$M$13,UTH!$J$13,IF($Q414&lt;=UTH!$M$14,UTH!$J$14,IF($Q414&lt;=UTH!$M$15,UTH!$J$15,IF($Q414&lt;=UTH!$M$16,UTH!$J$16,IF($Q414&lt;=UTH!$M$17,UTH!$J$17,IF($Q414&lt;=UTH!$M$18,UTH!$J$18,IF($Q414&lt;=UTH!$M$19,UTH!$J$19,IF($Q414&lt;=UTH!$M$20,UTH!$J$20))))))))))))))))),0)</f>
        <v>0</v>
      </c>
      <c r="S414" s="107">
        <f>IF(Inverts!$D414="YES",Inverts!$C414,Inverts!$E414)</f>
        <v>0</v>
      </c>
      <c r="T414" s="108">
        <f>IF($S414,($Q414/(KQ*($S414^(8/3))))^2,0)</f>
        <v>0</v>
      </c>
      <c r="U414" s="108">
        <f>IF($S414,(Vmin/(KV*($S414^(2/3))))^2,0)</f>
        <v>0</v>
      </c>
      <c r="V414" s="108">
        <f>IF($Z414,ROUND(MinDrop_2/$Z414,4),0)</f>
        <v>0</v>
      </c>
      <c r="W414" s="108">
        <f t="shared" ref="W414" si="1056">IF($S414=0,0,MAX($T414:$V414))</f>
        <v>0</v>
      </c>
      <c r="X414" s="108">
        <f>IF(Inverts!$H414="yes",Inverts!$G414,Inverts!$I414)</f>
        <v>0</v>
      </c>
      <c r="Y414" s="105">
        <f>ROUND(KV*($S414^(2/3))*($X414^(0.5)),2)</f>
        <v>0</v>
      </c>
      <c r="Z414" s="106">
        <f>INDEX(Tribs!$H$3:$H$102,MATCH($A414,Tribs!$A$3:$A$102,0))</f>
        <v>0</v>
      </c>
      <c r="AA414" s="105">
        <f t="shared" ref="AA414" si="1057">IF($Y414,($Z414/$Y414)*(1/60),0)</f>
        <v>0</v>
      </c>
      <c r="AB414" s="111">
        <f>ROUND(KQ*($S414^(8/3))*($X414^(0.5)),2)</f>
        <v>0</v>
      </c>
      <c r="AC414" s="138" t="str">
        <f>IF(AND($AB414&gt;=($Q414-0.0049),$Y414&gt;=(Vmin-0.0049)),"OK","NG")</f>
        <v>NG</v>
      </c>
    </row>
    <row r="415" spans="1:29" x14ac:dyDescent="0.3">
      <c r="A415" s="121"/>
      <c r="B415" s="184"/>
      <c r="C415" s="54"/>
      <c r="D415" s="52"/>
      <c r="E415" s="52"/>
      <c r="F415" s="117"/>
      <c r="G415" s="119">
        <f t="shared" ref="G415" si="1058">IF($B415,INDEX($H$4:$H$499,(MATCH($B415,$A$4:$A$499))),0)</f>
        <v>0</v>
      </c>
      <c r="H415" s="113"/>
      <c r="I415" s="52"/>
      <c r="J415" s="52"/>
      <c r="K415" s="123"/>
      <c r="L415" s="53">
        <f t="shared" ref="L415" si="1059">IF($B415,INDEX($O$4:$O$499,MATCH($B415,$A$4:$A$499)),0)</f>
        <v>0</v>
      </c>
      <c r="M415" s="126">
        <f t="shared" ref="M415" si="1060">IF($B415,INDEX($AA$4:$AA$499,MATCH($B415,$A$4:$A$499)),0)</f>
        <v>0</v>
      </c>
      <c r="N415" s="119">
        <f t="shared" ref="N415" si="1061">($L415+$M415)</f>
        <v>0</v>
      </c>
      <c r="O415" s="130"/>
      <c r="P415" s="134"/>
      <c r="Q415" s="130"/>
      <c r="R415" s="52"/>
      <c r="S415" s="224">
        <f t="shared" ref="S415:S418" si="1062">S414</f>
        <v>0</v>
      </c>
      <c r="T415" s="237"/>
      <c r="U415" s="237"/>
      <c r="V415" s="237"/>
      <c r="W415" s="237"/>
      <c r="X415" s="52"/>
      <c r="Y415" s="52"/>
      <c r="Z415" s="52"/>
      <c r="AA415" s="54"/>
      <c r="AB415" s="130"/>
      <c r="AC415" s="139"/>
    </row>
    <row r="416" spans="1:29" x14ac:dyDescent="0.3">
      <c r="A416" s="121"/>
      <c r="B416" s="184"/>
      <c r="C416" s="54"/>
      <c r="D416" s="52"/>
      <c r="E416" s="52"/>
      <c r="F416" s="117"/>
      <c r="G416" s="119">
        <f t="shared" si="1006"/>
        <v>0</v>
      </c>
      <c r="H416" s="113"/>
      <c r="I416" s="52"/>
      <c r="J416" s="52"/>
      <c r="K416" s="124"/>
      <c r="L416" s="53">
        <f t="shared" si="1033"/>
        <v>0</v>
      </c>
      <c r="M416" s="127">
        <f t="shared" si="1034"/>
        <v>0</v>
      </c>
      <c r="N416" s="119">
        <f t="shared" si="1035"/>
        <v>0</v>
      </c>
      <c r="O416" s="130"/>
      <c r="P416" s="134"/>
      <c r="Q416" s="130"/>
      <c r="R416" s="52"/>
      <c r="S416" s="224">
        <f t="shared" si="1062"/>
        <v>0</v>
      </c>
      <c r="T416" s="237"/>
      <c r="U416" s="237"/>
      <c r="V416" s="237"/>
      <c r="W416" s="237"/>
      <c r="X416" s="52"/>
      <c r="Y416" s="52"/>
      <c r="Z416" s="52"/>
      <c r="AA416" s="54"/>
      <c r="AB416" s="130"/>
      <c r="AC416" s="139"/>
    </row>
    <row r="417" spans="1:29" x14ac:dyDescent="0.3">
      <c r="A417" s="121"/>
      <c r="B417" s="184"/>
      <c r="C417" s="54"/>
      <c r="D417" s="52"/>
      <c r="E417" s="52"/>
      <c r="F417" s="117"/>
      <c r="G417" s="119">
        <f t="shared" si="1006"/>
        <v>0</v>
      </c>
      <c r="H417" s="113"/>
      <c r="I417" s="52"/>
      <c r="J417" s="52"/>
      <c r="K417" s="124"/>
      <c r="L417" s="53">
        <f t="shared" si="1033"/>
        <v>0</v>
      </c>
      <c r="M417" s="127">
        <f t="shared" si="1034"/>
        <v>0</v>
      </c>
      <c r="N417" s="119">
        <f t="shared" si="1035"/>
        <v>0</v>
      </c>
      <c r="O417" s="130"/>
      <c r="P417" s="134"/>
      <c r="Q417" s="130"/>
      <c r="R417" s="52"/>
      <c r="S417" s="224">
        <f t="shared" si="1062"/>
        <v>0</v>
      </c>
      <c r="T417" s="237"/>
      <c r="U417" s="237"/>
      <c r="V417" s="237"/>
      <c r="W417" s="237"/>
      <c r="X417" s="52"/>
      <c r="Y417" s="52"/>
      <c r="Z417" s="52"/>
      <c r="AA417" s="54"/>
      <c r="AB417" s="130"/>
      <c r="AC417" s="139"/>
    </row>
    <row r="418" spans="1:29" ht="15" thickBot="1" x14ac:dyDescent="0.35">
      <c r="A418" s="122"/>
      <c r="B418" s="185"/>
      <c r="C418" s="102"/>
      <c r="D418" s="101"/>
      <c r="E418" s="101"/>
      <c r="F418" s="118"/>
      <c r="G418" s="120">
        <f t="shared" si="1006"/>
        <v>0</v>
      </c>
      <c r="H418" s="114"/>
      <c r="I418" s="101"/>
      <c r="J418" s="101"/>
      <c r="K418" s="125"/>
      <c r="L418" s="103">
        <f t="shared" si="1033"/>
        <v>0</v>
      </c>
      <c r="M418" s="128">
        <f t="shared" si="1034"/>
        <v>0</v>
      </c>
      <c r="N418" s="120">
        <f t="shared" si="1035"/>
        <v>0</v>
      </c>
      <c r="O418" s="131"/>
      <c r="P418" s="135"/>
      <c r="Q418" s="131"/>
      <c r="R418" s="101"/>
      <c r="S418" s="104">
        <f t="shared" si="1062"/>
        <v>0</v>
      </c>
      <c r="T418" s="238"/>
      <c r="U418" s="238"/>
      <c r="V418" s="238"/>
      <c r="W418" s="238"/>
      <c r="X418" s="101"/>
      <c r="Y418" s="101"/>
      <c r="Z418" s="101"/>
      <c r="AA418" s="102"/>
      <c r="AB418" s="131"/>
      <c r="AC418" s="140"/>
    </row>
    <row r="419" spans="1:29" x14ac:dyDescent="0.3">
      <c r="A419" s="115">
        <f t="shared" ref="A419" si="1063">$A414+1</f>
        <v>84</v>
      </c>
      <c r="B419" s="186"/>
      <c r="C419" s="105">
        <f>INDEX(Tribs!$C$3:$C$102,MATCH($A419,Tribs!$A$3:$A$102,0))</f>
        <v>0</v>
      </c>
      <c r="D419" s="106">
        <f>INDEX(Tribs!$E$3:$E$102,MATCH($A419,Tribs!$A$3:$A$102,0))</f>
        <v>0</v>
      </c>
      <c r="E419" s="105">
        <f>INDEX(Tribs!$F$3:$F$102,MATCH($A419,Tribs!$A$3:$A$102,0))</f>
        <v>0</v>
      </c>
      <c r="F419" s="116">
        <f t="shared" ref="F419" si="1064">($C419*$E419)</f>
        <v>0</v>
      </c>
      <c r="G419" s="110"/>
      <c r="H419" s="111">
        <f t="shared" ref="H419" si="1065">($F419)+(SUM($G420:$G423))</f>
        <v>0</v>
      </c>
      <c r="I419" s="106">
        <f>INDEX(Tribs!$D$3:$D$102,MATCH($A419,Tribs!$A$3:$A$102,0))</f>
        <v>0</v>
      </c>
      <c r="J419" s="106">
        <f>INDEX(Tribs!$G$3:$G$102,MATCH($A419,Tribs!$A$3:$A$102,0))</f>
        <v>0</v>
      </c>
      <c r="K419" s="105">
        <f>($J419)/V_gutter*(1/60)</f>
        <v>0</v>
      </c>
      <c r="L419" s="112"/>
      <c r="M419" s="109"/>
      <c r="N419" s="129">
        <f t="shared" ref="N419" si="1066">($I419+$K419)</f>
        <v>0</v>
      </c>
      <c r="O419" s="111">
        <f t="shared" ref="O419" si="1067">MAX($N419:$N423)</f>
        <v>0</v>
      </c>
      <c r="P419" s="133">
        <f>IF($H419&gt;0,IF($O419&lt;=T_1,I_1,IF($O419&lt;=T_2,(($O419*M_1)+B_1),IF($O419&lt;=T_3,(($O419*M_2)+B_2),IF($O419&lt;=T_4,(($O419*M_3)+B_3),IF($O419&lt;=T_5,(($O419*M_4)+B_4),IF($O419&lt;=T_6,(($O419*M_5)+B_5),IF($O419&lt;=T_7,(($O419*M_6)+B_6),IF($O419&lt;=T_8,(($O419*M_7)+B_7),IF($O419&lt;=T_9,(($O419*M_8)+B_8),IF($O419&lt;=T_10,(($O419*M_9)+B_9))))))))))),0)</f>
        <v>0</v>
      </c>
      <c r="Q419" s="111">
        <f t="shared" ref="Q419" si="1068">ROUND(($H419*$P419),2)</f>
        <v>0</v>
      </c>
      <c r="R419" s="107">
        <f>IF($Q419&gt;0,IF($Q419&lt;=UTH!$M$4,UTH!$J$4,IF($Q419&lt;=UTH!$M$5,UTH!$J$5,IF($Q419&lt;=UTH!$M$6,UTH!$J$6,IF($Q419&lt;=UTH!$M$7,UTH!$J$7,IF($Q419&lt;=UTH!$M$8,UTH!$J$8,IF($Q419&lt;=UTH!$M$9,UTH!$J$9,IF($Q419&lt;=UTH!$M$10,UTH!$J$10,IF($Q419&lt;=UTH!$M$11,UTH!$J$11,IF($Q419&lt;=UTH!$M$12,UTH!$J$12,IF($Q419&lt;=UTH!$M$13,UTH!$J$13,IF($Q419&lt;=UTH!$M$14,UTH!$J$14,IF($Q419&lt;=UTH!$M$15,UTH!$J$15,IF($Q419&lt;=UTH!$M$16,UTH!$J$16,IF($Q419&lt;=UTH!$M$17,UTH!$J$17,IF($Q419&lt;=UTH!$M$18,UTH!$J$18,IF($Q419&lt;=UTH!$M$19,UTH!$J$19,IF($Q419&lt;=UTH!$M$20,UTH!$J$20))))))))))))))))),0)</f>
        <v>0</v>
      </c>
      <c r="S419" s="107">
        <f>IF(Inverts!$D419="YES",Inverts!$C419,Inverts!$E419)</f>
        <v>0</v>
      </c>
      <c r="T419" s="108">
        <f>IF($S419,($Q419/(KQ*($S419^(8/3))))^2,0)</f>
        <v>0</v>
      </c>
      <c r="U419" s="108">
        <f>IF($S419,(Vmin/(KV*($S419^(2/3))))^2,0)</f>
        <v>0</v>
      </c>
      <c r="V419" s="108">
        <f>IF($Z419,ROUND(MinDrop_2/$Z419,4),0)</f>
        <v>0</v>
      </c>
      <c r="W419" s="108">
        <f t="shared" ref="W419" si="1069">IF($S419=0,0,MAX($T419:$V419))</f>
        <v>0</v>
      </c>
      <c r="X419" s="108">
        <f>IF(Inverts!$H419="yes",Inverts!$G419,Inverts!$I419)</f>
        <v>0</v>
      </c>
      <c r="Y419" s="105">
        <f>ROUND(KV*($S419^(2/3))*($X419^(0.5)),2)</f>
        <v>0</v>
      </c>
      <c r="Z419" s="106">
        <f>INDEX(Tribs!$H$3:$H$102,MATCH($A419,Tribs!$A$3:$A$102,0))</f>
        <v>0</v>
      </c>
      <c r="AA419" s="105">
        <f t="shared" ref="AA419" si="1070">IF($Y419,($Z419/$Y419)*(1/60),0)</f>
        <v>0</v>
      </c>
      <c r="AB419" s="111">
        <f>ROUND(KQ*($S419^(8/3))*($X419^(0.5)),2)</f>
        <v>0</v>
      </c>
      <c r="AC419" s="138" t="str">
        <f>IF(AND($AB419&gt;=($Q419-0.0049),$Y419&gt;=(Vmin-0.0049)),"OK","NG")</f>
        <v>NG</v>
      </c>
    </row>
    <row r="420" spans="1:29" x14ac:dyDescent="0.3">
      <c r="A420" s="121"/>
      <c r="B420" s="184"/>
      <c r="C420" s="54"/>
      <c r="D420" s="52"/>
      <c r="E420" s="52"/>
      <c r="F420" s="117"/>
      <c r="G420" s="119">
        <f t="shared" ref="G420" si="1071">IF($B420,INDEX($H$4:$H$499,(MATCH($B420,$A$4:$A$499))),0)</f>
        <v>0</v>
      </c>
      <c r="H420" s="113"/>
      <c r="I420" s="52"/>
      <c r="J420" s="52"/>
      <c r="K420" s="123"/>
      <c r="L420" s="53">
        <f t="shared" ref="L420" si="1072">IF($B420,INDEX($O$4:$O$499,MATCH($B420,$A$4:$A$499)),0)</f>
        <v>0</v>
      </c>
      <c r="M420" s="126">
        <f t="shared" ref="M420" si="1073">IF($B420,INDEX($AA$4:$AA$499,MATCH($B420,$A$4:$A$499)),0)</f>
        <v>0</v>
      </c>
      <c r="N420" s="119">
        <f t="shared" ref="N420" si="1074">($L420+$M420)</f>
        <v>0</v>
      </c>
      <c r="O420" s="130"/>
      <c r="P420" s="134"/>
      <c r="Q420" s="130"/>
      <c r="R420" s="52"/>
      <c r="S420" s="224">
        <f t="shared" ref="S420:S423" si="1075">S419</f>
        <v>0</v>
      </c>
      <c r="T420" s="237"/>
      <c r="U420" s="237"/>
      <c r="V420" s="237"/>
      <c r="W420" s="237"/>
      <c r="X420" s="52"/>
      <c r="Y420" s="52"/>
      <c r="Z420" s="52"/>
      <c r="AA420" s="54"/>
      <c r="AB420" s="130"/>
      <c r="AC420" s="139"/>
    </row>
    <row r="421" spans="1:29" x14ac:dyDescent="0.3">
      <c r="A421" s="121"/>
      <c r="B421" s="184"/>
      <c r="C421" s="54"/>
      <c r="D421" s="52"/>
      <c r="E421" s="52"/>
      <c r="F421" s="117"/>
      <c r="G421" s="119">
        <f t="shared" si="1006"/>
        <v>0</v>
      </c>
      <c r="H421" s="113"/>
      <c r="I421" s="52"/>
      <c r="J421" s="52"/>
      <c r="K421" s="124"/>
      <c r="L421" s="53">
        <f t="shared" si="1033"/>
        <v>0</v>
      </c>
      <c r="M421" s="127">
        <f t="shared" si="1034"/>
        <v>0</v>
      </c>
      <c r="N421" s="119">
        <f t="shared" si="1035"/>
        <v>0</v>
      </c>
      <c r="O421" s="130"/>
      <c r="P421" s="134"/>
      <c r="Q421" s="130"/>
      <c r="R421" s="52"/>
      <c r="S421" s="224">
        <f t="shared" si="1075"/>
        <v>0</v>
      </c>
      <c r="T421" s="237"/>
      <c r="U421" s="237"/>
      <c r="V421" s="237"/>
      <c r="W421" s="237"/>
      <c r="X421" s="52"/>
      <c r="Y421" s="52"/>
      <c r="Z421" s="52"/>
      <c r="AA421" s="54"/>
      <c r="AB421" s="130"/>
      <c r="AC421" s="139"/>
    </row>
    <row r="422" spans="1:29" x14ac:dyDescent="0.3">
      <c r="A422" s="121"/>
      <c r="B422" s="184"/>
      <c r="C422" s="54"/>
      <c r="D422" s="52"/>
      <c r="E422" s="52"/>
      <c r="F422" s="117"/>
      <c r="G422" s="119">
        <f t="shared" si="1006"/>
        <v>0</v>
      </c>
      <c r="H422" s="113"/>
      <c r="I422" s="52"/>
      <c r="J422" s="52"/>
      <c r="K422" s="124"/>
      <c r="L422" s="53">
        <f t="shared" si="1033"/>
        <v>0</v>
      </c>
      <c r="M422" s="127">
        <f t="shared" si="1034"/>
        <v>0</v>
      </c>
      <c r="N422" s="119">
        <f t="shared" si="1035"/>
        <v>0</v>
      </c>
      <c r="O422" s="130"/>
      <c r="P422" s="134"/>
      <c r="Q422" s="130"/>
      <c r="R422" s="52"/>
      <c r="S422" s="224">
        <f t="shared" si="1075"/>
        <v>0</v>
      </c>
      <c r="T422" s="237"/>
      <c r="U422" s="237"/>
      <c r="V422" s="237"/>
      <c r="W422" s="237"/>
      <c r="X422" s="52"/>
      <c r="Y422" s="52"/>
      <c r="Z422" s="52"/>
      <c r="AA422" s="54"/>
      <c r="AB422" s="130"/>
      <c r="AC422" s="139"/>
    </row>
    <row r="423" spans="1:29" ht="15" thickBot="1" x14ac:dyDescent="0.35">
      <c r="A423" s="122"/>
      <c r="B423" s="185"/>
      <c r="C423" s="102"/>
      <c r="D423" s="101"/>
      <c r="E423" s="101"/>
      <c r="F423" s="118"/>
      <c r="G423" s="120">
        <f t="shared" si="1006"/>
        <v>0</v>
      </c>
      <c r="H423" s="114"/>
      <c r="I423" s="101"/>
      <c r="J423" s="101"/>
      <c r="K423" s="125"/>
      <c r="L423" s="103">
        <f t="shared" si="1033"/>
        <v>0</v>
      </c>
      <c r="M423" s="128">
        <f t="shared" si="1034"/>
        <v>0</v>
      </c>
      <c r="N423" s="120">
        <f t="shared" si="1035"/>
        <v>0</v>
      </c>
      <c r="O423" s="131"/>
      <c r="P423" s="135"/>
      <c r="Q423" s="131"/>
      <c r="R423" s="101"/>
      <c r="S423" s="104">
        <f t="shared" si="1075"/>
        <v>0</v>
      </c>
      <c r="T423" s="238"/>
      <c r="U423" s="238"/>
      <c r="V423" s="238"/>
      <c r="W423" s="238"/>
      <c r="X423" s="101"/>
      <c r="Y423" s="101"/>
      <c r="Z423" s="101"/>
      <c r="AA423" s="102"/>
      <c r="AB423" s="131"/>
      <c r="AC423" s="140"/>
    </row>
    <row r="424" spans="1:29" x14ac:dyDescent="0.3">
      <c r="A424" s="115">
        <f t="shared" ref="A424" si="1076">$A419+1</f>
        <v>85</v>
      </c>
      <c r="B424" s="186"/>
      <c r="C424" s="105">
        <f>INDEX(Tribs!$C$3:$C$102,MATCH($A424,Tribs!$A$3:$A$102,0))</f>
        <v>0</v>
      </c>
      <c r="D424" s="106">
        <f>INDEX(Tribs!$E$3:$E$102,MATCH($A424,Tribs!$A$3:$A$102,0))</f>
        <v>0</v>
      </c>
      <c r="E424" s="105">
        <f>INDEX(Tribs!$F$3:$F$102,MATCH($A424,Tribs!$A$3:$A$102,0))</f>
        <v>0</v>
      </c>
      <c r="F424" s="116">
        <f t="shared" ref="F424" si="1077">($C424*$E424)</f>
        <v>0</v>
      </c>
      <c r="G424" s="110"/>
      <c r="H424" s="111">
        <f t="shared" ref="H424" si="1078">($F424)+(SUM($G425:$G428))</f>
        <v>0</v>
      </c>
      <c r="I424" s="106">
        <f>INDEX(Tribs!$D$3:$D$102,MATCH($A424,Tribs!$A$3:$A$102,0))</f>
        <v>0</v>
      </c>
      <c r="J424" s="106">
        <f>INDEX(Tribs!$G$3:$G$102,MATCH($A424,Tribs!$A$3:$A$102,0))</f>
        <v>0</v>
      </c>
      <c r="K424" s="105">
        <f>($J424)/V_gutter*(1/60)</f>
        <v>0</v>
      </c>
      <c r="L424" s="112"/>
      <c r="M424" s="109"/>
      <c r="N424" s="129">
        <f t="shared" ref="N424" si="1079">($I424+$K424)</f>
        <v>0</v>
      </c>
      <c r="O424" s="111">
        <f t="shared" ref="O424" si="1080">MAX($N424:$N428)</f>
        <v>0</v>
      </c>
      <c r="P424" s="133">
        <f>IF($H424&gt;0,IF($O424&lt;=T_1,I_1,IF($O424&lt;=T_2,(($O424*M_1)+B_1),IF($O424&lt;=T_3,(($O424*M_2)+B_2),IF($O424&lt;=T_4,(($O424*M_3)+B_3),IF($O424&lt;=T_5,(($O424*M_4)+B_4),IF($O424&lt;=T_6,(($O424*M_5)+B_5),IF($O424&lt;=T_7,(($O424*M_6)+B_6),IF($O424&lt;=T_8,(($O424*M_7)+B_7),IF($O424&lt;=T_9,(($O424*M_8)+B_8),IF($O424&lt;=T_10,(($O424*M_9)+B_9))))))))))),0)</f>
        <v>0</v>
      </c>
      <c r="Q424" s="111">
        <f t="shared" ref="Q424" si="1081">ROUND(($H424*$P424),2)</f>
        <v>0</v>
      </c>
      <c r="R424" s="107">
        <f>IF($Q424&gt;0,IF($Q424&lt;=UTH!$M$4,UTH!$J$4,IF($Q424&lt;=UTH!$M$5,UTH!$J$5,IF($Q424&lt;=UTH!$M$6,UTH!$J$6,IF($Q424&lt;=UTH!$M$7,UTH!$J$7,IF($Q424&lt;=UTH!$M$8,UTH!$J$8,IF($Q424&lt;=UTH!$M$9,UTH!$J$9,IF($Q424&lt;=UTH!$M$10,UTH!$J$10,IF($Q424&lt;=UTH!$M$11,UTH!$J$11,IF($Q424&lt;=UTH!$M$12,UTH!$J$12,IF($Q424&lt;=UTH!$M$13,UTH!$J$13,IF($Q424&lt;=UTH!$M$14,UTH!$J$14,IF($Q424&lt;=UTH!$M$15,UTH!$J$15,IF($Q424&lt;=UTH!$M$16,UTH!$J$16,IF($Q424&lt;=UTH!$M$17,UTH!$J$17,IF($Q424&lt;=UTH!$M$18,UTH!$J$18,IF($Q424&lt;=UTH!$M$19,UTH!$J$19,IF($Q424&lt;=UTH!$M$20,UTH!$J$20))))))))))))))))),0)</f>
        <v>0</v>
      </c>
      <c r="S424" s="107">
        <f>IF(Inverts!$D424="YES",Inverts!$C424,Inverts!$E424)</f>
        <v>0</v>
      </c>
      <c r="T424" s="108">
        <f>IF($S424,($Q424/(KQ*($S424^(8/3))))^2,0)</f>
        <v>0</v>
      </c>
      <c r="U424" s="108">
        <f>IF($S424,(Vmin/(KV*($S424^(2/3))))^2,0)</f>
        <v>0</v>
      </c>
      <c r="V424" s="108">
        <f>IF($Z424,ROUND(MinDrop_2/$Z424,4),0)</f>
        <v>0</v>
      </c>
      <c r="W424" s="108">
        <f t="shared" ref="W424" si="1082">IF($S424=0,0,MAX($T424:$V424))</f>
        <v>0</v>
      </c>
      <c r="X424" s="108">
        <f>IF(Inverts!$H424="yes",Inverts!$G424,Inverts!$I424)</f>
        <v>0</v>
      </c>
      <c r="Y424" s="105">
        <f>ROUND(KV*($S424^(2/3))*($X424^(0.5)),2)</f>
        <v>0</v>
      </c>
      <c r="Z424" s="106">
        <f>INDEX(Tribs!$H$3:$H$102,MATCH($A424,Tribs!$A$3:$A$102,0))</f>
        <v>0</v>
      </c>
      <c r="AA424" s="105">
        <f t="shared" ref="AA424" si="1083">IF($Y424,($Z424/$Y424)*(1/60),0)</f>
        <v>0</v>
      </c>
      <c r="AB424" s="111">
        <f>ROUND(KQ*($S424^(8/3))*($X424^(0.5)),2)</f>
        <v>0</v>
      </c>
      <c r="AC424" s="138" t="str">
        <f>IF(AND($AB424&gt;=($Q424-0.0049),$Y424&gt;=(Vmin-0.0049)),"OK","NG")</f>
        <v>NG</v>
      </c>
    </row>
    <row r="425" spans="1:29" x14ac:dyDescent="0.3">
      <c r="A425" s="121"/>
      <c r="B425" s="184"/>
      <c r="C425" s="54"/>
      <c r="D425" s="52"/>
      <c r="E425" s="52"/>
      <c r="F425" s="117"/>
      <c r="G425" s="119">
        <f t="shared" ref="G425" si="1084">IF($B425,INDEX($H$4:$H$499,(MATCH($B425,$A$4:$A$499))),0)</f>
        <v>0</v>
      </c>
      <c r="H425" s="113"/>
      <c r="I425" s="52"/>
      <c r="J425" s="52"/>
      <c r="K425" s="123"/>
      <c r="L425" s="53">
        <f t="shared" ref="L425" si="1085">IF($B425,INDEX($O$4:$O$499,MATCH($B425,$A$4:$A$499)),0)</f>
        <v>0</v>
      </c>
      <c r="M425" s="126">
        <f t="shared" ref="M425" si="1086">IF($B425,INDEX($AA$4:$AA$499,MATCH($B425,$A$4:$A$499)),0)</f>
        <v>0</v>
      </c>
      <c r="N425" s="119">
        <f t="shared" ref="N425" si="1087">($L425+$M425)</f>
        <v>0</v>
      </c>
      <c r="O425" s="130"/>
      <c r="P425" s="134"/>
      <c r="Q425" s="130"/>
      <c r="R425" s="52"/>
      <c r="S425" s="224">
        <f t="shared" ref="S425:S428" si="1088">S424</f>
        <v>0</v>
      </c>
      <c r="T425" s="237"/>
      <c r="U425" s="237"/>
      <c r="V425" s="237"/>
      <c r="W425" s="237"/>
      <c r="X425" s="52"/>
      <c r="Y425" s="52"/>
      <c r="Z425" s="52"/>
      <c r="AA425" s="54"/>
      <c r="AB425" s="130"/>
      <c r="AC425" s="139"/>
    </row>
    <row r="426" spans="1:29" x14ac:dyDescent="0.3">
      <c r="A426" s="121"/>
      <c r="B426" s="184"/>
      <c r="C426" s="54"/>
      <c r="D426" s="52"/>
      <c r="E426" s="52"/>
      <c r="F426" s="117"/>
      <c r="G426" s="119">
        <f t="shared" si="1006"/>
        <v>0</v>
      </c>
      <c r="H426" s="113"/>
      <c r="I426" s="52"/>
      <c r="J426" s="52"/>
      <c r="K426" s="124"/>
      <c r="L426" s="53">
        <f t="shared" si="1033"/>
        <v>0</v>
      </c>
      <c r="M426" s="127">
        <f t="shared" si="1034"/>
        <v>0</v>
      </c>
      <c r="N426" s="119">
        <f t="shared" si="1035"/>
        <v>0</v>
      </c>
      <c r="O426" s="130"/>
      <c r="P426" s="134"/>
      <c r="Q426" s="130"/>
      <c r="R426" s="52"/>
      <c r="S426" s="224">
        <f t="shared" si="1088"/>
        <v>0</v>
      </c>
      <c r="T426" s="237"/>
      <c r="U426" s="237"/>
      <c r="V426" s="237"/>
      <c r="W426" s="237"/>
      <c r="X426" s="52"/>
      <c r="Y426" s="52"/>
      <c r="Z426" s="52"/>
      <c r="AA426" s="54"/>
      <c r="AB426" s="130"/>
      <c r="AC426" s="139"/>
    </row>
    <row r="427" spans="1:29" x14ac:dyDescent="0.3">
      <c r="A427" s="121"/>
      <c r="B427" s="184"/>
      <c r="C427" s="54"/>
      <c r="D427" s="52"/>
      <c r="E427" s="52"/>
      <c r="F427" s="117"/>
      <c r="G427" s="119">
        <f t="shared" si="1006"/>
        <v>0</v>
      </c>
      <c r="H427" s="113"/>
      <c r="I427" s="52"/>
      <c r="J427" s="52"/>
      <c r="K427" s="124"/>
      <c r="L427" s="53">
        <f t="shared" si="1033"/>
        <v>0</v>
      </c>
      <c r="M427" s="127">
        <f t="shared" si="1034"/>
        <v>0</v>
      </c>
      <c r="N427" s="119">
        <f t="shared" si="1035"/>
        <v>0</v>
      </c>
      <c r="O427" s="130"/>
      <c r="P427" s="134"/>
      <c r="Q427" s="130"/>
      <c r="R427" s="52"/>
      <c r="S427" s="224">
        <f t="shared" si="1088"/>
        <v>0</v>
      </c>
      <c r="T427" s="237"/>
      <c r="U427" s="237"/>
      <c r="V427" s="237"/>
      <c r="W427" s="237"/>
      <c r="X427" s="52"/>
      <c r="Y427" s="52"/>
      <c r="Z427" s="52"/>
      <c r="AA427" s="54"/>
      <c r="AB427" s="130"/>
      <c r="AC427" s="139"/>
    </row>
    <row r="428" spans="1:29" ht="15" thickBot="1" x14ac:dyDescent="0.35">
      <c r="A428" s="122"/>
      <c r="B428" s="185"/>
      <c r="C428" s="102"/>
      <c r="D428" s="101"/>
      <c r="E428" s="101"/>
      <c r="F428" s="118"/>
      <c r="G428" s="120">
        <f t="shared" si="1006"/>
        <v>0</v>
      </c>
      <c r="H428" s="114"/>
      <c r="I428" s="101"/>
      <c r="J428" s="101"/>
      <c r="K428" s="125"/>
      <c r="L428" s="103">
        <f t="shared" si="1033"/>
        <v>0</v>
      </c>
      <c r="M428" s="128">
        <f t="shared" si="1034"/>
        <v>0</v>
      </c>
      <c r="N428" s="120">
        <f t="shared" si="1035"/>
        <v>0</v>
      </c>
      <c r="O428" s="131"/>
      <c r="P428" s="135"/>
      <c r="Q428" s="131"/>
      <c r="R428" s="101"/>
      <c r="S428" s="104">
        <f t="shared" si="1088"/>
        <v>0</v>
      </c>
      <c r="T428" s="238"/>
      <c r="U428" s="238"/>
      <c r="V428" s="238"/>
      <c r="W428" s="238"/>
      <c r="X428" s="101"/>
      <c r="Y428" s="101"/>
      <c r="Z428" s="101"/>
      <c r="AA428" s="102"/>
      <c r="AB428" s="131"/>
      <c r="AC428" s="140"/>
    </row>
    <row r="429" spans="1:29" x14ac:dyDescent="0.3">
      <c r="A429" s="115">
        <f t="shared" ref="A429" si="1089">$A424+1</f>
        <v>86</v>
      </c>
      <c r="B429" s="186"/>
      <c r="C429" s="105">
        <f>INDEX(Tribs!$C$3:$C$102,MATCH($A429,Tribs!$A$3:$A$102,0))</f>
        <v>0</v>
      </c>
      <c r="D429" s="106">
        <f>INDEX(Tribs!$E$3:$E$102,MATCH($A429,Tribs!$A$3:$A$102,0))</f>
        <v>0</v>
      </c>
      <c r="E429" s="105">
        <f>INDEX(Tribs!$F$3:$F$102,MATCH($A429,Tribs!$A$3:$A$102,0))</f>
        <v>0</v>
      </c>
      <c r="F429" s="116">
        <f t="shared" ref="F429" si="1090">($C429*$E429)</f>
        <v>0</v>
      </c>
      <c r="G429" s="110"/>
      <c r="H429" s="111">
        <f t="shared" ref="H429" si="1091">($F429)+(SUM($G430:$G433))</f>
        <v>0</v>
      </c>
      <c r="I429" s="106">
        <f>INDEX(Tribs!$D$3:$D$102,MATCH($A429,Tribs!$A$3:$A$102,0))</f>
        <v>0</v>
      </c>
      <c r="J429" s="106">
        <f>INDEX(Tribs!$G$3:$G$102,MATCH($A429,Tribs!$A$3:$A$102,0))</f>
        <v>0</v>
      </c>
      <c r="K429" s="105">
        <f>($J429)/V_gutter*(1/60)</f>
        <v>0</v>
      </c>
      <c r="L429" s="112"/>
      <c r="M429" s="109"/>
      <c r="N429" s="129">
        <f t="shared" ref="N429" si="1092">($I429+$K429)</f>
        <v>0</v>
      </c>
      <c r="O429" s="111">
        <f t="shared" ref="O429" si="1093">MAX($N429:$N433)</f>
        <v>0</v>
      </c>
      <c r="P429" s="133">
        <f>IF($H429&gt;0,IF($O429&lt;=T_1,I_1,IF($O429&lt;=T_2,(($O429*M_1)+B_1),IF($O429&lt;=T_3,(($O429*M_2)+B_2),IF($O429&lt;=T_4,(($O429*M_3)+B_3),IF($O429&lt;=T_5,(($O429*M_4)+B_4),IF($O429&lt;=T_6,(($O429*M_5)+B_5),IF($O429&lt;=T_7,(($O429*M_6)+B_6),IF($O429&lt;=T_8,(($O429*M_7)+B_7),IF($O429&lt;=T_9,(($O429*M_8)+B_8),IF($O429&lt;=T_10,(($O429*M_9)+B_9))))))))))),0)</f>
        <v>0</v>
      </c>
      <c r="Q429" s="111">
        <f t="shared" ref="Q429" si="1094">ROUND(($H429*$P429),2)</f>
        <v>0</v>
      </c>
      <c r="R429" s="107">
        <f>IF($Q429&gt;0,IF($Q429&lt;=UTH!$M$4,UTH!$J$4,IF($Q429&lt;=UTH!$M$5,UTH!$J$5,IF($Q429&lt;=UTH!$M$6,UTH!$J$6,IF($Q429&lt;=UTH!$M$7,UTH!$J$7,IF($Q429&lt;=UTH!$M$8,UTH!$J$8,IF($Q429&lt;=UTH!$M$9,UTH!$J$9,IF($Q429&lt;=UTH!$M$10,UTH!$J$10,IF($Q429&lt;=UTH!$M$11,UTH!$J$11,IF($Q429&lt;=UTH!$M$12,UTH!$J$12,IF($Q429&lt;=UTH!$M$13,UTH!$J$13,IF($Q429&lt;=UTH!$M$14,UTH!$J$14,IF($Q429&lt;=UTH!$M$15,UTH!$J$15,IF($Q429&lt;=UTH!$M$16,UTH!$J$16,IF($Q429&lt;=UTH!$M$17,UTH!$J$17,IF($Q429&lt;=UTH!$M$18,UTH!$J$18,IF($Q429&lt;=UTH!$M$19,UTH!$J$19,IF($Q429&lt;=UTH!$M$20,UTH!$J$20))))))))))))))))),0)</f>
        <v>0</v>
      </c>
      <c r="S429" s="107">
        <f>IF(Inverts!$D429="YES",Inverts!$C429,Inverts!$E429)</f>
        <v>0</v>
      </c>
      <c r="T429" s="108">
        <f>IF($S429,($Q429/(KQ*($S429^(8/3))))^2,0)</f>
        <v>0</v>
      </c>
      <c r="U429" s="108">
        <f>IF($S429,(Vmin/(KV*($S429^(2/3))))^2,0)</f>
        <v>0</v>
      </c>
      <c r="V429" s="108">
        <f>IF($Z429,ROUND(MinDrop_2/$Z429,4),0)</f>
        <v>0</v>
      </c>
      <c r="W429" s="108">
        <f t="shared" ref="W429" si="1095">IF($S429=0,0,MAX($T429:$V429))</f>
        <v>0</v>
      </c>
      <c r="X429" s="108">
        <f>IF(Inverts!$H429="yes",Inverts!$G429,Inverts!$I429)</f>
        <v>0</v>
      </c>
      <c r="Y429" s="105">
        <f>ROUND(KV*($S429^(2/3))*($X429^(0.5)),2)</f>
        <v>0</v>
      </c>
      <c r="Z429" s="106">
        <f>INDEX(Tribs!$H$3:$H$102,MATCH($A429,Tribs!$A$3:$A$102,0))</f>
        <v>0</v>
      </c>
      <c r="AA429" s="105">
        <f t="shared" ref="AA429" si="1096">IF($Y429,($Z429/$Y429)*(1/60),0)</f>
        <v>0</v>
      </c>
      <c r="AB429" s="111">
        <f>ROUND(KQ*($S429^(8/3))*($X429^(0.5)),2)</f>
        <v>0</v>
      </c>
      <c r="AC429" s="138" t="str">
        <f>IF(AND($AB429&gt;=($Q429-0.0049),$Y429&gt;=(Vmin-0.0049)),"OK","NG")</f>
        <v>NG</v>
      </c>
    </row>
    <row r="430" spans="1:29" x14ac:dyDescent="0.3">
      <c r="A430" s="121"/>
      <c r="B430" s="184"/>
      <c r="C430" s="54"/>
      <c r="D430" s="52"/>
      <c r="E430" s="52"/>
      <c r="F430" s="117"/>
      <c r="G430" s="119">
        <f t="shared" ref="G430" si="1097">IF($B430,INDEX($H$4:$H$499,(MATCH($B430,$A$4:$A$499))),0)</f>
        <v>0</v>
      </c>
      <c r="H430" s="113"/>
      <c r="I430" s="52"/>
      <c r="J430" s="52"/>
      <c r="K430" s="123"/>
      <c r="L430" s="53">
        <f t="shared" ref="L430" si="1098">IF($B430,INDEX($O$4:$O$499,MATCH($B430,$A$4:$A$499)),0)</f>
        <v>0</v>
      </c>
      <c r="M430" s="126">
        <f t="shared" ref="M430" si="1099">IF($B430,INDEX($AA$4:$AA$499,MATCH($B430,$A$4:$A$499)),0)</f>
        <v>0</v>
      </c>
      <c r="N430" s="119">
        <f t="shared" ref="N430" si="1100">($L430+$M430)</f>
        <v>0</v>
      </c>
      <c r="O430" s="130"/>
      <c r="P430" s="134"/>
      <c r="Q430" s="130"/>
      <c r="R430" s="52"/>
      <c r="S430" s="224">
        <f t="shared" ref="S430:S433" si="1101">S429</f>
        <v>0</v>
      </c>
      <c r="T430" s="237"/>
      <c r="U430" s="237"/>
      <c r="V430" s="237"/>
      <c r="W430" s="237"/>
      <c r="X430" s="52"/>
      <c r="Y430" s="52"/>
      <c r="Z430" s="52"/>
      <c r="AA430" s="54"/>
      <c r="AB430" s="130"/>
      <c r="AC430" s="139"/>
    </row>
    <row r="431" spans="1:29" x14ac:dyDescent="0.3">
      <c r="A431" s="121"/>
      <c r="B431" s="184"/>
      <c r="C431" s="54"/>
      <c r="D431" s="52"/>
      <c r="E431" s="52"/>
      <c r="F431" s="117"/>
      <c r="G431" s="119">
        <f t="shared" si="1006"/>
        <v>0</v>
      </c>
      <c r="H431" s="113"/>
      <c r="I431" s="52"/>
      <c r="J431" s="52"/>
      <c r="K431" s="124"/>
      <c r="L431" s="53">
        <f t="shared" si="1033"/>
        <v>0</v>
      </c>
      <c r="M431" s="127">
        <f t="shared" si="1034"/>
        <v>0</v>
      </c>
      <c r="N431" s="119">
        <f t="shared" si="1035"/>
        <v>0</v>
      </c>
      <c r="O431" s="130"/>
      <c r="P431" s="134"/>
      <c r="Q431" s="130"/>
      <c r="R431" s="52"/>
      <c r="S431" s="224">
        <f t="shared" si="1101"/>
        <v>0</v>
      </c>
      <c r="T431" s="237"/>
      <c r="U431" s="237"/>
      <c r="V431" s="237"/>
      <c r="W431" s="237"/>
      <c r="X431" s="52"/>
      <c r="Y431" s="52"/>
      <c r="Z431" s="52"/>
      <c r="AA431" s="54"/>
      <c r="AB431" s="130"/>
      <c r="AC431" s="139"/>
    </row>
    <row r="432" spans="1:29" x14ac:dyDescent="0.3">
      <c r="A432" s="121"/>
      <c r="B432" s="184"/>
      <c r="C432" s="54"/>
      <c r="D432" s="52"/>
      <c r="E432" s="52"/>
      <c r="F432" s="117"/>
      <c r="G432" s="119">
        <f t="shared" si="1006"/>
        <v>0</v>
      </c>
      <c r="H432" s="113"/>
      <c r="I432" s="52"/>
      <c r="J432" s="52"/>
      <c r="K432" s="124"/>
      <c r="L432" s="53">
        <f t="shared" si="1033"/>
        <v>0</v>
      </c>
      <c r="M432" s="127">
        <f t="shared" si="1034"/>
        <v>0</v>
      </c>
      <c r="N432" s="119">
        <f t="shared" si="1035"/>
        <v>0</v>
      </c>
      <c r="O432" s="130"/>
      <c r="P432" s="134"/>
      <c r="Q432" s="130"/>
      <c r="R432" s="52"/>
      <c r="S432" s="224">
        <f t="shared" si="1101"/>
        <v>0</v>
      </c>
      <c r="T432" s="237"/>
      <c r="U432" s="237"/>
      <c r="V432" s="237"/>
      <c r="W432" s="237"/>
      <c r="X432" s="52"/>
      <c r="Y432" s="52"/>
      <c r="Z432" s="52"/>
      <c r="AA432" s="54"/>
      <c r="AB432" s="130"/>
      <c r="AC432" s="139"/>
    </row>
    <row r="433" spans="1:29" ht="15" thickBot="1" x14ac:dyDescent="0.35">
      <c r="A433" s="122"/>
      <c r="B433" s="185"/>
      <c r="C433" s="102"/>
      <c r="D433" s="101"/>
      <c r="E433" s="101"/>
      <c r="F433" s="118"/>
      <c r="G433" s="120">
        <f t="shared" si="1006"/>
        <v>0</v>
      </c>
      <c r="H433" s="114"/>
      <c r="I433" s="101"/>
      <c r="J433" s="101"/>
      <c r="K433" s="125"/>
      <c r="L433" s="103">
        <f t="shared" si="1033"/>
        <v>0</v>
      </c>
      <c r="M433" s="128">
        <f t="shared" si="1034"/>
        <v>0</v>
      </c>
      <c r="N433" s="120">
        <f t="shared" si="1035"/>
        <v>0</v>
      </c>
      <c r="O433" s="131"/>
      <c r="P433" s="135"/>
      <c r="Q433" s="131"/>
      <c r="R433" s="101"/>
      <c r="S433" s="104">
        <f t="shared" si="1101"/>
        <v>0</v>
      </c>
      <c r="T433" s="238"/>
      <c r="U433" s="238"/>
      <c r="V433" s="238"/>
      <c r="W433" s="238"/>
      <c r="X433" s="101"/>
      <c r="Y433" s="101"/>
      <c r="Z433" s="101"/>
      <c r="AA433" s="102"/>
      <c r="AB433" s="131"/>
      <c r="AC433" s="140"/>
    </row>
    <row r="434" spans="1:29" x14ac:dyDescent="0.3">
      <c r="A434" s="115">
        <f t="shared" ref="A434" si="1102">$A429+1</f>
        <v>87</v>
      </c>
      <c r="B434" s="186"/>
      <c r="C434" s="105">
        <f>INDEX(Tribs!$C$3:$C$102,MATCH($A434,Tribs!$A$3:$A$102,0))</f>
        <v>0</v>
      </c>
      <c r="D434" s="106">
        <f>INDEX(Tribs!$E$3:$E$102,MATCH($A434,Tribs!$A$3:$A$102,0))</f>
        <v>0</v>
      </c>
      <c r="E434" s="105">
        <f>INDEX(Tribs!$F$3:$F$102,MATCH($A434,Tribs!$A$3:$A$102,0))</f>
        <v>0</v>
      </c>
      <c r="F434" s="116">
        <f t="shared" ref="F434" si="1103">($C434*$E434)</f>
        <v>0</v>
      </c>
      <c r="G434" s="110"/>
      <c r="H434" s="111">
        <f t="shared" ref="H434" si="1104">($F434)+(SUM($G435:$G438))</f>
        <v>0</v>
      </c>
      <c r="I434" s="106">
        <f>INDEX(Tribs!$D$3:$D$102,MATCH($A434,Tribs!$A$3:$A$102,0))</f>
        <v>0</v>
      </c>
      <c r="J434" s="106">
        <f>INDEX(Tribs!$G$3:$G$102,MATCH($A434,Tribs!$A$3:$A$102,0))</f>
        <v>0</v>
      </c>
      <c r="K434" s="105">
        <f>($J434)/V_gutter*(1/60)</f>
        <v>0</v>
      </c>
      <c r="L434" s="112"/>
      <c r="M434" s="109"/>
      <c r="N434" s="129">
        <f t="shared" ref="N434" si="1105">($I434+$K434)</f>
        <v>0</v>
      </c>
      <c r="O434" s="111">
        <f t="shared" ref="O434" si="1106">MAX($N434:$N438)</f>
        <v>0</v>
      </c>
      <c r="P434" s="133">
        <f>IF($H434&gt;0,IF($O434&lt;=T_1,I_1,IF($O434&lt;=T_2,(($O434*M_1)+B_1),IF($O434&lt;=T_3,(($O434*M_2)+B_2),IF($O434&lt;=T_4,(($O434*M_3)+B_3),IF($O434&lt;=T_5,(($O434*M_4)+B_4),IF($O434&lt;=T_6,(($O434*M_5)+B_5),IF($O434&lt;=T_7,(($O434*M_6)+B_6),IF($O434&lt;=T_8,(($O434*M_7)+B_7),IF($O434&lt;=T_9,(($O434*M_8)+B_8),IF($O434&lt;=T_10,(($O434*M_9)+B_9))))))))))),0)</f>
        <v>0</v>
      </c>
      <c r="Q434" s="111">
        <f t="shared" ref="Q434" si="1107">ROUND(($H434*$P434),2)</f>
        <v>0</v>
      </c>
      <c r="R434" s="107">
        <f>IF($Q434&gt;0,IF($Q434&lt;=UTH!$M$4,UTH!$J$4,IF($Q434&lt;=UTH!$M$5,UTH!$J$5,IF($Q434&lt;=UTH!$M$6,UTH!$J$6,IF($Q434&lt;=UTH!$M$7,UTH!$J$7,IF($Q434&lt;=UTH!$M$8,UTH!$J$8,IF($Q434&lt;=UTH!$M$9,UTH!$J$9,IF($Q434&lt;=UTH!$M$10,UTH!$J$10,IF($Q434&lt;=UTH!$M$11,UTH!$J$11,IF($Q434&lt;=UTH!$M$12,UTH!$J$12,IF($Q434&lt;=UTH!$M$13,UTH!$J$13,IF($Q434&lt;=UTH!$M$14,UTH!$J$14,IF($Q434&lt;=UTH!$M$15,UTH!$J$15,IF($Q434&lt;=UTH!$M$16,UTH!$J$16,IF($Q434&lt;=UTH!$M$17,UTH!$J$17,IF($Q434&lt;=UTH!$M$18,UTH!$J$18,IF($Q434&lt;=UTH!$M$19,UTH!$J$19,IF($Q434&lt;=UTH!$M$20,UTH!$J$20))))))))))))))))),0)</f>
        <v>0</v>
      </c>
      <c r="S434" s="107">
        <f>IF(Inverts!$D434="YES",Inverts!$C434,Inverts!$E434)</f>
        <v>0</v>
      </c>
      <c r="T434" s="108">
        <f>IF($S434,($Q434/(KQ*($S434^(8/3))))^2,0)</f>
        <v>0</v>
      </c>
      <c r="U434" s="108">
        <f>IF($S434,(Vmin/(KV*($S434^(2/3))))^2,0)</f>
        <v>0</v>
      </c>
      <c r="V434" s="108">
        <f>IF($Z434,ROUND(MinDrop_2/$Z434,4),0)</f>
        <v>0</v>
      </c>
      <c r="W434" s="108">
        <f t="shared" ref="W434" si="1108">IF($S434=0,0,MAX($T434:$V434))</f>
        <v>0</v>
      </c>
      <c r="X434" s="108">
        <f>IF(Inverts!$H434="yes",Inverts!$G434,Inverts!$I434)</f>
        <v>0</v>
      </c>
      <c r="Y434" s="105">
        <f>ROUND(KV*($S434^(2/3))*($X434^(0.5)),2)</f>
        <v>0</v>
      </c>
      <c r="Z434" s="106">
        <f>INDEX(Tribs!$H$3:$H$102,MATCH($A434,Tribs!$A$3:$A$102,0))</f>
        <v>0</v>
      </c>
      <c r="AA434" s="105">
        <f t="shared" ref="AA434" si="1109">IF($Y434,($Z434/$Y434)*(1/60),0)</f>
        <v>0</v>
      </c>
      <c r="AB434" s="111">
        <f>ROUND(KQ*($S434^(8/3))*($X434^(0.5)),2)</f>
        <v>0</v>
      </c>
      <c r="AC434" s="138" t="str">
        <f>IF(AND($AB434&gt;=($Q434-0.0049),$Y434&gt;=(Vmin-0.0049)),"OK","NG")</f>
        <v>NG</v>
      </c>
    </row>
    <row r="435" spans="1:29" x14ac:dyDescent="0.3">
      <c r="A435" s="121"/>
      <c r="B435" s="184"/>
      <c r="C435" s="54"/>
      <c r="D435" s="52"/>
      <c r="E435" s="52"/>
      <c r="F435" s="117"/>
      <c r="G435" s="119">
        <f t="shared" ref="G435" si="1110">IF($B435,INDEX($H$4:$H$499,(MATCH($B435,$A$4:$A$499))),0)</f>
        <v>0</v>
      </c>
      <c r="H435" s="113"/>
      <c r="I435" s="52"/>
      <c r="J435" s="52"/>
      <c r="K435" s="123"/>
      <c r="L435" s="53">
        <f t="shared" ref="L435" si="1111">IF($B435,INDEX($O$4:$O$499,MATCH($B435,$A$4:$A$499)),0)</f>
        <v>0</v>
      </c>
      <c r="M435" s="126">
        <f t="shared" ref="M435" si="1112">IF($B435,INDEX($AA$4:$AA$499,MATCH($B435,$A$4:$A$499)),0)</f>
        <v>0</v>
      </c>
      <c r="N435" s="119">
        <f t="shared" ref="N435" si="1113">($L435+$M435)</f>
        <v>0</v>
      </c>
      <c r="O435" s="130"/>
      <c r="P435" s="134"/>
      <c r="Q435" s="130"/>
      <c r="R435" s="52"/>
      <c r="S435" s="224">
        <f t="shared" ref="S435:S438" si="1114">S434</f>
        <v>0</v>
      </c>
      <c r="T435" s="237"/>
      <c r="U435" s="237"/>
      <c r="V435" s="237"/>
      <c r="W435" s="237"/>
      <c r="X435" s="52"/>
      <c r="Y435" s="52"/>
      <c r="Z435" s="52"/>
      <c r="AA435" s="54"/>
      <c r="AB435" s="130"/>
      <c r="AC435" s="139"/>
    </row>
    <row r="436" spans="1:29" x14ac:dyDescent="0.3">
      <c r="A436" s="121"/>
      <c r="B436" s="184"/>
      <c r="C436" s="54"/>
      <c r="D436" s="52"/>
      <c r="E436" s="52"/>
      <c r="F436" s="117"/>
      <c r="G436" s="119">
        <f t="shared" si="1006"/>
        <v>0</v>
      </c>
      <c r="H436" s="113"/>
      <c r="I436" s="52"/>
      <c r="J436" s="52"/>
      <c r="K436" s="124"/>
      <c r="L436" s="53">
        <f t="shared" si="1033"/>
        <v>0</v>
      </c>
      <c r="M436" s="127">
        <f t="shared" si="1034"/>
        <v>0</v>
      </c>
      <c r="N436" s="119">
        <f t="shared" si="1035"/>
        <v>0</v>
      </c>
      <c r="O436" s="130"/>
      <c r="P436" s="134"/>
      <c r="Q436" s="130"/>
      <c r="R436" s="52"/>
      <c r="S436" s="224">
        <f t="shared" si="1114"/>
        <v>0</v>
      </c>
      <c r="T436" s="237"/>
      <c r="U436" s="237"/>
      <c r="V436" s="237"/>
      <c r="W436" s="237"/>
      <c r="X436" s="52"/>
      <c r="Y436" s="52"/>
      <c r="Z436" s="52"/>
      <c r="AA436" s="54"/>
      <c r="AB436" s="130"/>
      <c r="AC436" s="139"/>
    </row>
    <row r="437" spans="1:29" x14ac:dyDescent="0.3">
      <c r="A437" s="121"/>
      <c r="B437" s="184"/>
      <c r="C437" s="54"/>
      <c r="D437" s="52"/>
      <c r="E437" s="52"/>
      <c r="F437" s="117"/>
      <c r="G437" s="119">
        <f t="shared" si="1006"/>
        <v>0</v>
      </c>
      <c r="H437" s="113"/>
      <c r="I437" s="52"/>
      <c r="J437" s="52"/>
      <c r="K437" s="124"/>
      <c r="L437" s="53">
        <f t="shared" si="1033"/>
        <v>0</v>
      </c>
      <c r="M437" s="127">
        <f t="shared" si="1034"/>
        <v>0</v>
      </c>
      <c r="N437" s="119">
        <f t="shared" si="1035"/>
        <v>0</v>
      </c>
      <c r="O437" s="130"/>
      <c r="P437" s="134"/>
      <c r="Q437" s="130"/>
      <c r="R437" s="52"/>
      <c r="S437" s="224">
        <f t="shared" si="1114"/>
        <v>0</v>
      </c>
      <c r="T437" s="237"/>
      <c r="U437" s="237"/>
      <c r="V437" s="237"/>
      <c r="W437" s="237"/>
      <c r="X437" s="52"/>
      <c r="Y437" s="52"/>
      <c r="Z437" s="52"/>
      <c r="AA437" s="54"/>
      <c r="AB437" s="130"/>
      <c r="AC437" s="139"/>
    </row>
    <row r="438" spans="1:29" ht="15" thickBot="1" x14ac:dyDescent="0.35">
      <c r="A438" s="122"/>
      <c r="B438" s="185"/>
      <c r="C438" s="102"/>
      <c r="D438" s="101"/>
      <c r="E438" s="101"/>
      <c r="F438" s="118"/>
      <c r="G438" s="120">
        <f t="shared" si="1006"/>
        <v>0</v>
      </c>
      <c r="H438" s="114"/>
      <c r="I438" s="101"/>
      <c r="J438" s="101"/>
      <c r="K438" s="125"/>
      <c r="L438" s="103">
        <f t="shared" si="1033"/>
        <v>0</v>
      </c>
      <c r="M438" s="128">
        <f t="shared" si="1034"/>
        <v>0</v>
      </c>
      <c r="N438" s="120">
        <f t="shared" si="1035"/>
        <v>0</v>
      </c>
      <c r="O438" s="131"/>
      <c r="P438" s="135"/>
      <c r="Q438" s="131"/>
      <c r="R438" s="101"/>
      <c r="S438" s="104">
        <f t="shared" si="1114"/>
        <v>0</v>
      </c>
      <c r="T438" s="238"/>
      <c r="U438" s="238"/>
      <c r="V438" s="238"/>
      <c r="W438" s="238"/>
      <c r="X438" s="101"/>
      <c r="Y438" s="101"/>
      <c r="Z438" s="101"/>
      <c r="AA438" s="102"/>
      <c r="AB438" s="131"/>
      <c r="AC438" s="140"/>
    </row>
    <row r="439" spans="1:29" x14ac:dyDescent="0.3">
      <c r="A439" s="115">
        <f t="shared" ref="A439" si="1115">$A434+1</f>
        <v>88</v>
      </c>
      <c r="B439" s="186"/>
      <c r="C439" s="105">
        <f>INDEX(Tribs!$C$3:$C$102,MATCH($A439,Tribs!$A$3:$A$102,0))</f>
        <v>0</v>
      </c>
      <c r="D439" s="106">
        <f>INDEX(Tribs!$E$3:$E$102,MATCH($A439,Tribs!$A$3:$A$102,0))</f>
        <v>0</v>
      </c>
      <c r="E439" s="105">
        <f>INDEX(Tribs!$F$3:$F$102,MATCH($A439,Tribs!$A$3:$A$102,0))</f>
        <v>0</v>
      </c>
      <c r="F439" s="116">
        <f t="shared" ref="F439" si="1116">($C439*$E439)</f>
        <v>0</v>
      </c>
      <c r="G439" s="110"/>
      <c r="H439" s="111">
        <f t="shared" ref="H439" si="1117">($F439)+(SUM($G440:$G443))</f>
        <v>0</v>
      </c>
      <c r="I439" s="106">
        <f>INDEX(Tribs!$D$3:$D$102,MATCH($A439,Tribs!$A$3:$A$102,0))</f>
        <v>0</v>
      </c>
      <c r="J439" s="106">
        <f>INDEX(Tribs!$G$3:$G$102,MATCH($A439,Tribs!$A$3:$A$102,0))</f>
        <v>0</v>
      </c>
      <c r="K439" s="105">
        <f>($J439)/V_gutter*(1/60)</f>
        <v>0</v>
      </c>
      <c r="L439" s="112"/>
      <c r="M439" s="109"/>
      <c r="N439" s="129">
        <f t="shared" ref="N439" si="1118">($I439+$K439)</f>
        <v>0</v>
      </c>
      <c r="O439" s="111">
        <f t="shared" ref="O439" si="1119">MAX($N439:$N443)</f>
        <v>0</v>
      </c>
      <c r="P439" s="133">
        <f>IF($H439&gt;0,IF($O439&lt;=T_1,I_1,IF($O439&lt;=T_2,(($O439*M_1)+B_1),IF($O439&lt;=T_3,(($O439*M_2)+B_2),IF($O439&lt;=T_4,(($O439*M_3)+B_3),IF($O439&lt;=T_5,(($O439*M_4)+B_4),IF($O439&lt;=T_6,(($O439*M_5)+B_5),IF($O439&lt;=T_7,(($O439*M_6)+B_6),IF($O439&lt;=T_8,(($O439*M_7)+B_7),IF($O439&lt;=T_9,(($O439*M_8)+B_8),IF($O439&lt;=T_10,(($O439*M_9)+B_9))))))))))),0)</f>
        <v>0</v>
      </c>
      <c r="Q439" s="111">
        <f t="shared" ref="Q439" si="1120">ROUND(($H439*$P439),2)</f>
        <v>0</v>
      </c>
      <c r="R439" s="107">
        <f>IF($Q439&gt;0,IF($Q439&lt;=UTH!$M$4,UTH!$J$4,IF($Q439&lt;=UTH!$M$5,UTH!$J$5,IF($Q439&lt;=UTH!$M$6,UTH!$J$6,IF($Q439&lt;=UTH!$M$7,UTH!$J$7,IF($Q439&lt;=UTH!$M$8,UTH!$J$8,IF($Q439&lt;=UTH!$M$9,UTH!$J$9,IF($Q439&lt;=UTH!$M$10,UTH!$J$10,IF($Q439&lt;=UTH!$M$11,UTH!$J$11,IF($Q439&lt;=UTH!$M$12,UTH!$J$12,IF($Q439&lt;=UTH!$M$13,UTH!$J$13,IF($Q439&lt;=UTH!$M$14,UTH!$J$14,IF($Q439&lt;=UTH!$M$15,UTH!$J$15,IF($Q439&lt;=UTH!$M$16,UTH!$J$16,IF($Q439&lt;=UTH!$M$17,UTH!$J$17,IF($Q439&lt;=UTH!$M$18,UTH!$J$18,IF($Q439&lt;=UTH!$M$19,UTH!$J$19,IF($Q439&lt;=UTH!$M$20,UTH!$J$20))))))))))))))))),0)</f>
        <v>0</v>
      </c>
      <c r="S439" s="107">
        <f>IF(Inverts!$D439="YES",Inverts!$C439,Inverts!$E439)</f>
        <v>0</v>
      </c>
      <c r="T439" s="108">
        <f>IF($S439,($Q439/(KQ*($S439^(8/3))))^2,0)</f>
        <v>0</v>
      </c>
      <c r="U439" s="108">
        <f>IF($S439,(Vmin/(KV*($S439^(2/3))))^2,0)</f>
        <v>0</v>
      </c>
      <c r="V439" s="108">
        <f>IF($Z439,ROUND(MinDrop_2/$Z439,4),0)</f>
        <v>0</v>
      </c>
      <c r="W439" s="108">
        <f t="shared" ref="W439" si="1121">IF($S439=0,0,MAX($T439:$V439))</f>
        <v>0</v>
      </c>
      <c r="X439" s="108">
        <f>IF(Inverts!$H439="yes",Inverts!$G439,Inverts!$I439)</f>
        <v>0</v>
      </c>
      <c r="Y439" s="105">
        <f>ROUND(KV*($S439^(2/3))*($X439^(0.5)),2)</f>
        <v>0</v>
      </c>
      <c r="Z439" s="106">
        <f>INDEX(Tribs!$H$3:$H$102,MATCH($A439,Tribs!$A$3:$A$102,0))</f>
        <v>0</v>
      </c>
      <c r="AA439" s="105">
        <f t="shared" ref="AA439" si="1122">IF($Y439,($Z439/$Y439)*(1/60),0)</f>
        <v>0</v>
      </c>
      <c r="AB439" s="111">
        <f>ROUND(KQ*($S439^(8/3))*($X439^(0.5)),2)</f>
        <v>0</v>
      </c>
      <c r="AC439" s="138" t="str">
        <f>IF(AND($AB439&gt;=($Q439-0.0049),$Y439&gt;=(Vmin-0.0049)),"OK","NG")</f>
        <v>NG</v>
      </c>
    </row>
    <row r="440" spans="1:29" x14ac:dyDescent="0.3">
      <c r="A440" s="121"/>
      <c r="B440" s="184"/>
      <c r="C440" s="54"/>
      <c r="D440" s="52"/>
      <c r="E440" s="52"/>
      <c r="F440" s="117"/>
      <c r="G440" s="119">
        <f t="shared" ref="G440" si="1123">IF($B440,INDEX($H$4:$H$499,(MATCH($B440,$A$4:$A$499))),0)</f>
        <v>0</v>
      </c>
      <c r="H440" s="113"/>
      <c r="I440" s="52"/>
      <c r="J440" s="52"/>
      <c r="K440" s="123"/>
      <c r="L440" s="53">
        <f t="shared" ref="L440" si="1124">IF($B440,INDEX($O$4:$O$499,MATCH($B440,$A$4:$A$499)),0)</f>
        <v>0</v>
      </c>
      <c r="M440" s="126">
        <f t="shared" ref="M440" si="1125">IF($B440,INDEX($AA$4:$AA$499,MATCH($B440,$A$4:$A$499)),0)</f>
        <v>0</v>
      </c>
      <c r="N440" s="119">
        <f t="shared" ref="N440" si="1126">($L440+$M440)</f>
        <v>0</v>
      </c>
      <c r="O440" s="130"/>
      <c r="P440" s="134"/>
      <c r="Q440" s="130"/>
      <c r="R440" s="52"/>
      <c r="S440" s="224">
        <f t="shared" ref="S440:S443" si="1127">S439</f>
        <v>0</v>
      </c>
      <c r="T440" s="237"/>
      <c r="U440" s="237"/>
      <c r="V440" s="237"/>
      <c r="W440" s="237"/>
      <c r="X440" s="52"/>
      <c r="Y440" s="52"/>
      <c r="Z440" s="52"/>
      <c r="AA440" s="54"/>
      <c r="AB440" s="130"/>
      <c r="AC440" s="139"/>
    </row>
    <row r="441" spans="1:29" x14ac:dyDescent="0.3">
      <c r="A441" s="121"/>
      <c r="B441" s="184"/>
      <c r="C441" s="54"/>
      <c r="D441" s="52"/>
      <c r="E441" s="52"/>
      <c r="F441" s="117"/>
      <c r="G441" s="119">
        <f t="shared" si="1006"/>
        <v>0</v>
      </c>
      <c r="H441" s="113"/>
      <c r="I441" s="52"/>
      <c r="J441" s="52"/>
      <c r="K441" s="124"/>
      <c r="L441" s="53">
        <f t="shared" si="1033"/>
        <v>0</v>
      </c>
      <c r="M441" s="127">
        <f t="shared" si="1034"/>
        <v>0</v>
      </c>
      <c r="N441" s="119">
        <f t="shared" si="1035"/>
        <v>0</v>
      </c>
      <c r="O441" s="130"/>
      <c r="P441" s="134"/>
      <c r="Q441" s="130"/>
      <c r="R441" s="52"/>
      <c r="S441" s="224">
        <f t="shared" si="1127"/>
        <v>0</v>
      </c>
      <c r="T441" s="237"/>
      <c r="U441" s="237"/>
      <c r="V441" s="237"/>
      <c r="W441" s="237"/>
      <c r="X441" s="52"/>
      <c r="Y441" s="52"/>
      <c r="Z441" s="52"/>
      <c r="AA441" s="54"/>
      <c r="AB441" s="130"/>
      <c r="AC441" s="139"/>
    </row>
    <row r="442" spans="1:29" x14ac:dyDescent="0.3">
      <c r="A442" s="121"/>
      <c r="B442" s="184"/>
      <c r="C442" s="54"/>
      <c r="D442" s="52"/>
      <c r="E442" s="52"/>
      <c r="F442" s="117"/>
      <c r="G442" s="119">
        <f t="shared" si="1006"/>
        <v>0</v>
      </c>
      <c r="H442" s="113"/>
      <c r="I442" s="52"/>
      <c r="J442" s="52"/>
      <c r="K442" s="124"/>
      <c r="L442" s="53">
        <f t="shared" si="1033"/>
        <v>0</v>
      </c>
      <c r="M442" s="127">
        <f t="shared" si="1034"/>
        <v>0</v>
      </c>
      <c r="N442" s="119">
        <f t="shared" si="1035"/>
        <v>0</v>
      </c>
      <c r="O442" s="130"/>
      <c r="P442" s="134"/>
      <c r="Q442" s="130"/>
      <c r="R442" s="52"/>
      <c r="S442" s="224">
        <f t="shared" si="1127"/>
        <v>0</v>
      </c>
      <c r="T442" s="237"/>
      <c r="U442" s="237"/>
      <c r="V442" s="237"/>
      <c r="W442" s="237"/>
      <c r="X442" s="52"/>
      <c r="Y442" s="52"/>
      <c r="Z442" s="52"/>
      <c r="AA442" s="54"/>
      <c r="AB442" s="130"/>
      <c r="AC442" s="139"/>
    </row>
    <row r="443" spans="1:29" ht="15" thickBot="1" x14ac:dyDescent="0.35">
      <c r="A443" s="122"/>
      <c r="B443" s="185"/>
      <c r="C443" s="102"/>
      <c r="D443" s="101"/>
      <c r="E443" s="101"/>
      <c r="F443" s="118"/>
      <c r="G443" s="120">
        <f t="shared" si="1006"/>
        <v>0</v>
      </c>
      <c r="H443" s="114"/>
      <c r="I443" s="101"/>
      <c r="J443" s="101"/>
      <c r="K443" s="125"/>
      <c r="L443" s="103">
        <f t="shared" si="1033"/>
        <v>0</v>
      </c>
      <c r="M443" s="128">
        <f t="shared" si="1034"/>
        <v>0</v>
      </c>
      <c r="N443" s="120">
        <f t="shared" si="1035"/>
        <v>0</v>
      </c>
      <c r="O443" s="131"/>
      <c r="P443" s="135"/>
      <c r="Q443" s="131"/>
      <c r="R443" s="101"/>
      <c r="S443" s="104">
        <f t="shared" si="1127"/>
        <v>0</v>
      </c>
      <c r="T443" s="238"/>
      <c r="U443" s="238"/>
      <c r="V443" s="238"/>
      <c r="W443" s="238"/>
      <c r="X443" s="101"/>
      <c r="Y443" s="101"/>
      <c r="Z443" s="101"/>
      <c r="AA443" s="102"/>
      <c r="AB443" s="131"/>
      <c r="AC443" s="140"/>
    </row>
    <row r="444" spans="1:29" x14ac:dyDescent="0.3">
      <c r="A444" s="115">
        <f t="shared" ref="A444" si="1128">$A439+1</f>
        <v>89</v>
      </c>
      <c r="B444" s="186"/>
      <c r="C444" s="105">
        <f>INDEX(Tribs!$C$3:$C$102,MATCH($A444,Tribs!$A$3:$A$102,0))</f>
        <v>0</v>
      </c>
      <c r="D444" s="106">
        <f>INDEX(Tribs!$E$3:$E$102,MATCH($A444,Tribs!$A$3:$A$102,0))</f>
        <v>0</v>
      </c>
      <c r="E444" s="105">
        <f>INDEX(Tribs!$F$3:$F$102,MATCH($A444,Tribs!$A$3:$A$102,0))</f>
        <v>0</v>
      </c>
      <c r="F444" s="116">
        <f t="shared" ref="F444" si="1129">($C444*$E444)</f>
        <v>0</v>
      </c>
      <c r="G444" s="110"/>
      <c r="H444" s="111">
        <f t="shared" ref="H444" si="1130">($F444)+(SUM($G445:$G448))</f>
        <v>0</v>
      </c>
      <c r="I444" s="106">
        <f>INDEX(Tribs!$D$3:$D$102,MATCH($A444,Tribs!$A$3:$A$102,0))</f>
        <v>0</v>
      </c>
      <c r="J444" s="106">
        <f>INDEX(Tribs!$G$3:$G$102,MATCH($A444,Tribs!$A$3:$A$102,0))</f>
        <v>0</v>
      </c>
      <c r="K444" s="105">
        <f>($J444)/V_gutter*(1/60)</f>
        <v>0</v>
      </c>
      <c r="L444" s="112"/>
      <c r="M444" s="109"/>
      <c r="N444" s="129">
        <f t="shared" ref="N444" si="1131">($I444+$K444)</f>
        <v>0</v>
      </c>
      <c r="O444" s="111">
        <f t="shared" ref="O444" si="1132">MAX($N444:$N448)</f>
        <v>0</v>
      </c>
      <c r="P444" s="133">
        <f>IF($H444&gt;0,IF($O444&lt;=T_1,I_1,IF($O444&lt;=T_2,(($O444*M_1)+B_1),IF($O444&lt;=T_3,(($O444*M_2)+B_2),IF($O444&lt;=T_4,(($O444*M_3)+B_3),IF($O444&lt;=T_5,(($O444*M_4)+B_4),IF($O444&lt;=T_6,(($O444*M_5)+B_5),IF($O444&lt;=T_7,(($O444*M_6)+B_6),IF($O444&lt;=T_8,(($O444*M_7)+B_7),IF($O444&lt;=T_9,(($O444*M_8)+B_8),IF($O444&lt;=T_10,(($O444*M_9)+B_9))))))))))),0)</f>
        <v>0</v>
      </c>
      <c r="Q444" s="111">
        <f t="shared" ref="Q444" si="1133">ROUND(($H444*$P444),2)</f>
        <v>0</v>
      </c>
      <c r="R444" s="107">
        <f>IF($Q444&gt;0,IF($Q444&lt;=UTH!$M$4,UTH!$J$4,IF($Q444&lt;=UTH!$M$5,UTH!$J$5,IF($Q444&lt;=UTH!$M$6,UTH!$J$6,IF($Q444&lt;=UTH!$M$7,UTH!$J$7,IF($Q444&lt;=UTH!$M$8,UTH!$J$8,IF($Q444&lt;=UTH!$M$9,UTH!$J$9,IF($Q444&lt;=UTH!$M$10,UTH!$J$10,IF($Q444&lt;=UTH!$M$11,UTH!$J$11,IF($Q444&lt;=UTH!$M$12,UTH!$J$12,IF($Q444&lt;=UTH!$M$13,UTH!$J$13,IF($Q444&lt;=UTH!$M$14,UTH!$J$14,IF($Q444&lt;=UTH!$M$15,UTH!$J$15,IF($Q444&lt;=UTH!$M$16,UTH!$J$16,IF($Q444&lt;=UTH!$M$17,UTH!$J$17,IF($Q444&lt;=UTH!$M$18,UTH!$J$18,IF($Q444&lt;=UTH!$M$19,UTH!$J$19,IF($Q444&lt;=UTH!$M$20,UTH!$J$20))))))))))))))))),0)</f>
        <v>0</v>
      </c>
      <c r="S444" s="107">
        <f>IF(Inverts!$D444="YES",Inverts!$C444,Inverts!$E444)</f>
        <v>0</v>
      </c>
      <c r="T444" s="108">
        <f>IF($S444,($Q444/(KQ*($S444^(8/3))))^2,0)</f>
        <v>0</v>
      </c>
      <c r="U444" s="108">
        <f>IF($S444,(Vmin/(KV*($S444^(2/3))))^2,0)</f>
        <v>0</v>
      </c>
      <c r="V444" s="108">
        <f>IF($Z444,ROUND(MinDrop_2/$Z444,4),0)</f>
        <v>0</v>
      </c>
      <c r="W444" s="108">
        <f t="shared" ref="W444" si="1134">IF($S444=0,0,MAX($T444:$V444))</f>
        <v>0</v>
      </c>
      <c r="X444" s="108">
        <f>IF(Inverts!$H444="yes",Inverts!$G444,Inverts!$I444)</f>
        <v>0</v>
      </c>
      <c r="Y444" s="105">
        <f>ROUND(KV*($S444^(2/3))*($X444^(0.5)),2)</f>
        <v>0</v>
      </c>
      <c r="Z444" s="106">
        <f>INDEX(Tribs!$H$3:$H$102,MATCH($A444,Tribs!$A$3:$A$102,0))</f>
        <v>0</v>
      </c>
      <c r="AA444" s="105">
        <f t="shared" ref="AA444" si="1135">IF($Y444,($Z444/$Y444)*(1/60),0)</f>
        <v>0</v>
      </c>
      <c r="AB444" s="111">
        <f>ROUND(KQ*($S444^(8/3))*($X444^(0.5)),2)</f>
        <v>0</v>
      </c>
      <c r="AC444" s="138" t="str">
        <f>IF(AND($AB444&gt;=($Q444-0.0049),$Y444&gt;=(Vmin-0.0049)),"OK","NG")</f>
        <v>NG</v>
      </c>
    </row>
    <row r="445" spans="1:29" x14ac:dyDescent="0.3">
      <c r="A445" s="121"/>
      <c r="B445" s="184"/>
      <c r="C445" s="54"/>
      <c r="D445" s="52"/>
      <c r="E445" s="52"/>
      <c r="F445" s="117"/>
      <c r="G445" s="119">
        <f t="shared" ref="G445" si="1136">IF($B445,INDEX($H$4:$H$499,(MATCH($B445,$A$4:$A$499))),0)</f>
        <v>0</v>
      </c>
      <c r="H445" s="113"/>
      <c r="I445" s="52"/>
      <c r="J445" s="52"/>
      <c r="K445" s="123"/>
      <c r="L445" s="53">
        <f t="shared" ref="L445" si="1137">IF($B445,INDEX($O$4:$O$499,MATCH($B445,$A$4:$A$499)),0)</f>
        <v>0</v>
      </c>
      <c r="M445" s="126">
        <f t="shared" ref="M445" si="1138">IF($B445,INDEX($AA$4:$AA$499,MATCH($B445,$A$4:$A$499)),0)</f>
        <v>0</v>
      </c>
      <c r="N445" s="119">
        <f t="shared" ref="N445" si="1139">($L445+$M445)</f>
        <v>0</v>
      </c>
      <c r="O445" s="130"/>
      <c r="P445" s="134"/>
      <c r="Q445" s="130"/>
      <c r="R445" s="52"/>
      <c r="S445" s="224">
        <f t="shared" ref="S445:S448" si="1140">S444</f>
        <v>0</v>
      </c>
      <c r="T445" s="237"/>
      <c r="U445" s="237"/>
      <c r="V445" s="237"/>
      <c r="W445" s="237"/>
      <c r="X445" s="52"/>
      <c r="Y445" s="52"/>
      <c r="Z445" s="52"/>
      <c r="AA445" s="54"/>
      <c r="AB445" s="130"/>
      <c r="AC445" s="139"/>
    </row>
    <row r="446" spans="1:29" x14ac:dyDescent="0.3">
      <c r="A446" s="121"/>
      <c r="B446" s="184"/>
      <c r="C446" s="54"/>
      <c r="D446" s="52"/>
      <c r="E446" s="52"/>
      <c r="F446" s="117"/>
      <c r="G446" s="119">
        <f t="shared" si="1006"/>
        <v>0</v>
      </c>
      <c r="H446" s="113"/>
      <c r="I446" s="52"/>
      <c r="J446" s="52"/>
      <c r="K446" s="124"/>
      <c r="L446" s="53">
        <f t="shared" si="1033"/>
        <v>0</v>
      </c>
      <c r="M446" s="127">
        <f t="shared" si="1034"/>
        <v>0</v>
      </c>
      <c r="N446" s="119">
        <f t="shared" si="1035"/>
        <v>0</v>
      </c>
      <c r="O446" s="130"/>
      <c r="P446" s="134"/>
      <c r="Q446" s="130"/>
      <c r="R446" s="52"/>
      <c r="S446" s="224">
        <f t="shared" si="1140"/>
        <v>0</v>
      </c>
      <c r="T446" s="237"/>
      <c r="U446" s="237"/>
      <c r="V446" s="237"/>
      <c r="W446" s="237"/>
      <c r="X446" s="52"/>
      <c r="Y446" s="52"/>
      <c r="Z446" s="52"/>
      <c r="AA446" s="54"/>
      <c r="AB446" s="130"/>
      <c r="AC446" s="139"/>
    </row>
    <row r="447" spans="1:29" x14ac:dyDescent="0.3">
      <c r="A447" s="121"/>
      <c r="B447" s="184"/>
      <c r="C447" s="54"/>
      <c r="D447" s="52"/>
      <c r="E447" s="52"/>
      <c r="F447" s="117"/>
      <c r="G447" s="119">
        <f t="shared" si="1006"/>
        <v>0</v>
      </c>
      <c r="H447" s="113"/>
      <c r="I447" s="52"/>
      <c r="J447" s="52"/>
      <c r="K447" s="124"/>
      <c r="L447" s="53">
        <f t="shared" si="1033"/>
        <v>0</v>
      </c>
      <c r="M447" s="127">
        <f t="shared" si="1034"/>
        <v>0</v>
      </c>
      <c r="N447" s="119">
        <f t="shared" si="1035"/>
        <v>0</v>
      </c>
      <c r="O447" s="130"/>
      <c r="P447" s="134"/>
      <c r="Q447" s="130"/>
      <c r="R447" s="52"/>
      <c r="S447" s="224">
        <f t="shared" si="1140"/>
        <v>0</v>
      </c>
      <c r="T447" s="237"/>
      <c r="U447" s="237"/>
      <c r="V447" s="237"/>
      <c r="W447" s="237"/>
      <c r="X447" s="52"/>
      <c r="Y447" s="52"/>
      <c r="Z447" s="52"/>
      <c r="AA447" s="54"/>
      <c r="AB447" s="130"/>
      <c r="AC447" s="139"/>
    </row>
    <row r="448" spans="1:29" ht="15" thickBot="1" x14ac:dyDescent="0.35">
      <c r="A448" s="122"/>
      <c r="B448" s="185"/>
      <c r="C448" s="102"/>
      <c r="D448" s="101"/>
      <c r="E448" s="101"/>
      <c r="F448" s="118"/>
      <c r="G448" s="120">
        <f t="shared" si="1006"/>
        <v>0</v>
      </c>
      <c r="H448" s="114"/>
      <c r="I448" s="101"/>
      <c r="J448" s="101"/>
      <c r="K448" s="125"/>
      <c r="L448" s="103">
        <f t="shared" si="1033"/>
        <v>0</v>
      </c>
      <c r="M448" s="128">
        <f t="shared" si="1034"/>
        <v>0</v>
      </c>
      <c r="N448" s="120">
        <f t="shared" si="1035"/>
        <v>0</v>
      </c>
      <c r="O448" s="131"/>
      <c r="P448" s="135"/>
      <c r="Q448" s="131"/>
      <c r="R448" s="101"/>
      <c r="S448" s="104">
        <f t="shared" si="1140"/>
        <v>0</v>
      </c>
      <c r="T448" s="238"/>
      <c r="U448" s="238"/>
      <c r="V448" s="238"/>
      <c r="W448" s="238"/>
      <c r="X448" s="101"/>
      <c r="Y448" s="101"/>
      <c r="Z448" s="101"/>
      <c r="AA448" s="102"/>
      <c r="AB448" s="131"/>
      <c r="AC448" s="140"/>
    </row>
    <row r="449" spans="1:29" x14ac:dyDescent="0.3">
      <c r="A449" s="115">
        <f t="shared" ref="A449" si="1141">$A444+1</f>
        <v>90</v>
      </c>
      <c r="B449" s="186"/>
      <c r="C449" s="105">
        <f>INDEX(Tribs!$C$3:$C$102,MATCH($A449,Tribs!$A$3:$A$102,0))</f>
        <v>0</v>
      </c>
      <c r="D449" s="106">
        <f>INDEX(Tribs!$E$3:$E$102,MATCH($A449,Tribs!$A$3:$A$102,0))</f>
        <v>0</v>
      </c>
      <c r="E449" s="105">
        <f>INDEX(Tribs!$F$3:$F$102,MATCH($A449,Tribs!$A$3:$A$102,0))</f>
        <v>0</v>
      </c>
      <c r="F449" s="116">
        <f t="shared" ref="F449" si="1142">($C449*$E449)</f>
        <v>0</v>
      </c>
      <c r="G449" s="110"/>
      <c r="H449" s="111">
        <f t="shared" ref="H449" si="1143">($F449)+(SUM($G450:$G453))</f>
        <v>0</v>
      </c>
      <c r="I449" s="106">
        <f>INDEX(Tribs!$D$3:$D$102,MATCH($A449,Tribs!$A$3:$A$102,0))</f>
        <v>0</v>
      </c>
      <c r="J449" s="106">
        <f>INDEX(Tribs!$G$3:$G$102,MATCH($A449,Tribs!$A$3:$A$102,0))</f>
        <v>0</v>
      </c>
      <c r="K449" s="105">
        <f>($J449)/V_gutter*(1/60)</f>
        <v>0</v>
      </c>
      <c r="L449" s="112"/>
      <c r="M449" s="109"/>
      <c r="N449" s="129">
        <f t="shared" ref="N449" si="1144">($I449+$K449)</f>
        <v>0</v>
      </c>
      <c r="O449" s="111">
        <f t="shared" ref="O449" si="1145">MAX($N449:$N453)</f>
        <v>0</v>
      </c>
      <c r="P449" s="133">
        <f>IF($H449&gt;0,IF($O449&lt;=T_1,I_1,IF($O449&lt;=T_2,(($O449*M_1)+B_1),IF($O449&lt;=T_3,(($O449*M_2)+B_2),IF($O449&lt;=T_4,(($O449*M_3)+B_3),IF($O449&lt;=T_5,(($O449*M_4)+B_4),IF($O449&lt;=T_6,(($O449*M_5)+B_5),IF($O449&lt;=T_7,(($O449*M_6)+B_6),IF($O449&lt;=T_8,(($O449*M_7)+B_7),IF($O449&lt;=T_9,(($O449*M_8)+B_8),IF($O449&lt;=T_10,(($O449*M_9)+B_9))))))))))),0)</f>
        <v>0</v>
      </c>
      <c r="Q449" s="111">
        <f t="shared" ref="Q449" si="1146">ROUND(($H449*$P449),2)</f>
        <v>0</v>
      </c>
      <c r="R449" s="107">
        <f>IF($Q449&gt;0,IF($Q449&lt;=UTH!$M$4,UTH!$J$4,IF($Q449&lt;=UTH!$M$5,UTH!$J$5,IF($Q449&lt;=UTH!$M$6,UTH!$J$6,IF($Q449&lt;=UTH!$M$7,UTH!$J$7,IF($Q449&lt;=UTH!$M$8,UTH!$J$8,IF($Q449&lt;=UTH!$M$9,UTH!$J$9,IF($Q449&lt;=UTH!$M$10,UTH!$J$10,IF($Q449&lt;=UTH!$M$11,UTH!$J$11,IF($Q449&lt;=UTH!$M$12,UTH!$J$12,IF($Q449&lt;=UTH!$M$13,UTH!$J$13,IF($Q449&lt;=UTH!$M$14,UTH!$J$14,IF($Q449&lt;=UTH!$M$15,UTH!$J$15,IF($Q449&lt;=UTH!$M$16,UTH!$J$16,IF($Q449&lt;=UTH!$M$17,UTH!$J$17,IF($Q449&lt;=UTH!$M$18,UTH!$J$18,IF($Q449&lt;=UTH!$M$19,UTH!$J$19,IF($Q449&lt;=UTH!$M$20,UTH!$J$20))))))))))))))))),0)</f>
        <v>0</v>
      </c>
      <c r="S449" s="107">
        <f>IF(Inverts!$D449="YES",Inverts!$C449,Inverts!$E449)</f>
        <v>0</v>
      </c>
      <c r="T449" s="108">
        <f>IF($S449,($Q449/(KQ*($S449^(8/3))))^2,0)</f>
        <v>0</v>
      </c>
      <c r="U449" s="108">
        <f>IF($S449,(Vmin/(KV*($S449^(2/3))))^2,0)</f>
        <v>0</v>
      </c>
      <c r="V449" s="108">
        <f>IF($Z449,ROUND(MinDrop_2/$Z449,4),0)</f>
        <v>0</v>
      </c>
      <c r="W449" s="108">
        <f t="shared" ref="W449" si="1147">IF($S449=0,0,MAX($T449:$V449))</f>
        <v>0</v>
      </c>
      <c r="X449" s="108">
        <f>IF(Inverts!$H449="yes",Inverts!$G449,Inverts!$I449)</f>
        <v>0</v>
      </c>
      <c r="Y449" s="105">
        <f>ROUND(KV*($S449^(2/3))*($X449^(0.5)),2)</f>
        <v>0</v>
      </c>
      <c r="Z449" s="106">
        <f>INDEX(Tribs!$H$3:$H$102,MATCH($A449,Tribs!$A$3:$A$102,0))</f>
        <v>0</v>
      </c>
      <c r="AA449" s="105">
        <f t="shared" ref="AA449" si="1148">IF($Y449,($Z449/$Y449)*(1/60),0)</f>
        <v>0</v>
      </c>
      <c r="AB449" s="111">
        <f>ROUND(KQ*($S449^(8/3))*($X449^(0.5)),2)</f>
        <v>0</v>
      </c>
      <c r="AC449" s="138" t="str">
        <f>IF(AND($AB449&gt;=($Q449-0.0049),$Y449&gt;=(Vmin-0.0049)),"OK","NG")</f>
        <v>NG</v>
      </c>
    </row>
    <row r="450" spans="1:29" x14ac:dyDescent="0.3">
      <c r="A450" s="121"/>
      <c r="B450" s="184"/>
      <c r="C450" s="54"/>
      <c r="D450" s="52"/>
      <c r="E450" s="52"/>
      <c r="F450" s="117"/>
      <c r="G450" s="119">
        <f t="shared" ref="G450" si="1149">IF($B450,INDEX($H$4:$H$499,(MATCH($B450,$A$4:$A$499))),0)</f>
        <v>0</v>
      </c>
      <c r="H450" s="113"/>
      <c r="I450" s="52"/>
      <c r="J450" s="52"/>
      <c r="K450" s="123"/>
      <c r="L450" s="53">
        <f t="shared" ref="L450" si="1150">IF($B450,INDEX($O$4:$O$499,MATCH($B450,$A$4:$A$499)),0)</f>
        <v>0</v>
      </c>
      <c r="M450" s="126">
        <f t="shared" ref="M450" si="1151">IF($B450,INDEX($AA$4:$AA$499,MATCH($B450,$A$4:$A$499)),0)</f>
        <v>0</v>
      </c>
      <c r="N450" s="119">
        <f t="shared" ref="N450" si="1152">($L450+$M450)</f>
        <v>0</v>
      </c>
      <c r="O450" s="130"/>
      <c r="P450" s="134"/>
      <c r="Q450" s="130"/>
      <c r="R450" s="52"/>
      <c r="S450" s="224">
        <f t="shared" ref="S450:S453" si="1153">S449</f>
        <v>0</v>
      </c>
      <c r="T450" s="237"/>
      <c r="U450" s="237"/>
      <c r="V450" s="237"/>
      <c r="W450" s="237"/>
      <c r="X450" s="52"/>
      <c r="Y450" s="52"/>
      <c r="Z450" s="52"/>
      <c r="AA450" s="54"/>
      <c r="AB450" s="130"/>
      <c r="AC450" s="139"/>
    </row>
    <row r="451" spans="1:29" x14ac:dyDescent="0.3">
      <c r="A451" s="121"/>
      <c r="B451" s="184"/>
      <c r="C451" s="54"/>
      <c r="D451" s="52"/>
      <c r="E451" s="52"/>
      <c r="F451" s="117"/>
      <c r="G451" s="119">
        <f t="shared" si="1006"/>
        <v>0</v>
      </c>
      <c r="H451" s="113"/>
      <c r="I451" s="52"/>
      <c r="J451" s="52"/>
      <c r="K451" s="124"/>
      <c r="L451" s="53">
        <f t="shared" si="1033"/>
        <v>0</v>
      </c>
      <c r="M451" s="127">
        <f t="shared" si="1034"/>
        <v>0</v>
      </c>
      <c r="N451" s="119">
        <f t="shared" si="1035"/>
        <v>0</v>
      </c>
      <c r="O451" s="130"/>
      <c r="P451" s="134"/>
      <c r="Q451" s="130"/>
      <c r="R451" s="52"/>
      <c r="S451" s="224">
        <f t="shared" si="1153"/>
        <v>0</v>
      </c>
      <c r="T451" s="237"/>
      <c r="U451" s="237"/>
      <c r="V451" s="237"/>
      <c r="W451" s="237"/>
      <c r="X451" s="52"/>
      <c r="Y451" s="52"/>
      <c r="Z451" s="52"/>
      <c r="AA451" s="54"/>
      <c r="AB451" s="130"/>
      <c r="AC451" s="139"/>
    </row>
    <row r="452" spans="1:29" x14ac:dyDescent="0.3">
      <c r="A452" s="121"/>
      <c r="B452" s="184"/>
      <c r="C452" s="54"/>
      <c r="D452" s="52"/>
      <c r="E452" s="52"/>
      <c r="F452" s="117"/>
      <c r="G452" s="119">
        <f t="shared" si="1006"/>
        <v>0</v>
      </c>
      <c r="H452" s="113"/>
      <c r="I452" s="52"/>
      <c r="J452" s="52"/>
      <c r="K452" s="124"/>
      <c r="L452" s="53">
        <f t="shared" si="1033"/>
        <v>0</v>
      </c>
      <c r="M452" s="127">
        <f t="shared" si="1034"/>
        <v>0</v>
      </c>
      <c r="N452" s="119">
        <f t="shared" si="1035"/>
        <v>0</v>
      </c>
      <c r="O452" s="130"/>
      <c r="P452" s="134"/>
      <c r="Q452" s="130"/>
      <c r="R452" s="52"/>
      <c r="S452" s="224">
        <f t="shared" si="1153"/>
        <v>0</v>
      </c>
      <c r="T452" s="237"/>
      <c r="U452" s="237"/>
      <c r="V452" s="237"/>
      <c r="W452" s="237"/>
      <c r="X452" s="52"/>
      <c r="Y452" s="52"/>
      <c r="Z452" s="52"/>
      <c r="AA452" s="54"/>
      <c r="AB452" s="130"/>
      <c r="AC452" s="139"/>
    </row>
    <row r="453" spans="1:29" ht="15" thickBot="1" x14ac:dyDescent="0.35">
      <c r="A453" s="122"/>
      <c r="B453" s="185"/>
      <c r="C453" s="102"/>
      <c r="D453" s="101"/>
      <c r="E453" s="101"/>
      <c r="F453" s="118"/>
      <c r="G453" s="120">
        <f t="shared" si="1006"/>
        <v>0</v>
      </c>
      <c r="H453" s="114"/>
      <c r="I453" s="101"/>
      <c r="J453" s="101"/>
      <c r="K453" s="125"/>
      <c r="L453" s="103">
        <f t="shared" si="1033"/>
        <v>0</v>
      </c>
      <c r="M453" s="128">
        <f t="shared" si="1034"/>
        <v>0</v>
      </c>
      <c r="N453" s="120">
        <f t="shared" si="1035"/>
        <v>0</v>
      </c>
      <c r="O453" s="131"/>
      <c r="P453" s="135"/>
      <c r="Q453" s="131"/>
      <c r="R453" s="101"/>
      <c r="S453" s="104">
        <f t="shared" si="1153"/>
        <v>0</v>
      </c>
      <c r="T453" s="238"/>
      <c r="U453" s="238"/>
      <c r="V453" s="238"/>
      <c r="W453" s="238"/>
      <c r="X453" s="101"/>
      <c r="Y453" s="101"/>
      <c r="Z453" s="101"/>
      <c r="AA453" s="102"/>
      <c r="AB453" s="131"/>
      <c r="AC453" s="140"/>
    </row>
    <row r="454" spans="1:29" x14ac:dyDescent="0.3">
      <c r="A454" s="115">
        <f t="shared" ref="A454" si="1154">$A449+1</f>
        <v>91</v>
      </c>
      <c r="B454" s="186"/>
      <c r="C454" s="105">
        <f>INDEX(Tribs!$C$3:$C$102,MATCH($A454,Tribs!$A$3:$A$102,0))</f>
        <v>0</v>
      </c>
      <c r="D454" s="106">
        <f>INDEX(Tribs!$E$3:$E$102,MATCH($A454,Tribs!$A$3:$A$102,0))</f>
        <v>0</v>
      </c>
      <c r="E454" s="105">
        <f>INDEX(Tribs!$F$3:$F$102,MATCH($A454,Tribs!$A$3:$A$102,0))</f>
        <v>0</v>
      </c>
      <c r="F454" s="116">
        <f t="shared" ref="F454" si="1155">($C454*$E454)</f>
        <v>0</v>
      </c>
      <c r="G454" s="110"/>
      <c r="H454" s="111">
        <f t="shared" ref="H454" si="1156">($F454)+(SUM($G455:$G458))</f>
        <v>0</v>
      </c>
      <c r="I454" s="106">
        <f>INDEX(Tribs!$D$3:$D$102,MATCH($A454,Tribs!$A$3:$A$102,0))</f>
        <v>0</v>
      </c>
      <c r="J454" s="106">
        <f>INDEX(Tribs!$G$3:$G$102,MATCH($A454,Tribs!$A$3:$A$102,0))</f>
        <v>0</v>
      </c>
      <c r="K454" s="105">
        <f>($J454)/V_gutter*(1/60)</f>
        <v>0</v>
      </c>
      <c r="L454" s="112"/>
      <c r="M454" s="109"/>
      <c r="N454" s="129">
        <f t="shared" ref="N454" si="1157">($I454+$K454)</f>
        <v>0</v>
      </c>
      <c r="O454" s="111">
        <f t="shared" ref="O454" si="1158">MAX($N454:$N458)</f>
        <v>0</v>
      </c>
      <c r="P454" s="133">
        <f>IF($H454&gt;0,IF($O454&lt;=T_1,I_1,IF($O454&lt;=T_2,(($O454*M_1)+B_1),IF($O454&lt;=T_3,(($O454*M_2)+B_2),IF($O454&lt;=T_4,(($O454*M_3)+B_3),IF($O454&lt;=T_5,(($O454*M_4)+B_4),IF($O454&lt;=T_6,(($O454*M_5)+B_5),IF($O454&lt;=T_7,(($O454*M_6)+B_6),IF($O454&lt;=T_8,(($O454*M_7)+B_7),IF($O454&lt;=T_9,(($O454*M_8)+B_8),IF($O454&lt;=T_10,(($O454*M_9)+B_9))))))))))),0)</f>
        <v>0</v>
      </c>
      <c r="Q454" s="111">
        <f t="shared" ref="Q454" si="1159">ROUND(($H454*$P454),2)</f>
        <v>0</v>
      </c>
      <c r="R454" s="107">
        <f>IF($Q454&gt;0,IF($Q454&lt;=UTH!$M$4,UTH!$J$4,IF($Q454&lt;=UTH!$M$5,UTH!$J$5,IF($Q454&lt;=UTH!$M$6,UTH!$J$6,IF($Q454&lt;=UTH!$M$7,UTH!$J$7,IF($Q454&lt;=UTH!$M$8,UTH!$J$8,IF($Q454&lt;=UTH!$M$9,UTH!$J$9,IF($Q454&lt;=UTH!$M$10,UTH!$J$10,IF($Q454&lt;=UTH!$M$11,UTH!$J$11,IF($Q454&lt;=UTH!$M$12,UTH!$J$12,IF($Q454&lt;=UTH!$M$13,UTH!$J$13,IF($Q454&lt;=UTH!$M$14,UTH!$J$14,IF($Q454&lt;=UTH!$M$15,UTH!$J$15,IF($Q454&lt;=UTH!$M$16,UTH!$J$16,IF($Q454&lt;=UTH!$M$17,UTH!$J$17,IF($Q454&lt;=UTH!$M$18,UTH!$J$18,IF($Q454&lt;=UTH!$M$19,UTH!$J$19,IF($Q454&lt;=UTH!$M$20,UTH!$J$20))))))))))))))))),0)</f>
        <v>0</v>
      </c>
      <c r="S454" s="107">
        <f>IF(Inverts!$D454="YES",Inverts!$C454,Inverts!$E454)</f>
        <v>0</v>
      </c>
      <c r="T454" s="108">
        <f>IF($S454,($Q454/(KQ*($S454^(8/3))))^2,0)</f>
        <v>0</v>
      </c>
      <c r="U454" s="108">
        <f>IF($S454,(Vmin/(KV*($S454^(2/3))))^2,0)</f>
        <v>0</v>
      </c>
      <c r="V454" s="108">
        <f>IF($Z454,ROUND(MinDrop_2/$Z454,4),0)</f>
        <v>0</v>
      </c>
      <c r="W454" s="108">
        <f t="shared" ref="W454" si="1160">IF($S454=0,0,MAX($T454:$V454))</f>
        <v>0</v>
      </c>
      <c r="X454" s="108">
        <f>IF(Inverts!$H454="yes",Inverts!$G454,Inverts!$I454)</f>
        <v>0</v>
      </c>
      <c r="Y454" s="105">
        <f>ROUND(KV*($S454^(2/3))*($X454^(0.5)),2)</f>
        <v>0</v>
      </c>
      <c r="Z454" s="106">
        <f>INDEX(Tribs!$H$3:$H$102,MATCH($A454,Tribs!$A$3:$A$102,0))</f>
        <v>0</v>
      </c>
      <c r="AA454" s="105">
        <f t="shared" ref="AA454" si="1161">IF($Y454,($Z454/$Y454)*(1/60),0)</f>
        <v>0</v>
      </c>
      <c r="AB454" s="111">
        <f>ROUND(KQ*($S454^(8/3))*($X454^(0.5)),2)</f>
        <v>0</v>
      </c>
      <c r="AC454" s="138" t="str">
        <f>IF(AND($AB454&gt;=($Q454-0.0049),$Y454&gt;=(Vmin-0.0049)),"OK","NG")</f>
        <v>NG</v>
      </c>
    </row>
    <row r="455" spans="1:29" x14ac:dyDescent="0.3">
      <c r="A455" s="121"/>
      <c r="B455" s="184"/>
      <c r="C455" s="54"/>
      <c r="D455" s="52"/>
      <c r="E455" s="52"/>
      <c r="F455" s="117"/>
      <c r="G455" s="119">
        <f t="shared" ref="G455" si="1162">IF($B455,INDEX($H$4:$H$499,(MATCH($B455,$A$4:$A$499))),0)</f>
        <v>0</v>
      </c>
      <c r="H455" s="113"/>
      <c r="I455" s="52"/>
      <c r="J455" s="52"/>
      <c r="K455" s="123"/>
      <c r="L455" s="53">
        <f t="shared" ref="L455" si="1163">IF($B455,INDEX($O$4:$O$499,MATCH($B455,$A$4:$A$499)),0)</f>
        <v>0</v>
      </c>
      <c r="M455" s="126">
        <f t="shared" ref="M455" si="1164">IF($B455,INDEX($AA$4:$AA$499,MATCH($B455,$A$4:$A$499)),0)</f>
        <v>0</v>
      </c>
      <c r="N455" s="119">
        <f t="shared" ref="N455" si="1165">($L455+$M455)</f>
        <v>0</v>
      </c>
      <c r="O455" s="130"/>
      <c r="P455" s="134"/>
      <c r="Q455" s="130"/>
      <c r="R455" s="52"/>
      <c r="S455" s="224">
        <f t="shared" ref="S455:S458" si="1166">S454</f>
        <v>0</v>
      </c>
      <c r="T455" s="237"/>
      <c r="U455" s="237"/>
      <c r="V455" s="237"/>
      <c r="W455" s="237"/>
      <c r="X455" s="52"/>
      <c r="Y455" s="52"/>
      <c r="Z455" s="52"/>
      <c r="AA455" s="54"/>
      <c r="AB455" s="130"/>
      <c r="AC455" s="139"/>
    </row>
    <row r="456" spans="1:29" x14ac:dyDescent="0.3">
      <c r="A456" s="121"/>
      <c r="B456" s="184"/>
      <c r="C456" s="54"/>
      <c r="D456" s="52"/>
      <c r="E456" s="52"/>
      <c r="F456" s="117"/>
      <c r="G456" s="119">
        <f t="shared" si="1006"/>
        <v>0</v>
      </c>
      <c r="H456" s="113"/>
      <c r="I456" s="52"/>
      <c r="J456" s="52"/>
      <c r="K456" s="124"/>
      <c r="L456" s="53">
        <f t="shared" si="1033"/>
        <v>0</v>
      </c>
      <c r="M456" s="127">
        <f t="shared" si="1034"/>
        <v>0</v>
      </c>
      <c r="N456" s="119">
        <f t="shared" si="1035"/>
        <v>0</v>
      </c>
      <c r="O456" s="130"/>
      <c r="P456" s="134"/>
      <c r="Q456" s="130"/>
      <c r="R456" s="52"/>
      <c r="S456" s="224">
        <f t="shared" si="1166"/>
        <v>0</v>
      </c>
      <c r="T456" s="237"/>
      <c r="U456" s="237"/>
      <c r="V456" s="237"/>
      <c r="W456" s="237"/>
      <c r="X456" s="52"/>
      <c r="Y456" s="52"/>
      <c r="Z456" s="52"/>
      <c r="AA456" s="54"/>
      <c r="AB456" s="130"/>
      <c r="AC456" s="139"/>
    </row>
    <row r="457" spans="1:29" x14ac:dyDescent="0.3">
      <c r="A457" s="121"/>
      <c r="B457" s="184"/>
      <c r="C457" s="54"/>
      <c r="D457" s="52"/>
      <c r="E457" s="52"/>
      <c r="F457" s="117"/>
      <c r="G457" s="119">
        <f t="shared" si="1006"/>
        <v>0</v>
      </c>
      <c r="H457" s="113"/>
      <c r="I457" s="52"/>
      <c r="J457" s="52"/>
      <c r="K457" s="124"/>
      <c r="L457" s="53">
        <f t="shared" si="1033"/>
        <v>0</v>
      </c>
      <c r="M457" s="127">
        <f t="shared" si="1034"/>
        <v>0</v>
      </c>
      <c r="N457" s="119">
        <f t="shared" si="1035"/>
        <v>0</v>
      </c>
      <c r="O457" s="130"/>
      <c r="P457" s="134"/>
      <c r="Q457" s="130"/>
      <c r="R457" s="52"/>
      <c r="S457" s="224">
        <f t="shared" si="1166"/>
        <v>0</v>
      </c>
      <c r="T457" s="237"/>
      <c r="U457" s="237"/>
      <c r="V457" s="237"/>
      <c r="W457" s="237"/>
      <c r="X457" s="52"/>
      <c r="Y457" s="52"/>
      <c r="Z457" s="52"/>
      <c r="AA457" s="54"/>
      <c r="AB457" s="130"/>
      <c r="AC457" s="139"/>
    </row>
    <row r="458" spans="1:29" ht="15" thickBot="1" x14ac:dyDescent="0.35">
      <c r="A458" s="122"/>
      <c r="B458" s="185"/>
      <c r="C458" s="102"/>
      <c r="D458" s="101"/>
      <c r="E458" s="101"/>
      <c r="F458" s="118"/>
      <c r="G458" s="120">
        <f t="shared" si="1006"/>
        <v>0</v>
      </c>
      <c r="H458" s="114"/>
      <c r="I458" s="101"/>
      <c r="J458" s="101"/>
      <c r="K458" s="125"/>
      <c r="L458" s="103">
        <f t="shared" si="1033"/>
        <v>0</v>
      </c>
      <c r="M458" s="128">
        <f t="shared" si="1034"/>
        <v>0</v>
      </c>
      <c r="N458" s="120">
        <f t="shared" si="1035"/>
        <v>0</v>
      </c>
      <c r="O458" s="131"/>
      <c r="P458" s="135"/>
      <c r="Q458" s="131"/>
      <c r="R458" s="101"/>
      <c r="S458" s="104">
        <f t="shared" si="1166"/>
        <v>0</v>
      </c>
      <c r="T458" s="238"/>
      <c r="U458" s="238"/>
      <c r="V458" s="238"/>
      <c r="W458" s="238"/>
      <c r="X458" s="101"/>
      <c r="Y458" s="101"/>
      <c r="Z458" s="101"/>
      <c r="AA458" s="102"/>
      <c r="AB458" s="131"/>
      <c r="AC458" s="140"/>
    </row>
    <row r="459" spans="1:29" x14ac:dyDescent="0.3">
      <c r="A459" s="115">
        <f t="shared" ref="A459" si="1167">$A454+1</f>
        <v>92</v>
      </c>
      <c r="B459" s="186"/>
      <c r="C459" s="105">
        <f>INDEX(Tribs!$C$3:$C$102,MATCH($A459,Tribs!$A$3:$A$102,0))</f>
        <v>0</v>
      </c>
      <c r="D459" s="106">
        <f>INDEX(Tribs!$E$3:$E$102,MATCH($A459,Tribs!$A$3:$A$102,0))</f>
        <v>0</v>
      </c>
      <c r="E459" s="105">
        <f>INDEX(Tribs!$F$3:$F$102,MATCH($A459,Tribs!$A$3:$A$102,0))</f>
        <v>0</v>
      </c>
      <c r="F459" s="116">
        <f t="shared" ref="F459" si="1168">($C459*$E459)</f>
        <v>0</v>
      </c>
      <c r="G459" s="110"/>
      <c r="H459" s="111">
        <f t="shared" ref="H459" si="1169">($F459)+(SUM($G460:$G463))</f>
        <v>0</v>
      </c>
      <c r="I459" s="106">
        <f>INDEX(Tribs!$D$3:$D$102,MATCH($A459,Tribs!$A$3:$A$102,0))</f>
        <v>0</v>
      </c>
      <c r="J459" s="106">
        <f>INDEX(Tribs!$G$3:$G$102,MATCH($A459,Tribs!$A$3:$A$102,0))</f>
        <v>0</v>
      </c>
      <c r="K459" s="105">
        <f>($J459)/V_gutter*(1/60)</f>
        <v>0</v>
      </c>
      <c r="L459" s="112"/>
      <c r="M459" s="109"/>
      <c r="N459" s="129">
        <f t="shared" ref="N459" si="1170">($I459+$K459)</f>
        <v>0</v>
      </c>
      <c r="O459" s="111">
        <f t="shared" ref="O459" si="1171">MAX($N459:$N463)</f>
        <v>0</v>
      </c>
      <c r="P459" s="133">
        <f>IF($H459&gt;0,IF($O459&lt;=T_1,I_1,IF($O459&lt;=T_2,(($O459*M_1)+B_1),IF($O459&lt;=T_3,(($O459*M_2)+B_2),IF($O459&lt;=T_4,(($O459*M_3)+B_3),IF($O459&lt;=T_5,(($O459*M_4)+B_4),IF($O459&lt;=T_6,(($O459*M_5)+B_5),IF($O459&lt;=T_7,(($O459*M_6)+B_6),IF($O459&lt;=T_8,(($O459*M_7)+B_7),IF($O459&lt;=T_9,(($O459*M_8)+B_8),IF($O459&lt;=T_10,(($O459*M_9)+B_9))))))))))),0)</f>
        <v>0</v>
      </c>
      <c r="Q459" s="111">
        <f t="shared" ref="Q459" si="1172">ROUND(($H459*$P459),2)</f>
        <v>0</v>
      </c>
      <c r="R459" s="107">
        <f>IF($Q459&gt;0,IF($Q459&lt;=UTH!$M$4,UTH!$J$4,IF($Q459&lt;=UTH!$M$5,UTH!$J$5,IF($Q459&lt;=UTH!$M$6,UTH!$J$6,IF($Q459&lt;=UTH!$M$7,UTH!$J$7,IF($Q459&lt;=UTH!$M$8,UTH!$J$8,IF($Q459&lt;=UTH!$M$9,UTH!$J$9,IF($Q459&lt;=UTH!$M$10,UTH!$J$10,IF($Q459&lt;=UTH!$M$11,UTH!$J$11,IF($Q459&lt;=UTH!$M$12,UTH!$J$12,IF($Q459&lt;=UTH!$M$13,UTH!$J$13,IF($Q459&lt;=UTH!$M$14,UTH!$J$14,IF($Q459&lt;=UTH!$M$15,UTH!$J$15,IF($Q459&lt;=UTH!$M$16,UTH!$J$16,IF($Q459&lt;=UTH!$M$17,UTH!$J$17,IF($Q459&lt;=UTH!$M$18,UTH!$J$18,IF($Q459&lt;=UTH!$M$19,UTH!$J$19,IF($Q459&lt;=UTH!$M$20,UTH!$J$20))))))))))))))))),0)</f>
        <v>0</v>
      </c>
      <c r="S459" s="107">
        <f>IF(Inverts!$D459="YES",Inverts!$C459,Inverts!$E459)</f>
        <v>0</v>
      </c>
      <c r="T459" s="108">
        <f>IF($S459,($Q459/(KQ*($S459^(8/3))))^2,0)</f>
        <v>0</v>
      </c>
      <c r="U459" s="108">
        <f>IF($S459,(Vmin/(KV*($S459^(2/3))))^2,0)</f>
        <v>0</v>
      </c>
      <c r="V459" s="108">
        <f>IF($Z459,ROUND(MinDrop_2/$Z459,4),0)</f>
        <v>0</v>
      </c>
      <c r="W459" s="108">
        <f t="shared" ref="W459" si="1173">IF($S459=0,0,MAX($T459:$V459))</f>
        <v>0</v>
      </c>
      <c r="X459" s="108">
        <f>IF(Inverts!$H459="yes",Inverts!$G459,Inverts!$I459)</f>
        <v>0</v>
      </c>
      <c r="Y459" s="105">
        <f>ROUND(KV*($S459^(2/3))*($X459^(0.5)),2)</f>
        <v>0</v>
      </c>
      <c r="Z459" s="106">
        <f>INDEX(Tribs!$H$3:$H$102,MATCH($A459,Tribs!$A$3:$A$102,0))</f>
        <v>0</v>
      </c>
      <c r="AA459" s="105">
        <f t="shared" ref="AA459" si="1174">IF($Y459,($Z459/$Y459)*(1/60),0)</f>
        <v>0</v>
      </c>
      <c r="AB459" s="111">
        <f>ROUND(KQ*($S459^(8/3))*($X459^(0.5)),2)</f>
        <v>0</v>
      </c>
      <c r="AC459" s="138" t="str">
        <f>IF(AND($AB459&gt;=($Q459-0.0049),$Y459&gt;=(Vmin-0.0049)),"OK","NG")</f>
        <v>NG</v>
      </c>
    </row>
    <row r="460" spans="1:29" x14ac:dyDescent="0.3">
      <c r="A460" s="121"/>
      <c r="B460" s="184"/>
      <c r="C460" s="54"/>
      <c r="D460" s="52"/>
      <c r="E460" s="52"/>
      <c r="F460" s="117"/>
      <c r="G460" s="119">
        <f t="shared" ref="G460:G503" si="1175">IF($B460,INDEX($H$4:$H$499,(MATCH($B460,$A$4:$A$499))),0)</f>
        <v>0</v>
      </c>
      <c r="H460" s="113"/>
      <c r="I460" s="52"/>
      <c r="J460" s="52"/>
      <c r="K460" s="123"/>
      <c r="L460" s="53">
        <f t="shared" ref="L460" si="1176">IF($B460,INDEX($O$4:$O$499,MATCH($B460,$A$4:$A$499)),0)</f>
        <v>0</v>
      </c>
      <c r="M460" s="126">
        <f t="shared" ref="M460" si="1177">IF($B460,INDEX($AA$4:$AA$499,MATCH($B460,$A$4:$A$499)),0)</f>
        <v>0</v>
      </c>
      <c r="N460" s="119">
        <f t="shared" ref="N460" si="1178">($L460+$M460)</f>
        <v>0</v>
      </c>
      <c r="O460" s="130"/>
      <c r="P460" s="134"/>
      <c r="Q460" s="130"/>
      <c r="R460" s="52"/>
      <c r="S460" s="224">
        <f t="shared" ref="S460:S463" si="1179">S459</f>
        <v>0</v>
      </c>
      <c r="T460" s="237"/>
      <c r="U460" s="237"/>
      <c r="V460" s="237"/>
      <c r="W460" s="237"/>
      <c r="X460" s="52"/>
      <c r="Y460" s="52"/>
      <c r="Z460" s="52"/>
      <c r="AA460" s="54"/>
      <c r="AB460" s="130"/>
      <c r="AC460" s="139"/>
    </row>
    <row r="461" spans="1:29" x14ac:dyDescent="0.3">
      <c r="A461" s="121"/>
      <c r="B461" s="184"/>
      <c r="C461" s="54"/>
      <c r="D461" s="52"/>
      <c r="E461" s="52"/>
      <c r="F461" s="117"/>
      <c r="G461" s="119">
        <f t="shared" si="1175"/>
        <v>0</v>
      </c>
      <c r="H461" s="113"/>
      <c r="I461" s="52"/>
      <c r="J461" s="52"/>
      <c r="K461" s="124"/>
      <c r="L461" s="53">
        <f t="shared" si="1033"/>
        <v>0</v>
      </c>
      <c r="M461" s="127">
        <f t="shared" si="1034"/>
        <v>0</v>
      </c>
      <c r="N461" s="119">
        <f t="shared" si="1035"/>
        <v>0</v>
      </c>
      <c r="O461" s="130"/>
      <c r="P461" s="134"/>
      <c r="Q461" s="130"/>
      <c r="R461" s="52"/>
      <c r="S461" s="224">
        <f t="shared" si="1179"/>
        <v>0</v>
      </c>
      <c r="T461" s="237"/>
      <c r="U461" s="237"/>
      <c r="V461" s="237"/>
      <c r="W461" s="237"/>
      <c r="X461" s="52"/>
      <c r="Y461" s="52"/>
      <c r="Z461" s="52"/>
      <c r="AA461" s="54"/>
      <c r="AB461" s="130"/>
      <c r="AC461" s="139"/>
    </row>
    <row r="462" spans="1:29" x14ac:dyDescent="0.3">
      <c r="A462" s="121"/>
      <c r="B462" s="184"/>
      <c r="C462" s="54"/>
      <c r="D462" s="52"/>
      <c r="E462" s="52"/>
      <c r="F462" s="117"/>
      <c r="G462" s="119">
        <f t="shared" si="1175"/>
        <v>0</v>
      </c>
      <c r="H462" s="113"/>
      <c r="I462" s="52"/>
      <c r="J462" s="52"/>
      <c r="K462" s="124"/>
      <c r="L462" s="53">
        <f t="shared" si="1033"/>
        <v>0</v>
      </c>
      <c r="M462" s="127">
        <f t="shared" si="1034"/>
        <v>0</v>
      </c>
      <c r="N462" s="119">
        <f t="shared" si="1035"/>
        <v>0</v>
      </c>
      <c r="O462" s="130"/>
      <c r="P462" s="134"/>
      <c r="Q462" s="130"/>
      <c r="R462" s="52"/>
      <c r="S462" s="224">
        <f t="shared" si="1179"/>
        <v>0</v>
      </c>
      <c r="T462" s="237"/>
      <c r="U462" s="237"/>
      <c r="V462" s="237"/>
      <c r="W462" s="237"/>
      <c r="X462" s="52"/>
      <c r="Y462" s="52"/>
      <c r="Z462" s="52"/>
      <c r="AA462" s="54"/>
      <c r="AB462" s="130"/>
      <c r="AC462" s="139"/>
    </row>
    <row r="463" spans="1:29" ht="15" thickBot="1" x14ac:dyDescent="0.35">
      <c r="A463" s="122"/>
      <c r="B463" s="185"/>
      <c r="C463" s="102"/>
      <c r="D463" s="101"/>
      <c r="E463" s="101"/>
      <c r="F463" s="118"/>
      <c r="G463" s="120">
        <f t="shared" si="1175"/>
        <v>0</v>
      </c>
      <c r="H463" s="114"/>
      <c r="I463" s="101"/>
      <c r="J463" s="101"/>
      <c r="K463" s="125"/>
      <c r="L463" s="103">
        <f t="shared" si="1033"/>
        <v>0</v>
      </c>
      <c r="M463" s="128">
        <f t="shared" si="1034"/>
        <v>0</v>
      </c>
      <c r="N463" s="120">
        <f t="shared" si="1035"/>
        <v>0</v>
      </c>
      <c r="O463" s="131"/>
      <c r="P463" s="135"/>
      <c r="Q463" s="131"/>
      <c r="R463" s="101"/>
      <c r="S463" s="104">
        <f t="shared" si="1179"/>
        <v>0</v>
      </c>
      <c r="T463" s="238"/>
      <c r="U463" s="238"/>
      <c r="V463" s="238"/>
      <c r="W463" s="238"/>
      <c r="X463" s="101"/>
      <c r="Y463" s="101"/>
      <c r="Z463" s="101"/>
      <c r="AA463" s="102"/>
      <c r="AB463" s="131"/>
      <c r="AC463" s="140"/>
    </row>
    <row r="464" spans="1:29" x14ac:dyDescent="0.3">
      <c r="A464" s="115">
        <f t="shared" ref="A464" si="1180">$A459+1</f>
        <v>93</v>
      </c>
      <c r="B464" s="186"/>
      <c r="C464" s="105">
        <f>INDEX(Tribs!$C$3:$C$102,MATCH($A464,Tribs!$A$3:$A$102,0))</f>
        <v>0</v>
      </c>
      <c r="D464" s="106">
        <f>INDEX(Tribs!$E$3:$E$102,MATCH($A464,Tribs!$A$3:$A$102,0))</f>
        <v>0</v>
      </c>
      <c r="E464" s="105">
        <f>INDEX(Tribs!$F$3:$F$102,MATCH($A464,Tribs!$A$3:$A$102,0))</f>
        <v>0</v>
      </c>
      <c r="F464" s="116">
        <f t="shared" ref="F464" si="1181">($C464*$E464)</f>
        <v>0</v>
      </c>
      <c r="G464" s="110"/>
      <c r="H464" s="111">
        <f t="shared" ref="H464" si="1182">($F464)+(SUM($G465:$G468))</f>
        <v>0</v>
      </c>
      <c r="I464" s="106">
        <f>INDEX(Tribs!$D$3:$D$102,MATCH($A464,Tribs!$A$3:$A$102,0))</f>
        <v>0</v>
      </c>
      <c r="J464" s="106">
        <f>INDEX(Tribs!$G$3:$G$102,MATCH($A464,Tribs!$A$3:$A$102,0))</f>
        <v>0</v>
      </c>
      <c r="K464" s="105">
        <f>($J464)/V_gutter*(1/60)</f>
        <v>0</v>
      </c>
      <c r="L464" s="112"/>
      <c r="M464" s="109"/>
      <c r="N464" s="129">
        <f t="shared" ref="N464" si="1183">($I464+$K464)</f>
        <v>0</v>
      </c>
      <c r="O464" s="111">
        <f t="shared" ref="O464" si="1184">MAX($N464:$N468)</f>
        <v>0</v>
      </c>
      <c r="P464" s="133">
        <f>IF($H464&gt;0,IF($O464&lt;=T_1,I_1,IF($O464&lt;=T_2,(($O464*M_1)+B_1),IF($O464&lt;=T_3,(($O464*M_2)+B_2),IF($O464&lt;=T_4,(($O464*M_3)+B_3),IF($O464&lt;=T_5,(($O464*M_4)+B_4),IF($O464&lt;=T_6,(($O464*M_5)+B_5),IF($O464&lt;=T_7,(($O464*M_6)+B_6),IF($O464&lt;=T_8,(($O464*M_7)+B_7),IF($O464&lt;=T_9,(($O464*M_8)+B_8),IF($O464&lt;=T_10,(($O464*M_9)+B_9))))))))))),0)</f>
        <v>0</v>
      </c>
      <c r="Q464" s="111">
        <f t="shared" ref="Q464" si="1185">ROUND(($H464*$P464),2)</f>
        <v>0</v>
      </c>
      <c r="R464" s="107">
        <f>IF($Q464&gt;0,IF($Q464&lt;=UTH!$M$4,UTH!$J$4,IF($Q464&lt;=UTH!$M$5,UTH!$J$5,IF($Q464&lt;=UTH!$M$6,UTH!$J$6,IF($Q464&lt;=UTH!$M$7,UTH!$J$7,IF($Q464&lt;=UTH!$M$8,UTH!$J$8,IF($Q464&lt;=UTH!$M$9,UTH!$J$9,IF($Q464&lt;=UTH!$M$10,UTH!$J$10,IF($Q464&lt;=UTH!$M$11,UTH!$J$11,IF($Q464&lt;=UTH!$M$12,UTH!$J$12,IF($Q464&lt;=UTH!$M$13,UTH!$J$13,IF($Q464&lt;=UTH!$M$14,UTH!$J$14,IF($Q464&lt;=UTH!$M$15,UTH!$J$15,IF($Q464&lt;=UTH!$M$16,UTH!$J$16,IF($Q464&lt;=UTH!$M$17,UTH!$J$17,IF($Q464&lt;=UTH!$M$18,UTH!$J$18,IF($Q464&lt;=UTH!$M$19,UTH!$J$19,IF($Q464&lt;=UTH!$M$20,UTH!$J$20))))))))))))))))),0)</f>
        <v>0</v>
      </c>
      <c r="S464" s="107">
        <f>IF(Inverts!$D464="YES",Inverts!$C464,Inverts!$E464)</f>
        <v>0</v>
      </c>
      <c r="T464" s="108">
        <f>IF($S464,($Q464/(KQ*($S464^(8/3))))^2,0)</f>
        <v>0</v>
      </c>
      <c r="U464" s="108">
        <f>IF($S464,(Vmin/(KV*($S464^(2/3))))^2,0)</f>
        <v>0</v>
      </c>
      <c r="V464" s="108">
        <f>IF($Z464,ROUND(MinDrop_2/$Z464,4),0)</f>
        <v>0</v>
      </c>
      <c r="W464" s="108">
        <f t="shared" ref="W464" si="1186">IF($S464=0,0,MAX($T464:$V464))</f>
        <v>0</v>
      </c>
      <c r="X464" s="108">
        <f>IF(Inverts!$H464="yes",Inverts!$G464,Inverts!$I464)</f>
        <v>0</v>
      </c>
      <c r="Y464" s="105">
        <f>ROUND(KV*($S464^(2/3))*($X464^(0.5)),2)</f>
        <v>0</v>
      </c>
      <c r="Z464" s="106">
        <f>INDEX(Tribs!$H$3:$H$102,MATCH($A464,Tribs!$A$3:$A$102,0))</f>
        <v>0</v>
      </c>
      <c r="AA464" s="105">
        <f t="shared" ref="AA464" si="1187">IF($Y464,($Z464/$Y464)*(1/60),0)</f>
        <v>0</v>
      </c>
      <c r="AB464" s="111">
        <f>ROUND(KQ*($S464^(8/3))*($X464^(0.5)),2)</f>
        <v>0</v>
      </c>
      <c r="AC464" s="138" t="str">
        <f>IF(AND($AB464&gt;=($Q464-0.0049),$Y464&gt;=(Vmin-0.0049)),"OK","NG")</f>
        <v>NG</v>
      </c>
    </row>
    <row r="465" spans="1:29" x14ac:dyDescent="0.3">
      <c r="A465" s="121"/>
      <c r="B465" s="184"/>
      <c r="C465" s="54"/>
      <c r="D465" s="52"/>
      <c r="E465" s="52"/>
      <c r="F465" s="117"/>
      <c r="G465" s="119">
        <f t="shared" ref="G465" si="1188">IF($B465,INDEX($H$4:$H$499,(MATCH($B465,$A$4:$A$499))),0)</f>
        <v>0</v>
      </c>
      <c r="H465" s="113"/>
      <c r="I465" s="52"/>
      <c r="J465" s="52"/>
      <c r="K465" s="123"/>
      <c r="L465" s="53">
        <f t="shared" ref="L465" si="1189">IF($B465,INDEX($O$4:$O$499,MATCH($B465,$A$4:$A$499)),0)</f>
        <v>0</v>
      </c>
      <c r="M465" s="126">
        <f t="shared" ref="M465" si="1190">IF($B465,INDEX($AA$4:$AA$499,MATCH($B465,$A$4:$A$499)),0)</f>
        <v>0</v>
      </c>
      <c r="N465" s="119">
        <f t="shared" ref="N465" si="1191">($L465+$M465)</f>
        <v>0</v>
      </c>
      <c r="O465" s="130"/>
      <c r="P465" s="134"/>
      <c r="Q465" s="130"/>
      <c r="R465" s="52"/>
      <c r="S465" s="224">
        <f t="shared" ref="S465:S468" si="1192">S464</f>
        <v>0</v>
      </c>
      <c r="T465" s="237"/>
      <c r="U465" s="237"/>
      <c r="V465" s="237"/>
      <c r="W465" s="237"/>
      <c r="X465" s="52"/>
      <c r="Y465" s="52"/>
      <c r="Z465" s="52"/>
      <c r="AA465" s="54"/>
      <c r="AB465" s="130"/>
      <c r="AC465" s="139"/>
    </row>
    <row r="466" spans="1:29" x14ac:dyDescent="0.3">
      <c r="A466" s="121"/>
      <c r="B466" s="184"/>
      <c r="C466" s="54"/>
      <c r="D466" s="52"/>
      <c r="E466" s="52"/>
      <c r="F466" s="117"/>
      <c r="G466" s="119">
        <f t="shared" si="1175"/>
        <v>0</v>
      </c>
      <c r="H466" s="113"/>
      <c r="I466" s="52"/>
      <c r="J466" s="52"/>
      <c r="K466" s="124"/>
      <c r="L466" s="53">
        <f t="shared" si="1033"/>
        <v>0</v>
      </c>
      <c r="M466" s="127">
        <f t="shared" si="1034"/>
        <v>0</v>
      </c>
      <c r="N466" s="119">
        <f t="shared" si="1035"/>
        <v>0</v>
      </c>
      <c r="O466" s="130"/>
      <c r="P466" s="134"/>
      <c r="Q466" s="130"/>
      <c r="R466" s="52"/>
      <c r="S466" s="224">
        <f t="shared" si="1192"/>
        <v>0</v>
      </c>
      <c r="T466" s="237"/>
      <c r="U466" s="237"/>
      <c r="V466" s="237"/>
      <c r="W466" s="237"/>
      <c r="X466" s="52"/>
      <c r="Y466" s="52"/>
      <c r="Z466" s="52"/>
      <c r="AA466" s="54"/>
      <c r="AB466" s="130"/>
      <c r="AC466" s="139"/>
    </row>
    <row r="467" spans="1:29" x14ac:dyDescent="0.3">
      <c r="A467" s="121"/>
      <c r="B467" s="184"/>
      <c r="C467" s="54"/>
      <c r="D467" s="52"/>
      <c r="E467" s="52"/>
      <c r="F467" s="117"/>
      <c r="G467" s="119">
        <f t="shared" si="1175"/>
        <v>0</v>
      </c>
      <c r="H467" s="113"/>
      <c r="I467" s="52"/>
      <c r="J467" s="52"/>
      <c r="K467" s="124"/>
      <c r="L467" s="53">
        <f t="shared" si="1033"/>
        <v>0</v>
      </c>
      <c r="M467" s="127">
        <f t="shared" si="1034"/>
        <v>0</v>
      </c>
      <c r="N467" s="119">
        <f t="shared" si="1035"/>
        <v>0</v>
      </c>
      <c r="O467" s="130"/>
      <c r="P467" s="134"/>
      <c r="Q467" s="130"/>
      <c r="R467" s="52"/>
      <c r="S467" s="224">
        <f t="shared" si="1192"/>
        <v>0</v>
      </c>
      <c r="T467" s="237"/>
      <c r="U467" s="237"/>
      <c r="V467" s="237"/>
      <c r="W467" s="237"/>
      <c r="X467" s="52"/>
      <c r="Y467" s="52"/>
      <c r="Z467" s="52"/>
      <c r="AA467" s="54"/>
      <c r="AB467" s="130"/>
      <c r="AC467" s="139"/>
    </row>
    <row r="468" spans="1:29" ht="15" thickBot="1" x14ac:dyDescent="0.35">
      <c r="A468" s="122"/>
      <c r="B468" s="185"/>
      <c r="C468" s="102"/>
      <c r="D468" s="101"/>
      <c r="E468" s="101"/>
      <c r="F468" s="118"/>
      <c r="G468" s="120">
        <f t="shared" si="1175"/>
        <v>0</v>
      </c>
      <c r="H468" s="114"/>
      <c r="I468" s="101"/>
      <c r="J468" s="101"/>
      <c r="K468" s="125"/>
      <c r="L468" s="103">
        <f t="shared" si="1033"/>
        <v>0</v>
      </c>
      <c r="M468" s="128">
        <f t="shared" si="1034"/>
        <v>0</v>
      </c>
      <c r="N468" s="120">
        <f t="shared" si="1035"/>
        <v>0</v>
      </c>
      <c r="O468" s="131"/>
      <c r="P468" s="135"/>
      <c r="Q468" s="131"/>
      <c r="R468" s="101"/>
      <c r="S468" s="104">
        <f t="shared" si="1192"/>
        <v>0</v>
      </c>
      <c r="T468" s="238"/>
      <c r="U468" s="238"/>
      <c r="V468" s="238"/>
      <c r="W468" s="238"/>
      <c r="X468" s="101"/>
      <c r="Y468" s="101"/>
      <c r="Z468" s="101"/>
      <c r="AA468" s="102"/>
      <c r="AB468" s="131"/>
      <c r="AC468" s="140"/>
    </row>
    <row r="469" spans="1:29" x14ac:dyDescent="0.3">
      <c r="A469" s="115">
        <f t="shared" ref="A469" si="1193">$A464+1</f>
        <v>94</v>
      </c>
      <c r="B469" s="186"/>
      <c r="C469" s="105">
        <f>INDEX(Tribs!$C$3:$C$102,MATCH($A469,Tribs!$A$3:$A$102,0))</f>
        <v>0</v>
      </c>
      <c r="D469" s="106">
        <f>INDEX(Tribs!$E$3:$E$102,MATCH($A469,Tribs!$A$3:$A$102,0))</f>
        <v>0</v>
      </c>
      <c r="E469" s="105">
        <f>INDEX(Tribs!$F$3:$F$102,MATCH($A469,Tribs!$A$3:$A$102,0))</f>
        <v>0</v>
      </c>
      <c r="F469" s="116">
        <f t="shared" ref="F469" si="1194">($C469*$E469)</f>
        <v>0</v>
      </c>
      <c r="G469" s="110"/>
      <c r="H469" s="111">
        <f t="shared" ref="H469" si="1195">($F469)+(SUM($G470:$G473))</f>
        <v>0</v>
      </c>
      <c r="I469" s="106">
        <f>INDEX(Tribs!$D$3:$D$102,MATCH($A469,Tribs!$A$3:$A$102,0))</f>
        <v>0</v>
      </c>
      <c r="J469" s="106">
        <f>INDEX(Tribs!$G$3:$G$102,MATCH($A469,Tribs!$A$3:$A$102,0))</f>
        <v>0</v>
      </c>
      <c r="K469" s="105">
        <f>($J469)/V_gutter*(1/60)</f>
        <v>0</v>
      </c>
      <c r="L469" s="112"/>
      <c r="M469" s="109"/>
      <c r="N469" s="129">
        <f t="shared" ref="N469" si="1196">($I469+$K469)</f>
        <v>0</v>
      </c>
      <c r="O469" s="111">
        <f t="shared" ref="O469" si="1197">MAX($N469:$N473)</f>
        <v>0</v>
      </c>
      <c r="P469" s="133">
        <f>IF($H469&gt;0,IF($O469&lt;=T_1,I_1,IF($O469&lt;=T_2,(($O469*M_1)+B_1),IF($O469&lt;=T_3,(($O469*M_2)+B_2),IF($O469&lt;=T_4,(($O469*M_3)+B_3),IF($O469&lt;=T_5,(($O469*M_4)+B_4),IF($O469&lt;=T_6,(($O469*M_5)+B_5),IF($O469&lt;=T_7,(($O469*M_6)+B_6),IF($O469&lt;=T_8,(($O469*M_7)+B_7),IF($O469&lt;=T_9,(($O469*M_8)+B_8),IF($O469&lt;=T_10,(($O469*M_9)+B_9))))))))))),0)</f>
        <v>0</v>
      </c>
      <c r="Q469" s="111">
        <f t="shared" ref="Q469" si="1198">ROUND(($H469*$P469),2)</f>
        <v>0</v>
      </c>
      <c r="R469" s="107">
        <f>IF($Q469&gt;0,IF($Q469&lt;=UTH!$M$4,UTH!$J$4,IF($Q469&lt;=UTH!$M$5,UTH!$J$5,IF($Q469&lt;=UTH!$M$6,UTH!$J$6,IF($Q469&lt;=UTH!$M$7,UTH!$J$7,IF($Q469&lt;=UTH!$M$8,UTH!$J$8,IF($Q469&lt;=UTH!$M$9,UTH!$J$9,IF($Q469&lt;=UTH!$M$10,UTH!$J$10,IF($Q469&lt;=UTH!$M$11,UTH!$J$11,IF($Q469&lt;=UTH!$M$12,UTH!$J$12,IF($Q469&lt;=UTH!$M$13,UTH!$J$13,IF($Q469&lt;=UTH!$M$14,UTH!$J$14,IF($Q469&lt;=UTH!$M$15,UTH!$J$15,IF($Q469&lt;=UTH!$M$16,UTH!$J$16,IF($Q469&lt;=UTH!$M$17,UTH!$J$17,IF($Q469&lt;=UTH!$M$18,UTH!$J$18,IF($Q469&lt;=UTH!$M$19,UTH!$J$19,IF($Q469&lt;=UTH!$M$20,UTH!$J$20))))))))))))))))),0)</f>
        <v>0</v>
      </c>
      <c r="S469" s="107">
        <f>IF(Inverts!$D469="YES",Inverts!$C469,Inverts!$E469)</f>
        <v>0</v>
      </c>
      <c r="T469" s="108">
        <f>IF($S469,($Q469/(KQ*($S469^(8/3))))^2,0)</f>
        <v>0</v>
      </c>
      <c r="U469" s="108">
        <f>IF($S469,(Vmin/(KV*($S469^(2/3))))^2,0)</f>
        <v>0</v>
      </c>
      <c r="V469" s="108">
        <f>IF($Z469,ROUND(MinDrop_2/$Z469,4),0)</f>
        <v>0</v>
      </c>
      <c r="W469" s="108">
        <f t="shared" ref="W469" si="1199">IF($S469=0,0,MAX($T469:$V469))</f>
        <v>0</v>
      </c>
      <c r="X469" s="108">
        <f>IF(Inverts!$H469="yes",Inverts!$G469,Inverts!$I469)</f>
        <v>0</v>
      </c>
      <c r="Y469" s="105">
        <f>ROUND(KV*($S469^(2/3))*($X469^(0.5)),2)</f>
        <v>0</v>
      </c>
      <c r="Z469" s="106">
        <f>INDEX(Tribs!$H$3:$H$102,MATCH($A469,Tribs!$A$3:$A$102,0))</f>
        <v>0</v>
      </c>
      <c r="AA469" s="105">
        <f t="shared" ref="AA469" si="1200">IF($Y469,($Z469/$Y469)*(1/60),0)</f>
        <v>0</v>
      </c>
      <c r="AB469" s="111">
        <f>ROUND(KQ*($S469^(8/3))*($X469^(0.5)),2)</f>
        <v>0</v>
      </c>
      <c r="AC469" s="138" t="str">
        <f>IF(AND($AB469&gt;=($Q469-0.0049),$Y469&gt;=(Vmin-0.0049)),"OK","NG")</f>
        <v>NG</v>
      </c>
    </row>
    <row r="470" spans="1:29" x14ac:dyDescent="0.3">
      <c r="A470" s="121"/>
      <c r="B470" s="184"/>
      <c r="C470" s="54"/>
      <c r="D470" s="52"/>
      <c r="E470" s="52"/>
      <c r="F470" s="117"/>
      <c r="G470" s="119">
        <f t="shared" ref="G470" si="1201">IF($B470,INDEX($H$4:$H$499,(MATCH($B470,$A$4:$A$499))),0)</f>
        <v>0</v>
      </c>
      <c r="H470" s="113"/>
      <c r="I470" s="52"/>
      <c r="J470" s="52"/>
      <c r="K470" s="123"/>
      <c r="L470" s="53">
        <f t="shared" ref="L470:L503" si="1202">IF($B470,INDEX($O$4:$O$499,MATCH($B470,$A$4:$A$499)),0)</f>
        <v>0</v>
      </c>
      <c r="M470" s="126">
        <f t="shared" ref="M470:M503" si="1203">IF($B470,INDEX($AA$4:$AA$499,MATCH($B470,$A$4:$A$499)),0)</f>
        <v>0</v>
      </c>
      <c r="N470" s="119">
        <f t="shared" ref="N470:N503" si="1204">($L470+$M470)</f>
        <v>0</v>
      </c>
      <c r="O470" s="130"/>
      <c r="P470" s="134"/>
      <c r="Q470" s="130"/>
      <c r="R470" s="52"/>
      <c r="S470" s="224">
        <f t="shared" ref="S470:S473" si="1205">S469</f>
        <v>0</v>
      </c>
      <c r="T470" s="237"/>
      <c r="U470" s="237"/>
      <c r="V470" s="237"/>
      <c r="W470" s="237"/>
      <c r="X470" s="52"/>
      <c r="Y470" s="52"/>
      <c r="Z470" s="52"/>
      <c r="AA470" s="54"/>
      <c r="AB470" s="130"/>
      <c r="AC470" s="139"/>
    </row>
    <row r="471" spans="1:29" x14ac:dyDescent="0.3">
      <c r="A471" s="121"/>
      <c r="B471" s="184"/>
      <c r="C471" s="54"/>
      <c r="D471" s="52"/>
      <c r="E471" s="52"/>
      <c r="F471" s="117"/>
      <c r="G471" s="119">
        <f t="shared" si="1175"/>
        <v>0</v>
      </c>
      <c r="H471" s="113"/>
      <c r="I471" s="52"/>
      <c r="J471" s="52"/>
      <c r="K471" s="124"/>
      <c r="L471" s="53">
        <f t="shared" si="1202"/>
        <v>0</v>
      </c>
      <c r="M471" s="127">
        <f t="shared" si="1203"/>
        <v>0</v>
      </c>
      <c r="N471" s="119">
        <f t="shared" si="1204"/>
        <v>0</v>
      </c>
      <c r="O471" s="130"/>
      <c r="P471" s="134"/>
      <c r="Q471" s="130"/>
      <c r="R471" s="52"/>
      <c r="S471" s="224">
        <f t="shared" si="1205"/>
        <v>0</v>
      </c>
      <c r="T471" s="237"/>
      <c r="U471" s="237"/>
      <c r="V471" s="237"/>
      <c r="W471" s="237"/>
      <c r="X471" s="52"/>
      <c r="Y471" s="52"/>
      <c r="Z471" s="52"/>
      <c r="AA471" s="54"/>
      <c r="AB471" s="130"/>
      <c r="AC471" s="139"/>
    </row>
    <row r="472" spans="1:29" x14ac:dyDescent="0.3">
      <c r="A472" s="121"/>
      <c r="B472" s="184"/>
      <c r="C472" s="54"/>
      <c r="D472" s="52"/>
      <c r="E472" s="52"/>
      <c r="F472" s="117"/>
      <c r="G472" s="119">
        <f t="shared" si="1175"/>
        <v>0</v>
      </c>
      <c r="H472" s="113"/>
      <c r="I472" s="52"/>
      <c r="J472" s="52"/>
      <c r="K472" s="124"/>
      <c r="L472" s="53">
        <f t="shared" si="1202"/>
        <v>0</v>
      </c>
      <c r="M472" s="127">
        <f t="shared" si="1203"/>
        <v>0</v>
      </c>
      <c r="N472" s="119">
        <f t="shared" si="1204"/>
        <v>0</v>
      </c>
      <c r="O472" s="130"/>
      <c r="P472" s="134"/>
      <c r="Q472" s="130"/>
      <c r="R472" s="52"/>
      <c r="S472" s="224">
        <f t="shared" si="1205"/>
        <v>0</v>
      </c>
      <c r="T472" s="237"/>
      <c r="U472" s="237"/>
      <c r="V472" s="237"/>
      <c r="W472" s="237"/>
      <c r="X472" s="52"/>
      <c r="Y472" s="52"/>
      <c r="Z472" s="52"/>
      <c r="AA472" s="54"/>
      <c r="AB472" s="130"/>
      <c r="AC472" s="139"/>
    </row>
    <row r="473" spans="1:29" ht="15" thickBot="1" x14ac:dyDescent="0.35">
      <c r="A473" s="122"/>
      <c r="B473" s="185"/>
      <c r="C473" s="102"/>
      <c r="D473" s="101"/>
      <c r="E473" s="101"/>
      <c r="F473" s="118"/>
      <c r="G473" s="120">
        <f t="shared" si="1175"/>
        <v>0</v>
      </c>
      <c r="H473" s="114"/>
      <c r="I473" s="101"/>
      <c r="J473" s="101"/>
      <c r="K473" s="125"/>
      <c r="L473" s="103">
        <f t="shared" si="1202"/>
        <v>0</v>
      </c>
      <c r="M473" s="128">
        <f t="shared" si="1203"/>
        <v>0</v>
      </c>
      <c r="N473" s="120">
        <f t="shared" si="1204"/>
        <v>0</v>
      </c>
      <c r="O473" s="131"/>
      <c r="P473" s="135"/>
      <c r="Q473" s="131"/>
      <c r="R473" s="101"/>
      <c r="S473" s="104">
        <f t="shared" si="1205"/>
        <v>0</v>
      </c>
      <c r="T473" s="238"/>
      <c r="U473" s="238"/>
      <c r="V473" s="238"/>
      <c r="W473" s="238"/>
      <c r="X473" s="101"/>
      <c r="Y473" s="101"/>
      <c r="Z473" s="101"/>
      <c r="AA473" s="102"/>
      <c r="AB473" s="131"/>
      <c r="AC473" s="140"/>
    </row>
    <row r="474" spans="1:29" x14ac:dyDescent="0.3">
      <c r="A474" s="115">
        <f t="shared" ref="A474" si="1206">$A469+1</f>
        <v>95</v>
      </c>
      <c r="B474" s="186"/>
      <c r="C474" s="105">
        <f>INDEX(Tribs!$C$3:$C$102,MATCH($A474,Tribs!$A$3:$A$102,0))</f>
        <v>0</v>
      </c>
      <c r="D474" s="106">
        <f>INDEX(Tribs!$E$3:$E$102,MATCH($A474,Tribs!$A$3:$A$102,0))</f>
        <v>0</v>
      </c>
      <c r="E474" s="105">
        <f>INDEX(Tribs!$F$3:$F$102,MATCH($A474,Tribs!$A$3:$A$102,0))</f>
        <v>0</v>
      </c>
      <c r="F474" s="116">
        <f t="shared" ref="F474" si="1207">($C474*$E474)</f>
        <v>0</v>
      </c>
      <c r="G474" s="110"/>
      <c r="H474" s="111">
        <f t="shared" ref="H474" si="1208">($F474)+(SUM($G475:$G478))</f>
        <v>0</v>
      </c>
      <c r="I474" s="106">
        <f>INDEX(Tribs!$D$3:$D$102,MATCH($A474,Tribs!$A$3:$A$102,0))</f>
        <v>0</v>
      </c>
      <c r="J474" s="106">
        <f>INDEX(Tribs!$G$3:$G$102,MATCH($A474,Tribs!$A$3:$A$102,0))</f>
        <v>0</v>
      </c>
      <c r="K474" s="105">
        <f>($J474)/V_gutter*(1/60)</f>
        <v>0</v>
      </c>
      <c r="L474" s="112"/>
      <c r="M474" s="109"/>
      <c r="N474" s="129">
        <f t="shared" ref="N474" si="1209">($I474+$K474)</f>
        <v>0</v>
      </c>
      <c r="O474" s="111">
        <f t="shared" ref="O474" si="1210">MAX($N474:$N478)</f>
        <v>0</v>
      </c>
      <c r="P474" s="133">
        <f>IF($H474&gt;0,IF($O474&lt;=T_1,I_1,IF($O474&lt;=T_2,(($O474*M_1)+B_1),IF($O474&lt;=T_3,(($O474*M_2)+B_2),IF($O474&lt;=T_4,(($O474*M_3)+B_3),IF($O474&lt;=T_5,(($O474*M_4)+B_4),IF($O474&lt;=T_6,(($O474*M_5)+B_5),IF($O474&lt;=T_7,(($O474*M_6)+B_6),IF($O474&lt;=T_8,(($O474*M_7)+B_7),IF($O474&lt;=T_9,(($O474*M_8)+B_8),IF($O474&lt;=T_10,(($O474*M_9)+B_9))))))))))),0)</f>
        <v>0</v>
      </c>
      <c r="Q474" s="111">
        <f t="shared" ref="Q474" si="1211">ROUND(($H474*$P474),2)</f>
        <v>0</v>
      </c>
      <c r="R474" s="107">
        <f>IF($Q474&gt;0,IF($Q474&lt;=UTH!$M$4,UTH!$J$4,IF($Q474&lt;=UTH!$M$5,UTH!$J$5,IF($Q474&lt;=UTH!$M$6,UTH!$J$6,IF($Q474&lt;=UTH!$M$7,UTH!$J$7,IF($Q474&lt;=UTH!$M$8,UTH!$J$8,IF($Q474&lt;=UTH!$M$9,UTH!$J$9,IF($Q474&lt;=UTH!$M$10,UTH!$J$10,IF($Q474&lt;=UTH!$M$11,UTH!$J$11,IF($Q474&lt;=UTH!$M$12,UTH!$J$12,IF($Q474&lt;=UTH!$M$13,UTH!$J$13,IF($Q474&lt;=UTH!$M$14,UTH!$J$14,IF($Q474&lt;=UTH!$M$15,UTH!$J$15,IF($Q474&lt;=UTH!$M$16,UTH!$J$16,IF($Q474&lt;=UTH!$M$17,UTH!$J$17,IF($Q474&lt;=UTH!$M$18,UTH!$J$18,IF($Q474&lt;=UTH!$M$19,UTH!$J$19,IF($Q474&lt;=UTH!$M$20,UTH!$J$20))))))))))))))))),0)</f>
        <v>0</v>
      </c>
      <c r="S474" s="107">
        <f>IF(Inverts!$D474="YES",Inverts!$C474,Inverts!$E474)</f>
        <v>0</v>
      </c>
      <c r="T474" s="108">
        <f>IF($S474,($Q474/(KQ*($S474^(8/3))))^2,0)</f>
        <v>0</v>
      </c>
      <c r="U474" s="108">
        <f>IF($S474,(Vmin/(KV*($S474^(2/3))))^2,0)</f>
        <v>0</v>
      </c>
      <c r="V474" s="108">
        <f>IF($Z474,ROUND(MinDrop_2/$Z474,4),0)</f>
        <v>0</v>
      </c>
      <c r="W474" s="108">
        <f t="shared" ref="W474" si="1212">IF($S474=0,0,MAX($T474:$V474))</f>
        <v>0</v>
      </c>
      <c r="X474" s="108">
        <f>IF(Inverts!$H474="yes",Inverts!$G474,Inverts!$I474)</f>
        <v>0</v>
      </c>
      <c r="Y474" s="105">
        <f>ROUND(KV*($S474^(2/3))*($X474^(0.5)),2)</f>
        <v>0</v>
      </c>
      <c r="Z474" s="106">
        <f>INDEX(Tribs!$H$3:$H$102,MATCH($A474,Tribs!$A$3:$A$102,0))</f>
        <v>0</v>
      </c>
      <c r="AA474" s="105">
        <f t="shared" ref="AA474" si="1213">IF($Y474,($Z474/$Y474)*(1/60),0)</f>
        <v>0</v>
      </c>
      <c r="AB474" s="111">
        <f>ROUND(KQ*($S474^(8/3))*($X474^(0.5)),2)</f>
        <v>0</v>
      </c>
      <c r="AC474" s="138" t="str">
        <f>IF(AND($AB474&gt;=($Q474-0.0049),$Y474&gt;=(Vmin-0.0049)),"OK","NG")</f>
        <v>NG</v>
      </c>
    </row>
    <row r="475" spans="1:29" x14ac:dyDescent="0.3">
      <c r="A475" s="121"/>
      <c r="B475" s="184"/>
      <c r="C475" s="54"/>
      <c r="D475" s="52"/>
      <c r="E475" s="52"/>
      <c r="F475" s="117"/>
      <c r="G475" s="119">
        <f t="shared" ref="G475" si="1214">IF($B475,INDEX($H$4:$H$499,(MATCH($B475,$A$4:$A$499))),0)</f>
        <v>0</v>
      </c>
      <c r="H475" s="113"/>
      <c r="I475" s="52"/>
      <c r="J475" s="52"/>
      <c r="K475" s="123"/>
      <c r="L475" s="53">
        <f t="shared" ref="L475" si="1215">IF($B475,INDEX($O$4:$O$499,MATCH($B475,$A$4:$A$499)),0)</f>
        <v>0</v>
      </c>
      <c r="M475" s="126">
        <f t="shared" ref="M475" si="1216">IF($B475,INDEX($AA$4:$AA$499,MATCH($B475,$A$4:$A$499)),0)</f>
        <v>0</v>
      </c>
      <c r="N475" s="119">
        <f t="shared" ref="N475" si="1217">($L475+$M475)</f>
        <v>0</v>
      </c>
      <c r="O475" s="130"/>
      <c r="P475" s="134"/>
      <c r="Q475" s="130"/>
      <c r="R475" s="52"/>
      <c r="S475" s="224">
        <f t="shared" ref="S475:S478" si="1218">S474</f>
        <v>0</v>
      </c>
      <c r="T475" s="237"/>
      <c r="U475" s="237"/>
      <c r="V475" s="237"/>
      <c r="W475" s="237"/>
      <c r="X475" s="52"/>
      <c r="Y475" s="52"/>
      <c r="Z475" s="52"/>
      <c r="AA475" s="54"/>
      <c r="AB475" s="130"/>
      <c r="AC475" s="139"/>
    </row>
    <row r="476" spans="1:29" x14ac:dyDescent="0.3">
      <c r="A476" s="121"/>
      <c r="B476" s="184"/>
      <c r="C476" s="54"/>
      <c r="D476" s="52"/>
      <c r="E476" s="52"/>
      <c r="F476" s="117"/>
      <c r="G476" s="119">
        <f t="shared" si="1175"/>
        <v>0</v>
      </c>
      <c r="H476" s="113"/>
      <c r="I476" s="52"/>
      <c r="J476" s="52"/>
      <c r="K476" s="124"/>
      <c r="L476" s="53">
        <f t="shared" si="1202"/>
        <v>0</v>
      </c>
      <c r="M476" s="127">
        <f t="shared" si="1203"/>
        <v>0</v>
      </c>
      <c r="N476" s="119">
        <f t="shared" si="1204"/>
        <v>0</v>
      </c>
      <c r="O476" s="130"/>
      <c r="P476" s="134"/>
      <c r="Q476" s="130"/>
      <c r="R476" s="52"/>
      <c r="S476" s="224">
        <f t="shared" si="1218"/>
        <v>0</v>
      </c>
      <c r="T476" s="237"/>
      <c r="U476" s="237"/>
      <c r="V476" s="237"/>
      <c r="W476" s="237"/>
      <c r="X476" s="52"/>
      <c r="Y476" s="52"/>
      <c r="Z476" s="52"/>
      <c r="AA476" s="54"/>
      <c r="AB476" s="130"/>
      <c r="AC476" s="139"/>
    </row>
    <row r="477" spans="1:29" x14ac:dyDescent="0.3">
      <c r="A477" s="121"/>
      <c r="B477" s="184"/>
      <c r="C477" s="54"/>
      <c r="D477" s="52"/>
      <c r="E477" s="52"/>
      <c r="F477" s="117"/>
      <c r="G477" s="119">
        <f t="shared" si="1175"/>
        <v>0</v>
      </c>
      <c r="H477" s="113"/>
      <c r="I477" s="52"/>
      <c r="J477" s="52"/>
      <c r="K477" s="124"/>
      <c r="L477" s="53">
        <f t="shared" si="1202"/>
        <v>0</v>
      </c>
      <c r="M477" s="127">
        <f t="shared" si="1203"/>
        <v>0</v>
      </c>
      <c r="N477" s="119">
        <f t="shared" si="1204"/>
        <v>0</v>
      </c>
      <c r="O477" s="130"/>
      <c r="P477" s="134"/>
      <c r="Q477" s="130"/>
      <c r="R477" s="52"/>
      <c r="S477" s="224">
        <f t="shared" si="1218"/>
        <v>0</v>
      </c>
      <c r="T477" s="237"/>
      <c r="U477" s="237"/>
      <c r="V477" s="237"/>
      <c r="W477" s="237"/>
      <c r="X477" s="52"/>
      <c r="Y477" s="52"/>
      <c r="Z477" s="52"/>
      <c r="AA477" s="54"/>
      <c r="AB477" s="130"/>
      <c r="AC477" s="139"/>
    </row>
    <row r="478" spans="1:29" ht="15" thickBot="1" x14ac:dyDescent="0.35">
      <c r="A478" s="122"/>
      <c r="B478" s="185"/>
      <c r="C478" s="102"/>
      <c r="D478" s="101"/>
      <c r="E478" s="101"/>
      <c r="F478" s="118"/>
      <c r="G478" s="120">
        <f t="shared" si="1175"/>
        <v>0</v>
      </c>
      <c r="H478" s="114"/>
      <c r="I478" s="101"/>
      <c r="J478" s="101"/>
      <c r="K478" s="125"/>
      <c r="L478" s="103">
        <f t="shared" si="1202"/>
        <v>0</v>
      </c>
      <c r="M478" s="128">
        <f t="shared" si="1203"/>
        <v>0</v>
      </c>
      <c r="N478" s="120">
        <f t="shared" si="1204"/>
        <v>0</v>
      </c>
      <c r="O478" s="131"/>
      <c r="P478" s="135"/>
      <c r="Q478" s="131"/>
      <c r="R478" s="101"/>
      <c r="S478" s="104">
        <f t="shared" si="1218"/>
        <v>0</v>
      </c>
      <c r="T478" s="238"/>
      <c r="U478" s="238"/>
      <c r="V478" s="238"/>
      <c r="W478" s="238"/>
      <c r="X478" s="101"/>
      <c r="Y478" s="101"/>
      <c r="Z478" s="101"/>
      <c r="AA478" s="102"/>
      <c r="AB478" s="131"/>
      <c r="AC478" s="140"/>
    </row>
    <row r="479" spans="1:29" x14ac:dyDescent="0.3">
      <c r="A479" s="115">
        <f t="shared" ref="A479" si="1219">$A474+1</f>
        <v>96</v>
      </c>
      <c r="B479" s="186"/>
      <c r="C479" s="105">
        <f>INDEX(Tribs!$C$3:$C$102,MATCH($A479,Tribs!$A$3:$A$102,0))</f>
        <v>0</v>
      </c>
      <c r="D479" s="106">
        <f>INDEX(Tribs!$E$3:$E$102,MATCH($A479,Tribs!$A$3:$A$102,0))</f>
        <v>0</v>
      </c>
      <c r="E479" s="105">
        <f>INDEX(Tribs!$F$3:$F$102,MATCH($A479,Tribs!$A$3:$A$102,0))</f>
        <v>0</v>
      </c>
      <c r="F479" s="116">
        <f t="shared" ref="F479" si="1220">($C479*$E479)</f>
        <v>0</v>
      </c>
      <c r="G479" s="110"/>
      <c r="H479" s="111">
        <f t="shared" ref="H479" si="1221">($F479)+(SUM($G480:$G483))</f>
        <v>0</v>
      </c>
      <c r="I479" s="106">
        <f>INDEX(Tribs!$D$3:$D$102,MATCH($A479,Tribs!$A$3:$A$102,0))</f>
        <v>0</v>
      </c>
      <c r="J479" s="106">
        <f>INDEX(Tribs!$G$3:$G$102,MATCH($A479,Tribs!$A$3:$A$102,0))</f>
        <v>0</v>
      </c>
      <c r="K479" s="105">
        <f>($J479)/V_gutter*(1/60)</f>
        <v>0</v>
      </c>
      <c r="L479" s="112"/>
      <c r="M479" s="109"/>
      <c r="N479" s="129">
        <f t="shared" ref="N479" si="1222">($I479+$K479)</f>
        <v>0</v>
      </c>
      <c r="O479" s="111">
        <f t="shared" ref="O479" si="1223">MAX($N479:$N483)</f>
        <v>0</v>
      </c>
      <c r="P479" s="133">
        <f>IF($H479&gt;0,IF($O479&lt;=T_1,I_1,IF($O479&lt;=T_2,(($O479*M_1)+B_1),IF($O479&lt;=T_3,(($O479*M_2)+B_2),IF($O479&lt;=T_4,(($O479*M_3)+B_3),IF($O479&lt;=T_5,(($O479*M_4)+B_4),IF($O479&lt;=T_6,(($O479*M_5)+B_5),IF($O479&lt;=T_7,(($O479*M_6)+B_6),IF($O479&lt;=T_8,(($O479*M_7)+B_7),IF($O479&lt;=T_9,(($O479*M_8)+B_8),IF($O479&lt;=T_10,(($O479*M_9)+B_9))))))))))),0)</f>
        <v>0</v>
      </c>
      <c r="Q479" s="111">
        <f t="shared" ref="Q479" si="1224">ROUND(($H479*$P479),2)</f>
        <v>0</v>
      </c>
      <c r="R479" s="107">
        <f>IF($Q479&gt;0,IF($Q479&lt;=UTH!$M$4,UTH!$J$4,IF($Q479&lt;=UTH!$M$5,UTH!$J$5,IF($Q479&lt;=UTH!$M$6,UTH!$J$6,IF($Q479&lt;=UTH!$M$7,UTH!$J$7,IF($Q479&lt;=UTH!$M$8,UTH!$J$8,IF($Q479&lt;=UTH!$M$9,UTH!$J$9,IF($Q479&lt;=UTH!$M$10,UTH!$J$10,IF($Q479&lt;=UTH!$M$11,UTH!$J$11,IF($Q479&lt;=UTH!$M$12,UTH!$J$12,IF($Q479&lt;=UTH!$M$13,UTH!$J$13,IF($Q479&lt;=UTH!$M$14,UTH!$J$14,IF($Q479&lt;=UTH!$M$15,UTH!$J$15,IF($Q479&lt;=UTH!$M$16,UTH!$J$16,IF($Q479&lt;=UTH!$M$17,UTH!$J$17,IF($Q479&lt;=UTH!$M$18,UTH!$J$18,IF($Q479&lt;=UTH!$M$19,UTH!$J$19,IF($Q479&lt;=UTH!$M$20,UTH!$J$20))))))))))))))))),0)</f>
        <v>0</v>
      </c>
      <c r="S479" s="107">
        <f>IF(Inverts!$D479="YES",Inverts!$C479,Inverts!$E479)</f>
        <v>0</v>
      </c>
      <c r="T479" s="108">
        <f>IF($S479,($Q479/(KQ*($S479^(8/3))))^2,0)</f>
        <v>0</v>
      </c>
      <c r="U479" s="108">
        <f>IF($S479,(Vmin/(KV*($S479^(2/3))))^2,0)</f>
        <v>0</v>
      </c>
      <c r="V479" s="108">
        <f>IF($Z479,ROUND(MinDrop_2/$Z479,4),0)</f>
        <v>0</v>
      </c>
      <c r="W479" s="108">
        <f t="shared" ref="W479" si="1225">IF($S479=0,0,MAX($T479:$V479))</f>
        <v>0</v>
      </c>
      <c r="X479" s="108">
        <f>IF(Inverts!$H479="yes",Inverts!$G479,Inverts!$I479)</f>
        <v>0</v>
      </c>
      <c r="Y479" s="105">
        <f>ROUND(KV*($S479^(2/3))*($X479^(0.5)),2)</f>
        <v>0</v>
      </c>
      <c r="Z479" s="106">
        <f>INDEX(Tribs!$H$3:$H$102,MATCH($A479,Tribs!$A$3:$A$102,0))</f>
        <v>0</v>
      </c>
      <c r="AA479" s="105">
        <f t="shared" ref="AA479" si="1226">IF($Y479,($Z479/$Y479)*(1/60),0)</f>
        <v>0</v>
      </c>
      <c r="AB479" s="111">
        <f>ROUND(KQ*($S479^(8/3))*($X479^(0.5)),2)</f>
        <v>0</v>
      </c>
      <c r="AC479" s="138" t="str">
        <f>IF(AND($AB479&gt;=($Q479-0.0049),$Y479&gt;=(Vmin-0.0049)),"OK","NG")</f>
        <v>NG</v>
      </c>
    </row>
    <row r="480" spans="1:29" x14ac:dyDescent="0.3">
      <c r="A480" s="121"/>
      <c r="B480" s="184"/>
      <c r="C480" s="54"/>
      <c r="D480" s="52"/>
      <c r="E480" s="52"/>
      <c r="F480" s="117"/>
      <c r="G480" s="119">
        <f t="shared" ref="G480" si="1227">IF($B480,INDEX($H$4:$H$499,(MATCH($B480,$A$4:$A$499))),0)</f>
        <v>0</v>
      </c>
      <c r="H480" s="113"/>
      <c r="I480" s="52"/>
      <c r="J480" s="52"/>
      <c r="K480" s="123"/>
      <c r="L480" s="53">
        <f t="shared" ref="L480" si="1228">IF($B480,INDEX($O$4:$O$499,MATCH($B480,$A$4:$A$499)),0)</f>
        <v>0</v>
      </c>
      <c r="M480" s="126">
        <f t="shared" ref="M480" si="1229">IF($B480,INDEX($AA$4:$AA$499,MATCH($B480,$A$4:$A$499)),0)</f>
        <v>0</v>
      </c>
      <c r="N480" s="119">
        <f t="shared" ref="N480" si="1230">($L480+$M480)</f>
        <v>0</v>
      </c>
      <c r="O480" s="130"/>
      <c r="P480" s="134"/>
      <c r="Q480" s="130"/>
      <c r="R480" s="52"/>
      <c r="S480" s="224">
        <f t="shared" ref="S480:S483" si="1231">S479</f>
        <v>0</v>
      </c>
      <c r="T480" s="237"/>
      <c r="U480" s="237"/>
      <c r="V480" s="237"/>
      <c r="W480" s="237"/>
      <c r="X480" s="52"/>
      <c r="Y480" s="52"/>
      <c r="Z480" s="52"/>
      <c r="AA480" s="54"/>
      <c r="AB480" s="130"/>
      <c r="AC480" s="139"/>
    </row>
    <row r="481" spans="1:29" x14ac:dyDescent="0.3">
      <c r="A481" s="121"/>
      <c r="B481" s="184"/>
      <c r="C481" s="54"/>
      <c r="D481" s="52"/>
      <c r="E481" s="52"/>
      <c r="F481" s="117"/>
      <c r="G481" s="119">
        <f t="shared" si="1175"/>
        <v>0</v>
      </c>
      <c r="H481" s="113"/>
      <c r="I481" s="52"/>
      <c r="J481" s="52"/>
      <c r="K481" s="124"/>
      <c r="L481" s="53">
        <f t="shared" si="1202"/>
        <v>0</v>
      </c>
      <c r="M481" s="127">
        <f t="shared" si="1203"/>
        <v>0</v>
      </c>
      <c r="N481" s="119">
        <f t="shared" si="1204"/>
        <v>0</v>
      </c>
      <c r="O481" s="130"/>
      <c r="P481" s="134"/>
      <c r="Q481" s="130"/>
      <c r="R481" s="52"/>
      <c r="S481" s="224">
        <f t="shared" si="1231"/>
        <v>0</v>
      </c>
      <c r="T481" s="237"/>
      <c r="U481" s="237"/>
      <c r="V481" s="237"/>
      <c r="W481" s="237"/>
      <c r="X481" s="52"/>
      <c r="Y481" s="52"/>
      <c r="Z481" s="52"/>
      <c r="AA481" s="54"/>
      <c r="AB481" s="130"/>
      <c r="AC481" s="139"/>
    </row>
    <row r="482" spans="1:29" x14ac:dyDescent="0.3">
      <c r="A482" s="121"/>
      <c r="B482" s="184"/>
      <c r="C482" s="54"/>
      <c r="D482" s="52"/>
      <c r="E482" s="52"/>
      <c r="F482" s="117"/>
      <c r="G482" s="119">
        <f t="shared" si="1175"/>
        <v>0</v>
      </c>
      <c r="H482" s="113"/>
      <c r="I482" s="52"/>
      <c r="J482" s="52"/>
      <c r="K482" s="124"/>
      <c r="L482" s="53">
        <f t="shared" si="1202"/>
        <v>0</v>
      </c>
      <c r="M482" s="127">
        <f t="shared" si="1203"/>
        <v>0</v>
      </c>
      <c r="N482" s="119">
        <f t="shared" si="1204"/>
        <v>0</v>
      </c>
      <c r="O482" s="130"/>
      <c r="P482" s="134"/>
      <c r="Q482" s="130"/>
      <c r="R482" s="52"/>
      <c r="S482" s="224">
        <f t="shared" si="1231"/>
        <v>0</v>
      </c>
      <c r="T482" s="237"/>
      <c r="U482" s="237"/>
      <c r="V482" s="237"/>
      <c r="W482" s="237"/>
      <c r="X482" s="52"/>
      <c r="Y482" s="52"/>
      <c r="Z482" s="52"/>
      <c r="AA482" s="54"/>
      <c r="AB482" s="130"/>
      <c r="AC482" s="139"/>
    </row>
    <row r="483" spans="1:29" ht="15" thickBot="1" x14ac:dyDescent="0.35">
      <c r="A483" s="122"/>
      <c r="B483" s="185"/>
      <c r="C483" s="102"/>
      <c r="D483" s="101"/>
      <c r="E483" s="101"/>
      <c r="F483" s="118"/>
      <c r="G483" s="120">
        <f t="shared" si="1175"/>
        <v>0</v>
      </c>
      <c r="H483" s="114"/>
      <c r="I483" s="101"/>
      <c r="J483" s="101"/>
      <c r="K483" s="125"/>
      <c r="L483" s="103">
        <f t="shared" si="1202"/>
        <v>0</v>
      </c>
      <c r="M483" s="128">
        <f t="shared" si="1203"/>
        <v>0</v>
      </c>
      <c r="N483" s="120">
        <f t="shared" si="1204"/>
        <v>0</v>
      </c>
      <c r="O483" s="131"/>
      <c r="P483" s="135"/>
      <c r="Q483" s="131"/>
      <c r="R483" s="101"/>
      <c r="S483" s="104">
        <f t="shared" si="1231"/>
        <v>0</v>
      </c>
      <c r="T483" s="238"/>
      <c r="U483" s="238"/>
      <c r="V483" s="238"/>
      <c r="W483" s="238"/>
      <c r="X483" s="101"/>
      <c r="Y483" s="101"/>
      <c r="Z483" s="101"/>
      <c r="AA483" s="102"/>
      <c r="AB483" s="131"/>
      <c r="AC483" s="140"/>
    </row>
    <row r="484" spans="1:29" x14ac:dyDescent="0.3">
      <c r="A484" s="115">
        <f t="shared" ref="A484" si="1232">$A479+1</f>
        <v>97</v>
      </c>
      <c r="B484" s="186"/>
      <c r="C484" s="105">
        <f>INDEX(Tribs!$C$3:$C$102,MATCH($A484,Tribs!$A$3:$A$102,0))</f>
        <v>0</v>
      </c>
      <c r="D484" s="106">
        <f>INDEX(Tribs!$E$3:$E$102,MATCH($A484,Tribs!$A$3:$A$102,0))</f>
        <v>0</v>
      </c>
      <c r="E484" s="105">
        <f>INDEX(Tribs!$F$3:$F$102,MATCH($A484,Tribs!$A$3:$A$102,0))</f>
        <v>0</v>
      </c>
      <c r="F484" s="116">
        <f t="shared" ref="F484" si="1233">($C484*$E484)</f>
        <v>0</v>
      </c>
      <c r="G484" s="110"/>
      <c r="H484" s="111">
        <f t="shared" ref="H484" si="1234">($F484)+(SUM($G485:$G488))</f>
        <v>0</v>
      </c>
      <c r="I484" s="106">
        <f>INDEX(Tribs!$D$3:$D$102,MATCH($A484,Tribs!$A$3:$A$102,0))</f>
        <v>0</v>
      </c>
      <c r="J484" s="106">
        <f>INDEX(Tribs!$G$3:$G$102,MATCH($A484,Tribs!$A$3:$A$102,0))</f>
        <v>0</v>
      </c>
      <c r="K484" s="105">
        <f>($J484)/V_gutter*(1/60)</f>
        <v>0</v>
      </c>
      <c r="L484" s="112"/>
      <c r="M484" s="109"/>
      <c r="N484" s="129">
        <f t="shared" ref="N484" si="1235">($I484+$K484)</f>
        <v>0</v>
      </c>
      <c r="O484" s="111">
        <f t="shared" ref="O484" si="1236">MAX($N484:$N488)</f>
        <v>0</v>
      </c>
      <c r="P484" s="133">
        <f>IF($H484&gt;0,IF($O484&lt;=T_1,I_1,IF($O484&lt;=T_2,(($O484*M_1)+B_1),IF($O484&lt;=T_3,(($O484*M_2)+B_2),IF($O484&lt;=T_4,(($O484*M_3)+B_3),IF($O484&lt;=T_5,(($O484*M_4)+B_4),IF($O484&lt;=T_6,(($O484*M_5)+B_5),IF($O484&lt;=T_7,(($O484*M_6)+B_6),IF($O484&lt;=T_8,(($O484*M_7)+B_7),IF($O484&lt;=T_9,(($O484*M_8)+B_8),IF($O484&lt;=T_10,(($O484*M_9)+B_9))))))))))),0)</f>
        <v>0</v>
      </c>
      <c r="Q484" s="111">
        <f t="shared" ref="Q484" si="1237">ROUND(($H484*$P484),2)</f>
        <v>0</v>
      </c>
      <c r="R484" s="107">
        <f>IF($Q484&gt;0,IF($Q484&lt;=UTH!$M$4,UTH!$J$4,IF($Q484&lt;=UTH!$M$5,UTH!$J$5,IF($Q484&lt;=UTH!$M$6,UTH!$J$6,IF($Q484&lt;=UTH!$M$7,UTH!$J$7,IF($Q484&lt;=UTH!$M$8,UTH!$J$8,IF($Q484&lt;=UTH!$M$9,UTH!$J$9,IF($Q484&lt;=UTH!$M$10,UTH!$J$10,IF($Q484&lt;=UTH!$M$11,UTH!$J$11,IF($Q484&lt;=UTH!$M$12,UTH!$J$12,IF($Q484&lt;=UTH!$M$13,UTH!$J$13,IF($Q484&lt;=UTH!$M$14,UTH!$J$14,IF($Q484&lt;=UTH!$M$15,UTH!$J$15,IF($Q484&lt;=UTH!$M$16,UTH!$J$16,IF($Q484&lt;=UTH!$M$17,UTH!$J$17,IF($Q484&lt;=UTH!$M$18,UTH!$J$18,IF($Q484&lt;=UTH!$M$19,UTH!$J$19,IF($Q484&lt;=UTH!$M$20,UTH!$J$20))))))))))))))))),0)</f>
        <v>0</v>
      </c>
      <c r="S484" s="107">
        <f>IF(Inverts!$D484="YES",Inverts!$C484,Inverts!$E484)</f>
        <v>0</v>
      </c>
      <c r="T484" s="108">
        <f>IF($S484,($Q484/(KQ*($S484^(8/3))))^2,0)</f>
        <v>0</v>
      </c>
      <c r="U484" s="108">
        <f>IF($S484,(Vmin/(KV*($S484^(2/3))))^2,0)</f>
        <v>0</v>
      </c>
      <c r="V484" s="108">
        <f>IF($Z484,ROUND(MinDrop_2/$Z484,4),0)</f>
        <v>0</v>
      </c>
      <c r="W484" s="108">
        <f t="shared" ref="W484" si="1238">IF($S484=0,0,MAX($T484:$V484))</f>
        <v>0</v>
      </c>
      <c r="X484" s="108">
        <f>IF(Inverts!$H484="yes",Inverts!$G484,Inverts!$I484)</f>
        <v>0</v>
      </c>
      <c r="Y484" s="105">
        <f>ROUND(KV*($S484^(2/3))*($X484^(0.5)),2)</f>
        <v>0</v>
      </c>
      <c r="Z484" s="106">
        <f>INDEX(Tribs!$H$3:$H$102,MATCH($A484,Tribs!$A$3:$A$102,0))</f>
        <v>0</v>
      </c>
      <c r="AA484" s="105">
        <f t="shared" ref="AA484" si="1239">IF($Y484,($Z484/$Y484)*(1/60),0)</f>
        <v>0</v>
      </c>
      <c r="AB484" s="111">
        <f>ROUND(KQ*($S484^(8/3))*($X484^(0.5)),2)</f>
        <v>0</v>
      </c>
      <c r="AC484" s="138" t="str">
        <f>IF(AND($AB484&gt;=($Q484-0.0049),$Y484&gt;=(Vmin-0.0049)),"OK","NG")</f>
        <v>NG</v>
      </c>
    </row>
    <row r="485" spans="1:29" x14ac:dyDescent="0.3">
      <c r="A485" s="121"/>
      <c r="B485" s="184"/>
      <c r="C485" s="54"/>
      <c r="D485" s="52"/>
      <c r="E485" s="52"/>
      <c r="F485" s="117"/>
      <c r="G485" s="119">
        <f t="shared" ref="G485" si="1240">IF($B485,INDEX($H$4:$H$499,(MATCH($B485,$A$4:$A$499))),0)</f>
        <v>0</v>
      </c>
      <c r="H485" s="113"/>
      <c r="I485" s="52"/>
      <c r="J485" s="52"/>
      <c r="K485" s="123"/>
      <c r="L485" s="53">
        <f t="shared" ref="L485" si="1241">IF($B485,INDEX($O$4:$O$499,MATCH($B485,$A$4:$A$499)),0)</f>
        <v>0</v>
      </c>
      <c r="M485" s="126">
        <f t="shared" ref="M485" si="1242">IF($B485,INDEX($AA$4:$AA$499,MATCH($B485,$A$4:$A$499)),0)</f>
        <v>0</v>
      </c>
      <c r="N485" s="119">
        <f t="shared" ref="N485" si="1243">($L485+$M485)</f>
        <v>0</v>
      </c>
      <c r="O485" s="130"/>
      <c r="P485" s="134"/>
      <c r="Q485" s="130"/>
      <c r="R485" s="52"/>
      <c r="S485" s="224">
        <f t="shared" ref="S485:S488" si="1244">S484</f>
        <v>0</v>
      </c>
      <c r="T485" s="237"/>
      <c r="U485" s="237"/>
      <c r="V485" s="237"/>
      <c r="W485" s="237"/>
      <c r="X485" s="52"/>
      <c r="Y485" s="52"/>
      <c r="Z485" s="52"/>
      <c r="AA485" s="54"/>
      <c r="AB485" s="130"/>
      <c r="AC485" s="139"/>
    </row>
    <row r="486" spans="1:29" x14ac:dyDescent="0.3">
      <c r="A486" s="121"/>
      <c r="B486" s="184"/>
      <c r="C486" s="54"/>
      <c r="D486" s="52"/>
      <c r="E486" s="52"/>
      <c r="F486" s="117"/>
      <c r="G486" s="119">
        <f t="shared" si="1175"/>
        <v>0</v>
      </c>
      <c r="H486" s="113"/>
      <c r="I486" s="52"/>
      <c r="J486" s="52"/>
      <c r="K486" s="124"/>
      <c r="L486" s="53">
        <f t="shared" si="1202"/>
        <v>0</v>
      </c>
      <c r="M486" s="127">
        <f t="shared" si="1203"/>
        <v>0</v>
      </c>
      <c r="N486" s="119">
        <f t="shared" si="1204"/>
        <v>0</v>
      </c>
      <c r="O486" s="130"/>
      <c r="P486" s="134"/>
      <c r="Q486" s="130"/>
      <c r="R486" s="52"/>
      <c r="S486" s="224">
        <f t="shared" si="1244"/>
        <v>0</v>
      </c>
      <c r="T486" s="237"/>
      <c r="U486" s="237"/>
      <c r="V486" s="237"/>
      <c r="W486" s="237"/>
      <c r="X486" s="52"/>
      <c r="Y486" s="52"/>
      <c r="Z486" s="52"/>
      <c r="AA486" s="54"/>
      <c r="AB486" s="130"/>
      <c r="AC486" s="139"/>
    </row>
    <row r="487" spans="1:29" x14ac:dyDescent="0.3">
      <c r="A487" s="121"/>
      <c r="B487" s="184"/>
      <c r="C487" s="54"/>
      <c r="D487" s="52"/>
      <c r="E487" s="52"/>
      <c r="F487" s="117"/>
      <c r="G487" s="119">
        <f t="shared" si="1175"/>
        <v>0</v>
      </c>
      <c r="H487" s="113"/>
      <c r="I487" s="52"/>
      <c r="J487" s="52"/>
      <c r="K487" s="124"/>
      <c r="L487" s="53">
        <f t="shared" si="1202"/>
        <v>0</v>
      </c>
      <c r="M487" s="127">
        <f t="shared" si="1203"/>
        <v>0</v>
      </c>
      <c r="N487" s="119">
        <f t="shared" si="1204"/>
        <v>0</v>
      </c>
      <c r="O487" s="130"/>
      <c r="P487" s="134"/>
      <c r="Q487" s="130"/>
      <c r="R487" s="52"/>
      <c r="S487" s="224">
        <f t="shared" si="1244"/>
        <v>0</v>
      </c>
      <c r="T487" s="237"/>
      <c r="U487" s="237"/>
      <c r="V487" s="237"/>
      <c r="W487" s="237"/>
      <c r="X487" s="52"/>
      <c r="Y487" s="52"/>
      <c r="Z487" s="52"/>
      <c r="AA487" s="54"/>
      <c r="AB487" s="130"/>
      <c r="AC487" s="139"/>
    </row>
    <row r="488" spans="1:29" ht="15" thickBot="1" x14ac:dyDescent="0.35">
      <c r="A488" s="122"/>
      <c r="B488" s="185"/>
      <c r="C488" s="102"/>
      <c r="D488" s="101"/>
      <c r="E488" s="101"/>
      <c r="F488" s="118"/>
      <c r="G488" s="120">
        <f t="shared" si="1175"/>
        <v>0</v>
      </c>
      <c r="H488" s="114"/>
      <c r="I488" s="101"/>
      <c r="J488" s="101"/>
      <c r="K488" s="125"/>
      <c r="L488" s="103">
        <f t="shared" si="1202"/>
        <v>0</v>
      </c>
      <c r="M488" s="128">
        <f t="shared" si="1203"/>
        <v>0</v>
      </c>
      <c r="N488" s="120">
        <f t="shared" si="1204"/>
        <v>0</v>
      </c>
      <c r="O488" s="131"/>
      <c r="P488" s="135"/>
      <c r="Q488" s="131"/>
      <c r="R488" s="101"/>
      <c r="S488" s="104">
        <f t="shared" si="1244"/>
        <v>0</v>
      </c>
      <c r="T488" s="238"/>
      <c r="U488" s="238"/>
      <c r="V488" s="238"/>
      <c r="W488" s="238"/>
      <c r="X488" s="101"/>
      <c r="Y488" s="101"/>
      <c r="Z488" s="101"/>
      <c r="AA488" s="102"/>
      <c r="AB488" s="131"/>
      <c r="AC488" s="140"/>
    </row>
    <row r="489" spans="1:29" x14ac:dyDescent="0.3">
      <c r="A489" s="115">
        <f t="shared" ref="A489" si="1245">$A484+1</f>
        <v>98</v>
      </c>
      <c r="B489" s="186"/>
      <c r="C489" s="105">
        <f>INDEX(Tribs!$C$3:$C$102,MATCH($A489,Tribs!$A$3:$A$102,0))</f>
        <v>0</v>
      </c>
      <c r="D489" s="106">
        <f>INDEX(Tribs!$E$3:$E$102,MATCH($A489,Tribs!$A$3:$A$102,0))</f>
        <v>0</v>
      </c>
      <c r="E489" s="105">
        <f>INDEX(Tribs!$F$3:$F$102,MATCH($A489,Tribs!$A$3:$A$102,0))</f>
        <v>0</v>
      </c>
      <c r="F489" s="116">
        <f t="shared" ref="F489" si="1246">($C489*$E489)</f>
        <v>0</v>
      </c>
      <c r="G489" s="110"/>
      <c r="H489" s="111">
        <f t="shared" ref="H489" si="1247">($F489)+(SUM($G490:$G493))</f>
        <v>0</v>
      </c>
      <c r="I489" s="106">
        <f>INDEX(Tribs!$D$3:$D$102,MATCH($A489,Tribs!$A$3:$A$102,0))</f>
        <v>0</v>
      </c>
      <c r="J489" s="106">
        <f>INDEX(Tribs!$G$3:$G$102,MATCH($A489,Tribs!$A$3:$A$102,0))</f>
        <v>0</v>
      </c>
      <c r="K489" s="105">
        <f>($J489)/V_gutter*(1/60)</f>
        <v>0</v>
      </c>
      <c r="L489" s="112"/>
      <c r="M489" s="109"/>
      <c r="N489" s="129">
        <f t="shared" ref="N489" si="1248">($I489+$K489)</f>
        <v>0</v>
      </c>
      <c r="O489" s="111">
        <f t="shared" ref="O489" si="1249">MAX($N489:$N493)</f>
        <v>0</v>
      </c>
      <c r="P489" s="133">
        <f>IF($H489&gt;0,IF($O489&lt;=T_1,I_1,IF($O489&lt;=T_2,(($O489*M_1)+B_1),IF($O489&lt;=T_3,(($O489*M_2)+B_2),IF($O489&lt;=T_4,(($O489*M_3)+B_3),IF($O489&lt;=T_5,(($O489*M_4)+B_4),IF($O489&lt;=T_6,(($O489*M_5)+B_5),IF($O489&lt;=T_7,(($O489*M_6)+B_6),IF($O489&lt;=T_8,(($O489*M_7)+B_7),IF($O489&lt;=T_9,(($O489*M_8)+B_8),IF($O489&lt;=T_10,(($O489*M_9)+B_9))))))))))),0)</f>
        <v>0</v>
      </c>
      <c r="Q489" s="111">
        <f t="shared" ref="Q489" si="1250">ROUND(($H489*$P489),2)</f>
        <v>0</v>
      </c>
      <c r="R489" s="107">
        <f>IF($Q489&gt;0,IF($Q489&lt;=UTH!$M$4,UTH!$J$4,IF($Q489&lt;=UTH!$M$5,UTH!$J$5,IF($Q489&lt;=UTH!$M$6,UTH!$J$6,IF($Q489&lt;=UTH!$M$7,UTH!$J$7,IF($Q489&lt;=UTH!$M$8,UTH!$J$8,IF($Q489&lt;=UTH!$M$9,UTH!$J$9,IF($Q489&lt;=UTH!$M$10,UTH!$J$10,IF($Q489&lt;=UTH!$M$11,UTH!$J$11,IF($Q489&lt;=UTH!$M$12,UTH!$J$12,IF($Q489&lt;=UTH!$M$13,UTH!$J$13,IF($Q489&lt;=UTH!$M$14,UTH!$J$14,IF($Q489&lt;=UTH!$M$15,UTH!$J$15,IF($Q489&lt;=UTH!$M$16,UTH!$J$16,IF($Q489&lt;=UTH!$M$17,UTH!$J$17,IF($Q489&lt;=UTH!$M$18,UTH!$J$18,IF($Q489&lt;=UTH!$M$19,UTH!$J$19,IF($Q489&lt;=UTH!$M$20,UTH!$J$20))))))))))))))))),0)</f>
        <v>0</v>
      </c>
      <c r="S489" s="107">
        <f>IF(Inverts!$D489="YES",Inverts!$C489,Inverts!$E489)</f>
        <v>0</v>
      </c>
      <c r="T489" s="108">
        <f>IF($S489,($Q489/(KQ*($S489^(8/3))))^2,0)</f>
        <v>0</v>
      </c>
      <c r="U489" s="108">
        <f>IF($S489,(Vmin/(KV*($S489^(2/3))))^2,0)</f>
        <v>0</v>
      </c>
      <c r="V489" s="108">
        <f>IF($Z489,ROUND(MinDrop_2/$Z489,4),0)</f>
        <v>0</v>
      </c>
      <c r="W489" s="108">
        <f t="shared" ref="W489" si="1251">IF($S489=0,0,MAX($T489:$V489))</f>
        <v>0</v>
      </c>
      <c r="X489" s="108">
        <f>IF(Inverts!$H489="yes",Inverts!$G489,Inverts!$I489)</f>
        <v>0</v>
      </c>
      <c r="Y489" s="105">
        <f>ROUND(KV*($S489^(2/3))*($X489^(0.5)),2)</f>
        <v>0</v>
      </c>
      <c r="Z489" s="106">
        <f>INDEX(Tribs!$H$3:$H$102,MATCH($A489,Tribs!$A$3:$A$102,0))</f>
        <v>0</v>
      </c>
      <c r="AA489" s="105">
        <f t="shared" ref="AA489" si="1252">IF($Y489,($Z489/$Y489)*(1/60),0)</f>
        <v>0</v>
      </c>
      <c r="AB489" s="111">
        <f>ROUND(KQ*($S489^(8/3))*($X489^(0.5)),2)</f>
        <v>0</v>
      </c>
      <c r="AC489" s="138" t="str">
        <f>IF(AND($AB489&gt;=($Q489-0.0049),$Y489&gt;=(Vmin-0.0049)),"OK","NG")</f>
        <v>NG</v>
      </c>
    </row>
    <row r="490" spans="1:29" x14ac:dyDescent="0.3">
      <c r="A490" s="121"/>
      <c r="B490" s="184"/>
      <c r="C490" s="54"/>
      <c r="D490" s="52"/>
      <c r="E490" s="52"/>
      <c r="F490" s="117"/>
      <c r="G490" s="119">
        <f t="shared" ref="G490" si="1253">IF($B490,INDEX($H$4:$H$499,(MATCH($B490,$A$4:$A$499))),0)</f>
        <v>0</v>
      </c>
      <c r="H490" s="113"/>
      <c r="I490" s="52"/>
      <c r="J490" s="52"/>
      <c r="K490" s="123"/>
      <c r="L490" s="53">
        <f t="shared" ref="L490" si="1254">IF($B490,INDEX($O$4:$O$499,MATCH($B490,$A$4:$A$499)),0)</f>
        <v>0</v>
      </c>
      <c r="M490" s="126">
        <f t="shared" ref="M490" si="1255">IF($B490,INDEX($AA$4:$AA$499,MATCH($B490,$A$4:$A$499)),0)</f>
        <v>0</v>
      </c>
      <c r="N490" s="119">
        <f t="shared" ref="N490" si="1256">($L490+$M490)</f>
        <v>0</v>
      </c>
      <c r="O490" s="130"/>
      <c r="P490" s="134"/>
      <c r="Q490" s="130"/>
      <c r="R490" s="52"/>
      <c r="S490" s="224">
        <f t="shared" ref="S490:S493" si="1257">S489</f>
        <v>0</v>
      </c>
      <c r="T490" s="237"/>
      <c r="U490" s="237"/>
      <c r="V490" s="237"/>
      <c r="W490" s="237"/>
      <c r="X490" s="52"/>
      <c r="Y490" s="52"/>
      <c r="Z490" s="52"/>
      <c r="AA490" s="54"/>
      <c r="AB490" s="130"/>
      <c r="AC490" s="139"/>
    </row>
    <row r="491" spans="1:29" x14ac:dyDescent="0.3">
      <c r="A491" s="121"/>
      <c r="B491" s="184"/>
      <c r="C491" s="54"/>
      <c r="D491" s="52"/>
      <c r="E491" s="52"/>
      <c r="F491" s="117"/>
      <c r="G491" s="119">
        <f t="shared" si="1175"/>
        <v>0</v>
      </c>
      <c r="H491" s="113"/>
      <c r="I491" s="52"/>
      <c r="J491" s="52"/>
      <c r="K491" s="124"/>
      <c r="L491" s="53">
        <f t="shared" si="1202"/>
        <v>0</v>
      </c>
      <c r="M491" s="127">
        <f t="shared" si="1203"/>
        <v>0</v>
      </c>
      <c r="N491" s="119">
        <f t="shared" si="1204"/>
        <v>0</v>
      </c>
      <c r="O491" s="130"/>
      <c r="P491" s="134"/>
      <c r="Q491" s="130"/>
      <c r="R491" s="52"/>
      <c r="S491" s="224">
        <f t="shared" si="1257"/>
        <v>0</v>
      </c>
      <c r="T491" s="237"/>
      <c r="U491" s="237"/>
      <c r="V491" s="237"/>
      <c r="W491" s="237"/>
      <c r="X491" s="52"/>
      <c r="Y491" s="52"/>
      <c r="Z491" s="52"/>
      <c r="AA491" s="54"/>
      <c r="AB491" s="130"/>
      <c r="AC491" s="139"/>
    </row>
    <row r="492" spans="1:29" x14ac:dyDescent="0.3">
      <c r="A492" s="121"/>
      <c r="B492" s="184"/>
      <c r="C492" s="54"/>
      <c r="D492" s="52"/>
      <c r="E492" s="52"/>
      <c r="F492" s="117"/>
      <c r="G492" s="119">
        <f t="shared" si="1175"/>
        <v>0</v>
      </c>
      <c r="H492" s="113"/>
      <c r="I492" s="52"/>
      <c r="J492" s="52"/>
      <c r="K492" s="124"/>
      <c r="L492" s="53">
        <f t="shared" si="1202"/>
        <v>0</v>
      </c>
      <c r="M492" s="127">
        <f t="shared" si="1203"/>
        <v>0</v>
      </c>
      <c r="N492" s="119">
        <f t="shared" si="1204"/>
        <v>0</v>
      </c>
      <c r="O492" s="130"/>
      <c r="P492" s="134"/>
      <c r="Q492" s="130"/>
      <c r="R492" s="52"/>
      <c r="S492" s="224">
        <f t="shared" si="1257"/>
        <v>0</v>
      </c>
      <c r="T492" s="237"/>
      <c r="U492" s="237"/>
      <c r="V492" s="237"/>
      <c r="W492" s="237"/>
      <c r="X492" s="52"/>
      <c r="Y492" s="52"/>
      <c r="Z492" s="52"/>
      <c r="AA492" s="54"/>
      <c r="AB492" s="130"/>
      <c r="AC492" s="139"/>
    </row>
    <row r="493" spans="1:29" ht="15" thickBot="1" x14ac:dyDescent="0.35">
      <c r="A493" s="122"/>
      <c r="B493" s="185"/>
      <c r="C493" s="102"/>
      <c r="D493" s="101"/>
      <c r="E493" s="101"/>
      <c r="F493" s="118"/>
      <c r="G493" s="120">
        <f t="shared" si="1175"/>
        <v>0</v>
      </c>
      <c r="H493" s="114"/>
      <c r="I493" s="101"/>
      <c r="J493" s="101"/>
      <c r="K493" s="125"/>
      <c r="L493" s="103">
        <f t="shared" si="1202"/>
        <v>0</v>
      </c>
      <c r="M493" s="128">
        <f t="shared" si="1203"/>
        <v>0</v>
      </c>
      <c r="N493" s="120">
        <f t="shared" si="1204"/>
        <v>0</v>
      </c>
      <c r="O493" s="131"/>
      <c r="P493" s="135"/>
      <c r="Q493" s="131"/>
      <c r="R493" s="101"/>
      <c r="S493" s="104">
        <f t="shared" si="1257"/>
        <v>0</v>
      </c>
      <c r="T493" s="238"/>
      <c r="U493" s="238"/>
      <c r="V493" s="238"/>
      <c r="W493" s="238"/>
      <c r="X493" s="101"/>
      <c r="Y493" s="101"/>
      <c r="Z493" s="101"/>
      <c r="AA493" s="102"/>
      <c r="AB493" s="131"/>
      <c r="AC493" s="140"/>
    </row>
    <row r="494" spans="1:29" x14ac:dyDescent="0.3">
      <c r="A494" s="115">
        <f t="shared" ref="A494" si="1258">$A489+1</f>
        <v>99</v>
      </c>
      <c r="B494" s="186"/>
      <c r="C494" s="105">
        <f>INDEX(Tribs!$C$3:$C$102,MATCH($A494,Tribs!$A$3:$A$102,0))</f>
        <v>0</v>
      </c>
      <c r="D494" s="106">
        <f>INDEX(Tribs!$E$3:$E$102,MATCH($A494,Tribs!$A$3:$A$102,0))</f>
        <v>0</v>
      </c>
      <c r="E494" s="105">
        <f>INDEX(Tribs!$F$3:$F$102,MATCH($A494,Tribs!$A$3:$A$102,0))</f>
        <v>0</v>
      </c>
      <c r="F494" s="116">
        <f t="shared" ref="F494" si="1259">($C494*$E494)</f>
        <v>0</v>
      </c>
      <c r="G494" s="110"/>
      <c r="H494" s="111">
        <f t="shared" ref="H494" si="1260">($F494)+(SUM($G495:$G498))</f>
        <v>0</v>
      </c>
      <c r="I494" s="106">
        <f>INDEX(Tribs!$D$3:$D$102,MATCH($A494,Tribs!$A$3:$A$102,0))</f>
        <v>0</v>
      </c>
      <c r="J494" s="106">
        <f>INDEX(Tribs!$G$3:$G$102,MATCH($A494,Tribs!$A$3:$A$102,0))</f>
        <v>0</v>
      </c>
      <c r="K494" s="105">
        <f>($J494)/V_gutter*(1/60)</f>
        <v>0</v>
      </c>
      <c r="L494" s="112"/>
      <c r="M494" s="109"/>
      <c r="N494" s="129">
        <f t="shared" ref="N494" si="1261">($I494+$K494)</f>
        <v>0</v>
      </c>
      <c r="O494" s="111">
        <f t="shared" ref="O494" si="1262">MAX($N494:$N498)</f>
        <v>0</v>
      </c>
      <c r="P494" s="133">
        <f>IF($H494&gt;0,IF($O494&lt;=T_1,I_1,IF($O494&lt;=T_2,(($O494*M_1)+B_1),IF($O494&lt;=T_3,(($O494*M_2)+B_2),IF($O494&lt;=T_4,(($O494*M_3)+B_3),IF($O494&lt;=T_5,(($O494*M_4)+B_4),IF($O494&lt;=T_6,(($O494*M_5)+B_5),IF($O494&lt;=T_7,(($O494*M_6)+B_6),IF($O494&lt;=T_8,(($O494*M_7)+B_7),IF($O494&lt;=T_9,(($O494*M_8)+B_8),IF($O494&lt;=T_10,(($O494*M_9)+B_9))))))))))),0)</f>
        <v>0</v>
      </c>
      <c r="Q494" s="111">
        <f t="shared" ref="Q494" si="1263">ROUND(($H494*$P494),2)</f>
        <v>0</v>
      </c>
      <c r="R494" s="107">
        <f>IF($Q494&gt;0,IF($Q494&lt;=UTH!$M$4,UTH!$J$4,IF($Q494&lt;=UTH!$M$5,UTH!$J$5,IF($Q494&lt;=UTH!$M$6,UTH!$J$6,IF($Q494&lt;=UTH!$M$7,UTH!$J$7,IF($Q494&lt;=UTH!$M$8,UTH!$J$8,IF($Q494&lt;=UTH!$M$9,UTH!$J$9,IF($Q494&lt;=UTH!$M$10,UTH!$J$10,IF($Q494&lt;=UTH!$M$11,UTH!$J$11,IF($Q494&lt;=UTH!$M$12,UTH!$J$12,IF($Q494&lt;=UTH!$M$13,UTH!$J$13,IF($Q494&lt;=UTH!$M$14,UTH!$J$14,IF($Q494&lt;=UTH!$M$15,UTH!$J$15,IF($Q494&lt;=UTH!$M$16,UTH!$J$16,IF($Q494&lt;=UTH!$M$17,UTH!$J$17,IF($Q494&lt;=UTH!$M$18,UTH!$J$18,IF($Q494&lt;=UTH!$M$19,UTH!$J$19,IF($Q494&lt;=UTH!$M$20,UTH!$J$20))))))))))))))))),0)</f>
        <v>0</v>
      </c>
      <c r="S494" s="107">
        <f>IF(Inverts!$D494="YES",Inverts!$C494,Inverts!$E494)</f>
        <v>0</v>
      </c>
      <c r="T494" s="108">
        <f>IF($S494,($Q494/(KQ*($S494^(8/3))))^2,0)</f>
        <v>0</v>
      </c>
      <c r="U494" s="108">
        <f>IF($S494,(Vmin/(KV*($S494^(2/3))))^2,0)</f>
        <v>0</v>
      </c>
      <c r="V494" s="108">
        <f>IF($Z494,ROUND(MinDrop_2/$Z494,4),0)</f>
        <v>0</v>
      </c>
      <c r="W494" s="108">
        <f t="shared" ref="W494" si="1264">IF($S494=0,0,MAX($T494:$V494))</f>
        <v>0</v>
      </c>
      <c r="X494" s="108">
        <f>IF(Inverts!$H494="yes",Inverts!$G494,Inverts!$I494)</f>
        <v>0</v>
      </c>
      <c r="Y494" s="105">
        <f>ROUND(KV*($S494^(2/3))*($X494^(0.5)),2)</f>
        <v>0</v>
      </c>
      <c r="Z494" s="106">
        <f>INDEX(Tribs!$H$3:$H$102,MATCH($A494,Tribs!$A$3:$A$102,0))</f>
        <v>0</v>
      </c>
      <c r="AA494" s="105">
        <f t="shared" ref="AA494" si="1265">IF($Y494,($Z494/$Y494)*(1/60),0)</f>
        <v>0</v>
      </c>
      <c r="AB494" s="111">
        <f>ROUND(KQ*($S494^(8/3))*($X494^(0.5)),2)</f>
        <v>0</v>
      </c>
      <c r="AC494" s="138" t="str">
        <f>IF(AND($AB494&gt;=($Q494-0.0049),$Y494&gt;=(Vmin-0.0049)),"OK","NG")</f>
        <v>NG</v>
      </c>
    </row>
    <row r="495" spans="1:29" x14ac:dyDescent="0.3">
      <c r="A495" s="121"/>
      <c r="B495" s="184"/>
      <c r="C495" s="54"/>
      <c r="D495" s="52"/>
      <c r="E495" s="52"/>
      <c r="F495" s="117"/>
      <c r="G495" s="119">
        <f t="shared" ref="G495" si="1266">IF($B495,INDEX($H$4:$H$499,(MATCH($B495,$A$4:$A$499))),0)</f>
        <v>0</v>
      </c>
      <c r="H495" s="113"/>
      <c r="I495" s="52"/>
      <c r="J495" s="52"/>
      <c r="K495" s="123"/>
      <c r="L495" s="53">
        <f t="shared" ref="L495" si="1267">IF($B495,INDEX($O$4:$O$499,MATCH($B495,$A$4:$A$499)),0)</f>
        <v>0</v>
      </c>
      <c r="M495" s="126">
        <f t="shared" ref="M495" si="1268">IF($B495,INDEX($AA$4:$AA$499,MATCH($B495,$A$4:$A$499)),0)</f>
        <v>0</v>
      </c>
      <c r="N495" s="119">
        <f t="shared" ref="N495" si="1269">($L495+$M495)</f>
        <v>0</v>
      </c>
      <c r="O495" s="130"/>
      <c r="P495" s="134"/>
      <c r="Q495" s="130"/>
      <c r="R495" s="52"/>
      <c r="S495" s="224">
        <f t="shared" ref="S495:S498" si="1270">S494</f>
        <v>0</v>
      </c>
      <c r="T495" s="237"/>
      <c r="U495" s="237"/>
      <c r="V495" s="237"/>
      <c r="W495" s="237"/>
      <c r="X495" s="52"/>
      <c r="Y495" s="52"/>
      <c r="Z495" s="52"/>
      <c r="AA495" s="54"/>
      <c r="AB495" s="130"/>
      <c r="AC495" s="139"/>
    </row>
    <row r="496" spans="1:29" x14ac:dyDescent="0.3">
      <c r="A496" s="121"/>
      <c r="B496" s="184"/>
      <c r="C496" s="54"/>
      <c r="D496" s="52"/>
      <c r="E496" s="52"/>
      <c r="F496" s="117"/>
      <c r="G496" s="119">
        <f t="shared" si="1175"/>
        <v>0</v>
      </c>
      <c r="H496" s="113"/>
      <c r="I496" s="52"/>
      <c r="J496" s="52"/>
      <c r="K496" s="124"/>
      <c r="L496" s="53">
        <f t="shared" si="1202"/>
        <v>0</v>
      </c>
      <c r="M496" s="127">
        <f t="shared" si="1203"/>
        <v>0</v>
      </c>
      <c r="N496" s="119">
        <f t="shared" si="1204"/>
        <v>0</v>
      </c>
      <c r="O496" s="130"/>
      <c r="P496" s="134"/>
      <c r="Q496" s="130"/>
      <c r="R496" s="52"/>
      <c r="S496" s="224">
        <f t="shared" si="1270"/>
        <v>0</v>
      </c>
      <c r="T496" s="237"/>
      <c r="U496" s="237"/>
      <c r="V496" s="237"/>
      <c r="W496" s="237"/>
      <c r="X496" s="52"/>
      <c r="Y496" s="52"/>
      <c r="Z496" s="52"/>
      <c r="AA496" s="54"/>
      <c r="AB496" s="130"/>
      <c r="AC496" s="139"/>
    </row>
    <row r="497" spans="1:29" x14ac:dyDescent="0.3">
      <c r="A497" s="121"/>
      <c r="B497" s="184"/>
      <c r="C497" s="54"/>
      <c r="D497" s="52"/>
      <c r="E497" s="52"/>
      <c r="F497" s="117"/>
      <c r="G497" s="119">
        <f t="shared" si="1175"/>
        <v>0</v>
      </c>
      <c r="H497" s="113"/>
      <c r="I497" s="52"/>
      <c r="J497" s="52"/>
      <c r="K497" s="124"/>
      <c r="L497" s="53">
        <f t="shared" si="1202"/>
        <v>0</v>
      </c>
      <c r="M497" s="127">
        <f t="shared" si="1203"/>
        <v>0</v>
      </c>
      <c r="N497" s="119">
        <f t="shared" si="1204"/>
        <v>0</v>
      </c>
      <c r="O497" s="130"/>
      <c r="P497" s="134"/>
      <c r="Q497" s="130"/>
      <c r="R497" s="52"/>
      <c r="S497" s="224">
        <f t="shared" si="1270"/>
        <v>0</v>
      </c>
      <c r="T497" s="237"/>
      <c r="U497" s="237"/>
      <c r="V497" s="237"/>
      <c r="W497" s="237"/>
      <c r="X497" s="52"/>
      <c r="Y497" s="52"/>
      <c r="Z497" s="52"/>
      <c r="AA497" s="54"/>
      <c r="AB497" s="130"/>
      <c r="AC497" s="139"/>
    </row>
    <row r="498" spans="1:29" ht="15" thickBot="1" x14ac:dyDescent="0.35">
      <c r="A498" s="122"/>
      <c r="B498" s="185"/>
      <c r="C498" s="102"/>
      <c r="D498" s="101"/>
      <c r="E498" s="101"/>
      <c r="F498" s="118"/>
      <c r="G498" s="120">
        <f t="shared" si="1175"/>
        <v>0</v>
      </c>
      <c r="H498" s="114"/>
      <c r="I498" s="101"/>
      <c r="J498" s="101"/>
      <c r="K498" s="125"/>
      <c r="L498" s="103">
        <f t="shared" si="1202"/>
        <v>0</v>
      </c>
      <c r="M498" s="128">
        <f t="shared" si="1203"/>
        <v>0</v>
      </c>
      <c r="N498" s="120">
        <f t="shared" si="1204"/>
        <v>0</v>
      </c>
      <c r="O498" s="131"/>
      <c r="P498" s="135"/>
      <c r="Q498" s="131"/>
      <c r="R498" s="101"/>
      <c r="S498" s="104">
        <f t="shared" si="1270"/>
        <v>0</v>
      </c>
      <c r="T498" s="238"/>
      <c r="U498" s="238"/>
      <c r="V498" s="238"/>
      <c r="W498" s="238"/>
      <c r="X498" s="101"/>
      <c r="Y498" s="101"/>
      <c r="Z498" s="101"/>
      <c r="AA498" s="102"/>
      <c r="AB498" s="131"/>
      <c r="AC498" s="140"/>
    </row>
    <row r="499" spans="1:29" x14ac:dyDescent="0.3">
      <c r="A499" s="115">
        <f t="shared" ref="A499" si="1271">$A494+1</f>
        <v>100</v>
      </c>
      <c r="B499" s="186"/>
      <c r="C499" s="105">
        <f>INDEX(Tribs!$C$3:$C$102,MATCH($A499,Tribs!$A$3:$A$102,0))</f>
        <v>0</v>
      </c>
      <c r="D499" s="106">
        <f>INDEX(Tribs!$E$3:$E$102,MATCH($A499,Tribs!$A$3:$A$102,0))</f>
        <v>0</v>
      </c>
      <c r="E499" s="105">
        <f>INDEX(Tribs!$F$3:$F$102,MATCH($A499,Tribs!$A$3:$A$102,0))</f>
        <v>0</v>
      </c>
      <c r="F499" s="116">
        <f t="shared" ref="F499" si="1272">($C499*$E499)</f>
        <v>0</v>
      </c>
      <c r="G499" s="110"/>
      <c r="H499" s="111">
        <f t="shared" ref="H499" si="1273">($F499)+(SUM($G500:$G503))</f>
        <v>0</v>
      </c>
      <c r="I499" s="106">
        <f>INDEX(Tribs!$D$3:$D$102,MATCH($A499,Tribs!$A$3:$A$102,0))</f>
        <v>0</v>
      </c>
      <c r="J499" s="106">
        <f>INDEX(Tribs!$G$3:$G$102,MATCH($A499,Tribs!$A$3:$A$102,0))</f>
        <v>0</v>
      </c>
      <c r="K499" s="105">
        <f>($J499)/V_gutter*(1/60)</f>
        <v>0</v>
      </c>
      <c r="L499" s="112"/>
      <c r="M499" s="109"/>
      <c r="N499" s="129">
        <f t="shared" ref="N499" si="1274">($I499+$K499)</f>
        <v>0</v>
      </c>
      <c r="O499" s="111">
        <f t="shared" ref="O499" si="1275">MAX($N499:$N503)</f>
        <v>0</v>
      </c>
      <c r="P499" s="133">
        <f>IF($H499&gt;0,IF($O499&lt;=T_1,I_1,IF($O499&lt;=T_2,(($O499*M_1)+B_1),IF($O499&lt;=T_3,(($O499*M_2)+B_2),IF($O499&lt;=T_4,(($O499*M_3)+B_3),IF($O499&lt;=T_5,(($O499*M_4)+B_4),IF($O499&lt;=T_6,(($O499*M_5)+B_5),IF($O499&lt;=T_7,(($O499*M_6)+B_6),IF($O499&lt;=T_8,(($O499*M_7)+B_7),IF($O499&lt;=T_9,(($O499*M_8)+B_8),IF($O499&lt;=T_10,(($O499*M_9)+B_9))))))))))),0)</f>
        <v>0</v>
      </c>
      <c r="Q499" s="111">
        <f t="shared" ref="Q499" si="1276">ROUND(($H499*$P499),2)</f>
        <v>0</v>
      </c>
      <c r="R499" s="107">
        <f>IF($Q499&gt;0,IF($Q499&lt;=UTH!$M$4,UTH!$J$4,IF($Q499&lt;=UTH!$M$5,UTH!$J$5,IF($Q499&lt;=UTH!$M$6,UTH!$J$6,IF($Q499&lt;=UTH!$M$7,UTH!$J$7,IF($Q499&lt;=UTH!$M$8,UTH!$J$8,IF($Q499&lt;=UTH!$M$9,UTH!$J$9,IF($Q499&lt;=UTH!$M$10,UTH!$J$10,IF($Q499&lt;=UTH!$M$11,UTH!$J$11,IF($Q499&lt;=UTH!$M$12,UTH!$J$12,IF($Q499&lt;=UTH!$M$13,UTH!$J$13,IF($Q499&lt;=UTH!$M$14,UTH!$J$14,IF($Q499&lt;=UTH!$M$15,UTH!$J$15,IF($Q499&lt;=UTH!$M$16,UTH!$J$16,IF($Q499&lt;=UTH!$M$17,UTH!$J$17,IF($Q499&lt;=UTH!$M$18,UTH!$J$18,IF($Q499&lt;=UTH!$M$19,UTH!$J$19,IF($Q499&lt;=UTH!$M$20,UTH!$J$20))))))))))))))))),0)</f>
        <v>0</v>
      </c>
      <c r="S499" s="107">
        <f>IF(Inverts!$D499="YES",Inverts!$C499,Inverts!$E499)</f>
        <v>0</v>
      </c>
      <c r="T499" s="108">
        <f>IF($S499,($Q499/(KQ*($S499^(8/3))))^2,0)</f>
        <v>0</v>
      </c>
      <c r="U499" s="108">
        <f>IF($S499,(Vmin/(KV*($S499^(2/3))))^2,0)</f>
        <v>0</v>
      </c>
      <c r="V499" s="108">
        <f>IF($Z499,ROUND(MinDrop_2/$Z499,4),0)</f>
        <v>0</v>
      </c>
      <c r="W499" s="108">
        <f t="shared" ref="W499" si="1277">IF($S499=0,0,MAX($T499:$V499))</f>
        <v>0</v>
      </c>
      <c r="X499" s="108">
        <f>IF(Inverts!$H499="yes",Inverts!$G499,Inverts!$I499)</f>
        <v>0</v>
      </c>
      <c r="Y499" s="105">
        <f>ROUND(KV*($S499^(2/3))*($X499^(0.5)),2)</f>
        <v>0</v>
      </c>
      <c r="Z499" s="106">
        <f>INDEX(Tribs!$H$3:$H$102,MATCH($A499,Tribs!$A$3:$A$102,0))</f>
        <v>0</v>
      </c>
      <c r="AA499" s="105">
        <f t="shared" ref="AA499" si="1278">IF($Y499,($Z499/$Y499)*(1/60),0)</f>
        <v>0</v>
      </c>
      <c r="AB499" s="111">
        <f>ROUND(KQ*($S499^(8/3))*($X499^(0.5)),2)</f>
        <v>0</v>
      </c>
      <c r="AC499" s="138" t="str">
        <f>IF(AND($AB499&gt;=($Q499-0.0049),$Y499&gt;=(Vmin-0.0049)),"OK","NG")</f>
        <v>NG</v>
      </c>
    </row>
    <row r="500" spans="1:29" x14ac:dyDescent="0.3">
      <c r="A500" s="121"/>
      <c r="B500" s="184"/>
      <c r="C500" s="54"/>
      <c r="D500" s="52"/>
      <c r="E500" s="52"/>
      <c r="F500" s="117"/>
      <c r="G500" s="119">
        <f t="shared" ref="G500" si="1279">IF($B500,INDEX($H$4:$H$499,(MATCH($B500,$A$4:$A$499))),0)</f>
        <v>0</v>
      </c>
      <c r="H500" s="113"/>
      <c r="I500" s="52"/>
      <c r="J500" s="52"/>
      <c r="K500" s="123"/>
      <c r="L500" s="53">
        <f t="shared" ref="L500" si="1280">IF($B500,INDEX($O$4:$O$499,MATCH($B500,$A$4:$A$499)),0)</f>
        <v>0</v>
      </c>
      <c r="M500" s="126">
        <f t="shared" ref="M500" si="1281">IF($B500,INDEX($AA$4:$AA$499,MATCH($B500,$A$4:$A$499)),0)</f>
        <v>0</v>
      </c>
      <c r="N500" s="119">
        <f t="shared" ref="N500" si="1282">($L500+$M500)</f>
        <v>0</v>
      </c>
      <c r="O500" s="130"/>
      <c r="P500" s="134"/>
      <c r="Q500" s="130"/>
      <c r="R500" s="52"/>
      <c r="S500" s="224">
        <f t="shared" ref="S500:S503" si="1283">S499</f>
        <v>0</v>
      </c>
      <c r="T500" s="237"/>
      <c r="U500" s="237"/>
      <c r="V500" s="237"/>
      <c r="W500" s="237"/>
      <c r="X500" s="52"/>
      <c r="Y500" s="52"/>
      <c r="Z500" s="52"/>
      <c r="AA500" s="54"/>
      <c r="AB500" s="130"/>
      <c r="AC500" s="139"/>
    </row>
    <row r="501" spans="1:29" x14ac:dyDescent="0.3">
      <c r="A501" s="121"/>
      <c r="B501" s="184"/>
      <c r="C501" s="54"/>
      <c r="D501" s="52"/>
      <c r="E501" s="52"/>
      <c r="F501" s="117"/>
      <c r="G501" s="119">
        <f t="shared" si="1175"/>
        <v>0</v>
      </c>
      <c r="H501" s="113"/>
      <c r="I501" s="52"/>
      <c r="J501" s="52"/>
      <c r="K501" s="124"/>
      <c r="L501" s="53">
        <f t="shared" si="1202"/>
        <v>0</v>
      </c>
      <c r="M501" s="127">
        <f t="shared" si="1203"/>
        <v>0</v>
      </c>
      <c r="N501" s="119">
        <f t="shared" si="1204"/>
        <v>0</v>
      </c>
      <c r="O501" s="130"/>
      <c r="P501" s="134"/>
      <c r="Q501" s="130"/>
      <c r="R501" s="52"/>
      <c r="S501" s="224">
        <f t="shared" si="1283"/>
        <v>0</v>
      </c>
      <c r="T501" s="237"/>
      <c r="U501" s="237"/>
      <c r="V501" s="237"/>
      <c r="W501" s="237"/>
      <c r="X501" s="52"/>
      <c r="Y501" s="52"/>
      <c r="Z501" s="52"/>
      <c r="AA501" s="54"/>
      <c r="AB501" s="130"/>
      <c r="AC501" s="139"/>
    </row>
    <row r="502" spans="1:29" x14ac:dyDescent="0.3">
      <c r="A502" s="121"/>
      <c r="B502" s="184"/>
      <c r="C502" s="54"/>
      <c r="D502" s="52"/>
      <c r="E502" s="52"/>
      <c r="F502" s="117"/>
      <c r="G502" s="119">
        <f t="shared" si="1175"/>
        <v>0</v>
      </c>
      <c r="H502" s="113"/>
      <c r="I502" s="52"/>
      <c r="J502" s="52"/>
      <c r="K502" s="124"/>
      <c r="L502" s="53">
        <f t="shared" si="1202"/>
        <v>0</v>
      </c>
      <c r="M502" s="127">
        <f t="shared" si="1203"/>
        <v>0</v>
      </c>
      <c r="N502" s="119">
        <f t="shared" si="1204"/>
        <v>0</v>
      </c>
      <c r="O502" s="130"/>
      <c r="P502" s="134"/>
      <c r="Q502" s="130"/>
      <c r="R502" s="52"/>
      <c r="S502" s="224">
        <f t="shared" si="1283"/>
        <v>0</v>
      </c>
      <c r="T502" s="237"/>
      <c r="U502" s="237"/>
      <c r="V502" s="237"/>
      <c r="W502" s="237"/>
      <c r="X502" s="52"/>
      <c r="Y502" s="52"/>
      <c r="Z502" s="52"/>
      <c r="AA502" s="54"/>
      <c r="AB502" s="130"/>
      <c r="AC502" s="139"/>
    </row>
    <row r="503" spans="1:29" ht="15" thickBot="1" x14ac:dyDescent="0.35">
      <c r="A503" s="122"/>
      <c r="B503" s="185"/>
      <c r="C503" s="102"/>
      <c r="D503" s="101"/>
      <c r="E503" s="101"/>
      <c r="F503" s="118"/>
      <c r="G503" s="120">
        <f t="shared" si="1175"/>
        <v>0</v>
      </c>
      <c r="H503" s="114"/>
      <c r="I503" s="101"/>
      <c r="J503" s="101"/>
      <c r="K503" s="125"/>
      <c r="L503" s="103">
        <f t="shared" si="1202"/>
        <v>0</v>
      </c>
      <c r="M503" s="128">
        <f t="shared" si="1203"/>
        <v>0</v>
      </c>
      <c r="N503" s="120">
        <f t="shared" si="1204"/>
        <v>0</v>
      </c>
      <c r="O503" s="131"/>
      <c r="P503" s="135"/>
      <c r="Q503" s="131"/>
      <c r="R503" s="101"/>
      <c r="S503" s="104">
        <f t="shared" si="1283"/>
        <v>0</v>
      </c>
      <c r="T503" s="238"/>
      <c r="U503" s="238"/>
      <c r="V503" s="238"/>
      <c r="W503" s="238"/>
      <c r="X503" s="101"/>
      <c r="Y503" s="101"/>
      <c r="Z503" s="101"/>
      <c r="AA503" s="102"/>
      <c r="AB503" s="131"/>
      <c r="AC503" s="140"/>
    </row>
    <row r="504" spans="1:29" x14ac:dyDescent="0.3">
      <c r="A504" s="61"/>
      <c r="B504" s="141"/>
      <c r="C504" s="142"/>
      <c r="D504" s="61"/>
      <c r="E504" s="61"/>
      <c r="F504" s="142"/>
      <c r="G504" s="85"/>
      <c r="H504" s="61"/>
      <c r="I504" s="61"/>
      <c r="J504" s="61"/>
      <c r="K504" s="61"/>
      <c r="L504" s="61"/>
      <c r="M504" s="61"/>
      <c r="N504" s="61"/>
      <c r="O504" s="85"/>
      <c r="P504" s="61"/>
      <c r="Q504" s="61"/>
      <c r="R504" s="61"/>
      <c r="S504" s="61"/>
      <c r="T504" s="61"/>
      <c r="U504" s="61"/>
      <c r="V504" s="61"/>
      <c r="W504" s="61"/>
      <c r="X504" s="61"/>
      <c r="Y504" s="61"/>
      <c r="Z504" s="61"/>
      <c r="AA504" s="61"/>
      <c r="AB504" s="61"/>
      <c r="AC504" s="61"/>
    </row>
  </sheetData>
  <sheetProtection sheet="1" objects="1" scenarios="1" formatColumns="0" formatRows="0" selectLockedCells="1"/>
  <mergeCells count="10">
    <mergeCell ref="A1:B1"/>
    <mergeCell ref="A2:A3"/>
    <mergeCell ref="AC2:AC3"/>
    <mergeCell ref="F2:G2"/>
    <mergeCell ref="C2:C3"/>
    <mergeCell ref="C1:H1"/>
    <mergeCell ref="L2:M2"/>
    <mergeCell ref="R1:AB1"/>
    <mergeCell ref="I1:O1"/>
    <mergeCell ref="P1:Q1"/>
  </mergeCells>
  <conditionalFormatting sqref="G5:G8">
    <cfRule type="cellIs" dxfId="46" priority="117" operator="equal">
      <formula>0</formula>
    </cfRule>
  </conditionalFormatting>
  <conditionalFormatting sqref="G10:G13">
    <cfRule type="cellIs" dxfId="45" priority="34" operator="equal">
      <formula>0</formula>
    </cfRule>
  </conditionalFormatting>
  <conditionalFormatting sqref="G15:G18 G20:G23 G25:G28 G30:G33 G35:G38 G40:G43 G45:G48 G50:G53 G55:G58 G60:G63 G65:G68 G70:G73 G75:G78 G80:G83 G85:G88 G90:G93 G95:G98 G100:G103 G105:G108 G110:G113 G115:G118 G120:G123 G125:G128 G130:G133 G135:G138 G140:G143 G145:G148 G150:G153 G155:G158 G160:G163 G165:G168 G170:G173 G175:G178 G180:G183 G185:G188 G190:G193 G195:G198 G200:G203 G205:G208 G210:G213 G215:G218 G220:G223 G225:G228 G230:G233 G235:G238 G240:G243 G245:G248 G250:G253 G255:G258 G260:G263 G265:G268 G270:G273 G275:G278 G280:G283 G285:G288 G290:G293 G295:G298 G300:G303 G305:G308 G310:G313 G315:G318 G320:G323 G325:G328 G330:G333 G335:G338 G340:G343 G345:G348 G350:G353 G355:G358 G360:G363 G365:G368 G370:G373 G375:G378 G380:G383 G385:G388 G390:G393 G395:G398 G400:G403 G405:G408 G410:G413 G415:G418 G420:G423 G425:G428 G430:G433 G435:G438 G440:G443 G445:G448 G450:G453 G455:G458 G460:G463 G465:G468 G470:G473 G475:G478 G480:G483 G485:G488 G490:G493 G495:G498 G500:G503">
    <cfRule type="cellIs" dxfId="44" priority="17" operator="equal">
      <formula>0</formula>
    </cfRule>
  </conditionalFormatting>
  <conditionalFormatting sqref="L5:N8">
    <cfRule type="cellIs" dxfId="43" priority="116" operator="equal">
      <formula>0</formula>
    </cfRule>
  </conditionalFormatting>
  <conditionalFormatting sqref="L10:N13">
    <cfRule type="cellIs" dxfId="42" priority="33" operator="equal">
      <formula>0</formula>
    </cfRule>
  </conditionalFormatting>
  <conditionalFormatting sqref="L15:N18 L20:N23 L25:N28 L30:N33 L35:N38 L40:N43 L45:N48 L50:N53 L55:N58 L60:N63 L65:N68 L70:N73 L75:N78 L80:N83 L85:N88 L90:N93 L95:N98 L100:N103 L105:N108 L110:N113 L115:N118 L120:N123 L125:N128 L130:N133 L135:N138 L140:N143 L145:N148 L150:N153 L155:N158 L160:N163 L165:N168 L170:N173 L175:N178 L180:N183 L185:N188 L190:N193 L195:N198 L200:N203 L205:N208 L210:N213 L215:N218 L220:N223 L225:N228 L230:N233 L235:N238 L240:N243 L245:N248 L250:N253 L255:N258 L260:N263 L265:N268 L270:N273 L275:N278 L280:N283 L285:N288 L290:N293 L295:N298 L300:N303 L305:N308 L310:N313 L315:N318 L320:N323 L325:N328 L330:N333 L335:N338 L340:N343 L345:N348 L350:N353 L355:N358 L360:N363 L365:N368 L370:N373 L375:N378 L380:N383 L385:N388 L390:N393 L395:N398 L400:N403 L405:N408 L410:N413 L415:N418 L420:N423 L425:N428 L430:N433 L435:N438 L440:N443 L445:N448 L450:N453 L455:N458 L460:N463 L465:N468 L470:N473 L475:N478 L480:N483 L485:N488 L490:N493 L495:N498 L500:N503">
    <cfRule type="cellIs" dxfId="41" priority="16" operator="equal">
      <formula>0</formula>
    </cfRule>
  </conditionalFormatting>
  <conditionalFormatting sqref="AC4">
    <cfRule type="containsText" dxfId="40" priority="160" operator="containsText" text="NG">
      <formula>NOT(ISERROR(SEARCH("NG",AC4)))</formula>
    </cfRule>
    <cfRule type="containsText" dxfId="39" priority="161" operator="containsText" text="OK">
      <formula>NOT(ISERROR(SEARCH("OK",AC4)))</formula>
    </cfRule>
  </conditionalFormatting>
  <conditionalFormatting sqref="AC9 AC14 AC19 AC24 AC29 AC34 AC39 AC44 AC49 AC54 AC59 AC64 AC69 AC74 AC79 AC84 AC89 AC94 AC99 AC104 AC109 AC114 AC119 AC124 AC129 AC134 AC139 AC144 AC149 AC154 AC159 AC164 AC169 AC174 AC179 AC184 AC189 AC194 AC199 AC204 AC209 AC214 AC219 AC224 AC229 AC234 AC239 AC244 AC249 AC254 AC259 AC264 AC269 AC274 AC279 AC284 AC289 AC294 AC299 AC304 AC309 AC314 AC319 AC324 AC329 AC334 AC339 AC344 AC349 AC354 AC359 AC364 AC369 AC374 AC379 AC384 AC389 AC394 AC399 AC404 AC409 AC414 AC419 AC424 AC429 AC434 AC439 AC444 AC449 AC454 AC459 AC464 AC469 AC474 AC479 AC484 AC489 AC494 AC499">
    <cfRule type="containsText" dxfId="38" priority="5" operator="containsText" text="NG">
      <formula>NOT(ISERROR(SEARCH("NG",AC9)))</formula>
    </cfRule>
    <cfRule type="containsText" dxfId="37" priority="6" operator="containsText" text="OK">
      <formula>NOT(ISERROR(SEARCH("OK",AC9)))</formula>
    </cfRule>
  </conditionalFormatting>
  <pageMargins left="0.7" right="0.7" top="0.75" bottom="0.75" header="0.3" footer="0.3"/>
  <pageSetup paperSize="3" scale="82"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B288FB-650D-4281-BDE9-A84816955E10}">
  <sheetPr>
    <pageSetUpPr fitToPage="1"/>
  </sheetPr>
  <dimension ref="A1:AC504"/>
  <sheetViews>
    <sheetView workbookViewId="0">
      <pane xSplit="2" ySplit="3" topLeftCell="C4" activePane="bottomRight" state="frozen"/>
      <selection pane="topRight" activeCell="C1" sqref="C1"/>
      <selection pane="bottomLeft" activeCell="A4" sqref="A4"/>
      <selection pane="bottomRight" activeCell="D4" sqref="D4"/>
    </sheetView>
  </sheetViews>
  <sheetFormatPr defaultRowHeight="14.4" x14ac:dyDescent="0.3"/>
  <cols>
    <col min="1" max="1" width="8.33203125" bestFit="1" customWidth="1"/>
    <col min="2" max="2" width="10" style="51" bestFit="1" customWidth="1"/>
    <col min="6" max="6" width="8.88671875" hidden="1" customWidth="1"/>
    <col min="9" max="9" width="9.5546875" bestFit="1" customWidth="1"/>
    <col min="10" max="10" width="9.5546875" hidden="1" customWidth="1"/>
    <col min="12" max="12" width="9.109375" style="41" customWidth="1"/>
    <col min="13" max="13" width="9.109375" hidden="1" customWidth="1"/>
    <col min="14" max="21" width="9.109375" customWidth="1"/>
    <col min="22" max="22" width="9.6640625" bestFit="1" customWidth="1"/>
    <col min="23" max="23" width="9.109375" customWidth="1"/>
    <col min="24" max="24" width="9.88671875" bestFit="1" customWidth="1"/>
    <col min="25" max="25" width="9.5546875" bestFit="1" customWidth="1"/>
    <col min="26" max="28" width="9.109375" customWidth="1"/>
    <col min="29" max="29" width="9.88671875" customWidth="1"/>
  </cols>
  <sheetData>
    <row r="1" spans="1:29" ht="15" thickBot="1" x14ac:dyDescent="0.35">
      <c r="A1" s="267"/>
      <c r="B1" s="268"/>
      <c r="C1" s="282" t="s">
        <v>201</v>
      </c>
      <c r="D1" s="283"/>
      <c r="E1" s="283"/>
      <c r="F1" s="283"/>
      <c r="G1" s="283"/>
      <c r="H1" s="283"/>
      <c r="I1" s="278"/>
      <c r="J1" s="278"/>
      <c r="K1" s="279"/>
      <c r="L1" s="284" t="s">
        <v>142</v>
      </c>
      <c r="M1" s="284"/>
      <c r="N1" s="284"/>
      <c r="O1" s="284"/>
      <c r="P1" s="284"/>
      <c r="Q1" s="284"/>
      <c r="R1" s="284"/>
      <c r="S1" s="284"/>
      <c r="T1" s="284"/>
      <c r="U1" s="284"/>
      <c r="V1" s="284"/>
      <c r="W1" s="284"/>
      <c r="X1" s="284"/>
      <c r="Y1" s="284"/>
      <c r="Z1" s="284"/>
      <c r="AA1" s="284"/>
      <c r="AB1" s="284"/>
      <c r="AC1" s="285"/>
    </row>
    <row r="2" spans="1:29" ht="15.6" x14ac:dyDescent="0.35">
      <c r="A2" s="291" t="s">
        <v>1</v>
      </c>
      <c r="B2" s="189" t="s">
        <v>122</v>
      </c>
      <c r="C2" s="227" t="s">
        <v>196</v>
      </c>
      <c r="D2" s="228" t="s">
        <v>194</v>
      </c>
      <c r="E2" s="225" t="s">
        <v>137</v>
      </c>
      <c r="F2" s="286" t="s">
        <v>199</v>
      </c>
      <c r="G2" s="89" t="s">
        <v>53</v>
      </c>
      <c r="H2" s="230" t="s">
        <v>194</v>
      </c>
      <c r="I2" s="190" t="s">
        <v>130</v>
      </c>
      <c r="J2" s="286" t="s">
        <v>130</v>
      </c>
      <c r="K2" s="194" t="s">
        <v>131</v>
      </c>
      <c r="L2" s="293" t="s">
        <v>143</v>
      </c>
      <c r="M2" s="286" t="s">
        <v>151</v>
      </c>
      <c r="N2" s="288" t="s">
        <v>171</v>
      </c>
      <c r="O2" s="289"/>
      <c r="P2" s="289"/>
      <c r="Q2" s="289"/>
      <c r="R2" s="289"/>
      <c r="S2" s="295" t="s">
        <v>203</v>
      </c>
      <c r="T2" s="296"/>
      <c r="U2" s="297"/>
      <c r="V2" s="295" t="s">
        <v>207</v>
      </c>
      <c r="W2" s="296"/>
      <c r="X2" s="296"/>
      <c r="Y2" s="297"/>
      <c r="Z2" s="296" t="s">
        <v>206</v>
      </c>
      <c r="AA2" s="296"/>
      <c r="AB2" s="296"/>
      <c r="AC2" s="298"/>
    </row>
    <row r="3" spans="1:29" ht="15" thickBot="1" x14ac:dyDescent="0.35">
      <c r="A3" s="292"/>
      <c r="B3" s="191" t="s">
        <v>123</v>
      </c>
      <c r="C3" s="226" t="s">
        <v>22</v>
      </c>
      <c r="D3" s="229" t="s">
        <v>195</v>
      </c>
      <c r="E3" s="192" t="s">
        <v>22</v>
      </c>
      <c r="F3" s="287"/>
      <c r="G3" s="97" t="s">
        <v>23</v>
      </c>
      <c r="H3" s="231" t="s">
        <v>195</v>
      </c>
      <c r="I3" s="192" t="s">
        <v>23</v>
      </c>
      <c r="J3" s="287"/>
      <c r="K3" s="195" t="s">
        <v>14</v>
      </c>
      <c r="L3" s="294"/>
      <c r="M3" s="287"/>
      <c r="N3" s="196" t="s">
        <v>144</v>
      </c>
      <c r="O3" s="196" t="s">
        <v>202</v>
      </c>
      <c r="P3" s="197" t="s">
        <v>137</v>
      </c>
      <c r="Q3" s="196" t="s">
        <v>145</v>
      </c>
      <c r="R3" s="199" t="s">
        <v>150</v>
      </c>
      <c r="S3" s="244" t="s">
        <v>204</v>
      </c>
      <c r="T3" s="290" t="s">
        <v>149</v>
      </c>
      <c r="U3" s="290"/>
      <c r="V3" s="234" t="s">
        <v>205</v>
      </c>
      <c r="W3" s="198" t="s">
        <v>149</v>
      </c>
      <c r="X3" s="235" t="s">
        <v>200</v>
      </c>
      <c r="Y3" s="198" t="s">
        <v>146</v>
      </c>
      <c r="Z3" s="236" t="s">
        <v>149</v>
      </c>
      <c r="AA3" s="196" t="s">
        <v>145</v>
      </c>
      <c r="AB3" s="199" t="s">
        <v>150</v>
      </c>
      <c r="AC3" s="200" t="s">
        <v>146</v>
      </c>
    </row>
    <row r="4" spans="1:29" x14ac:dyDescent="0.3">
      <c r="A4" s="115">
        <f>1</f>
        <v>1</v>
      </c>
      <c r="B4" s="186"/>
      <c r="C4" s="201">
        <f>IF(Pipes!$Q4&gt;0,IF(Pipes!$R4&gt;MinDiameter,Pipes!$R4,MinDiameter),0)</f>
        <v>0</v>
      </c>
      <c r="D4" s="187" t="s">
        <v>197</v>
      </c>
      <c r="E4" s="187"/>
      <c r="F4" s="107">
        <f>Pipes!$S4</f>
        <v>0</v>
      </c>
      <c r="G4" s="108">
        <f>Pipes!$W4</f>
        <v>0</v>
      </c>
      <c r="H4" s="187" t="s">
        <v>197</v>
      </c>
      <c r="I4" s="188"/>
      <c r="J4" s="108">
        <f>Pipes!$X4</f>
        <v>0</v>
      </c>
      <c r="K4" s="193">
        <f>INDEX(Tribs!$H$3:$H$102,MATCH($A4,Tribs!$A$3:$A$102,0))</f>
        <v>0</v>
      </c>
      <c r="L4" s="105">
        <f>INDEX(Tribs!$I$3:$I$102,MATCH($A4,Tribs!$A$3:$A$102,0))</f>
        <v>0</v>
      </c>
      <c r="M4" s="105" t="b">
        <f>IF($L4,ROUND($L4-MinCover-($F4/12),2))</f>
        <v>0</v>
      </c>
      <c r="N4" s="202"/>
      <c r="O4" s="129">
        <f>MIN($N5:$N8)</f>
        <v>0</v>
      </c>
      <c r="P4" s="203"/>
      <c r="Q4" s="203"/>
      <c r="R4" s="203"/>
      <c r="S4" s="110"/>
      <c r="T4" s="116" t="b">
        <f>IF($M4,$M4)</f>
        <v>0</v>
      </c>
      <c r="U4" s="129">
        <f>MIN($T4:$T8)</f>
        <v>0</v>
      </c>
      <c r="V4" s="233" t="s">
        <v>197</v>
      </c>
      <c r="W4" s="219"/>
      <c r="X4" s="219" t="s">
        <v>197</v>
      </c>
      <c r="Y4" s="239"/>
      <c r="Z4" s="105">
        <f>IF($V4="YES",$U4,IF($X4&lt;&gt;"YES",$W4,($AC4+$J4*$K4)))</f>
        <v>0</v>
      </c>
      <c r="AA4" s="105">
        <f>ROUND($Z4+($F4/12),2)</f>
        <v>0</v>
      </c>
      <c r="AB4" s="105" t="b">
        <f>IF($L4,($L4-$AA4))</f>
        <v>0</v>
      </c>
      <c r="AC4" s="111">
        <f>IF(AND($V4&lt;&gt;"YES",$X4="YES"),$Y4,ROUND($Z4-($J4*$K4),2))</f>
        <v>0</v>
      </c>
    </row>
    <row r="5" spans="1:29" x14ac:dyDescent="0.3">
      <c r="A5" s="121"/>
      <c r="B5" s="204" t="b">
        <f>IF(Pipes!$B5,Pipes!$B5)</f>
        <v>0</v>
      </c>
      <c r="C5" s="205"/>
      <c r="D5" s="224"/>
      <c r="E5" s="224"/>
      <c r="F5" s="224">
        <f>F4</f>
        <v>0</v>
      </c>
      <c r="G5" s="224"/>
      <c r="H5" s="224"/>
      <c r="I5" s="52"/>
      <c r="J5" s="52"/>
      <c r="K5" s="130"/>
      <c r="L5" s="206">
        <f>$L4</f>
        <v>0</v>
      </c>
      <c r="M5" s="206" t="b">
        <f>M4</f>
        <v>0</v>
      </c>
      <c r="N5" s="240" t="b">
        <f>IF($B5,INDEX($AC$4:$AC$499,MATCH($B5,$A$4:$A$499)))</f>
        <v>0</v>
      </c>
      <c r="O5" s="209"/>
      <c r="P5" s="208">
        <f>IF($B5,INDEX($F$4:$F$499,MATCH($B5,$A$4:$A$499)),0)</f>
        <v>0</v>
      </c>
      <c r="Q5" s="242" t="b">
        <f>IF($N5,ROUND(($N5+($P5/12)),2))</f>
        <v>0</v>
      </c>
      <c r="R5" s="53" t="b">
        <f>IF(AND($L5,$Q5),$L5-$Q5)</f>
        <v>0</v>
      </c>
      <c r="S5" s="241" t="s">
        <v>197</v>
      </c>
      <c r="T5" s="127" t="b">
        <f>IF($N5,IF($F5&gt;$P5,ROUND(($Q5-($F4/12)),2),IF($S5="YES",$N5,$N5-MinDrop)))</f>
        <v>0</v>
      </c>
      <c r="U5" s="243"/>
      <c r="V5" s="245"/>
      <c r="W5" s="245"/>
      <c r="X5" s="54"/>
      <c r="Y5" s="117"/>
      <c r="Z5" s="54"/>
      <c r="AA5" s="54"/>
      <c r="AB5" s="54"/>
      <c r="AC5" s="211"/>
    </row>
    <row r="6" spans="1:29" x14ac:dyDescent="0.3">
      <c r="A6" s="121"/>
      <c r="B6" s="204" t="b">
        <f>IF(Pipes!$B6,Pipes!$B6)</f>
        <v>0</v>
      </c>
      <c r="C6" s="205"/>
      <c r="D6" s="224"/>
      <c r="E6" s="224"/>
      <c r="F6" s="224">
        <f>F5</f>
        <v>0</v>
      </c>
      <c r="G6" s="224"/>
      <c r="H6" s="224"/>
      <c r="I6" s="52"/>
      <c r="J6" s="52"/>
      <c r="K6" s="130"/>
      <c r="L6" s="206">
        <f t="shared" ref="L6:L8" si="0">$L5</f>
        <v>0</v>
      </c>
      <c r="M6" s="206" t="b">
        <f t="shared" ref="M6:M8" si="1">M5</f>
        <v>0</v>
      </c>
      <c r="N6" s="207" t="b">
        <f t="shared" ref="N6:N8" si="2">IF($B6,INDEX($AC$4:$AC$499,MATCH($B6,$A$4:$A$499)))</f>
        <v>0</v>
      </c>
      <c r="O6" s="209"/>
      <c r="P6" s="208">
        <f>IF($B6,INDEX($F$4:$F$499,MATCH($B6,$A$4:$A$499)),0)</f>
        <v>0</v>
      </c>
      <c r="Q6" s="53" t="b">
        <f t="shared" ref="Q6:Q8" si="3">IF($N6,ROUND(($N6+($P6/12)),2))</f>
        <v>0</v>
      </c>
      <c r="R6" s="53" t="b">
        <f t="shared" ref="R6:R8" si="4">IF(AND($L6,$Q6),$L6-$Q6)</f>
        <v>0</v>
      </c>
      <c r="S6" s="241" t="s">
        <v>197</v>
      </c>
      <c r="T6" s="127" t="b">
        <f>IF($N6,IF($F6&gt;$P6,ROUND(($Q6-($F5/12)),2),IF($S6="YES",$N6,$N6-MinDrop)))</f>
        <v>0</v>
      </c>
      <c r="U6" s="210"/>
      <c r="V6" s="54"/>
      <c r="W6" s="54"/>
      <c r="X6" s="54"/>
      <c r="Y6" s="117"/>
      <c r="Z6" s="54"/>
      <c r="AA6" s="54"/>
      <c r="AB6" s="54"/>
      <c r="AC6" s="211"/>
    </row>
    <row r="7" spans="1:29" x14ac:dyDescent="0.3">
      <c r="A7" s="121"/>
      <c r="B7" s="204" t="b">
        <f>IF(Pipes!$B7,Pipes!$B7)</f>
        <v>0</v>
      </c>
      <c r="C7" s="205"/>
      <c r="D7" s="224"/>
      <c r="E7" s="224"/>
      <c r="F7" s="224">
        <f>F6</f>
        <v>0</v>
      </c>
      <c r="G7" s="224"/>
      <c r="H7" s="224"/>
      <c r="I7" s="52"/>
      <c r="J7" s="52"/>
      <c r="K7" s="130"/>
      <c r="L7" s="206">
        <f t="shared" si="0"/>
        <v>0</v>
      </c>
      <c r="M7" s="206" t="b">
        <f t="shared" si="1"/>
        <v>0</v>
      </c>
      <c r="N7" s="207" t="b">
        <f t="shared" si="2"/>
        <v>0</v>
      </c>
      <c r="O7" s="209"/>
      <c r="P7" s="208">
        <f>IF($B7,INDEX($F$4:$F$499,MATCH($B7,$A$4:$A$499)),0)</f>
        <v>0</v>
      </c>
      <c r="Q7" s="53" t="b">
        <f t="shared" si="3"/>
        <v>0</v>
      </c>
      <c r="R7" s="53" t="b">
        <f t="shared" si="4"/>
        <v>0</v>
      </c>
      <c r="S7" s="241" t="s">
        <v>197</v>
      </c>
      <c r="T7" s="127" t="b">
        <f>IF($N7,IF($F7&gt;$P7,ROUND(($Q7-($F6/12)),2),IF($S7="YES",$N7,$N7-MinDrop)))</f>
        <v>0</v>
      </c>
      <c r="U7" s="210"/>
      <c r="V7" s="54"/>
      <c r="W7" s="54"/>
      <c r="X7" s="54"/>
      <c r="Y7" s="117"/>
      <c r="Z7" s="54"/>
      <c r="AA7" s="54"/>
      <c r="AB7" s="54"/>
      <c r="AC7" s="211"/>
    </row>
    <row r="8" spans="1:29" ht="15" thickBot="1" x14ac:dyDescent="0.35">
      <c r="A8" s="122"/>
      <c r="B8" s="204" t="b">
        <f>IF(Pipes!$B8,Pipes!$B8)</f>
        <v>0</v>
      </c>
      <c r="C8" s="212"/>
      <c r="D8" s="104"/>
      <c r="E8" s="104"/>
      <c r="F8" s="104">
        <f>F7</f>
        <v>0</v>
      </c>
      <c r="G8" s="104"/>
      <c r="H8" s="104"/>
      <c r="I8" s="101"/>
      <c r="J8" s="101"/>
      <c r="K8" s="131"/>
      <c r="L8" s="213">
        <f t="shared" si="0"/>
        <v>0</v>
      </c>
      <c r="M8" s="213" t="b">
        <f t="shared" si="1"/>
        <v>0</v>
      </c>
      <c r="N8" s="214" t="b">
        <f t="shared" si="2"/>
        <v>0</v>
      </c>
      <c r="O8" s="216"/>
      <c r="P8" s="215">
        <f>IF($B8,INDEX($F$4:$F$499,MATCH($B8,$A$4:$A$499)),0)</f>
        <v>0</v>
      </c>
      <c r="Q8" s="103" t="b">
        <f t="shared" si="3"/>
        <v>0</v>
      </c>
      <c r="R8" s="53" t="b">
        <f t="shared" si="4"/>
        <v>0</v>
      </c>
      <c r="S8" s="241" t="s">
        <v>197</v>
      </c>
      <c r="T8" s="127" t="b">
        <f>IF($N8,IF($F8&gt;$P8,ROUND(($Q8-($F7/12)),2),IF($S8="YES",$N8,$N8-MinDrop)))</f>
        <v>0</v>
      </c>
      <c r="U8" s="217"/>
      <c r="V8" s="102"/>
      <c r="W8" s="102"/>
      <c r="X8" s="102"/>
      <c r="Y8" s="118"/>
      <c r="Z8" s="102"/>
      <c r="AA8" s="102"/>
      <c r="AB8" s="102"/>
      <c r="AC8" s="218"/>
    </row>
    <row r="9" spans="1:29" x14ac:dyDescent="0.3">
      <c r="A9" s="115">
        <f>$A4+1</f>
        <v>2</v>
      </c>
      <c r="B9" s="186"/>
      <c r="C9" s="201">
        <f>IF(Pipes!$Q9&gt;0,IF(Pipes!$R9&gt;MinDiameter,Pipes!$R9,MinDiameter),0)</f>
        <v>0</v>
      </c>
      <c r="D9" s="187" t="s">
        <v>197</v>
      </c>
      <c r="E9" s="187"/>
      <c r="F9" s="107">
        <f>Pipes!$S9</f>
        <v>0</v>
      </c>
      <c r="G9" s="108">
        <f>Pipes!$W9</f>
        <v>0</v>
      </c>
      <c r="H9" s="187" t="s">
        <v>197</v>
      </c>
      <c r="I9" s="188"/>
      <c r="J9" s="108">
        <f>Pipes!$X9</f>
        <v>0</v>
      </c>
      <c r="K9" s="193">
        <f>INDEX(Tribs!$H$3:$H$102,MATCH($A9,Tribs!$A$3:$A$102,0))</f>
        <v>0</v>
      </c>
      <c r="L9" s="105">
        <f>INDEX(Tribs!$I$3:$I$102,MATCH($A9,Tribs!$A$3:$A$102,0))</f>
        <v>0</v>
      </c>
      <c r="M9" s="105" t="b">
        <f>IF($L9,ROUND($L9-MinCover-($F9/12),2))</f>
        <v>0</v>
      </c>
      <c r="N9" s="202"/>
      <c r="O9" s="129">
        <f t="shared" ref="O9" si="5">MIN($N10:$N13)</f>
        <v>0</v>
      </c>
      <c r="P9" s="203"/>
      <c r="Q9" s="203"/>
      <c r="R9" s="203"/>
      <c r="S9" s="110"/>
      <c r="T9" s="116" t="b">
        <f t="shared" ref="T9" si="6">IF($M9,$M9)</f>
        <v>0</v>
      </c>
      <c r="U9" s="129">
        <f t="shared" ref="U9" si="7">MIN($T9:$T13)</f>
        <v>0</v>
      </c>
      <c r="V9" s="233" t="s">
        <v>197</v>
      </c>
      <c r="W9" s="219"/>
      <c r="X9" s="219" t="s">
        <v>197</v>
      </c>
      <c r="Y9" s="239"/>
      <c r="Z9" s="105">
        <f t="shared" ref="Z9" si="8">IF($V9="YES",$U9,IF($X9&lt;&gt;"YES",$W9,($AC9+$J9*$K9)))</f>
        <v>0</v>
      </c>
      <c r="AA9" s="105">
        <f t="shared" ref="AA9" si="9">ROUND($Z9+($F9/12),2)</f>
        <v>0</v>
      </c>
      <c r="AB9" s="105" t="b">
        <f t="shared" ref="AB9" si="10">IF($L9,($L9-$AA9))</f>
        <v>0</v>
      </c>
      <c r="AC9" s="111">
        <f t="shared" ref="AC9" si="11">IF(AND($V9&lt;&gt;"YES",$X9="YES"),$Y9,ROUND($Z9-($J9*$K9),2))</f>
        <v>0</v>
      </c>
    </row>
    <row r="10" spans="1:29" x14ac:dyDescent="0.3">
      <c r="A10" s="121"/>
      <c r="B10" s="204" t="b">
        <f>IF(Pipes!$B10,Pipes!$B10)</f>
        <v>0</v>
      </c>
      <c r="C10" s="205"/>
      <c r="D10" s="224"/>
      <c r="E10" s="224"/>
      <c r="F10" s="224">
        <f t="shared" ref="F10:F13" si="12">F9</f>
        <v>0</v>
      </c>
      <c r="G10" s="224"/>
      <c r="H10" s="224"/>
      <c r="I10" s="52"/>
      <c r="J10" s="52"/>
      <c r="K10" s="130"/>
      <c r="L10" s="206">
        <f t="shared" ref="L10:L73" si="13">$L9</f>
        <v>0</v>
      </c>
      <c r="M10" s="206" t="b">
        <f t="shared" ref="M10:M73" si="14">M9</f>
        <v>0</v>
      </c>
      <c r="N10" s="240" t="b">
        <f t="shared" ref="N10:N73" si="15">IF($B10,INDEX($AC$4:$AC$499,MATCH($B10,$A$4:$A$499)))</f>
        <v>0</v>
      </c>
      <c r="O10" s="209"/>
      <c r="P10" s="208">
        <f t="shared" ref="P10:P13" si="16">IF($B10,INDEX($F$4:$F$499,MATCH($B10,$A$4:$A$499)),0)</f>
        <v>0</v>
      </c>
      <c r="Q10" s="242" t="b">
        <f t="shared" ref="Q10:Q73" si="17">IF($N10,ROUND(($N10+($P10/12)),2))</f>
        <v>0</v>
      </c>
      <c r="R10" s="53" t="b">
        <f t="shared" ref="R10:R73" si="18">IF(AND($L10,$Q10),$L10-$Q10)</f>
        <v>0</v>
      </c>
      <c r="S10" s="241" t="s">
        <v>197</v>
      </c>
      <c r="T10" s="127" t="b">
        <f>IF($N10,IF($F10&gt;$P10,ROUND(($Q10-($F9/12)),2),IF($S10="YES",$N10,$N10-MinDrop)))</f>
        <v>0</v>
      </c>
      <c r="U10" s="243"/>
      <c r="V10" s="245"/>
      <c r="W10" s="245"/>
      <c r="X10" s="54"/>
      <c r="Y10" s="117"/>
      <c r="Z10" s="54"/>
      <c r="AA10" s="54"/>
      <c r="AB10" s="54"/>
      <c r="AC10" s="211"/>
    </row>
    <row r="11" spans="1:29" x14ac:dyDescent="0.3">
      <c r="A11" s="121"/>
      <c r="B11" s="204" t="b">
        <f>IF(Pipes!$B11,Pipes!$B11)</f>
        <v>0</v>
      </c>
      <c r="C11" s="205"/>
      <c r="D11" s="224"/>
      <c r="E11" s="224"/>
      <c r="F11" s="224">
        <f t="shared" si="12"/>
        <v>0</v>
      </c>
      <c r="G11" s="224"/>
      <c r="H11" s="224"/>
      <c r="I11" s="52"/>
      <c r="J11" s="52"/>
      <c r="K11" s="130"/>
      <c r="L11" s="206">
        <f t="shared" si="13"/>
        <v>0</v>
      </c>
      <c r="M11" s="206" t="b">
        <f t="shared" si="14"/>
        <v>0</v>
      </c>
      <c r="N11" s="207" t="b">
        <f t="shared" si="15"/>
        <v>0</v>
      </c>
      <c r="O11" s="209"/>
      <c r="P11" s="208">
        <f t="shared" si="16"/>
        <v>0</v>
      </c>
      <c r="Q11" s="53" t="b">
        <f t="shared" si="17"/>
        <v>0</v>
      </c>
      <c r="R11" s="53" t="b">
        <f t="shared" si="18"/>
        <v>0</v>
      </c>
      <c r="S11" s="241" t="s">
        <v>197</v>
      </c>
      <c r="T11" s="127" t="b">
        <f>IF($N11,IF($F11&gt;$P11,ROUND(($Q11-($F10/12)),2),IF($S11="YES",$N11,$N11-MinDrop)))</f>
        <v>0</v>
      </c>
      <c r="U11" s="210"/>
      <c r="V11" s="54"/>
      <c r="W11" s="54"/>
      <c r="X11" s="54"/>
      <c r="Y11" s="117"/>
      <c r="Z11" s="54"/>
      <c r="AA11" s="54"/>
      <c r="AB11" s="54"/>
      <c r="AC11" s="211"/>
    </row>
    <row r="12" spans="1:29" x14ac:dyDescent="0.3">
      <c r="A12" s="121"/>
      <c r="B12" s="204" t="b">
        <f>IF(Pipes!$B12,Pipes!$B12)</f>
        <v>0</v>
      </c>
      <c r="C12" s="205"/>
      <c r="D12" s="224"/>
      <c r="E12" s="224"/>
      <c r="F12" s="224">
        <f t="shared" si="12"/>
        <v>0</v>
      </c>
      <c r="G12" s="224"/>
      <c r="H12" s="224"/>
      <c r="I12" s="52"/>
      <c r="J12" s="52"/>
      <c r="K12" s="130"/>
      <c r="L12" s="206">
        <f t="shared" si="13"/>
        <v>0</v>
      </c>
      <c r="M12" s="206" t="b">
        <f t="shared" si="14"/>
        <v>0</v>
      </c>
      <c r="N12" s="207" t="b">
        <f t="shared" si="15"/>
        <v>0</v>
      </c>
      <c r="O12" s="209"/>
      <c r="P12" s="208">
        <f t="shared" si="16"/>
        <v>0</v>
      </c>
      <c r="Q12" s="53" t="b">
        <f t="shared" si="17"/>
        <v>0</v>
      </c>
      <c r="R12" s="53" t="b">
        <f t="shared" si="18"/>
        <v>0</v>
      </c>
      <c r="S12" s="241" t="s">
        <v>197</v>
      </c>
      <c r="T12" s="127" t="b">
        <f>IF($N12,IF($F12&gt;$P12,ROUND(($Q12-($F11/12)),2),IF($S12="YES",$N12,$N12-MinDrop)))</f>
        <v>0</v>
      </c>
      <c r="U12" s="210"/>
      <c r="V12" s="54"/>
      <c r="W12" s="54"/>
      <c r="X12" s="54"/>
      <c r="Y12" s="117"/>
      <c r="Z12" s="54"/>
      <c r="AA12" s="54"/>
      <c r="AB12" s="54"/>
      <c r="AC12" s="211"/>
    </row>
    <row r="13" spans="1:29" ht="15" thickBot="1" x14ac:dyDescent="0.35">
      <c r="A13" s="122"/>
      <c r="B13" s="204" t="b">
        <f>IF(Pipes!$B13,Pipes!$B13)</f>
        <v>0</v>
      </c>
      <c r="C13" s="212"/>
      <c r="D13" s="104"/>
      <c r="E13" s="104"/>
      <c r="F13" s="104">
        <f t="shared" si="12"/>
        <v>0</v>
      </c>
      <c r="G13" s="104"/>
      <c r="H13" s="104"/>
      <c r="I13" s="101"/>
      <c r="J13" s="101"/>
      <c r="K13" s="131"/>
      <c r="L13" s="213">
        <f t="shared" si="13"/>
        <v>0</v>
      </c>
      <c r="M13" s="213" t="b">
        <f t="shared" si="14"/>
        <v>0</v>
      </c>
      <c r="N13" s="214" t="b">
        <f t="shared" si="15"/>
        <v>0</v>
      </c>
      <c r="O13" s="216"/>
      <c r="P13" s="215">
        <f t="shared" si="16"/>
        <v>0</v>
      </c>
      <c r="Q13" s="103" t="b">
        <f t="shared" si="17"/>
        <v>0</v>
      </c>
      <c r="R13" s="53" t="b">
        <f t="shared" si="18"/>
        <v>0</v>
      </c>
      <c r="S13" s="241" t="s">
        <v>197</v>
      </c>
      <c r="T13" s="127" t="b">
        <f>IF($N13,IF($F13&gt;$P13,ROUND(($Q13-($F12/12)),2),IF($S13="YES",$N13,$N13-MinDrop)))</f>
        <v>0</v>
      </c>
      <c r="U13" s="217"/>
      <c r="V13" s="102"/>
      <c r="W13" s="102"/>
      <c r="X13" s="102"/>
      <c r="Y13" s="118"/>
      <c r="Z13" s="102"/>
      <c r="AA13" s="102"/>
      <c r="AB13" s="102"/>
      <c r="AC13" s="218"/>
    </row>
    <row r="14" spans="1:29" x14ac:dyDescent="0.3">
      <c r="A14" s="115">
        <f t="shared" ref="A14" si="19">$A9+1</f>
        <v>3</v>
      </c>
      <c r="B14" s="186"/>
      <c r="C14" s="201">
        <f>IF(Pipes!$Q14&gt;0,IF(Pipes!$R14&gt;MinDiameter,Pipes!$R14,MinDiameter),0)</f>
        <v>0</v>
      </c>
      <c r="D14" s="187" t="s">
        <v>197</v>
      </c>
      <c r="E14" s="187"/>
      <c r="F14" s="107">
        <f>Pipes!$S14</f>
        <v>0</v>
      </c>
      <c r="G14" s="108">
        <f>Pipes!$W14</f>
        <v>0</v>
      </c>
      <c r="H14" s="187" t="s">
        <v>197</v>
      </c>
      <c r="I14" s="188"/>
      <c r="J14" s="108">
        <f>Pipes!$X14</f>
        <v>0</v>
      </c>
      <c r="K14" s="193">
        <f>INDEX(Tribs!$H$3:$H$102,MATCH($A14,Tribs!$A$3:$A$102,0))</f>
        <v>0</v>
      </c>
      <c r="L14" s="105">
        <f>INDEX(Tribs!$I$3:$I$102,MATCH($A14,Tribs!$A$3:$A$102,0))</f>
        <v>0</v>
      </c>
      <c r="M14" s="105" t="b">
        <f>IF($L14,ROUND($L14-MinCover-($F14/12),2))</f>
        <v>0</v>
      </c>
      <c r="N14" s="202"/>
      <c r="O14" s="129">
        <f t="shared" ref="O14" si="20">MIN($N15:$N18)</f>
        <v>0</v>
      </c>
      <c r="P14" s="203"/>
      <c r="Q14" s="203"/>
      <c r="R14" s="203"/>
      <c r="S14" s="110"/>
      <c r="T14" s="116" t="b">
        <f t="shared" ref="T14" si="21">IF($M14,$M14)</f>
        <v>0</v>
      </c>
      <c r="U14" s="129">
        <f t="shared" ref="U14" si="22">MIN($T14:$T18)</f>
        <v>0</v>
      </c>
      <c r="V14" s="233" t="s">
        <v>197</v>
      </c>
      <c r="W14" s="219"/>
      <c r="X14" s="219" t="s">
        <v>197</v>
      </c>
      <c r="Y14" s="239"/>
      <c r="Z14" s="105">
        <f t="shared" ref="Z14" si="23">IF($V14="YES",$U14,IF($X14&lt;&gt;"YES",$W14,($AC14+$J14*$K14)))</f>
        <v>0</v>
      </c>
      <c r="AA14" s="105">
        <f t="shared" ref="AA14" si="24">ROUND($Z14+($F14/12),2)</f>
        <v>0</v>
      </c>
      <c r="AB14" s="105" t="b">
        <f t="shared" ref="AB14" si="25">IF($L14,($L14-$AA14))</f>
        <v>0</v>
      </c>
      <c r="AC14" s="111">
        <f t="shared" ref="AC14" si="26">IF(AND($V14&lt;&gt;"YES",$X14="YES"),$Y14,ROUND($Z14-($J14*$K14),2))</f>
        <v>0</v>
      </c>
    </row>
    <row r="15" spans="1:29" x14ac:dyDescent="0.3">
      <c r="A15" s="121"/>
      <c r="B15" s="204" t="b">
        <f>IF(Pipes!$B15,Pipes!$B15)</f>
        <v>0</v>
      </c>
      <c r="C15" s="205"/>
      <c r="D15" s="224"/>
      <c r="E15" s="224"/>
      <c r="F15" s="224">
        <f t="shared" ref="F15:F18" si="27">F14</f>
        <v>0</v>
      </c>
      <c r="G15" s="224"/>
      <c r="H15" s="224"/>
      <c r="I15" s="52"/>
      <c r="J15" s="52"/>
      <c r="K15" s="130"/>
      <c r="L15" s="206">
        <f t="shared" ref="L15" si="28">$L14</f>
        <v>0</v>
      </c>
      <c r="M15" s="206" t="b">
        <f t="shared" ref="M15" si="29">M14</f>
        <v>0</v>
      </c>
      <c r="N15" s="240" t="b">
        <f t="shared" ref="N15" si="30">IF($B15,INDEX($AC$4:$AC$499,MATCH($B15,$A$4:$A$499)))</f>
        <v>0</v>
      </c>
      <c r="O15" s="209"/>
      <c r="P15" s="208">
        <f t="shared" ref="P15:P18" si="31">IF($B15,INDEX($F$4:$F$499,MATCH($B15,$A$4:$A$499)),0)</f>
        <v>0</v>
      </c>
      <c r="Q15" s="242" t="b">
        <f t="shared" ref="Q15" si="32">IF($N15,ROUND(($N15+($P15/12)),2))</f>
        <v>0</v>
      </c>
      <c r="R15" s="53" t="b">
        <f t="shared" ref="R15" si="33">IF(AND($L15,$Q15),$L15-$Q15)</f>
        <v>0</v>
      </c>
      <c r="S15" s="241" t="s">
        <v>197</v>
      </c>
      <c r="T15" s="127" t="b">
        <f>IF($N15,IF($F15&gt;$P15,ROUND(($Q15-($F14/12)),2),IF($S15="YES",$N15,$N15-MinDrop)))</f>
        <v>0</v>
      </c>
      <c r="U15" s="243"/>
      <c r="V15" s="245"/>
      <c r="W15" s="245"/>
      <c r="X15" s="54"/>
      <c r="Y15" s="117"/>
      <c r="Z15" s="54"/>
      <c r="AA15" s="54"/>
      <c r="AB15" s="54"/>
      <c r="AC15" s="211"/>
    </row>
    <row r="16" spans="1:29" x14ac:dyDescent="0.3">
      <c r="A16" s="121"/>
      <c r="B16" s="204" t="b">
        <f>IF(Pipes!$B16,Pipes!$B16)</f>
        <v>0</v>
      </c>
      <c r="C16" s="205"/>
      <c r="D16" s="224"/>
      <c r="E16" s="224"/>
      <c r="F16" s="224">
        <f t="shared" si="27"/>
        <v>0</v>
      </c>
      <c r="G16" s="224"/>
      <c r="H16" s="224"/>
      <c r="I16" s="52"/>
      <c r="J16" s="52"/>
      <c r="K16" s="130"/>
      <c r="L16" s="206">
        <f t="shared" si="13"/>
        <v>0</v>
      </c>
      <c r="M16" s="206" t="b">
        <f t="shared" si="14"/>
        <v>0</v>
      </c>
      <c r="N16" s="207" t="b">
        <f t="shared" si="15"/>
        <v>0</v>
      </c>
      <c r="O16" s="209"/>
      <c r="P16" s="208">
        <f t="shared" si="31"/>
        <v>0</v>
      </c>
      <c r="Q16" s="53" t="b">
        <f t="shared" si="17"/>
        <v>0</v>
      </c>
      <c r="R16" s="53" t="b">
        <f t="shared" si="18"/>
        <v>0</v>
      </c>
      <c r="S16" s="241" t="s">
        <v>197</v>
      </c>
      <c r="T16" s="127" t="b">
        <f>IF($N16,IF($F16&gt;$P16,ROUND(($Q16-($F15/12)),2),IF($S16="YES",$N16,$N16-MinDrop)))</f>
        <v>0</v>
      </c>
      <c r="U16" s="210"/>
      <c r="V16" s="54"/>
      <c r="W16" s="54"/>
      <c r="X16" s="54"/>
      <c r="Y16" s="117"/>
      <c r="Z16" s="54"/>
      <c r="AA16" s="54"/>
      <c r="AB16" s="54"/>
      <c r="AC16" s="211"/>
    </row>
    <row r="17" spans="1:29" x14ac:dyDescent="0.3">
      <c r="A17" s="121"/>
      <c r="B17" s="204" t="b">
        <f>IF(Pipes!$B17,Pipes!$B17)</f>
        <v>0</v>
      </c>
      <c r="C17" s="205"/>
      <c r="D17" s="224"/>
      <c r="E17" s="224"/>
      <c r="F17" s="224">
        <f t="shared" si="27"/>
        <v>0</v>
      </c>
      <c r="G17" s="224"/>
      <c r="H17" s="224"/>
      <c r="I17" s="52"/>
      <c r="J17" s="52"/>
      <c r="K17" s="130"/>
      <c r="L17" s="206">
        <f t="shared" si="13"/>
        <v>0</v>
      </c>
      <c r="M17" s="206" t="b">
        <f t="shared" si="14"/>
        <v>0</v>
      </c>
      <c r="N17" s="207" t="b">
        <f t="shared" si="15"/>
        <v>0</v>
      </c>
      <c r="O17" s="209"/>
      <c r="P17" s="208">
        <f t="shared" si="31"/>
        <v>0</v>
      </c>
      <c r="Q17" s="53" t="b">
        <f t="shared" si="17"/>
        <v>0</v>
      </c>
      <c r="R17" s="53" t="b">
        <f t="shared" si="18"/>
        <v>0</v>
      </c>
      <c r="S17" s="241" t="s">
        <v>197</v>
      </c>
      <c r="T17" s="127" t="b">
        <f>IF($N17,IF($F17&gt;$P17,ROUND(($Q17-($F16/12)),2),IF($S17="YES",$N17,$N17-MinDrop)))</f>
        <v>0</v>
      </c>
      <c r="U17" s="210"/>
      <c r="V17" s="54"/>
      <c r="W17" s="54"/>
      <c r="X17" s="54"/>
      <c r="Y17" s="117"/>
      <c r="Z17" s="54"/>
      <c r="AA17" s="54"/>
      <c r="AB17" s="54"/>
      <c r="AC17" s="211"/>
    </row>
    <row r="18" spans="1:29" ht="15" thickBot="1" x14ac:dyDescent="0.35">
      <c r="A18" s="122"/>
      <c r="B18" s="204" t="b">
        <f>IF(Pipes!$B18,Pipes!$B18)</f>
        <v>0</v>
      </c>
      <c r="C18" s="212"/>
      <c r="D18" s="104"/>
      <c r="E18" s="104"/>
      <c r="F18" s="104">
        <f t="shared" si="27"/>
        <v>0</v>
      </c>
      <c r="G18" s="104"/>
      <c r="H18" s="104"/>
      <c r="I18" s="101"/>
      <c r="J18" s="101"/>
      <c r="K18" s="131"/>
      <c r="L18" s="213">
        <f t="shared" si="13"/>
        <v>0</v>
      </c>
      <c r="M18" s="213" t="b">
        <f t="shared" si="14"/>
        <v>0</v>
      </c>
      <c r="N18" s="214" t="b">
        <f t="shared" si="15"/>
        <v>0</v>
      </c>
      <c r="O18" s="216"/>
      <c r="P18" s="215">
        <f t="shared" si="31"/>
        <v>0</v>
      </c>
      <c r="Q18" s="103" t="b">
        <f t="shared" si="17"/>
        <v>0</v>
      </c>
      <c r="R18" s="53" t="b">
        <f t="shared" si="18"/>
        <v>0</v>
      </c>
      <c r="S18" s="241" t="s">
        <v>197</v>
      </c>
      <c r="T18" s="127" t="b">
        <f>IF($N18,IF($F18&gt;$P18,ROUND(($Q18-($F17/12)),2),IF($S18="YES",$N18,$N18-MinDrop)))</f>
        <v>0</v>
      </c>
      <c r="U18" s="217"/>
      <c r="V18" s="102"/>
      <c r="W18" s="102"/>
      <c r="X18" s="102"/>
      <c r="Y18" s="118"/>
      <c r="Z18" s="102"/>
      <c r="AA18" s="102"/>
      <c r="AB18" s="102"/>
      <c r="AC18" s="218"/>
    </row>
    <row r="19" spans="1:29" x14ac:dyDescent="0.3">
      <c r="A19" s="115">
        <f t="shared" ref="A19" si="34">$A14+1</f>
        <v>4</v>
      </c>
      <c r="B19" s="186"/>
      <c r="C19" s="201">
        <f>IF(Pipes!$Q19&gt;0,IF(Pipes!$R19&gt;MinDiameter,Pipes!$R19,MinDiameter),0)</f>
        <v>0</v>
      </c>
      <c r="D19" s="187" t="s">
        <v>197</v>
      </c>
      <c r="E19" s="187"/>
      <c r="F19" s="107">
        <f>Pipes!$S19</f>
        <v>0</v>
      </c>
      <c r="G19" s="108">
        <f>Pipes!$W19</f>
        <v>0</v>
      </c>
      <c r="H19" s="187" t="s">
        <v>197</v>
      </c>
      <c r="I19" s="188"/>
      <c r="J19" s="108">
        <f>Pipes!$X19</f>
        <v>0</v>
      </c>
      <c r="K19" s="193">
        <f>INDEX(Tribs!$H$3:$H$102,MATCH($A19,Tribs!$A$3:$A$102,0))</f>
        <v>0</v>
      </c>
      <c r="L19" s="105">
        <f>INDEX(Tribs!$I$3:$I$102,MATCH($A19,Tribs!$A$3:$A$102,0))</f>
        <v>0</v>
      </c>
      <c r="M19" s="105" t="b">
        <f>IF($L19,ROUND($L19-MinCover-($F19/12),2))</f>
        <v>0</v>
      </c>
      <c r="N19" s="202"/>
      <c r="O19" s="129">
        <f t="shared" ref="O19" si="35">MIN($N20:$N23)</f>
        <v>0</v>
      </c>
      <c r="P19" s="203"/>
      <c r="Q19" s="203"/>
      <c r="R19" s="203"/>
      <c r="S19" s="110"/>
      <c r="T19" s="116" t="b">
        <f t="shared" ref="T19" si="36">IF($M19,$M19)</f>
        <v>0</v>
      </c>
      <c r="U19" s="129">
        <f t="shared" ref="U19" si="37">MIN($T19:$T23)</f>
        <v>0</v>
      </c>
      <c r="V19" s="233" t="s">
        <v>197</v>
      </c>
      <c r="W19" s="219"/>
      <c r="X19" s="219" t="s">
        <v>197</v>
      </c>
      <c r="Y19" s="239"/>
      <c r="Z19" s="105">
        <f t="shared" ref="Z19" si="38">IF($V19="YES",$U19,IF($X19&lt;&gt;"YES",$W19,($AC19+$J19*$K19)))</f>
        <v>0</v>
      </c>
      <c r="AA19" s="105">
        <f t="shared" ref="AA19" si="39">ROUND($Z19+($F19/12),2)</f>
        <v>0</v>
      </c>
      <c r="AB19" s="105" t="b">
        <f t="shared" ref="AB19" si="40">IF($L19,($L19-$AA19))</f>
        <v>0</v>
      </c>
      <c r="AC19" s="111">
        <f t="shared" ref="AC19" si="41">IF(AND($V19&lt;&gt;"YES",$X19="YES"),$Y19,ROUND($Z19-($J19*$K19),2))</f>
        <v>0</v>
      </c>
    </row>
    <row r="20" spans="1:29" x14ac:dyDescent="0.3">
      <c r="A20" s="121"/>
      <c r="B20" s="204" t="b">
        <f>IF(Pipes!$B20,Pipes!$B20)</f>
        <v>0</v>
      </c>
      <c r="C20" s="205"/>
      <c r="D20" s="224"/>
      <c r="E20" s="224"/>
      <c r="F20" s="224">
        <f t="shared" ref="F20:F23" si="42">F19</f>
        <v>0</v>
      </c>
      <c r="G20" s="224"/>
      <c r="H20" s="224"/>
      <c r="I20" s="52"/>
      <c r="J20" s="52"/>
      <c r="K20" s="130"/>
      <c r="L20" s="206">
        <f t="shared" ref="L20" si="43">$L19</f>
        <v>0</v>
      </c>
      <c r="M20" s="206" t="b">
        <f t="shared" ref="M20" si="44">M19</f>
        <v>0</v>
      </c>
      <c r="N20" s="240" t="b">
        <f t="shared" ref="N20" si="45">IF($B20,INDEX($AC$4:$AC$499,MATCH($B20,$A$4:$A$499)))</f>
        <v>0</v>
      </c>
      <c r="O20" s="209"/>
      <c r="P20" s="208">
        <f t="shared" ref="P20:P23" si="46">IF($B20,INDEX($F$4:$F$499,MATCH($B20,$A$4:$A$499)),0)</f>
        <v>0</v>
      </c>
      <c r="Q20" s="242" t="b">
        <f t="shared" ref="Q20" si="47">IF($N20,ROUND(($N20+($P20/12)),2))</f>
        <v>0</v>
      </c>
      <c r="R20" s="53" t="b">
        <f t="shared" ref="R20" si="48">IF(AND($L20,$Q20),$L20-$Q20)</f>
        <v>0</v>
      </c>
      <c r="S20" s="241" t="s">
        <v>197</v>
      </c>
      <c r="T20" s="127" t="b">
        <f>IF($N20,IF($F20&gt;$P20,ROUND(($Q20-($F19/12)),2),IF($S20="YES",$N20,$N20-MinDrop)))</f>
        <v>0</v>
      </c>
      <c r="U20" s="243"/>
      <c r="V20" s="245"/>
      <c r="W20" s="245"/>
      <c r="X20" s="54"/>
      <c r="Y20" s="117"/>
      <c r="Z20" s="54"/>
      <c r="AA20" s="54"/>
      <c r="AB20" s="54"/>
      <c r="AC20" s="211"/>
    </row>
    <row r="21" spans="1:29" x14ac:dyDescent="0.3">
      <c r="A21" s="121"/>
      <c r="B21" s="204" t="b">
        <f>IF(Pipes!$B21,Pipes!$B21)</f>
        <v>0</v>
      </c>
      <c r="C21" s="205"/>
      <c r="D21" s="224"/>
      <c r="E21" s="224"/>
      <c r="F21" s="224">
        <f t="shared" si="42"/>
        <v>0</v>
      </c>
      <c r="G21" s="224"/>
      <c r="H21" s="224"/>
      <c r="I21" s="52"/>
      <c r="J21" s="52"/>
      <c r="K21" s="130"/>
      <c r="L21" s="206">
        <f t="shared" si="13"/>
        <v>0</v>
      </c>
      <c r="M21" s="206" t="b">
        <f t="shared" si="14"/>
        <v>0</v>
      </c>
      <c r="N21" s="207" t="b">
        <f t="shared" si="15"/>
        <v>0</v>
      </c>
      <c r="O21" s="209"/>
      <c r="P21" s="208">
        <f t="shared" si="46"/>
        <v>0</v>
      </c>
      <c r="Q21" s="53" t="b">
        <f t="shared" si="17"/>
        <v>0</v>
      </c>
      <c r="R21" s="53" t="b">
        <f t="shared" si="18"/>
        <v>0</v>
      </c>
      <c r="S21" s="241" t="s">
        <v>197</v>
      </c>
      <c r="T21" s="127" t="b">
        <f>IF($N21,IF($F21&gt;$P21,ROUND(($Q21-($F20/12)),2),IF($S21="YES",$N21,$N21-MinDrop)))</f>
        <v>0</v>
      </c>
      <c r="U21" s="210"/>
      <c r="V21" s="54"/>
      <c r="W21" s="54"/>
      <c r="X21" s="54"/>
      <c r="Y21" s="117"/>
      <c r="Z21" s="54"/>
      <c r="AA21" s="54"/>
      <c r="AB21" s="54"/>
      <c r="AC21" s="211"/>
    </row>
    <row r="22" spans="1:29" x14ac:dyDescent="0.3">
      <c r="A22" s="121"/>
      <c r="B22" s="204" t="b">
        <f>IF(Pipes!$B22,Pipes!$B22)</f>
        <v>0</v>
      </c>
      <c r="C22" s="205"/>
      <c r="D22" s="224"/>
      <c r="E22" s="224"/>
      <c r="F22" s="224">
        <f t="shared" si="42"/>
        <v>0</v>
      </c>
      <c r="G22" s="224"/>
      <c r="H22" s="224"/>
      <c r="I22" s="52"/>
      <c r="J22" s="52"/>
      <c r="K22" s="130"/>
      <c r="L22" s="206">
        <f t="shared" si="13"/>
        <v>0</v>
      </c>
      <c r="M22" s="206" t="b">
        <f t="shared" si="14"/>
        <v>0</v>
      </c>
      <c r="N22" s="207" t="b">
        <f t="shared" si="15"/>
        <v>0</v>
      </c>
      <c r="O22" s="209"/>
      <c r="P22" s="208">
        <f t="shared" si="46"/>
        <v>0</v>
      </c>
      <c r="Q22" s="53" t="b">
        <f t="shared" si="17"/>
        <v>0</v>
      </c>
      <c r="R22" s="53" t="b">
        <f t="shared" si="18"/>
        <v>0</v>
      </c>
      <c r="S22" s="241" t="s">
        <v>197</v>
      </c>
      <c r="T22" s="127" t="b">
        <f>IF($N22,IF($F22&gt;$P22,ROUND(($Q22-($F21/12)),2),IF($S22="YES",$N22,$N22-MinDrop)))</f>
        <v>0</v>
      </c>
      <c r="U22" s="210"/>
      <c r="V22" s="54"/>
      <c r="W22" s="54"/>
      <c r="X22" s="54"/>
      <c r="Y22" s="117"/>
      <c r="Z22" s="54"/>
      <c r="AA22" s="54"/>
      <c r="AB22" s="54"/>
      <c r="AC22" s="211"/>
    </row>
    <row r="23" spans="1:29" ht="15" thickBot="1" x14ac:dyDescent="0.35">
      <c r="A23" s="122"/>
      <c r="B23" s="204" t="b">
        <f>IF(Pipes!$B23,Pipes!$B23)</f>
        <v>0</v>
      </c>
      <c r="C23" s="212"/>
      <c r="D23" s="104"/>
      <c r="E23" s="104"/>
      <c r="F23" s="104">
        <f t="shared" si="42"/>
        <v>0</v>
      </c>
      <c r="G23" s="104"/>
      <c r="H23" s="104"/>
      <c r="I23" s="101"/>
      <c r="J23" s="101"/>
      <c r="K23" s="131"/>
      <c r="L23" s="213">
        <f t="shared" si="13"/>
        <v>0</v>
      </c>
      <c r="M23" s="213" t="b">
        <f t="shared" si="14"/>
        <v>0</v>
      </c>
      <c r="N23" s="214" t="b">
        <f t="shared" si="15"/>
        <v>0</v>
      </c>
      <c r="O23" s="216"/>
      <c r="P23" s="215">
        <f t="shared" si="46"/>
        <v>0</v>
      </c>
      <c r="Q23" s="103" t="b">
        <f t="shared" si="17"/>
        <v>0</v>
      </c>
      <c r="R23" s="53" t="b">
        <f t="shared" si="18"/>
        <v>0</v>
      </c>
      <c r="S23" s="241" t="s">
        <v>197</v>
      </c>
      <c r="T23" s="127" t="b">
        <f>IF($N23,IF($F23&gt;$P23,ROUND(($Q23-($F22/12)),2),IF($S23="YES",$N23,$N23-MinDrop)))</f>
        <v>0</v>
      </c>
      <c r="U23" s="217"/>
      <c r="V23" s="102"/>
      <c r="W23" s="102"/>
      <c r="X23" s="102"/>
      <c r="Y23" s="118"/>
      <c r="Z23" s="102"/>
      <c r="AA23" s="102"/>
      <c r="AB23" s="102"/>
      <c r="AC23" s="218"/>
    </row>
    <row r="24" spans="1:29" x14ac:dyDescent="0.3">
      <c r="A24" s="115">
        <f t="shared" ref="A24" si="49">$A19+1</f>
        <v>5</v>
      </c>
      <c r="B24" s="186"/>
      <c r="C24" s="201">
        <f>IF(Pipes!$Q24&gt;0,IF(Pipes!$R24&gt;MinDiameter,Pipes!$R24,MinDiameter),0)</f>
        <v>0</v>
      </c>
      <c r="D24" s="187" t="s">
        <v>197</v>
      </c>
      <c r="E24" s="187"/>
      <c r="F24" s="107">
        <f>Pipes!$S24</f>
        <v>0</v>
      </c>
      <c r="G24" s="108">
        <f>Pipes!$W24</f>
        <v>0</v>
      </c>
      <c r="H24" s="187" t="s">
        <v>197</v>
      </c>
      <c r="I24" s="188"/>
      <c r="J24" s="108">
        <f>Pipes!$X24</f>
        <v>0</v>
      </c>
      <c r="K24" s="193">
        <f>INDEX(Tribs!$H$3:$H$102,MATCH($A24,Tribs!$A$3:$A$102,0))</f>
        <v>0</v>
      </c>
      <c r="L24" s="105">
        <f>INDEX(Tribs!$I$3:$I$102,MATCH($A24,Tribs!$A$3:$A$102,0))</f>
        <v>0</v>
      </c>
      <c r="M24" s="105" t="b">
        <f>IF($L24,ROUND($L24-MinCover-($F24/12),2))</f>
        <v>0</v>
      </c>
      <c r="N24" s="202"/>
      <c r="O24" s="129">
        <f t="shared" ref="O24" si="50">MIN($N25:$N28)</f>
        <v>0</v>
      </c>
      <c r="P24" s="203"/>
      <c r="Q24" s="203"/>
      <c r="R24" s="203"/>
      <c r="S24" s="110"/>
      <c r="T24" s="116" t="b">
        <f t="shared" ref="T24" si="51">IF($M24,$M24)</f>
        <v>0</v>
      </c>
      <c r="U24" s="129">
        <f t="shared" ref="U24" si="52">MIN($T24:$T28)</f>
        <v>0</v>
      </c>
      <c r="V24" s="233" t="s">
        <v>197</v>
      </c>
      <c r="W24" s="219"/>
      <c r="X24" s="219" t="s">
        <v>197</v>
      </c>
      <c r="Y24" s="239"/>
      <c r="Z24" s="105">
        <f t="shared" ref="Z24" si="53">IF($V24="YES",$U24,IF($X24&lt;&gt;"YES",$W24,($AC24+$J24*$K24)))</f>
        <v>0</v>
      </c>
      <c r="AA24" s="105">
        <f t="shared" ref="AA24" si="54">ROUND($Z24+($F24/12),2)</f>
        <v>0</v>
      </c>
      <c r="AB24" s="105" t="b">
        <f t="shared" ref="AB24" si="55">IF($L24,($L24-$AA24))</f>
        <v>0</v>
      </c>
      <c r="AC24" s="111">
        <f t="shared" ref="AC24" si="56">IF(AND($V24&lt;&gt;"YES",$X24="YES"),$Y24,ROUND($Z24-($J24*$K24),2))</f>
        <v>0</v>
      </c>
    </row>
    <row r="25" spans="1:29" x14ac:dyDescent="0.3">
      <c r="A25" s="121"/>
      <c r="B25" s="204" t="b">
        <f>IF(Pipes!$B25,Pipes!$B25)</f>
        <v>0</v>
      </c>
      <c r="C25" s="205"/>
      <c r="D25" s="224"/>
      <c r="E25" s="224"/>
      <c r="F25" s="224">
        <f t="shared" ref="F25:F28" si="57">F24</f>
        <v>0</v>
      </c>
      <c r="G25" s="224"/>
      <c r="H25" s="224"/>
      <c r="I25" s="52"/>
      <c r="J25" s="52"/>
      <c r="K25" s="130"/>
      <c r="L25" s="206">
        <f t="shared" ref="L25" si="58">$L24</f>
        <v>0</v>
      </c>
      <c r="M25" s="206" t="b">
        <f t="shared" ref="M25" si="59">M24</f>
        <v>0</v>
      </c>
      <c r="N25" s="240" t="b">
        <f t="shared" ref="N25" si="60">IF($B25,INDEX($AC$4:$AC$499,MATCH($B25,$A$4:$A$499)))</f>
        <v>0</v>
      </c>
      <c r="O25" s="209"/>
      <c r="P25" s="208">
        <f t="shared" ref="P25:P28" si="61">IF($B25,INDEX($F$4:$F$499,MATCH($B25,$A$4:$A$499)),0)</f>
        <v>0</v>
      </c>
      <c r="Q25" s="242" t="b">
        <f t="shared" ref="Q25" si="62">IF($N25,ROUND(($N25+($P25/12)),2))</f>
        <v>0</v>
      </c>
      <c r="R25" s="53" t="b">
        <f t="shared" ref="R25" si="63">IF(AND($L25,$Q25),$L25-$Q25)</f>
        <v>0</v>
      </c>
      <c r="S25" s="241" t="s">
        <v>197</v>
      </c>
      <c r="T25" s="127" t="b">
        <f>IF($N25,IF($F25&gt;$P25,ROUND(($Q25-($F24/12)),2),IF($S25="YES",$N25,$N25-MinDrop)))</f>
        <v>0</v>
      </c>
      <c r="U25" s="243"/>
      <c r="V25" s="245"/>
      <c r="W25" s="245"/>
      <c r="X25" s="54"/>
      <c r="Y25" s="117"/>
      <c r="Z25" s="54"/>
      <c r="AA25" s="54"/>
      <c r="AB25" s="54"/>
      <c r="AC25" s="211"/>
    </row>
    <row r="26" spans="1:29" x14ac:dyDescent="0.3">
      <c r="A26" s="121"/>
      <c r="B26" s="204" t="b">
        <f>IF(Pipes!$B26,Pipes!$B26)</f>
        <v>0</v>
      </c>
      <c r="C26" s="205"/>
      <c r="D26" s="224"/>
      <c r="E26" s="224"/>
      <c r="F26" s="224">
        <f t="shared" si="57"/>
        <v>0</v>
      </c>
      <c r="G26" s="224"/>
      <c r="H26" s="224"/>
      <c r="I26" s="52"/>
      <c r="J26" s="52"/>
      <c r="K26" s="130"/>
      <c r="L26" s="206">
        <f t="shared" si="13"/>
        <v>0</v>
      </c>
      <c r="M26" s="206" t="b">
        <f t="shared" si="14"/>
        <v>0</v>
      </c>
      <c r="N26" s="207" t="b">
        <f t="shared" si="15"/>
        <v>0</v>
      </c>
      <c r="O26" s="209"/>
      <c r="P26" s="208">
        <f t="shared" si="61"/>
        <v>0</v>
      </c>
      <c r="Q26" s="53" t="b">
        <f t="shared" si="17"/>
        <v>0</v>
      </c>
      <c r="R26" s="53" t="b">
        <f t="shared" si="18"/>
        <v>0</v>
      </c>
      <c r="S26" s="241" t="s">
        <v>197</v>
      </c>
      <c r="T26" s="127" t="b">
        <f>IF($N26,IF($F26&gt;$P26,ROUND(($Q26-($F25/12)),2),IF($S26="YES",$N26,$N26-MinDrop)))</f>
        <v>0</v>
      </c>
      <c r="U26" s="210"/>
      <c r="V26" s="54"/>
      <c r="W26" s="54"/>
      <c r="X26" s="54"/>
      <c r="Y26" s="117"/>
      <c r="Z26" s="54"/>
      <c r="AA26" s="54"/>
      <c r="AB26" s="54"/>
      <c r="AC26" s="211"/>
    </row>
    <row r="27" spans="1:29" x14ac:dyDescent="0.3">
      <c r="A27" s="121"/>
      <c r="B27" s="204" t="b">
        <f>IF(Pipes!$B27,Pipes!$B27)</f>
        <v>0</v>
      </c>
      <c r="C27" s="205"/>
      <c r="D27" s="224"/>
      <c r="E27" s="224"/>
      <c r="F27" s="224">
        <f t="shared" si="57"/>
        <v>0</v>
      </c>
      <c r="G27" s="224"/>
      <c r="H27" s="224"/>
      <c r="I27" s="52"/>
      <c r="J27" s="52"/>
      <c r="K27" s="130"/>
      <c r="L27" s="206">
        <f t="shared" si="13"/>
        <v>0</v>
      </c>
      <c r="M27" s="206" t="b">
        <f t="shared" si="14"/>
        <v>0</v>
      </c>
      <c r="N27" s="207" t="b">
        <f t="shared" si="15"/>
        <v>0</v>
      </c>
      <c r="O27" s="209"/>
      <c r="P27" s="208">
        <f t="shared" si="61"/>
        <v>0</v>
      </c>
      <c r="Q27" s="53" t="b">
        <f t="shared" si="17"/>
        <v>0</v>
      </c>
      <c r="R27" s="53" t="b">
        <f t="shared" si="18"/>
        <v>0</v>
      </c>
      <c r="S27" s="241" t="s">
        <v>197</v>
      </c>
      <c r="T27" s="127" t="b">
        <f>IF($N27,IF($F27&gt;$P27,ROUND(($Q27-($F26/12)),2),IF($S27="YES",$N27,$N27-MinDrop)))</f>
        <v>0</v>
      </c>
      <c r="U27" s="210"/>
      <c r="V27" s="54"/>
      <c r="W27" s="54"/>
      <c r="X27" s="54"/>
      <c r="Y27" s="117"/>
      <c r="Z27" s="54"/>
      <c r="AA27" s="54"/>
      <c r="AB27" s="54"/>
      <c r="AC27" s="211"/>
    </row>
    <row r="28" spans="1:29" ht="15" thickBot="1" x14ac:dyDescent="0.35">
      <c r="A28" s="122"/>
      <c r="B28" s="204" t="b">
        <f>IF(Pipes!$B28,Pipes!$B28)</f>
        <v>0</v>
      </c>
      <c r="C28" s="212"/>
      <c r="D28" s="104"/>
      <c r="E28" s="104"/>
      <c r="F28" s="104">
        <f t="shared" si="57"/>
        <v>0</v>
      </c>
      <c r="G28" s="104"/>
      <c r="H28" s="104"/>
      <c r="I28" s="101"/>
      <c r="J28" s="101"/>
      <c r="K28" s="131"/>
      <c r="L28" s="213">
        <f t="shared" si="13"/>
        <v>0</v>
      </c>
      <c r="M28" s="213" t="b">
        <f t="shared" si="14"/>
        <v>0</v>
      </c>
      <c r="N28" s="214" t="b">
        <f t="shared" si="15"/>
        <v>0</v>
      </c>
      <c r="O28" s="216"/>
      <c r="P28" s="215">
        <f t="shared" si="61"/>
        <v>0</v>
      </c>
      <c r="Q28" s="103" t="b">
        <f t="shared" si="17"/>
        <v>0</v>
      </c>
      <c r="R28" s="53" t="b">
        <f t="shared" si="18"/>
        <v>0</v>
      </c>
      <c r="S28" s="241" t="s">
        <v>197</v>
      </c>
      <c r="T28" s="127" t="b">
        <f>IF($N28,IF($F28&gt;$P28,ROUND(($Q28-($F27/12)),2),IF($S28="YES",$N28,$N28-MinDrop)))</f>
        <v>0</v>
      </c>
      <c r="U28" s="217"/>
      <c r="V28" s="102"/>
      <c r="W28" s="102"/>
      <c r="X28" s="102"/>
      <c r="Y28" s="118"/>
      <c r="Z28" s="102"/>
      <c r="AA28" s="102"/>
      <c r="AB28" s="102"/>
      <c r="AC28" s="218"/>
    </row>
    <row r="29" spans="1:29" x14ac:dyDescent="0.3">
      <c r="A29" s="115">
        <f t="shared" ref="A29" si="64">$A24+1</f>
        <v>6</v>
      </c>
      <c r="B29" s="186"/>
      <c r="C29" s="201">
        <f>IF(Pipes!$Q29&gt;0,IF(Pipes!$R29&gt;MinDiameter,Pipes!$R29,MinDiameter),0)</f>
        <v>0</v>
      </c>
      <c r="D29" s="187" t="s">
        <v>197</v>
      </c>
      <c r="E29" s="187"/>
      <c r="F29" s="107">
        <f>Pipes!$S29</f>
        <v>0</v>
      </c>
      <c r="G29" s="108">
        <f>Pipes!$W29</f>
        <v>0</v>
      </c>
      <c r="H29" s="187" t="s">
        <v>197</v>
      </c>
      <c r="I29" s="188"/>
      <c r="J29" s="108">
        <f>Pipes!$X29</f>
        <v>0</v>
      </c>
      <c r="K29" s="193">
        <f>INDEX(Tribs!$H$3:$H$102,MATCH($A29,Tribs!$A$3:$A$102,0))</f>
        <v>0</v>
      </c>
      <c r="L29" s="105">
        <f>INDEX(Tribs!$I$3:$I$102,MATCH($A29,Tribs!$A$3:$A$102,0))</f>
        <v>0</v>
      </c>
      <c r="M29" s="105" t="b">
        <f>IF($L29,ROUND($L29-MinCover-($F29/12),2))</f>
        <v>0</v>
      </c>
      <c r="N29" s="202"/>
      <c r="O29" s="129">
        <f t="shared" ref="O29" si="65">MIN($N30:$N33)</f>
        <v>0</v>
      </c>
      <c r="P29" s="203"/>
      <c r="Q29" s="203"/>
      <c r="R29" s="203"/>
      <c r="S29" s="110"/>
      <c r="T29" s="116" t="b">
        <f t="shared" ref="T29" si="66">IF($M29,$M29)</f>
        <v>0</v>
      </c>
      <c r="U29" s="129">
        <f t="shared" ref="U29" si="67">MIN($T29:$T33)</f>
        <v>0</v>
      </c>
      <c r="V29" s="233" t="s">
        <v>197</v>
      </c>
      <c r="W29" s="219"/>
      <c r="X29" s="219" t="s">
        <v>197</v>
      </c>
      <c r="Y29" s="239"/>
      <c r="Z29" s="105">
        <f t="shared" ref="Z29" si="68">IF($V29="YES",$U29,IF($X29&lt;&gt;"YES",$W29,($AC29+$J29*$K29)))</f>
        <v>0</v>
      </c>
      <c r="AA29" s="105">
        <f t="shared" ref="AA29" si="69">ROUND($Z29+($F29/12),2)</f>
        <v>0</v>
      </c>
      <c r="AB29" s="105" t="b">
        <f t="shared" ref="AB29" si="70">IF($L29,($L29-$AA29))</f>
        <v>0</v>
      </c>
      <c r="AC29" s="111">
        <f t="shared" ref="AC29" si="71">IF(AND($V29&lt;&gt;"YES",$X29="YES"),$Y29,ROUND($Z29-($J29*$K29),2))</f>
        <v>0</v>
      </c>
    </row>
    <row r="30" spans="1:29" x14ac:dyDescent="0.3">
      <c r="A30" s="121"/>
      <c r="B30" s="204" t="b">
        <f>IF(Pipes!$B30,Pipes!$B30)</f>
        <v>0</v>
      </c>
      <c r="C30" s="205"/>
      <c r="D30" s="224"/>
      <c r="E30" s="224"/>
      <c r="F30" s="224">
        <f t="shared" ref="F30:F33" si="72">F29</f>
        <v>0</v>
      </c>
      <c r="G30" s="224"/>
      <c r="H30" s="224"/>
      <c r="I30" s="52"/>
      <c r="J30" s="52"/>
      <c r="K30" s="130"/>
      <c r="L30" s="206">
        <f t="shared" ref="L30" si="73">$L29</f>
        <v>0</v>
      </c>
      <c r="M30" s="206" t="b">
        <f t="shared" ref="M30" si="74">M29</f>
        <v>0</v>
      </c>
      <c r="N30" s="240" t="b">
        <f t="shared" ref="N30" si="75">IF($B30,INDEX($AC$4:$AC$499,MATCH($B30,$A$4:$A$499)))</f>
        <v>0</v>
      </c>
      <c r="O30" s="209"/>
      <c r="P30" s="208">
        <f t="shared" ref="P30:P33" si="76">IF($B30,INDEX($F$4:$F$499,MATCH($B30,$A$4:$A$499)),0)</f>
        <v>0</v>
      </c>
      <c r="Q30" s="242" t="b">
        <f t="shared" ref="Q30" si="77">IF($N30,ROUND(($N30+($P30/12)),2))</f>
        <v>0</v>
      </c>
      <c r="R30" s="53" t="b">
        <f t="shared" ref="R30" si="78">IF(AND($L30,$Q30),$L30-$Q30)</f>
        <v>0</v>
      </c>
      <c r="S30" s="241" t="s">
        <v>197</v>
      </c>
      <c r="T30" s="127" t="b">
        <f>IF($N30,IF($F30&gt;$P30,ROUND(($Q30-($F29/12)),2),IF($S30="YES",$N30,$N30-MinDrop)))</f>
        <v>0</v>
      </c>
      <c r="U30" s="243"/>
      <c r="V30" s="245"/>
      <c r="W30" s="245"/>
      <c r="X30" s="54"/>
      <c r="Y30" s="117"/>
      <c r="Z30" s="54"/>
      <c r="AA30" s="54"/>
      <c r="AB30" s="54"/>
      <c r="AC30" s="211"/>
    </row>
    <row r="31" spans="1:29" x14ac:dyDescent="0.3">
      <c r="A31" s="121"/>
      <c r="B31" s="204" t="b">
        <f>IF(Pipes!$B31,Pipes!$B31)</f>
        <v>0</v>
      </c>
      <c r="C31" s="205"/>
      <c r="D31" s="224"/>
      <c r="E31" s="224"/>
      <c r="F31" s="224">
        <f t="shared" si="72"/>
        <v>0</v>
      </c>
      <c r="G31" s="224"/>
      <c r="H31" s="224"/>
      <c r="I31" s="52"/>
      <c r="J31" s="52"/>
      <c r="K31" s="130"/>
      <c r="L31" s="206">
        <f t="shared" si="13"/>
        <v>0</v>
      </c>
      <c r="M31" s="206" t="b">
        <f t="shared" si="14"/>
        <v>0</v>
      </c>
      <c r="N31" s="207" t="b">
        <f t="shared" si="15"/>
        <v>0</v>
      </c>
      <c r="O31" s="209"/>
      <c r="P31" s="208">
        <f t="shared" si="76"/>
        <v>0</v>
      </c>
      <c r="Q31" s="53" t="b">
        <f t="shared" si="17"/>
        <v>0</v>
      </c>
      <c r="R31" s="53" t="b">
        <f t="shared" si="18"/>
        <v>0</v>
      </c>
      <c r="S31" s="241" t="s">
        <v>197</v>
      </c>
      <c r="T31" s="127" t="b">
        <f>IF($N31,IF($F31&gt;$P31,ROUND(($Q31-($F30/12)),2),IF($S31="YES",$N31,$N31-MinDrop)))</f>
        <v>0</v>
      </c>
      <c r="U31" s="210"/>
      <c r="V31" s="54"/>
      <c r="W31" s="54"/>
      <c r="X31" s="54"/>
      <c r="Y31" s="117"/>
      <c r="Z31" s="54"/>
      <c r="AA31" s="54"/>
      <c r="AB31" s="54"/>
      <c r="AC31" s="211"/>
    </row>
    <row r="32" spans="1:29" x14ac:dyDescent="0.3">
      <c r="A32" s="121"/>
      <c r="B32" s="204" t="b">
        <f>IF(Pipes!$B32,Pipes!$B32)</f>
        <v>0</v>
      </c>
      <c r="C32" s="205"/>
      <c r="D32" s="224"/>
      <c r="E32" s="224"/>
      <c r="F32" s="224">
        <f t="shared" si="72"/>
        <v>0</v>
      </c>
      <c r="G32" s="224"/>
      <c r="H32" s="224"/>
      <c r="I32" s="52"/>
      <c r="J32" s="52"/>
      <c r="K32" s="130"/>
      <c r="L32" s="206">
        <f t="shared" si="13"/>
        <v>0</v>
      </c>
      <c r="M32" s="206" t="b">
        <f t="shared" si="14"/>
        <v>0</v>
      </c>
      <c r="N32" s="207" t="b">
        <f t="shared" si="15"/>
        <v>0</v>
      </c>
      <c r="O32" s="209"/>
      <c r="P32" s="208">
        <f t="shared" si="76"/>
        <v>0</v>
      </c>
      <c r="Q32" s="53" t="b">
        <f t="shared" si="17"/>
        <v>0</v>
      </c>
      <c r="R32" s="53" t="b">
        <f t="shared" si="18"/>
        <v>0</v>
      </c>
      <c r="S32" s="241" t="s">
        <v>197</v>
      </c>
      <c r="T32" s="127" t="b">
        <f>IF($N32,IF($F32&gt;$P32,ROUND(($Q32-($F31/12)),2),IF($S32="YES",$N32,$N32-MinDrop)))</f>
        <v>0</v>
      </c>
      <c r="U32" s="210"/>
      <c r="V32" s="54"/>
      <c r="W32" s="54"/>
      <c r="X32" s="54"/>
      <c r="Y32" s="117"/>
      <c r="Z32" s="54"/>
      <c r="AA32" s="54"/>
      <c r="AB32" s="54"/>
      <c r="AC32" s="211"/>
    </row>
    <row r="33" spans="1:29" ht="15" thickBot="1" x14ac:dyDescent="0.35">
      <c r="A33" s="122"/>
      <c r="B33" s="204" t="b">
        <f>IF(Pipes!$B33,Pipes!$B33)</f>
        <v>0</v>
      </c>
      <c r="C33" s="212"/>
      <c r="D33" s="104"/>
      <c r="E33" s="104"/>
      <c r="F33" s="104">
        <f t="shared" si="72"/>
        <v>0</v>
      </c>
      <c r="G33" s="104"/>
      <c r="H33" s="104"/>
      <c r="I33" s="101"/>
      <c r="J33" s="101"/>
      <c r="K33" s="131"/>
      <c r="L33" s="213">
        <f t="shared" si="13"/>
        <v>0</v>
      </c>
      <c r="M33" s="213" t="b">
        <f t="shared" si="14"/>
        <v>0</v>
      </c>
      <c r="N33" s="214" t="b">
        <f t="shared" si="15"/>
        <v>0</v>
      </c>
      <c r="O33" s="216"/>
      <c r="P33" s="215">
        <f t="shared" si="76"/>
        <v>0</v>
      </c>
      <c r="Q33" s="103" t="b">
        <f t="shared" si="17"/>
        <v>0</v>
      </c>
      <c r="R33" s="53" t="b">
        <f t="shared" si="18"/>
        <v>0</v>
      </c>
      <c r="S33" s="241" t="s">
        <v>197</v>
      </c>
      <c r="T33" s="127" t="b">
        <f>IF($N33,IF($F33&gt;$P33,ROUND(($Q33-($F32/12)),2),IF($S33="YES",$N33,$N33-MinDrop)))</f>
        <v>0</v>
      </c>
      <c r="U33" s="217"/>
      <c r="V33" s="102"/>
      <c r="W33" s="102"/>
      <c r="X33" s="102"/>
      <c r="Y33" s="118"/>
      <c r="Z33" s="102"/>
      <c r="AA33" s="102"/>
      <c r="AB33" s="102"/>
      <c r="AC33" s="218"/>
    </row>
    <row r="34" spans="1:29" x14ac:dyDescent="0.3">
      <c r="A34" s="115">
        <f t="shared" ref="A34" si="79">$A29+1</f>
        <v>7</v>
      </c>
      <c r="B34" s="186"/>
      <c r="C34" s="201">
        <f>IF(Pipes!$Q34&gt;0,IF(Pipes!$R34&gt;MinDiameter,Pipes!$R34,MinDiameter),0)</f>
        <v>0</v>
      </c>
      <c r="D34" s="187" t="s">
        <v>197</v>
      </c>
      <c r="E34" s="187"/>
      <c r="F34" s="107">
        <f>Pipes!$S34</f>
        <v>0</v>
      </c>
      <c r="G34" s="108">
        <f>Pipes!$W34</f>
        <v>0</v>
      </c>
      <c r="H34" s="187" t="s">
        <v>197</v>
      </c>
      <c r="I34" s="188"/>
      <c r="J34" s="108">
        <f>Pipes!$X34</f>
        <v>0</v>
      </c>
      <c r="K34" s="193">
        <f>INDEX(Tribs!$H$3:$H$102,MATCH($A34,Tribs!$A$3:$A$102,0))</f>
        <v>0</v>
      </c>
      <c r="L34" s="105">
        <f>INDEX(Tribs!$I$3:$I$102,MATCH($A34,Tribs!$A$3:$A$102,0))</f>
        <v>0</v>
      </c>
      <c r="M34" s="105" t="b">
        <f>IF($L34,ROUND($L34-MinCover-($F34/12),2))</f>
        <v>0</v>
      </c>
      <c r="N34" s="202"/>
      <c r="O34" s="129">
        <f t="shared" ref="O34" si="80">MIN($N35:$N38)</f>
        <v>0</v>
      </c>
      <c r="P34" s="203"/>
      <c r="Q34" s="203"/>
      <c r="R34" s="203"/>
      <c r="S34" s="110"/>
      <c r="T34" s="116" t="b">
        <f t="shared" ref="T34" si="81">IF($M34,$M34)</f>
        <v>0</v>
      </c>
      <c r="U34" s="129">
        <f t="shared" ref="U34" si="82">MIN($T34:$T38)</f>
        <v>0</v>
      </c>
      <c r="V34" s="233" t="s">
        <v>197</v>
      </c>
      <c r="W34" s="219"/>
      <c r="X34" s="219" t="s">
        <v>197</v>
      </c>
      <c r="Y34" s="239"/>
      <c r="Z34" s="105">
        <f t="shared" ref="Z34" si="83">IF($V34="YES",$U34,IF($X34&lt;&gt;"YES",$W34,($AC34+$J34*$K34)))</f>
        <v>0</v>
      </c>
      <c r="AA34" s="105">
        <f t="shared" ref="AA34" si="84">ROUND($Z34+($F34/12),2)</f>
        <v>0</v>
      </c>
      <c r="AB34" s="105" t="b">
        <f t="shared" ref="AB34" si="85">IF($L34,($L34-$AA34))</f>
        <v>0</v>
      </c>
      <c r="AC34" s="111">
        <f t="shared" ref="AC34" si="86">IF(AND($V34&lt;&gt;"YES",$X34="YES"),$Y34,ROUND($Z34-($J34*$K34),2))</f>
        <v>0</v>
      </c>
    </row>
    <row r="35" spans="1:29" x14ac:dyDescent="0.3">
      <c r="A35" s="121"/>
      <c r="B35" s="204" t="b">
        <f>IF(Pipes!$B35,Pipes!$B35)</f>
        <v>0</v>
      </c>
      <c r="C35" s="205"/>
      <c r="D35" s="224"/>
      <c r="E35" s="224"/>
      <c r="F35" s="224">
        <f t="shared" ref="F35:F38" si="87">F34</f>
        <v>0</v>
      </c>
      <c r="G35" s="224"/>
      <c r="H35" s="224"/>
      <c r="I35" s="52"/>
      <c r="J35" s="52"/>
      <c r="K35" s="130"/>
      <c r="L35" s="206">
        <f t="shared" ref="L35" si="88">$L34</f>
        <v>0</v>
      </c>
      <c r="M35" s="206" t="b">
        <f t="shared" ref="M35" si="89">M34</f>
        <v>0</v>
      </c>
      <c r="N35" s="240" t="b">
        <f t="shared" ref="N35" si="90">IF($B35,INDEX($AC$4:$AC$499,MATCH($B35,$A$4:$A$499)))</f>
        <v>0</v>
      </c>
      <c r="O35" s="209"/>
      <c r="P35" s="208">
        <f t="shared" ref="P35:P38" si="91">IF($B35,INDEX($F$4:$F$499,MATCH($B35,$A$4:$A$499)),0)</f>
        <v>0</v>
      </c>
      <c r="Q35" s="242" t="b">
        <f t="shared" ref="Q35" si="92">IF($N35,ROUND(($N35+($P35/12)),2))</f>
        <v>0</v>
      </c>
      <c r="R35" s="53" t="b">
        <f t="shared" ref="R35" si="93">IF(AND($L35,$Q35),$L35-$Q35)</f>
        <v>0</v>
      </c>
      <c r="S35" s="241" t="s">
        <v>197</v>
      </c>
      <c r="T35" s="127" t="b">
        <f>IF($N35,IF($F35&gt;$P35,ROUND(($Q35-($F34/12)),2),IF($S35="YES",$N35,$N35-MinDrop)))</f>
        <v>0</v>
      </c>
      <c r="U35" s="243"/>
      <c r="V35" s="245"/>
      <c r="W35" s="245"/>
      <c r="X35" s="54"/>
      <c r="Y35" s="117"/>
      <c r="Z35" s="54"/>
      <c r="AA35" s="54"/>
      <c r="AB35" s="54"/>
      <c r="AC35" s="211"/>
    </row>
    <row r="36" spans="1:29" x14ac:dyDescent="0.3">
      <c r="A36" s="121"/>
      <c r="B36" s="204" t="b">
        <f>IF(Pipes!$B36,Pipes!$B36)</f>
        <v>0</v>
      </c>
      <c r="C36" s="205"/>
      <c r="D36" s="224"/>
      <c r="E36" s="224"/>
      <c r="F36" s="224">
        <f t="shared" si="87"/>
        <v>0</v>
      </c>
      <c r="G36" s="224"/>
      <c r="H36" s="224"/>
      <c r="I36" s="52"/>
      <c r="J36" s="52"/>
      <c r="K36" s="130"/>
      <c r="L36" s="206">
        <f t="shared" si="13"/>
        <v>0</v>
      </c>
      <c r="M36" s="206" t="b">
        <f t="shared" si="14"/>
        <v>0</v>
      </c>
      <c r="N36" s="207" t="b">
        <f t="shared" si="15"/>
        <v>0</v>
      </c>
      <c r="O36" s="209"/>
      <c r="P36" s="208">
        <f t="shared" si="91"/>
        <v>0</v>
      </c>
      <c r="Q36" s="53" t="b">
        <f t="shared" si="17"/>
        <v>0</v>
      </c>
      <c r="R36" s="53" t="b">
        <f t="shared" si="18"/>
        <v>0</v>
      </c>
      <c r="S36" s="241" t="s">
        <v>197</v>
      </c>
      <c r="T36" s="127" t="b">
        <f>IF($N36,IF($F36&gt;$P36,ROUND(($Q36-($F35/12)),2),IF($S36="YES",$N36,$N36-MinDrop)))</f>
        <v>0</v>
      </c>
      <c r="U36" s="210"/>
      <c r="V36" s="54"/>
      <c r="W36" s="54"/>
      <c r="X36" s="54"/>
      <c r="Y36" s="117"/>
      <c r="Z36" s="54"/>
      <c r="AA36" s="54"/>
      <c r="AB36" s="54"/>
      <c r="AC36" s="211"/>
    </row>
    <row r="37" spans="1:29" x14ac:dyDescent="0.3">
      <c r="A37" s="121"/>
      <c r="B37" s="204" t="b">
        <f>IF(Pipes!$B37,Pipes!$B37)</f>
        <v>0</v>
      </c>
      <c r="C37" s="205"/>
      <c r="D37" s="224"/>
      <c r="E37" s="224"/>
      <c r="F37" s="224">
        <f t="shared" si="87"/>
        <v>0</v>
      </c>
      <c r="G37" s="224"/>
      <c r="H37" s="224"/>
      <c r="I37" s="52"/>
      <c r="J37" s="52"/>
      <c r="K37" s="130"/>
      <c r="L37" s="206">
        <f t="shared" si="13"/>
        <v>0</v>
      </c>
      <c r="M37" s="206" t="b">
        <f t="shared" si="14"/>
        <v>0</v>
      </c>
      <c r="N37" s="207" t="b">
        <f t="shared" si="15"/>
        <v>0</v>
      </c>
      <c r="O37" s="209"/>
      <c r="P37" s="208">
        <f t="shared" si="91"/>
        <v>0</v>
      </c>
      <c r="Q37" s="53" t="b">
        <f t="shared" si="17"/>
        <v>0</v>
      </c>
      <c r="R37" s="53" t="b">
        <f t="shared" si="18"/>
        <v>0</v>
      </c>
      <c r="S37" s="241" t="s">
        <v>197</v>
      </c>
      <c r="T37" s="127" t="b">
        <f>IF($N37,IF($F37&gt;$P37,ROUND(($Q37-($F36/12)),2),IF($S37="YES",$N37,$N37-MinDrop)))</f>
        <v>0</v>
      </c>
      <c r="U37" s="210"/>
      <c r="V37" s="54"/>
      <c r="W37" s="54"/>
      <c r="X37" s="54"/>
      <c r="Y37" s="117"/>
      <c r="Z37" s="54"/>
      <c r="AA37" s="54"/>
      <c r="AB37" s="54"/>
      <c r="AC37" s="211"/>
    </row>
    <row r="38" spans="1:29" ht="15" thickBot="1" x14ac:dyDescent="0.35">
      <c r="A38" s="122"/>
      <c r="B38" s="204" t="b">
        <f>IF(Pipes!$B38,Pipes!$B38)</f>
        <v>0</v>
      </c>
      <c r="C38" s="212"/>
      <c r="D38" s="104"/>
      <c r="E38" s="104"/>
      <c r="F38" s="104">
        <f t="shared" si="87"/>
        <v>0</v>
      </c>
      <c r="G38" s="104"/>
      <c r="H38" s="104"/>
      <c r="I38" s="101"/>
      <c r="J38" s="101"/>
      <c r="K38" s="131"/>
      <c r="L38" s="213">
        <f t="shared" si="13"/>
        <v>0</v>
      </c>
      <c r="M38" s="213" t="b">
        <f t="shared" si="14"/>
        <v>0</v>
      </c>
      <c r="N38" s="214" t="b">
        <f t="shared" si="15"/>
        <v>0</v>
      </c>
      <c r="O38" s="216"/>
      <c r="P38" s="215">
        <f t="shared" si="91"/>
        <v>0</v>
      </c>
      <c r="Q38" s="103" t="b">
        <f t="shared" si="17"/>
        <v>0</v>
      </c>
      <c r="R38" s="53" t="b">
        <f t="shared" si="18"/>
        <v>0</v>
      </c>
      <c r="S38" s="241" t="s">
        <v>197</v>
      </c>
      <c r="T38" s="127" t="b">
        <f>IF($N38,IF($F38&gt;$P38,ROUND(($Q38-($F37/12)),2),IF($S38="YES",$N38,$N38-MinDrop)))</f>
        <v>0</v>
      </c>
      <c r="U38" s="217"/>
      <c r="V38" s="102"/>
      <c r="W38" s="102"/>
      <c r="X38" s="102"/>
      <c r="Y38" s="118"/>
      <c r="Z38" s="102"/>
      <c r="AA38" s="102"/>
      <c r="AB38" s="102"/>
      <c r="AC38" s="218"/>
    </row>
    <row r="39" spans="1:29" x14ac:dyDescent="0.3">
      <c r="A39" s="115">
        <f t="shared" ref="A39" si="94">$A34+1</f>
        <v>8</v>
      </c>
      <c r="B39" s="186"/>
      <c r="C39" s="201">
        <f>IF(Pipes!$Q39&gt;0,IF(Pipes!$R39&gt;MinDiameter,Pipes!$R39,MinDiameter),0)</f>
        <v>0</v>
      </c>
      <c r="D39" s="187" t="s">
        <v>197</v>
      </c>
      <c r="E39" s="187"/>
      <c r="F39" s="107">
        <f>Pipes!$S39</f>
        <v>0</v>
      </c>
      <c r="G39" s="108">
        <f>Pipes!$W39</f>
        <v>0</v>
      </c>
      <c r="H39" s="187" t="s">
        <v>197</v>
      </c>
      <c r="I39" s="188"/>
      <c r="J39" s="108">
        <f>Pipes!$X39</f>
        <v>0</v>
      </c>
      <c r="K39" s="193">
        <f>INDEX(Tribs!$H$3:$H$102,MATCH($A39,Tribs!$A$3:$A$102,0))</f>
        <v>0</v>
      </c>
      <c r="L39" s="105">
        <f>INDEX(Tribs!$I$3:$I$102,MATCH($A39,Tribs!$A$3:$A$102,0))</f>
        <v>0</v>
      </c>
      <c r="M39" s="105" t="b">
        <f>IF($L39,ROUND($L39-MinCover-($F39/12),2))</f>
        <v>0</v>
      </c>
      <c r="N39" s="202"/>
      <c r="O39" s="129">
        <f t="shared" ref="O39" si="95">MIN($N40:$N43)</f>
        <v>0</v>
      </c>
      <c r="P39" s="203"/>
      <c r="Q39" s="203"/>
      <c r="R39" s="203"/>
      <c r="S39" s="110"/>
      <c r="T39" s="116" t="b">
        <f t="shared" ref="T39" si="96">IF($M39,$M39)</f>
        <v>0</v>
      </c>
      <c r="U39" s="129">
        <f t="shared" ref="U39" si="97">MIN($T39:$T43)</f>
        <v>0</v>
      </c>
      <c r="V39" s="233" t="s">
        <v>197</v>
      </c>
      <c r="W39" s="219"/>
      <c r="X39" s="219" t="s">
        <v>197</v>
      </c>
      <c r="Y39" s="239"/>
      <c r="Z39" s="105">
        <f t="shared" ref="Z39" si="98">IF($V39="YES",$U39,IF($X39&lt;&gt;"YES",$W39,($AC39+$J39*$K39)))</f>
        <v>0</v>
      </c>
      <c r="AA39" s="105">
        <f t="shared" ref="AA39" si="99">ROUND($Z39+($F39/12),2)</f>
        <v>0</v>
      </c>
      <c r="AB39" s="105" t="b">
        <f t="shared" ref="AB39" si="100">IF($L39,($L39-$AA39))</f>
        <v>0</v>
      </c>
      <c r="AC39" s="111">
        <f t="shared" ref="AC39" si="101">IF(AND($V39&lt;&gt;"YES",$X39="YES"),$Y39,ROUND($Z39-($J39*$K39),2))</f>
        <v>0</v>
      </c>
    </row>
    <row r="40" spans="1:29" x14ac:dyDescent="0.3">
      <c r="A40" s="121"/>
      <c r="B40" s="204" t="b">
        <f>IF(Pipes!$B40,Pipes!$B40)</f>
        <v>0</v>
      </c>
      <c r="C40" s="205"/>
      <c r="D40" s="224"/>
      <c r="E40" s="224"/>
      <c r="F40" s="224">
        <f t="shared" ref="F40:F43" si="102">F39</f>
        <v>0</v>
      </c>
      <c r="G40" s="224"/>
      <c r="H40" s="224"/>
      <c r="I40" s="52"/>
      <c r="J40" s="52"/>
      <c r="K40" s="130"/>
      <c r="L40" s="206">
        <f t="shared" ref="L40" si="103">$L39</f>
        <v>0</v>
      </c>
      <c r="M40" s="206" t="b">
        <f t="shared" ref="M40" si="104">M39</f>
        <v>0</v>
      </c>
      <c r="N40" s="240" t="b">
        <f t="shared" ref="N40" si="105">IF($B40,INDEX($AC$4:$AC$499,MATCH($B40,$A$4:$A$499)))</f>
        <v>0</v>
      </c>
      <c r="O40" s="209"/>
      <c r="P40" s="208">
        <f t="shared" ref="P40:P43" si="106">IF($B40,INDEX($F$4:$F$499,MATCH($B40,$A$4:$A$499)),0)</f>
        <v>0</v>
      </c>
      <c r="Q40" s="242" t="b">
        <f t="shared" ref="Q40" si="107">IF($N40,ROUND(($N40+($P40/12)),2))</f>
        <v>0</v>
      </c>
      <c r="R40" s="53" t="b">
        <f t="shared" ref="R40" si="108">IF(AND($L40,$Q40),$L40-$Q40)</f>
        <v>0</v>
      </c>
      <c r="S40" s="241" t="s">
        <v>197</v>
      </c>
      <c r="T40" s="127" t="b">
        <f>IF($N40,IF($F40&gt;$P40,ROUND(($Q40-($F39/12)),2),IF($S40="YES",$N40,$N40-MinDrop)))</f>
        <v>0</v>
      </c>
      <c r="U40" s="243"/>
      <c r="V40" s="245"/>
      <c r="W40" s="245"/>
      <c r="X40" s="54"/>
      <c r="Y40" s="117"/>
      <c r="Z40" s="54"/>
      <c r="AA40" s="54"/>
      <c r="AB40" s="54"/>
      <c r="AC40" s="211"/>
    </row>
    <row r="41" spans="1:29" x14ac:dyDescent="0.3">
      <c r="A41" s="121"/>
      <c r="B41" s="204" t="b">
        <f>IF(Pipes!$B41,Pipes!$B41)</f>
        <v>0</v>
      </c>
      <c r="C41" s="205"/>
      <c r="D41" s="224"/>
      <c r="E41" s="224"/>
      <c r="F41" s="224">
        <f t="shared" si="102"/>
        <v>0</v>
      </c>
      <c r="G41" s="224"/>
      <c r="H41" s="224"/>
      <c r="I41" s="52"/>
      <c r="J41" s="52"/>
      <c r="K41" s="130"/>
      <c r="L41" s="206">
        <f t="shared" si="13"/>
        <v>0</v>
      </c>
      <c r="M41" s="206" t="b">
        <f t="shared" si="14"/>
        <v>0</v>
      </c>
      <c r="N41" s="207" t="b">
        <f t="shared" si="15"/>
        <v>0</v>
      </c>
      <c r="O41" s="209"/>
      <c r="P41" s="208">
        <f t="shared" si="106"/>
        <v>0</v>
      </c>
      <c r="Q41" s="53" t="b">
        <f t="shared" si="17"/>
        <v>0</v>
      </c>
      <c r="R41" s="53" t="b">
        <f t="shared" si="18"/>
        <v>0</v>
      </c>
      <c r="S41" s="241" t="s">
        <v>197</v>
      </c>
      <c r="T41" s="127" t="b">
        <f>IF($N41,IF($F41&gt;$P41,ROUND(($Q41-($F40/12)),2),IF($S41="YES",$N41,$N41-MinDrop)))</f>
        <v>0</v>
      </c>
      <c r="U41" s="210"/>
      <c r="V41" s="54"/>
      <c r="W41" s="54"/>
      <c r="X41" s="54"/>
      <c r="Y41" s="117"/>
      <c r="Z41" s="54"/>
      <c r="AA41" s="54"/>
      <c r="AB41" s="54"/>
      <c r="AC41" s="211"/>
    </row>
    <row r="42" spans="1:29" x14ac:dyDescent="0.3">
      <c r="A42" s="121"/>
      <c r="B42" s="204" t="b">
        <f>IF(Pipes!$B42,Pipes!$B42)</f>
        <v>0</v>
      </c>
      <c r="C42" s="205"/>
      <c r="D42" s="224"/>
      <c r="E42" s="224"/>
      <c r="F42" s="224">
        <f t="shared" si="102"/>
        <v>0</v>
      </c>
      <c r="G42" s="224"/>
      <c r="H42" s="224"/>
      <c r="I42" s="52"/>
      <c r="J42" s="52"/>
      <c r="K42" s="130"/>
      <c r="L42" s="206">
        <f t="shared" si="13"/>
        <v>0</v>
      </c>
      <c r="M42" s="206" t="b">
        <f t="shared" si="14"/>
        <v>0</v>
      </c>
      <c r="N42" s="207" t="b">
        <f t="shared" si="15"/>
        <v>0</v>
      </c>
      <c r="O42" s="209"/>
      <c r="P42" s="208">
        <f t="shared" si="106"/>
        <v>0</v>
      </c>
      <c r="Q42" s="53" t="b">
        <f t="shared" si="17"/>
        <v>0</v>
      </c>
      <c r="R42" s="53" t="b">
        <f t="shared" si="18"/>
        <v>0</v>
      </c>
      <c r="S42" s="241" t="s">
        <v>197</v>
      </c>
      <c r="T42" s="127" t="b">
        <f>IF($N42,IF($F42&gt;$P42,ROUND(($Q42-($F41/12)),2),IF($S42="YES",$N42,$N42-MinDrop)))</f>
        <v>0</v>
      </c>
      <c r="U42" s="210"/>
      <c r="V42" s="54"/>
      <c r="W42" s="54"/>
      <c r="X42" s="54"/>
      <c r="Y42" s="117"/>
      <c r="Z42" s="54"/>
      <c r="AA42" s="54"/>
      <c r="AB42" s="54"/>
      <c r="AC42" s="211"/>
    </row>
    <row r="43" spans="1:29" ht="15" thickBot="1" x14ac:dyDescent="0.35">
      <c r="A43" s="122"/>
      <c r="B43" s="204" t="b">
        <f>IF(Pipes!$B43,Pipes!$B43)</f>
        <v>0</v>
      </c>
      <c r="C43" s="212"/>
      <c r="D43" s="104"/>
      <c r="E43" s="104"/>
      <c r="F43" s="104">
        <f t="shared" si="102"/>
        <v>0</v>
      </c>
      <c r="G43" s="104"/>
      <c r="H43" s="104"/>
      <c r="I43" s="101"/>
      <c r="J43" s="101"/>
      <c r="K43" s="131"/>
      <c r="L43" s="213">
        <f t="shared" si="13"/>
        <v>0</v>
      </c>
      <c r="M43" s="213" t="b">
        <f t="shared" si="14"/>
        <v>0</v>
      </c>
      <c r="N43" s="214" t="b">
        <f t="shared" si="15"/>
        <v>0</v>
      </c>
      <c r="O43" s="216"/>
      <c r="P43" s="215">
        <f t="shared" si="106"/>
        <v>0</v>
      </c>
      <c r="Q43" s="103" t="b">
        <f t="shared" si="17"/>
        <v>0</v>
      </c>
      <c r="R43" s="53" t="b">
        <f t="shared" si="18"/>
        <v>0</v>
      </c>
      <c r="S43" s="241" t="s">
        <v>197</v>
      </c>
      <c r="T43" s="127" t="b">
        <f>IF($N43,IF($F43&gt;$P43,ROUND(($Q43-($F42/12)),2),IF($S43="YES",$N43,$N43-MinDrop)))</f>
        <v>0</v>
      </c>
      <c r="U43" s="217"/>
      <c r="V43" s="102"/>
      <c r="W43" s="102"/>
      <c r="X43" s="102"/>
      <c r="Y43" s="118"/>
      <c r="Z43" s="102"/>
      <c r="AA43" s="102"/>
      <c r="AB43" s="102"/>
      <c r="AC43" s="218"/>
    </row>
    <row r="44" spans="1:29" x14ac:dyDescent="0.3">
      <c r="A44" s="115">
        <f t="shared" ref="A44" si="109">$A39+1</f>
        <v>9</v>
      </c>
      <c r="B44" s="186"/>
      <c r="C44" s="201">
        <f>IF(Pipes!$Q44&gt;0,IF(Pipes!$R44&gt;MinDiameter,Pipes!$R44,MinDiameter),0)</f>
        <v>0</v>
      </c>
      <c r="D44" s="187" t="s">
        <v>197</v>
      </c>
      <c r="E44" s="187"/>
      <c r="F44" s="107">
        <f>Pipes!$S44</f>
        <v>0</v>
      </c>
      <c r="G44" s="108">
        <f>Pipes!$W44</f>
        <v>0</v>
      </c>
      <c r="H44" s="187" t="s">
        <v>197</v>
      </c>
      <c r="I44" s="188"/>
      <c r="J44" s="108">
        <f>Pipes!$X44</f>
        <v>0</v>
      </c>
      <c r="K44" s="193">
        <f>INDEX(Tribs!$H$3:$H$102,MATCH($A44,Tribs!$A$3:$A$102,0))</f>
        <v>0</v>
      </c>
      <c r="L44" s="105">
        <f>INDEX(Tribs!$I$3:$I$102,MATCH($A44,Tribs!$A$3:$A$102,0))</f>
        <v>0</v>
      </c>
      <c r="M44" s="105" t="b">
        <f>IF($L44,ROUND($L44-MinCover-($F44/12),2))</f>
        <v>0</v>
      </c>
      <c r="N44" s="202"/>
      <c r="O44" s="129">
        <f t="shared" ref="O44" si="110">MIN($N45:$N48)</f>
        <v>0</v>
      </c>
      <c r="P44" s="203"/>
      <c r="Q44" s="203"/>
      <c r="R44" s="203"/>
      <c r="S44" s="110"/>
      <c r="T44" s="116" t="b">
        <f t="shared" ref="T44" si="111">IF($M44,$M44)</f>
        <v>0</v>
      </c>
      <c r="U44" s="129">
        <f t="shared" ref="U44" si="112">MIN($T44:$T48)</f>
        <v>0</v>
      </c>
      <c r="V44" s="233" t="s">
        <v>197</v>
      </c>
      <c r="W44" s="219"/>
      <c r="X44" s="219" t="s">
        <v>197</v>
      </c>
      <c r="Y44" s="239"/>
      <c r="Z44" s="105">
        <f t="shared" ref="Z44" si="113">IF($V44="YES",$U44,IF($X44&lt;&gt;"YES",$W44,($AC44+$J44*$K44)))</f>
        <v>0</v>
      </c>
      <c r="AA44" s="105">
        <f t="shared" ref="AA44" si="114">ROUND($Z44+($F44/12),2)</f>
        <v>0</v>
      </c>
      <c r="AB44" s="105" t="b">
        <f t="shared" ref="AB44" si="115">IF($L44,($L44-$AA44))</f>
        <v>0</v>
      </c>
      <c r="AC44" s="111">
        <f t="shared" ref="AC44" si="116">IF(AND($V44&lt;&gt;"YES",$X44="YES"),$Y44,ROUND($Z44-($J44*$K44),2))</f>
        <v>0</v>
      </c>
    </row>
    <row r="45" spans="1:29" x14ac:dyDescent="0.3">
      <c r="A45" s="121"/>
      <c r="B45" s="204" t="b">
        <f>IF(Pipes!$B45,Pipes!$B45)</f>
        <v>0</v>
      </c>
      <c r="C45" s="205"/>
      <c r="D45" s="224"/>
      <c r="E45" s="224"/>
      <c r="F45" s="224">
        <f t="shared" ref="F45:F48" si="117">F44</f>
        <v>0</v>
      </c>
      <c r="G45" s="224"/>
      <c r="H45" s="224"/>
      <c r="I45" s="52"/>
      <c r="J45" s="52"/>
      <c r="K45" s="130"/>
      <c r="L45" s="206">
        <f t="shared" ref="L45" si="118">$L44</f>
        <v>0</v>
      </c>
      <c r="M45" s="206" t="b">
        <f t="shared" ref="M45" si="119">M44</f>
        <v>0</v>
      </c>
      <c r="N45" s="240" t="b">
        <f t="shared" ref="N45" si="120">IF($B45,INDEX($AC$4:$AC$499,MATCH($B45,$A$4:$A$499)))</f>
        <v>0</v>
      </c>
      <c r="O45" s="209"/>
      <c r="P45" s="208">
        <f t="shared" ref="P45:P48" si="121">IF($B45,INDEX($F$4:$F$499,MATCH($B45,$A$4:$A$499)),0)</f>
        <v>0</v>
      </c>
      <c r="Q45" s="242" t="b">
        <f t="shared" ref="Q45" si="122">IF($N45,ROUND(($N45+($P45/12)),2))</f>
        <v>0</v>
      </c>
      <c r="R45" s="53" t="b">
        <f t="shared" ref="R45" si="123">IF(AND($L45,$Q45),$L45-$Q45)</f>
        <v>0</v>
      </c>
      <c r="S45" s="241" t="s">
        <v>197</v>
      </c>
      <c r="T45" s="127" t="b">
        <f>IF($N45,IF($F45&gt;$P45,ROUND(($Q45-($F44/12)),2),IF($S45="YES",$N45,$N45-MinDrop)))</f>
        <v>0</v>
      </c>
      <c r="U45" s="243"/>
      <c r="V45" s="245"/>
      <c r="W45" s="245"/>
      <c r="X45" s="54"/>
      <c r="Y45" s="117"/>
      <c r="Z45" s="54"/>
      <c r="AA45" s="54"/>
      <c r="AB45" s="54"/>
      <c r="AC45" s="211"/>
    </row>
    <row r="46" spans="1:29" x14ac:dyDescent="0.3">
      <c r="A46" s="121"/>
      <c r="B46" s="204" t="b">
        <f>IF(Pipes!$B46,Pipes!$B46)</f>
        <v>0</v>
      </c>
      <c r="C46" s="205"/>
      <c r="D46" s="224"/>
      <c r="E46" s="224"/>
      <c r="F46" s="224">
        <f t="shared" si="117"/>
        <v>0</v>
      </c>
      <c r="G46" s="224"/>
      <c r="H46" s="224"/>
      <c r="I46" s="52"/>
      <c r="J46" s="52"/>
      <c r="K46" s="130"/>
      <c r="L46" s="206">
        <f t="shared" si="13"/>
        <v>0</v>
      </c>
      <c r="M46" s="206" t="b">
        <f t="shared" si="14"/>
        <v>0</v>
      </c>
      <c r="N46" s="207" t="b">
        <f t="shared" si="15"/>
        <v>0</v>
      </c>
      <c r="O46" s="209"/>
      <c r="P46" s="208">
        <f t="shared" si="121"/>
        <v>0</v>
      </c>
      <c r="Q46" s="53" t="b">
        <f t="shared" si="17"/>
        <v>0</v>
      </c>
      <c r="R46" s="53" t="b">
        <f t="shared" si="18"/>
        <v>0</v>
      </c>
      <c r="S46" s="241" t="s">
        <v>197</v>
      </c>
      <c r="T46" s="127" t="b">
        <f>IF($N46,IF($F46&gt;$P46,ROUND(($Q46-($F45/12)),2),IF($S46="YES",$N46,$N46-MinDrop)))</f>
        <v>0</v>
      </c>
      <c r="U46" s="210"/>
      <c r="V46" s="54"/>
      <c r="W46" s="54"/>
      <c r="X46" s="54"/>
      <c r="Y46" s="117"/>
      <c r="Z46" s="54"/>
      <c r="AA46" s="54"/>
      <c r="AB46" s="54"/>
      <c r="AC46" s="211"/>
    </row>
    <row r="47" spans="1:29" x14ac:dyDescent="0.3">
      <c r="A47" s="121"/>
      <c r="B47" s="204" t="b">
        <f>IF(Pipes!$B47,Pipes!$B47)</f>
        <v>0</v>
      </c>
      <c r="C47" s="205"/>
      <c r="D47" s="224"/>
      <c r="E47" s="224"/>
      <c r="F47" s="224">
        <f t="shared" si="117"/>
        <v>0</v>
      </c>
      <c r="G47" s="224"/>
      <c r="H47" s="224"/>
      <c r="I47" s="52"/>
      <c r="J47" s="52"/>
      <c r="K47" s="130"/>
      <c r="L47" s="206">
        <f t="shared" si="13"/>
        <v>0</v>
      </c>
      <c r="M47" s="206" t="b">
        <f t="shared" si="14"/>
        <v>0</v>
      </c>
      <c r="N47" s="207" t="b">
        <f t="shared" si="15"/>
        <v>0</v>
      </c>
      <c r="O47" s="209"/>
      <c r="P47" s="208">
        <f t="shared" si="121"/>
        <v>0</v>
      </c>
      <c r="Q47" s="53" t="b">
        <f t="shared" si="17"/>
        <v>0</v>
      </c>
      <c r="R47" s="53" t="b">
        <f t="shared" si="18"/>
        <v>0</v>
      </c>
      <c r="S47" s="241" t="s">
        <v>197</v>
      </c>
      <c r="T47" s="127" t="b">
        <f>IF($N47,IF($F47&gt;$P47,ROUND(($Q47-($F46/12)),2),IF($S47="YES",$N47,$N47-MinDrop)))</f>
        <v>0</v>
      </c>
      <c r="U47" s="210"/>
      <c r="V47" s="54"/>
      <c r="W47" s="54"/>
      <c r="X47" s="54"/>
      <c r="Y47" s="117"/>
      <c r="Z47" s="54"/>
      <c r="AA47" s="54"/>
      <c r="AB47" s="54"/>
      <c r="AC47" s="211"/>
    </row>
    <row r="48" spans="1:29" ht="15" thickBot="1" x14ac:dyDescent="0.35">
      <c r="A48" s="122"/>
      <c r="B48" s="204" t="b">
        <f>IF(Pipes!$B48,Pipes!$B48)</f>
        <v>0</v>
      </c>
      <c r="C48" s="212"/>
      <c r="D48" s="104"/>
      <c r="E48" s="104"/>
      <c r="F48" s="104">
        <f t="shared" si="117"/>
        <v>0</v>
      </c>
      <c r="G48" s="104"/>
      <c r="H48" s="104"/>
      <c r="I48" s="101"/>
      <c r="J48" s="101"/>
      <c r="K48" s="131"/>
      <c r="L48" s="213">
        <f t="shared" si="13"/>
        <v>0</v>
      </c>
      <c r="M48" s="213" t="b">
        <f t="shared" si="14"/>
        <v>0</v>
      </c>
      <c r="N48" s="214" t="b">
        <f t="shared" si="15"/>
        <v>0</v>
      </c>
      <c r="O48" s="216"/>
      <c r="P48" s="215">
        <f t="shared" si="121"/>
        <v>0</v>
      </c>
      <c r="Q48" s="103" t="b">
        <f t="shared" si="17"/>
        <v>0</v>
      </c>
      <c r="R48" s="53" t="b">
        <f t="shared" si="18"/>
        <v>0</v>
      </c>
      <c r="S48" s="241" t="s">
        <v>197</v>
      </c>
      <c r="T48" s="127" t="b">
        <f>IF($N48,IF($F48&gt;$P48,ROUND(($Q48-($F47/12)),2),IF($S48="YES",$N48,$N48-MinDrop)))</f>
        <v>0</v>
      </c>
      <c r="U48" s="217"/>
      <c r="V48" s="102"/>
      <c r="W48" s="102"/>
      <c r="X48" s="102"/>
      <c r="Y48" s="118"/>
      <c r="Z48" s="102"/>
      <c r="AA48" s="102"/>
      <c r="AB48" s="102"/>
      <c r="AC48" s="218"/>
    </row>
    <row r="49" spans="1:29" x14ac:dyDescent="0.3">
      <c r="A49" s="115">
        <f t="shared" ref="A49" si="124">$A44+1</f>
        <v>10</v>
      </c>
      <c r="B49" s="186"/>
      <c r="C49" s="201">
        <f>IF(Pipes!$Q49&gt;0,IF(Pipes!$R49&gt;MinDiameter,Pipes!$R49,MinDiameter),0)</f>
        <v>0</v>
      </c>
      <c r="D49" s="187" t="s">
        <v>197</v>
      </c>
      <c r="E49" s="187"/>
      <c r="F49" s="107">
        <f>Pipes!$S49</f>
        <v>0</v>
      </c>
      <c r="G49" s="108">
        <f>Pipes!$W49</f>
        <v>0</v>
      </c>
      <c r="H49" s="187" t="s">
        <v>197</v>
      </c>
      <c r="I49" s="188"/>
      <c r="J49" s="108">
        <f>Pipes!$X49</f>
        <v>0</v>
      </c>
      <c r="K49" s="193">
        <f>INDEX(Tribs!$H$3:$H$102,MATCH($A49,Tribs!$A$3:$A$102,0))</f>
        <v>0</v>
      </c>
      <c r="L49" s="105">
        <f>INDEX(Tribs!$I$3:$I$102,MATCH($A49,Tribs!$A$3:$A$102,0))</f>
        <v>0</v>
      </c>
      <c r="M49" s="105" t="b">
        <f>IF($L49,ROUND($L49-MinCover-($F49/12),2))</f>
        <v>0</v>
      </c>
      <c r="N49" s="202"/>
      <c r="O49" s="129">
        <f t="shared" ref="O49" si="125">MIN($N50:$N53)</f>
        <v>0</v>
      </c>
      <c r="P49" s="203"/>
      <c r="Q49" s="203"/>
      <c r="R49" s="203"/>
      <c r="S49" s="110"/>
      <c r="T49" s="116" t="b">
        <f t="shared" ref="T49" si="126">IF($M49,$M49)</f>
        <v>0</v>
      </c>
      <c r="U49" s="129">
        <f t="shared" ref="U49" si="127">MIN($T49:$T53)</f>
        <v>0</v>
      </c>
      <c r="V49" s="233" t="s">
        <v>197</v>
      </c>
      <c r="W49" s="219"/>
      <c r="X49" s="219" t="s">
        <v>197</v>
      </c>
      <c r="Y49" s="239"/>
      <c r="Z49" s="105">
        <f t="shared" ref="Z49" si="128">IF($V49="YES",$U49,IF($X49&lt;&gt;"YES",$W49,($AC49+$J49*$K49)))</f>
        <v>0</v>
      </c>
      <c r="AA49" s="105">
        <f t="shared" ref="AA49" si="129">ROUND($Z49+($F49/12),2)</f>
        <v>0</v>
      </c>
      <c r="AB49" s="105" t="b">
        <f t="shared" ref="AB49" si="130">IF($L49,($L49-$AA49))</f>
        <v>0</v>
      </c>
      <c r="AC49" s="111">
        <f t="shared" ref="AC49" si="131">IF(AND($V49&lt;&gt;"YES",$X49="YES"),$Y49,ROUND($Z49-($J49*$K49),2))</f>
        <v>0</v>
      </c>
    </row>
    <row r="50" spans="1:29" x14ac:dyDescent="0.3">
      <c r="A50" s="121"/>
      <c r="B50" s="204" t="b">
        <f>IF(Pipes!$B50,Pipes!$B50)</f>
        <v>0</v>
      </c>
      <c r="C50" s="205"/>
      <c r="D50" s="224"/>
      <c r="E50" s="224"/>
      <c r="F50" s="224">
        <f t="shared" ref="F50:F53" si="132">F49</f>
        <v>0</v>
      </c>
      <c r="G50" s="224"/>
      <c r="H50" s="224"/>
      <c r="I50" s="52"/>
      <c r="J50" s="52"/>
      <c r="K50" s="130"/>
      <c r="L50" s="206">
        <f t="shared" ref="L50" si="133">$L49</f>
        <v>0</v>
      </c>
      <c r="M50" s="206" t="b">
        <f t="shared" ref="M50" si="134">M49</f>
        <v>0</v>
      </c>
      <c r="N50" s="240" t="b">
        <f t="shared" ref="N50" si="135">IF($B50,INDEX($AC$4:$AC$499,MATCH($B50,$A$4:$A$499)))</f>
        <v>0</v>
      </c>
      <c r="O50" s="209"/>
      <c r="P50" s="208">
        <f t="shared" ref="P50:P53" si="136">IF($B50,INDEX($F$4:$F$499,MATCH($B50,$A$4:$A$499)),0)</f>
        <v>0</v>
      </c>
      <c r="Q50" s="242" t="b">
        <f t="shared" ref="Q50" si="137">IF($N50,ROUND(($N50+($P50/12)),2))</f>
        <v>0</v>
      </c>
      <c r="R50" s="53" t="b">
        <f t="shared" ref="R50" si="138">IF(AND($L50,$Q50),$L50-$Q50)</f>
        <v>0</v>
      </c>
      <c r="S50" s="241" t="s">
        <v>197</v>
      </c>
      <c r="T50" s="127" t="b">
        <f>IF($N50,IF($F50&gt;$P50,ROUND(($Q50-($F49/12)),2),IF($S50="YES",$N50,$N50-MinDrop)))</f>
        <v>0</v>
      </c>
      <c r="U50" s="243"/>
      <c r="V50" s="245"/>
      <c r="W50" s="245"/>
      <c r="X50" s="54"/>
      <c r="Y50" s="117"/>
      <c r="Z50" s="54"/>
      <c r="AA50" s="54"/>
      <c r="AB50" s="54"/>
      <c r="AC50" s="211"/>
    </row>
    <row r="51" spans="1:29" x14ac:dyDescent="0.3">
      <c r="A51" s="121"/>
      <c r="B51" s="204" t="b">
        <f>IF(Pipes!$B51,Pipes!$B51)</f>
        <v>0</v>
      </c>
      <c r="C51" s="205"/>
      <c r="D51" s="224"/>
      <c r="E51" s="224"/>
      <c r="F51" s="224">
        <f t="shared" si="132"/>
        <v>0</v>
      </c>
      <c r="G51" s="224"/>
      <c r="H51" s="224"/>
      <c r="I51" s="52"/>
      <c r="J51" s="52"/>
      <c r="K51" s="130"/>
      <c r="L51" s="206">
        <f t="shared" si="13"/>
        <v>0</v>
      </c>
      <c r="M51" s="206" t="b">
        <f t="shared" si="14"/>
        <v>0</v>
      </c>
      <c r="N51" s="207" t="b">
        <f t="shared" si="15"/>
        <v>0</v>
      </c>
      <c r="O51" s="209"/>
      <c r="P51" s="208">
        <f t="shared" si="136"/>
        <v>0</v>
      </c>
      <c r="Q51" s="53" t="b">
        <f t="shared" si="17"/>
        <v>0</v>
      </c>
      <c r="R51" s="53" t="b">
        <f t="shared" si="18"/>
        <v>0</v>
      </c>
      <c r="S51" s="241" t="s">
        <v>197</v>
      </c>
      <c r="T51" s="127" t="b">
        <f>IF($N51,IF($F51&gt;$P51,ROUND(($Q51-($F50/12)),2),IF($S51="YES",$N51,$N51-MinDrop)))</f>
        <v>0</v>
      </c>
      <c r="U51" s="210"/>
      <c r="V51" s="54"/>
      <c r="W51" s="54"/>
      <c r="X51" s="54"/>
      <c r="Y51" s="117"/>
      <c r="Z51" s="54"/>
      <c r="AA51" s="54"/>
      <c r="AB51" s="54"/>
      <c r="AC51" s="211"/>
    </row>
    <row r="52" spans="1:29" x14ac:dyDescent="0.3">
      <c r="A52" s="121"/>
      <c r="B52" s="204" t="b">
        <f>IF(Pipes!$B52,Pipes!$B52)</f>
        <v>0</v>
      </c>
      <c r="C52" s="205"/>
      <c r="D52" s="224"/>
      <c r="E52" s="224"/>
      <c r="F52" s="224">
        <f t="shared" si="132"/>
        <v>0</v>
      </c>
      <c r="G52" s="224"/>
      <c r="H52" s="224"/>
      <c r="I52" s="52"/>
      <c r="J52" s="52"/>
      <c r="K52" s="130"/>
      <c r="L52" s="206">
        <f t="shared" si="13"/>
        <v>0</v>
      </c>
      <c r="M52" s="206" t="b">
        <f t="shared" si="14"/>
        <v>0</v>
      </c>
      <c r="N52" s="207" t="b">
        <f t="shared" si="15"/>
        <v>0</v>
      </c>
      <c r="O52" s="209"/>
      <c r="P52" s="208">
        <f t="shared" si="136"/>
        <v>0</v>
      </c>
      <c r="Q52" s="53" t="b">
        <f t="shared" si="17"/>
        <v>0</v>
      </c>
      <c r="R52" s="53" t="b">
        <f t="shared" si="18"/>
        <v>0</v>
      </c>
      <c r="S52" s="241" t="s">
        <v>197</v>
      </c>
      <c r="T52" s="127" t="b">
        <f>IF($N52,IF($F52&gt;$P52,ROUND(($Q52-($F51/12)),2),IF($S52="YES",$N52,$N52-MinDrop)))</f>
        <v>0</v>
      </c>
      <c r="U52" s="210"/>
      <c r="V52" s="54"/>
      <c r="W52" s="54"/>
      <c r="X52" s="54"/>
      <c r="Y52" s="117"/>
      <c r="Z52" s="54"/>
      <c r="AA52" s="54"/>
      <c r="AB52" s="54"/>
      <c r="AC52" s="211"/>
    </row>
    <row r="53" spans="1:29" ht="15" thickBot="1" x14ac:dyDescent="0.35">
      <c r="A53" s="122"/>
      <c r="B53" s="204" t="b">
        <f>IF(Pipes!$B53,Pipes!$B53)</f>
        <v>0</v>
      </c>
      <c r="C53" s="212"/>
      <c r="D53" s="104"/>
      <c r="E53" s="104"/>
      <c r="F53" s="104">
        <f t="shared" si="132"/>
        <v>0</v>
      </c>
      <c r="G53" s="104"/>
      <c r="H53" s="104"/>
      <c r="I53" s="101"/>
      <c r="J53" s="101"/>
      <c r="K53" s="131"/>
      <c r="L53" s="213">
        <f t="shared" si="13"/>
        <v>0</v>
      </c>
      <c r="M53" s="213" t="b">
        <f t="shared" si="14"/>
        <v>0</v>
      </c>
      <c r="N53" s="214" t="b">
        <f t="shared" si="15"/>
        <v>0</v>
      </c>
      <c r="O53" s="216"/>
      <c r="P53" s="215">
        <f t="shared" si="136"/>
        <v>0</v>
      </c>
      <c r="Q53" s="103" t="b">
        <f t="shared" si="17"/>
        <v>0</v>
      </c>
      <c r="R53" s="53" t="b">
        <f t="shared" si="18"/>
        <v>0</v>
      </c>
      <c r="S53" s="241" t="s">
        <v>197</v>
      </c>
      <c r="T53" s="127" t="b">
        <f>IF($N53,IF($F53&gt;$P53,ROUND(($Q53-($F52/12)),2),IF($S53="YES",$N53,$N53-MinDrop)))</f>
        <v>0</v>
      </c>
      <c r="U53" s="217"/>
      <c r="V53" s="102"/>
      <c r="W53" s="102"/>
      <c r="X53" s="102"/>
      <c r="Y53" s="118"/>
      <c r="Z53" s="102"/>
      <c r="AA53" s="102"/>
      <c r="AB53" s="102"/>
      <c r="AC53" s="218"/>
    </row>
    <row r="54" spans="1:29" x14ac:dyDescent="0.3">
      <c r="A54" s="115">
        <f t="shared" ref="A54" si="139">$A49+1</f>
        <v>11</v>
      </c>
      <c r="B54" s="186"/>
      <c r="C54" s="201">
        <f>IF(Pipes!$Q54&gt;0,IF(Pipes!$R54&gt;MinDiameter,Pipes!$R54,MinDiameter),0)</f>
        <v>0</v>
      </c>
      <c r="D54" s="187" t="s">
        <v>197</v>
      </c>
      <c r="E54" s="187"/>
      <c r="F54" s="107">
        <f>Pipes!$S54</f>
        <v>0</v>
      </c>
      <c r="G54" s="108">
        <f>Pipes!$W54</f>
        <v>0</v>
      </c>
      <c r="H54" s="187" t="s">
        <v>197</v>
      </c>
      <c r="I54" s="188"/>
      <c r="J54" s="108">
        <f>Pipes!$X54</f>
        <v>0</v>
      </c>
      <c r="K54" s="193">
        <f>INDEX(Tribs!$H$3:$H$102,MATCH($A54,Tribs!$A$3:$A$102,0))</f>
        <v>0</v>
      </c>
      <c r="L54" s="105">
        <f>INDEX(Tribs!$I$3:$I$102,MATCH($A54,Tribs!$A$3:$A$102,0))</f>
        <v>0</v>
      </c>
      <c r="M54" s="105" t="b">
        <f>IF($L54,ROUND($L54-MinCover-($F54/12),2))</f>
        <v>0</v>
      </c>
      <c r="N54" s="202"/>
      <c r="O54" s="129">
        <f t="shared" ref="O54" si="140">MIN($N55:$N58)</f>
        <v>0</v>
      </c>
      <c r="P54" s="203"/>
      <c r="Q54" s="203"/>
      <c r="R54" s="203"/>
      <c r="S54" s="110"/>
      <c r="T54" s="116" t="b">
        <f t="shared" ref="T54" si="141">IF($M54,$M54)</f>
        <v>0</v>
      </c>
      <c r="U54" s="129">
        <f t="shared" ref="U54" si="142">MIN($T54:$T58)</f>
        <v>0</v>
      </c>
      <c r="V54" s="233" t="s">
        <v>197</v>
      </c>
      <c r="W54" s="219"/>
      <c r="X54" s="219" t="s">
        <v>197</v>
      </c>
      <c r="Y54" s="239"/>
      <c r="Z54" s="105">
        <f t="shared" ref="Z54" si="143">IF($V54="YES",$U54,IF($X54&lt;&gt;"YES",$W54,($AC54+$J54*$K54)))</f>
        <v>0</v>
      </c>
      <c r="AA54" s="105">
        <f t="shared" ref="AA54" si="144">ROUND($Z54+($F54/12),2)</f>
        <v>0</v>
      </c>
      <c r="AB54" s="105" t="b">
        <f t="shared" ref="AB54" si="145">IF($L54,($L54-$AA54))</f>
        <v>0</v>
      </c>
      <c r="AC54" s="111">
        <f t="shared" ref="AC54" si="146">IF(AND($V54&lt;&gt;"YES",$X54="YES"),$Y54,ROUND($Z54-($J54*$K54),2))</f>
        <v>0</v>
      </c>
    </row>
    <row r="55" spans="1:29" x14ac:dyDescent="0.3">
      <c r="A55" s="121"/>
      <c r="B55" s="204" t="b">
        <f>IF(Pipes!$B55,Pipes!$B55)</f>
        <v>0</v>
      </c>
      <c r="C55" s="205"/>
      <c r="D55" s="224"/>
      <c r="E55" s="224"/>
      <c r="F55" s="224">
        <f t="shared" ref="F55:F58" si="147">F54</f>
        <v>0</v>
      </c>
      <c r="G55" s="224"/>
      <c r="H55" s="224"/>
      <c r="I55" s="52"/>
      <c r="J55" s="52"/>
      <c r="K55" s="130"/>
      <c r="L55" s="206">
        <f t="shared" ref="L55" si="148">$L54</f>
        <v>0</v>
      </c>
      <c r="M55" s="206" t="b">
        <f t="shared" ref="M55" si="149">M54</f>
        <v>0</v>
      </c>
      <c r="N55" s="240" t="b">
        <f t="shared" ref="N55" si="150">IF($B55,INDEX($AC$4:$AC$499,MATCH($B55,$A$4:$A$499)))</f>
        <v>0</v>
      </c>
      <c r="O55" s="209"/>
      <c r="P55" s="208">
        <f t="shared" ref="P55:P58" si="151">IF($B55,INDEX($F$4:$F$499,MATCH($B55,$A$4:$A$499)),0)</f>
        <v>0</v>
      </c>
      <c r="Q55" s="242" t="b">
        <f t="shared" ref="Q55" si="152">IF($N55,ROUND(($N55+($P55/12)),2))</f>
        <v>0</v>
      </c>
      <c r="R55" s="53" t="b">
        <f t="shared" ref="R55" si="153">IF(AND($L55,$Q55),$L55-$Q55)</f>
        <v>0</v>
      </c>
      <c r="S55" s="241" t="s">
        <v>197</v>
      </c>
      <c r="T55" s="127" t="b">
        <f>IF($N55,IF($F55&gt;$P55,ROUND(($Q55-($F54/12)),2),IF($S55="YES",$N55,$N55-MinDrop)))</f>
        <v>0</v>
      </c>
      <c r="U55" s="243"/>
      <c r="V55" s="245"/>
      <c r="W55" s="245"/>
      <c r="X55" s="54"/>
      <c r="Y55" s="117"/>
      <c r="Z55" s="54"/>
      <c r="AA55" s="54"/>
      <c r="AB55" s="54"/>
      <c r="AC55" s="211"/>
    </row>
    <row r="56" spans="1:29" x14ac:dyDescent="0.3">
      <c r="A56" s="121"/>
      <c r="B56" s="204" t="b">
        <f>IF(Pipes!$B56,Pipes!$B56)</f>
        <v>0</v>
      </c>
      <c r="C56" s="205"/>
      <c r="D56" s="224"/>
      <c r="E56" s="224"/>
      <c r="F56" s="224">
        <f t="shared" si="147"/>
        <v>0</v>
      </c>
      <c r="G56" s="224"/>
      <c r="H56" s="224"/>
      <c r="I56" s="52"/>
      <c r="J56" s="52"/>
      <c r="K56" s="130"/>
      <c r="L56" s="206">
        <f t="shared" si="13"/>
        <v>0</v>
      </c>
      <c r="M56" s="206" t="b">
        <f t="shared" si="14"/>
        <v>0</v>
      </c>
      <c r="N56" s="207" t="b">
        <f t="shared" si="15"/>
        <v>0</v>
      </c>
      <c r="O56" s="209"/>
      <c r="P56" s="208">
        <f t="shared" si="151"/>
        <v>0</v>
      </c>
      <c r="Q56" s="53" t="b">
        <f t="shared" si="17"/>
        <v>0</v>
      </c>
      <c r="R56" s="53" t="b">
        <f t="shared" si="18"/>
        <v>0</v>
      </c>
      <c r="S56" s="241" t="s">
        <v>197</v>
      </c>
      <c r="T56" s="127" t="b">
        <f>IF($N56,IF($F56&gt;$P56,ROUND(($Q56-($F55/12)),2),IF($S56="YES",$N56,$N56-MinDrop)))</f>
        <v>0</v>
      </c>
      <c r="U56" s="210"/>
      <c r="V56" s="54"/>
      <c r="W56" s="54"/>
      <c r="X56" s="54"/>
      <c r="Y56" s="117"/>
      <c r="Z56" s="54"/>
      <c r="AA56" s="54"/>
      <c r="AB56" s="54"/>
      <c r="AC56" s="211"/>
    </row>
    <row r="57" spans="1:29" x14ac:dyDescent="0.3">
      <c r="A57" s="121"/>
      <c r="B57" s="204" t="b">
        <f>IF(Pipes!$B57,Pipes!$B57)</f>
        <v>0</v>
      </c>
      <c r="C57" s="205"/>
      <c r="D57" s="224"/>
      <c r="E57" s="224"/>
      <c r="F57" s="224">
        <f t="shared" si="147"/>
        <v>0</v>
      </c>
      <c r="G57" s="224"/>
      <c r="H57" s="224"/>
      <c r="I57" s="52"/>
      <c r="J57" s="52"/>
      <c r="K57" s="130"/>
      <c r="L57" s="206">
        <f t="shared" si="13"/>
        <v>0</v>
      </c>
      <c r="M57" s="206" t="b">
        <f t="shared" si="14"/>
        <v>0</v>
      </c>
      <c r="N57" s="207" t="b">
        <f t="shared" si="15"/>
        <v>0</v>
      </c>
      <c r="O57" s="209"/>
      <c r="P57" s="208">
        <f t="shared" si="151"/>
        <v>0</v>
      </c>
      <c r="Q57" s="53" t="b">
        <f t="shared" si="17"/>
        <v>0</v>
      </c>
      <c r="R57" s="53" t="b">
        <f t="shared" si="18"/>
        <v>0</v>
      </c>
      <c r="S57" s="241" t="s">
        <v>197</v>
      </c>
      <c r="T57" s="127" t="b">
        <f>IF($N57,IF($F57&gt;$P57,ROUND(($Q57-($F56/12)),2),IF($S57="YES",$N57,$N57-MinDrop)))</f>
        <v>0</v>
      </c>
      <c r="U57" s="210"/>
      <c r="V57" s="54"/>
      <c r="W57" s="54"/>
      <c r="X57" s="54"/>
      <c r="Y57" s="117"/>
      <c r="Z57" s="54"/>
      <c r="AA57" s="54"/>
      <c r="AB57" s="54"/>
      <c r="AC57" s="211"/>
    </row>
    <row r="58" spans="1:29" ht="15" thickBot="1" x14ac:dyDescent="0.35">
      <c r="A58" s="122"/>
      <c r="B58" s="204" t="b">
        <f>IF(Pipes!$B58,Pipes!$B58)</f>
        <v>0</v>
      </c>
      <c r="C58" s="212"/>
      <c r="D58" s="104"/>
      <c r="E58" s="104"/>
      <c r="F58" s="104">
        <f t="shared" si="147"/>
        <v>0</v>
      </c>
      <c r="G58" s="104"/>
      <c r="H58" s="104"/>
      <c r="I58" s="101"/>
      <c r="J58" s="101"/>
      <c r="K58" s="131"/>
      <c r="L58" s="213">
        <f t="shared" si="13"/>
        <v>0</v>
      </c>
      <c r="M58" s="213" t="b">
        <f t="shared" si="14"/>
        <v>0</v>
      </c>
      <c r="N58" s="214" t="b">
        <f t="shared" si="15"/>
        <v>0</v>
      </c>
      <c r="O58" s="216"/>
      <c r="P58" s="215">
        <f t="shared" si="151"/>
        <v>0</v>
      </c>
      <c r="Q58" s="103" t="b">
        <f t="shared" si="17"/>
        <v>0</v>
      </c>
      <c r="R58" s="53" t="b">
        <f t="shared" si="18"/>
        <v>0</v>
      </c>
      <c r="S58" s="241" t="s">
        <v>197</v>
      </c>
      <c r="T58" s="127" t="b">
        <f>IF($N58,IF($F58&gt;$P58,ROUND(($Q58-($F57/12)),2),IF($S58="YES",$N58,$N58-MinDrop)))</f>
        <v>0</v>
      </c>
      <c r="U58" s="217"/>
      <c r="V58" s="102"/>
      <c r="W58" s="102"/>
      <c r="X58" s="102"/>
      <c r="Y58" s="118"/>
      <c r="Z58" s="102"/>
      <c r="AA58" s="102"/>
      <c r="AB58" s="102"/>
      <c r="AC58" s="218"/>
    </row>
    <row r="59" spans="1:29" x14ac:dyDescent="0.3">
      <c r="A59" s="115">
        <f t="shared" ref="A59" si="154">$A54+1</f>
        <v>12</v>
      </c>
      <c r="B59" s="186"/>
      <c r="C59" s="201">
        <f>IF(Pipes!$Q59&gt;0,IF(Pipes!$R59&gt;MinDiameter,Pipes!$R59,MinDiameter),0)</f>
        <v>0</v>
      </c>
      <c r="D59" s="187" t="s">
        <v>197</v>
      </c>
      <c r="E59" s="187"/>
      <c r="F59" s="107">
        <f>Pipes!$S59</f>
        <v>0</v>
      </c>
      <c r="G59" s="108">
        <f>Pipes!$W59</f>
        <v>0</v>
      </c>
      <c r="H59" s="187" t="s">
        <v>197</v>
      </c>
      <c r="I59" s="188"/>
      <c r="J59" s="108">
        <f>Pipes!$X59</f>
        <v>0</v>
      </c>
      <c r="K59" s="193">
        <f>INDEX(Tribs!$H$3:$H$102,MATCH($A59,Tribs!$A$3:$A$102,0))</f>
        <v>0</v>
      </c>
      <c r="L59" s="105">
        <f>INDEX(Tribs!$I$3:$I$102,MATCH($A59,Tribs!$A$3:$A$102,0))</f>
        <v>0</v>
      </c>
      <c r="M59" s="105" t="b">
        <f>IF($L59,ROUND($L59-MinCover-($F59/12),2))</f>
        <v>0</v>
      </c>
      <c r="N59" s="202"/>
      <c r="O59" s="129">
        <f t="shared" ref="O59" si="155">MIN($N60:$N63)</f>
        <v>0</v>
      </c>
      <c r="P59" s="203"/>
      <c r="Q59" s="203"/>
      <c r="R59" s="203"/>
      <c r="S59" s="110"/>
      <c r="T59" s="116" t="b">
        <f t="shared" ref="T59" si="156">IF($M59,$M59)</f>
        <v>0</v>
      </c>
      <c r="U59" s="129">
        <f t="shared" ref="U59" si="157">MIN($T59:$T63)</f>
        <v>0</v>
      </c>
      <c r="V59" s="233" t="s">
        <v>197</v>
      </c>
      <c r="W59" s="219"/>
      <c r="X59" s="219" t="s">
        <v>197</v>
      </c>
      <c r="Y59" s="239"/>
      <c r="Z59" s="105">
        <f t="shared" ref="Z59" si="158">IF($V59="YES",$U59,IF($X59&lt;&gt;"YES",$W59,($AC59+$J59*$K59)))</f>
        <v>0</v>
      </c>
      <c r="AA59" s="105">
        <f t="shared" ref="AA59" si="159">ROUND($Z59+($F59/12),2)</f>
        <v>0</v>
      </c>
      <c r="AB59" s="105" t="b">
        <f t="shared" ref="AB59" si="160">IF($L59,($L59-$AA59))</f>
        <v>0</v>
      </c>
      <c r="AC59" s="111">
        <f t="shared" ref="AC59" si="161">IF(AND($V59&lt;&gt;"YES",$X59="YES"),$Y59,ROUND($Z59-($J59*$K59),2))</f>
        <v>0</v>
      </c>
    </row>
    <row r="60" spans="1:29" x14ac:dyDescent="0.3">
      <c r="A60" s="121"/>
      <c r="B60" s="204" t="b">
        <f>IF(Pipes!$B60,Pipes!$B60)</f>
        <v>0</v>
      </c>
      <c r="C60" s="205"/>
      <c r="D60" s="224"/>
      <c r="E60" s="224"/>
      <c r="F60" s="224">
        <f t="shared" ref="F60:F63" si="162">F59</f>
        <v>0</v>
      </c>
      <c r="G60" s="224"/>
      <c r="H60" s="224"/>
      <c r="I60" s="52"/>
      <c r="J60" s="52"/>
      <c r="K60" s="130"/>
      <c r="L60" s="206">
        <f t="shared" ref="L60" si="163">$L59</f>
        <v>0</v>
      </c>
      <c r="M60" s="206" t="b">
        <f t="shared" ref="M60" si="164">M59</f>
        <v>0</v>
      </c>
      <c r="N60" s="240" t="b">
        <f t="shared" ref="N60" si="165">IF($B60,INDEX($AC$4:$AC$499,MATCH($B60,$A$4:$A$499)))</f>
        <v>0</v>
      </c>
      <c r="O60" s="209"/>
      <c r="P60" s="208">
        <f t="shared" ref="P60:P63" si="166">IF($B60,INDEX($F$4:$F$499,MATCH($B60,$A$4:$A$499)),0)</f>
        <v>0</v>
      </c>
      <c r="Q60" s="242" t="b">
        <f t="shared" ref="Q60" si="167">IF($N60,ROUND(($N60+($P60/12)),2))</f>
        <v>0</v>
      </c>
      <c r="R60" s="53" t="b">
        <f t="shared" ref="R60" si="168">IF(AND($L60,$Q60),$L60-$Q60)</f>
        <v>0</v>
      </c>
      <c r="S60" s="241" t="s">
        <v>197</v>
      </c>
      <c r="T60" s="127" t="b">
        <f>IF($N60,IF($F60&gt;$P60,ROUND(($Q60-($F59/12)),2),IF($S60="YES",$N60,$N60-MinDrop)))</f>
        <v>0</v>
      </c>
      <c r="U60" s="243"/>
      <c r="V60" s="245"/>
      <c r="W60" s="245"/>
      <c r="X60" s="54"/>
      <c r="Y60" s="117"/>
      <c r="Z60" s="54"/>
      <c r="AA60" s="54"/>
      <c r="AB60" s="54"/>
      <c r="AC60" s="211"/>
    </row>
    <row r="61" spans="1:29" x14ac:dyDescent="0.3">
      <c r="A61" s="121"/>
      <c r="B61" s="204" t="b">
        <f>IF(Pipes!$B61,Pipes!$B61)</f>
        <v>0</v>
      </c>
      <c r="C61" s="205"/>
      <c r="D61" s="224"/>
      <c r="E61" s="224"/>
      <c r="F61" s="224">
        <f t="shared" si="162"/>
        <v>0</v>
      </c>
      <c r="G61" s="224"/>
      <c r="H61" s="224"/>
      <c r="I61" s="52"/>
      <c r="J61" s="52"/>
      <c r="K61" s="130"/>
      <c r="L61" s="206">
        <f t="shared" si="13"/>
        <v>0</v>
      </c>
      <c r="M61" s="206" t="b">
        <f t="shared" si="14"/>
        <v>0</v>
      </c>
      <c r="N61" s="207" t="b">
        <f t="shared" si="15"/>
        <v>0</v>
      </c>
      <c r="O61" s="209"/>
      <c r="P61" s="208">
        <f t="shared" si="166"/>
        <v>0</v>
      </c>
      <c r="Q61" s="53" t="b">
        <f t="shared" si="17"/>
        <v>0</v>
      </c>
      <c r="R61" s="53" t="b">
        <f t="shared" si="18"/>
        <v>0</v>
      </c>
      <c r="S61" s="241" t="s">
        <v>197</v>
      </c>
      <c r="T61" s="127" t="b">
        <f>IF($N61,IF($F61&gt;$P61,ROUND(($Q61-($F60/12)),2),IF($S61="YES",$N61,$N61-MinDrop)))</f>
        <v>0</v>
      </c>
      <c r="U61" s="210"/>
      <c r="V61" s="54"/>
      <c r="W61" s="54"/>
      <c r="X61" s="54"/>
      <c r="Y61" s="117"/>
      <c r="Z61" s="54"/>
      <c r="AA61" s="54"/>
      <c r="AB61" s="54"/>
      <c r="AC61" s="211"/>
    </row>
    <row r="62" spans="1:29" x14ac:dyDescent="0.3">
      <c r="A62" s="121"/>
      <c r="B62" s="204" t="b">
        <f>IF(Pipes!$B62,Pipes!$B62)</f>
        <v>0</v>
      </c>
      <c r="C62" s="205"/>
      <c r="D62" s="224"/>
      <c r="E62" s="224"/>
      <c r="F62" s="224">
        <f t="shared" si="162"/>
        <v>0</v>
      </c>
      <c r="G62" s="224"/>
      <c r="H62" s="224"/>
      <c r="I62" s="52"/>
      <c r="J62" s="52"/>
      <c r="K62" s="130"/>
      <c r="L62" s="206">
        <f t="shared" si="13"/>
        <v>0</v>
      </c>
      <c r="M62" s="206" t="b">
        <f t="shared" si="14"/>
        <v>0</v>
      </c>
      <c r="N62" s="207" t="b">
        <f t="shared" si="15"/>
        <v>0</v>
      </c>
      <c r="O62" s="209"/>
      <c r="P62" s="208">
        <f t="shared" si="166"/>
        <v>0</v>
      </c>
      <c r="Q62" s="53" t="b">
        <f t="shared" si="17"/>
        <v>0</v>
      </c>
      <c r="R62" s="53" t="b">
        <f t="shared" si="18"/>
        <v>0</v>
      </c>
      <c r="S62" s="241" t="s">
        <v>197</v>
      </c>
      <c r="T62" s="127" t="b">
        <f>IF($N62,IF($F62&gt;$P62,ROUND(($Q62-($F61/12)),2),IF($S62="YES",$N62,$N62-MinDrop)))</f>
        <v>0</v>
      </c>
      <c r="U62" s="210"/>
      <c r="V62" s="54"/>
      <c r="W62" s="54"/>
      <c r="X62" s="54"/>
      <c r="Y62" s="117"/>
      <c r="Z62" s="54"/>
      <c r="AA62" s="54"/>
      <c r="AB62" s="54"/>
      <c r="AC62" s="211"/>
    </row>
    <row r="63" spans="1:29" ht="15" thickBot="1" x14ac:dyDescent="0.35">
      <c r="A63" s="122"/>
      <c r="B63" s="204" t="b">
        <f>IF(Pipes!$B63,Pipes!$B63)</f>
        <v>0</v>
      </c>
      <c r="C63" s="212"/>
      <c r="D63" s="104"/>
      <c r="E63" s="104"/>
      <c r="F63" s="104">
        <f t="shared" si="162"/>
        <v>0</v>
      </c>
      <c r="G63" s="104"/>
      <c r="H63" s="104"/>
      <c r="I63" s="101"/>
      <c r="J63" s="101"/>
      <c r="K63" s="131"/>
      <c r="L63" s="213">
        <f t="shared" si="13"/>
        <v>0</v>
      </c>
      <c r="M63" s="213" t="b">
        <f t="shared" si="14"/>
        <v>0</v>
      </c>
      <c r="N63" s="214" t="b">
        <f t="shared" si="15"/>
        <v>0</v>
      </c>
      <c r="O63" s="216"/>
      <c r="P63" s="215">
        <f t="shared" si="166"/>
        <v>0</v>
      </c>
      <c r="Q63" s="103" t="b">
        <f t="shared" si="17"/>
        <v>0</v>
      </c>
      <c r="R63" s="53" t="b">
        <f t="shared" si="18"/>
        <v>0</v>
      </c>
      <c r="S63" s="241" t="s">
        <v>197</v>
      </c>
      <c r="T63" s="127" t="b">
        <f>IF($N63,IF($F63&gt;$P63,ROUND(($Q63-($F62/12)),2),IF($S63="YES",$N63,$N63-MinDrop)))</f>
        <v>0</v>
      </c>
      <c r="U63" s="217"/>
      <c r="V63" s="102"/>
      <c r="W63" s="102"/>
      <c r="X63" s="102"/>
      <c r="Y63" s="118"/>
      <c r="Z63" s="102"/>
      <c r="AA63" s="102"/>
      <c r="AB63" s="102"/>
      <c r="AC63" s="218"/>
    </row>
    <row r="64" spans="1:29" x14ac:dyDescent="0.3">
      <c r="A64" s="115">
        <f t="shared" ref="A64" si="169">$A59+1</f>
        <v>13</v>
      </c>
      <c r="B64" s="186"/>
      <c r="C64" s="201">
        <f>IF(Pipes!$Q64&gt;0,IF(Pipes!$R64&gt;MinDiameter,Pipes!$R64,MinDiameter),0)</f>
        <v>0</v>
      </c>
      <c r="D64" s="187" t="s">
        <v>197</v>
      </c>
      <c r="E64" s="187"/>
      <c r="F64" s="107">
        <f>Pipes!$S64</f>
        <v>0</v>
      </c>
      <c r="G64" s="108">
        <f>Pipes!$W64</f>
        <v>0</v>
      </c>
      <c r="H64" s="187" t="s">
        <v>197</v>
      </c>
      <c r="I64" s="188"/>
      <c r="J64" s="108">
        <f>Pipes!$X64</f>
        <v>0</v>
      </c>
      <c r="K64" s="193">
        <f>INDEX(Tribs!$H$3:$H$102,MATCH($A64,Tribs!$A$3:$A$102,0))</f>
        <v>0</v>
      </c>
      <c r="L64" s="105">
        <f>INDEX(Tribs!$I$3:$I$102,MATCH($A64,Tribs!$A$3:$A$102,0))</f>
        <v>0</v>
      </c>
      <c r="M64" s="105" t="b">
        <f>IF($L64,ROUND($L64-MinCover-($F64/12),2))</f>
        <v>0</v>
      </c>
      <c r="N64" s="202"/>
      <c r="O64" s="129">
        <f t="shared" ref="O64" si="170">MIN($N65:$N68)</f>
        <v>0</v>
      </c>
      <c r="P64" s="203"/>
      <c r="Q64" s="203"/>
      <c r="R64" s="203"/>
      <c r="S64" s="110"/>
      <c r="T64" s="116" t="b">
        <f t="shared" ref="T64" si="171">IF($M64,$M64)</f>
        <v>0</v>
      </c>
      <c r="U64" s="129">
        <f t="shared" ref="U64" si="172">MIN($T64:$T68)</f>
        <v>0</v>
      </c>
      <c r="V64" s="233" t="s">
        <v>197</v>
      </c>
      <c r="W64" s="219"/>
      <c r="X64" s="219" t="s">
        <v>197</v>
      </c>
      <c r="Y64" s="239"/>
      <c r="Z64" s="105">
        <f t="shared" ref="Z64" si="173">IF($V64="YES",$U64,IF($X64&lt;&gt;"YES",$W64,($AC64+$J64*$K64)))</f>
        <v>0</v>
      </c>
      <c r="AA64" s="105">
        <f t="shared" ref="AA64" si="174">ROUND($Z64+($F64/12),2)</f>
        <v>0</v>
      </c>
      <c r="AB64" s="105" t="b">
        <f t="shared" ref="AB64" si="175">IF($L64,($L64-$AA64))</f>
        <v>0</v>
      </c>
      <c r="AC64" s="111">
        <f t="shared" ref="AC64" si="176">IF(AND($V64&lt;&gt;"YES",$X64="YES"),$Y64,ROUND($Z64-($J64*$K64),2))</f>
        <v>0</v>
      </c>
    </row>
    <row r="65" spans="1:29" x14ac:dyDescent="0.3">
      <c r="A65" s="121"/>
      <c r="B65" s="204" t="b">
        <f>IF(Pipes!$B65,Pipes!$B65)</f>
        <v>0</v>
      </c>
      <c r="C65" s="205"/>
      <c r="D65" s="224"/>
      <c r="E65" s="224"/>
      <c r="F65" s="224">
        <f t="shared" ref="F65:F68" si="177">F64</f>
        <v>0</v>
      </c>
      <c r="G65" s="224"/>
      <c r="H65" s="224"/>
      <c r="I65" s="52"/>
      <c r="J65" s="52"/>
      <c r="K65" s="130"/>
      <c r="L65" s="206">
        <f t="shared" ref="L65" si="178">$L64</f>
        <v>0</v>
      </c>
      <c r="M65" s="206" t="b">
        <f t="shared" ref="M65" si="179">M64</f>
        <v>0</v>
      </c>
      <c r="N65" s="240" t="b">
        <f t="shared" ref="N65" si="180">IF($B65,INDEX($AC$4:$AC$499,MATCH($B65,$A$4:$A$499)))</f>
        <v>0</v>
      </c>
      <c r="O65" s="209"/>
      <c r="P65" s="208">
        <f t="shared" ref="P65:P68" si="181">IF($B65,INDEX($F$4:$F$499,MATCH($B65,$A$4:$A$499)),0)</f>
        <v>0</v>
      </c>
      <c r="Q65" s="242" t="b">
        <f t="shared" ref="Q65" si="182">IF($N65,ROUND(($N65+($P65/12)),2))</f>
        <v>0</v>
      </c>
      <c r="R65" s="53" t="b">
        <f t="shared" ref="R65" si="183">IF(AND($L65,$Q65),$L65-$Q65)</f>
        <v>0</v>
      </c>
      <c r="S65" s="241" t="s">
        <v>197</v>
      </c>
      <c r="T65" s="127" t="b">
        <f>IF($N65,IF($F65&gt;$P65,ROUND(($Q65-($F64/12)),2),IF($S65="YES",$N65,$N65-MinDrop)))</f>
        <v>0</v>
      </c>
      <c r="U65" s="243"/>
      <c r="V65" s="245"/>
      <c r="W65" s="245"/>
      <c r="X65" s="54"/>
      <c r="Y65" s="117"/>
      <c r="Z65" s="54"/>
      <c r="AA65" s="54"/>
      <c r="AB65" s="54"/>
      <c r="AC65" s="211"/>
    </row>
    <row r="66" spans="1:29" x14ac:dyDescent="0.3">
      <c r="A66" s="121"/>
      <c r="B66" s="204" t="b">
        <f>IF(Pipes!$B66,Pipes!$B66)</f>
        <v>0</v>
      </c>
      <c r="C66" s="205"/>
      <c r="D66" s="224"/>
      <c r="E66" s="224"/>
      <c r="F66" s="224">
        <f t="shared" si="177"/>
        <v>0</v>
      </c>
      <c r="G66" s="224"/>
      <c r="H66" s="224"/>
      <c r="I66" s="52"/>
      <c r="J66" s="52"/>
      <c r="K66" s="130"/>
      <c r="L66" s="206">
        <f t="shared" si="13"/>
        <v>0</v>
      </c>
      <c r="M66" s="206" t="b">
        <f t="shared" si="14"/>
        <v>0</v>
      </c>
      <c r="N66" s="207" t="b">
        <f t="shared" si="15"/>
        <v>0</v>
      </c>
      <c r="O66" s="209"/>
      <c r="P66" s="208">
        <f t="shared" si="181"/>
        <v>0</v>
      </c>
      <c r="Q66" s="53" t="b">
        <f t="shared" si="17"/>
        <v>0</v>
      </c>
      <c r="R66" s="53" t="b">
        <f t="shared" si="18"/>
        <v>0</v>
      </c>
      <c r="S66" s="241" t="s">
        <v>197</v>
      </c>
      <c r="T66" s="127" t="b">
        <f>IF($N66,IF($F66&gt;$P66,ROUND(($Q66-($F65/12)),2),IF($S66="YES",$N66,$N66-MinDrop)))</f>
        <v>0</v>
      </c>
      <c r="U66" s="210"/>
      <c r="V66" s="54"/>
      <c r="W66" s="54"/>
      <c r="X66" s="54"/>
      <c r="Y66" s="117"/>
      <c r="Z66" s="54"/>
      <c r="AA66" s="54"/>
      <c r="AB66" s="54"/>
      <c r="AC66" s="211"/>
    </row>
    <row r="67" spans="1:29" x14ac:dyDescent="0.3">
      <c r="A67" s="121"/>
      <c r="B67" s="204" t="b">
        <f>IF(Pipes!$B67,Pipes!$B67)</f>
        <v>0</v>
      </c>
      <c r="C67" s="205"/>
      <c r="D67" s="224"/>
      <c r="E67" s="224"/>
      <c r="F67" s="224">
        <f t="shared" si="177"/>
        <v>0</v>
      </c>
      <c r="G67" s="224"/>
      <c r="H67" s="224"/>
      <c r="I67" s="52"/>
      <c r="J67" s="52"/>
      <c r="K67" s="130"/>
      <c r="L67" s="206">
        <f t="shared" si="13"/>
        <v>0</v>
      </c>
      <c r="M67" s="206" t="b">
        <f t="shared" si="14"/>
        <v>0</v>
      </c>
      <c r="N67" s="207" t="b">
        <f t="shared" si="15"/>
        <v>0</v>
      </c>
      <c r="O67" s="209"/>
      <c r="P67" s="208">
        <f t="shared" si="181"/>
        <v>0</v>
      </c>
      <c r="Q67" s="53" t="b">
        <f t="shared" si="17"/>
        <v>0</v>
      </c>
      <c r="R67" s="53" t="b">
        <f t="shared" si="18"/>
        <v>0</v>
      </c>
      <c r="S67" s="241" t="s">
        <v>197</v>
      </c>
      <c r="T67" s="127" t="b">
        <f>IF($N67,IF($F67&gt;$P67,ROUND(($Q67-($F66/12)),2),IF($S67="YES",$N67,$N67-MinDrop)))</f>
        <v>0</v>
      </c>
      <c r="U67" s="210"/>
      <c r="V67" s="54"/>
      <c r="W67" s="54"/>
      <c r="X67" s="54"/>
      <c r="Y67" s="117"/>
      <c r="Z67" s="54"/>
      <c r="AA67" s="54"/>
      <c r="AB67" s="54"/>
      <c r="AC67" s="211"/>
    </row>
    <row r="68" spans="1:29" ht="15" thickBot="1" x14ac:dyDescent="0.35">
      <c r="A68" s="122"/>
      <c r="B68" s="204" t="b">
        <f>IF(Pipes!$B68,Pipes!$B68)</f>
        <v>0</v>
      </c>
      <c r="C68" s="212"/>
      <c r="D68" s="104"/>
      <c r="E68" s="104"/>
      <c r="F68" s="104">
        <f t="shared" si="177"/>
        <v>0</v>
      </c>
      <c r="G68" s="104"/>
      <c r="H68" s="104"/>
      <c r="I68" s="101"/>
      <c r="J68" s="101"/>
      <c r="K68" s="131"/>
      <c r="L68" s="213">
        <f t="shared" si="13"/>
        <v>0</v>
      </c>
      <c r="M68" s="213" t="b">
        <f t="shared" si="14"/>
        <v>0</v>
      </c>
      <c r="N68" s="214" t="b">
        <f t="shared" si="15"/>
        <v>0</v>
      </c>
      <c r="O68" s="216"/>
      <c r="P68" s="215">
        <f t="shared" si="181"/>
        <v>0</v>
      </c>
      <c r="Q68" s="103" t="b">
        <f t="shared" si="17"/>
        <v>0</v>
      </c>
      <c r="R68" s="53" t="b">
        <f t="shared" si="18"/>
        <v>0</v>
      </c>
      <c r="S68" s="241" t="s">
        <v>197</v>
      </c>
      <c r="T68" s="127" t="b">
        <f>IF($N68,IF($F68&gt;$P68,ROUND(($Q68-($F67/12)),2),IF($S68="YES",$N68,$N68-MinDrop)))</f>
        <v>0</v>
      </c>
      <c r="U68" s="217"/>
      <c r="V68" s="102"/>
      <c r="W68" s="102"/>
      <c r="X68" s="102"/>
      <c r="Y68" s="118"/>
      <c r="Z68" s="102"/>
      <c r="AA68" s="102"/>
      <c r="AB68" s="102"/>
      <c r="AC68" s="218"/>
    </row>
    <row r="69" spans="1:29" x14ac:dyDescent="0.3">
      <c r="A69" s="115">
        <f t="shared" ref="A69" si="184">$A64+1</f>
        <v>14</v>
      </c>
      <c r="B69" s="186"/>
      <c r="C69" s="201">
        <f>IF(Pipes!$Q69&gt;0,IF(Pipes!$R69&gt;MinDiameter,Pipes!$R69,MinDiameter),0)</f>
        <v>0</v>
      </c>
      <c r="D69" s="187" t="s">
        <v>197</v>
      </c>
      <c r="E69" s="187"/>
      <c r="F69" s="107">
        <f>Pipes!$S69</f>
        <v>0</v>
      </c>
      <c r="G69" s="108">
        <f>Pipes!$W69</f>
        <v>0</v>
      </c>
      <c r="H69" s="187" t="s">
        <v>197</v>
      </c>
      <c r="I69" s="188"/>
      <c r="J69" s="108">
        <f>Pipes!$X69</f>
        <v>0</v>
      </c>
      <c r="K69" s="193">
        <f>INDEX(Tribs!$H$3:$H$102,MATCH($A69,Tribs!$A$3:$A$102,0))</f>
        <v>0</v>
      </c>
      <c r="L69" s="105">
        <f>INDEX(Tribs!$I$3:$I$102,MATCH($A69,Tribs!$A$3:$A$102,0))</f>
        <v>0</v>
      </c>
      <c r="M69" s="105" t="b">
        <f>IF($L69,ROUND($L69-MinCover-($F69/12),2))</f>
        <v>0</v>
      </c>
      <c r="N69" s="202"/>
      <c r="O69" s="129">
        <f t="shared" ref="O69" si="185">MIN($N70:$N73)</f>
        <v>0</v>
      </c>
      <c r="P69" s="203"/>
      <c r="Q69" s="203"/>
      <c r="R69" s="203"/>
      <c r="S69" s="110"/>
      <c r="T69" s="116" t="b">
        <f t="shared" ref="T69" si="186">IF($M69,$M69)</f>
        <v>0</v>
      </c>
      <c r="U69" s="129">
        <f t="shared" ref="U69" si="187">MIN($T69:$T73)</f>
        <v>0</v>
      </c>
      <c r="V69" s="233" t="s">
        <v>197</v>
      </c>
      <c r="W69" s="219"/>
      <c r="X69" s="219" t="s">
        <v>197</v>
      </c>
      <c r="Y69" s="239"/>
      <c r="Z69" s="105">
        <f t="shared" ref="Z69" si="188">IF($V69="YES",$U69,IF($X69&lt;&gt;"YES",$W69,($AC69+$J69*$K69)))</f>
        <v>0</v>
      </c>
      <c r="AA69" s="105">
        <f t="shared" ref="AA69" si="189">ROUND($Z69+($F69/12),2)</f>
        <v>0</v>
      </c>
      <c r="AB69" s="105" t="b">
        <f t="shared" ref="AB69" si="190">IF($L69,($L69-$AA69))</f>
        <v>0</v>
      </c>
      <c r="AC69" s="111">
        <f t="shared" ref="AC69" si="191">IF(AND($V69&lt;&gt;"YES",$X69="YES"),$Y69,ROUND($Z69-($J69*$K69),2))</f>
        <v>0</v>
      </c>
    </row>
    <row r="70" spans="1:29" x14ac:dyDescent="0.3">
      <c r="A70" s="121"/>
      <c r="B70" s="204" t="b">
        <f>IF(Pipes!$B70,Pipes!$B70)</f>
        <v>0</v>
      </c>
      <c r="C70" s="205"/>
      <c r="D70" s="224"/>
      <c r="E70" s="224"/>
      <c r="F70" s="224">
        <f t="shared" ref="F70:F73" si="192">F69</f>
        <v>0</v>
      </c>
      <c r="G70" s="224"/>
      <c r="H70" s="224"/>
      <c r="I70" s="52"/>
      <c r="J70" s="52"/>
      <c r="K70" s="130"/>
      <c r="L70" s="206">
        <f t="shared" ref="L70" si="193">$L69</f>
        <v>0</v>
      </c>
      <c r="M70" s="206" t="b">
        <f t="shared" ref="M70" si="194">M69</f>
        <v>0</v>
      </c>
      <c r="N70" s="240" t="b">
        <f t="shared" ref="N70" si="195">IF($B70,INDEX($AC$4:$AC$499,MATCH($B70,$A$4:$A$499)))</f>
        <v>0</v>
      </c>
      <c r="O70" s="209"/>
      <c r="P70" s="208">
        <f t="shared" ref="P70:P73" si="196">IF($B70,INDEX($F$4:$F$499,MATCH($B70,$A$4:$A$499)),0)</f>
        <v>0</v>
      </c>
      <c r="Q70" s="242" t="b">
        <f t="shared" ref="Q70" si="197">IF($N70,ROUND(($N70+($P70/12)),2))</f>
        <v>0</v>
      </c>
      <c r="R70" s="53" t="b">
        <f t="shared" ref="R70" si="198">IF(AND($L70,$Q70),$L70-$Q70)</f>
        <v>0</v>
      </c>
      <c r="S70" s="241" t="s">
        <v>197</v>
      </c>
      <c r="T70" s="127" t="b">
        <f>IF($N70,IF($F70&gt;$P70,ROUND(($Q70-($F69/12)),2),IF($S70="YES",$N70,$N70-MinDrop)))</f>
        <v>0</v>
      </c>
      <c r="U70" s="243"/>
      <c r="V70" s="245"/>
      <c r="W70" s="245"/>
      <c r="X70" s="54"/>
      <c r="Y70" s="117"/>
      <c r="Z70" s="54"/>
      <c r="AA70" s="54"/>
      <c r="AB70" s="54"/>
      <c r="AC70" s="211"/>
    </row>
    <row r="71" spans="1:29" x14ac:dyDescent="0.3">
      <c r="A71" s="121"/>
      <c r="B71" s="204" t="b">
        <f>IF(Pipes!$B71,Pipes!$B71)</f>
        <v>0</v>
      </c>
      <c r="C71" s="205"/>
      <c r="D71" s="224"/>
      <c r="E71" s="224"/>
      <c r="F71" s="224">
        <f t="shared" si="192"/>
        <v>0</v>
      </c>
      <c r="G71" s="224"/>
      <c r="H71" s="224"/>
      <c r="I71" s="52"/>
      <c r="J71" s="52"/>
      <c r="K71" s="130"/>
      <c r="L71" s="206">
        <f t="shared" si="13"/>
        <v>0</v>
      </c>
      <c r="M71" s="206" t="b">
        <f t="shared" si="14"/>
        <v>0</v>
      </c>
      <c r="N71" s="207" t="b">
        <f t="shared" si="15"/>
        <v>0</v>
      </c>
      <c r="O71" s="209"/>
      <c r="P71" s="208">
        <f t="shared" si="196"/>
        <v>0</v>
      </c>
      <c r="Q71" s="53" t="b">
        <f t="shared" si="17"/>
        <v>0</v>
      </c>
      <c r="R71" s="53" t="b">
        <f t="shared" si="18"/>
        <v>0</v>
      </c>
      <c r="S71" s="241" t="s">
        <v>197</v>
      </c>
      <c r="T71" s="127" t="b">
        <f>IF($N71,IF($F71&gt;$P71,ROUND(($Q71-($F70/12)),2),IF($S71="YES",$N71,$N71-MinDrop)))</f>
        <v>0</v>
      </c>
      <c r="U71" s="210"/>
      <c r="V71" s="54"/>
      <c r="W71" s="54"/>
      <c r="X71" s="54"/>
      <c r="Y71" s="117"/>
      <c r="Z71" s="54"/>
      <c r="AA71" s="54"/>
      <c r="AB71" s="54"/>
      <c r="AC71" s="211"/>
    </row>
    <row r="72" spans="1:29" x14ac:dyDescent="0.3">
      <c r="A72" s="121"/>
      <c r="B72" s="204" t="b">
        <f>IF(Pipes!$B72,Pipes!$B72)</f>
        <v>0</v>
      </c>
      <c r="C72" s="205"/>
      <c r="D72" s="224"/>
      <c r="E72" s="224"/>
      <c r="F72" s="224">
        <f t="shared" si="192"/>
        <v>0</v>
      </c>
      <c r="G72" s="224"/>
      <c r="H72" s="224"/>
      <c r="I72" s="52"/>
      <c r="J72" s="52"/>
      <c r="K72" s="130"/>
      <c r="L72" s="206">
        <f t="shared" si="13"/>
        <v>0</v>
      </c>
      <c r="M72" s="206" t="b">
        <f t="shared" si="14"/>
        <v>0</v>
      </c>
      <c r="N72" s="207" t="b">
        <f t="shared" si="15"/>
        <v>0</v>
      </c>
      <c r="O72" s="209"/>
      <c r="P72" s="208">
        <f t="shared" si="196"/>
        <v>0</v>
      </c>
      <c r="Q72" s="53" t="b">
        <f t="shared" si="17"/>
        <v>0</v>
      </c>
      <c r="R72" s="53" t="b">
        <f t="shared" si="18"/>
        <v>0</v>
      </c>
      <c r="S72" s="241" t="s">
        <v>197</v>
      </c>
      <c r="T72" s="127" t="b">
        <f>IF($N72,IF($F72&gt;$P72,ROUND(($Q72-($F71/12)),2),IF($S72="YES",$N72,$N72-MinDrop)))</f>
        <v>0</v>
      </c>
      <c r="U72" s="210"/>
      <c r="V72" s="54"/>
      <c r="W72" s="54"/>
      <c r="X72" s="54"/>
      <c r="Y72" s="117"/>
      <c r="Z72" s="54"/>
      <c r="AA72" s="54"/>
      <c r="AB72" s="54"/>
      <c r="AC72" s="211"/>
    </row>
    <row r="73" spans="1:29" ht="15" thickBot="1" x14ac:dyDescent="0.35">
      <c r="A73" s="122"/>
      <c r="B73" s="204" t="b">
        <f>IF(Pipes!$B73,Pipes!$B73)</f>
        <v>0</v>
      </c>
      <c r="C73" s="212"/>
      <c r="D73" s="104"/>
      <c r="E73" s="104"/>
      <c r="F73" s="104">
        <f t="shared" si="192"/>
        <v>0</v>
      </c>
      <c r="G73" s="104"/>
      <c r="H73" s="104"/>
      <c r="I73" s="101"/>
      <c r="J73" s="101"/>
      <c r="K73" s="131"/>
      <c r="L73" s="213">
        <f t="shared" si="13"/>
        <v>0</v>
      </c>
      <c r="M73" s="213" t="b">
        <f t="shared" si="14"/>
        <v>0</v>
      </c>
      <c r="N73" s="214" t="b">
        <f t="shared" si="15"/>
        <v>0</v>
      </c>
      <c r="O73" s="216"/>
      <c r="P73" s="215">
        <f t="shared" si="196"/>
        <v>0</v>
      </c>
      <c r="Q73" s="103" t="b">
        <f t="shared" si="17"/>
        <v>0</v>
      </c>
      <c r="R73" s="53" t="b">
        <f t="shared" si="18"/>
        <v>0</v>
      </c>
      <c r="S73" s="241" t="s">
        <v>197</v>
      </c>
      <c r="T73" s="127" t="b">
        <f>IF($N73,IF($F73&gt;$P73,ROUND(($Q73-($F72/12)),2),IF($S73="YES",$N73,$N73-MinDrop)))</f>
        <v>0</v>
      </c>
      <c r="U73" s="217"/>
      <c r="V73" s="102"/>
      <c r="W73" s="102"/>
      <c r="X73" s="102"/>
      <c r="Y73" s="118"/>
      <c r="Z73" s="102"/>
      <c r="AA73" s="102"/>
      <c r="AB73" s="102"/>
      <c r="AC73" s="218"/>
    </row>
    <row r="74" spans="1:29" x14ac:dyDescent="0.3">
      <c r="A74" s="115">
        <f t="shared" ref="A74" si="199">$A69+1</f>
        <v>15</v>
      </c>
      <c r="B74" s="186"/>
      <c r="C74" s="201">
        <f>IF(Pipes!$Q74&gt;0,IF(Pipes!$R74&gt;MinDiameter,Pipes!$R74,MinDiameter),0)</f>
        <v>0</v>
      </c>
      <c r="D74" s="187" t="s">
        <v>197</v>
      </c>
      <c r="E74" s="187"/>
      <c r="F74" s="107">
        <f>Pipes!$S74</f>
        <v>0</v>
      </c>
      <c r="G74" s="108">
        <f>Pipes!$W74</f>
        <v>0</v>
      </c>
      <c r="H74" s="187" t="s">
        <v>197</v>
      </c>
      <c r="I74" s="188"/>
      <c r="J74" s="108">
        <f>Pipes!$X74</f>
        <v>0</v>
      </c>
      <c r="K74" s="193">
        <f>INDEX(Tribs!$H$3:$H$102,MATCH($A74,Tribs!$A$3:$A$102,0))</f>
        <v>0</v>
      </c>
      <c r="L74" s="105">
        <f>INDEX(Tribs!$I$3:$I$102,MATCH($A74,Tribs!$A$3:$A$102,0))</f>
        <v>0</v>
      </c>
      <c r="M74" s="105" t="b">
        <f>IF($L74,ROUND($L74-MinCover-($F74/12),2))</f>
        <v>0</v>
      </c>
      <c r="N74" s="202"/>
      <c r="O74" s="129">
        <f t="shared" ref="O74" si="200">MIN($N75:$N78)</f>
        <v>0</v>
      </c>
      <c r="P74" s="203"/>
      <c r="Q74" s="203"/>
      <c r="R74" s="203"/>
      <c r="S74" s="110"/>
      <c r="T74" s="116" t="b">
        <f t="shared" ref="T74" si="201">IF($M74,$M74)</f>
        <v>0</v>
      </c>
      <c r="U74" s="129">
        <f t="shared" ref="U74" si="202">MIN($T74:$T78)</f>
        <v>0</v>
      </c>
      <c r="V74" s="233" t="s">
        <v>197</v>
      </c>
      <c r="W74" s="219"/>
      <c r="X74" s="219" t="s">
        <v>197</v>
      </c>
      <c r="Y74" s="239"/>
      <c r="Z74" s="105">
        <f t="shared" ref="Z74" si="203">IF($V74="YES",$U74,IF($X74&lt;&gt;"YES",$W74,($AC74+$J74*$K74)))</f>
        <v>0</v>
      </c>
      <c r="AA74" s="105">
        <f t="shared" ref="AA74" si="204">ROUND($Z74+($F74/12),2)</f>
        <v>0</v>
      </c>
      <c r="AB74" s="105" t="b">
        <f t="shared" ref="AB74" si="205">IF($L74,($L74-$AA74))</f>
        <v>0</v>
      </c>
      <c r="AC74" s="111">
        <f t="shared" ref="AC74" si="206">IF(AND($V74&lt;&gt;"YES",$X74="YES"),$Y74,ROUND($Z74-($J74*$K74),2))</f>
        <v>0</v>
      </c>
    </row>
    <row r="75" spans="1:29" x14ac:dyDescent="0.3">
      <c r="A75" s="121"/>
      <c r="B75" s="204" t="b">
        <f>IF(Pipes!$B75,Pipes!$B75)</f>
        <v>0</v>
      </c>
      <c r="C75" s="205"/>
      <c r="D75" s="224"/>
      <c r="E75" s="224"/>
      <c r="F75" s="224">
        <f t="shared" ref="F75:F78" si="207">F74</f>
        <v>0</v>
      </c>
      <c r="G75" s="224"/>
      <c r="H75" s="224"/>
      <c r="I75" s="52"/>
      <c r="J75" s="52"/>
      <c r="K75" s="130"/>
      <c r="L75" s="206">
        <f t="shared" ref="L75:L138" si="208">$L74</f>
        <v>0</v>
      </c>
      <c r="M75" s="206" t="b">
        <f t="shared" ref="M75:M138" si="209">M74</f>
        <v>0</v>
      </c>
      <c r="N75" s="240" t="b">
        <f t="shared" ref="N75:N138" si="210">IF($B75,INDEX($AC$4:$AC$499,MATCH($B75,$A$4:$A$499)))</f>
        <v>0</v>
      </c>
      <c r="O75" s="209"/>
      <c r="P75" s="208">
        <f t="shared" ref="P75:P78" si="211">IF($B75,INDEX($F$4:$F$499,MATCH($B75,$A$4:$A$499)),0)</f>
        <v>0</v>
      </c>
      <c r="Q75" s="242" t="b">
        <f t="shared" ref="Q75:Q138" si="212">IF($N75,ROUND(($N75+($P75/12)),2))</f>
        <v>0</v>
      </c>
      <c r="R75" s="53" t="b">
        <f t="shared" ref="R75:R138" si="213">IF(AND($L75,$Q75),$L75-$Q75)</f>
        <v>0</v>
      </c>
      <c r="S75" s="241" t="s">
        <v>197</v>
      </c>
      <c r="T75" s="127" t="b">
        <f>IF($N75,IF($F75&gt;$P75,ROUND(($Q75-($F74/12)),2),IF($S75="YES",$N75,$N75-MinDrop)))</f>
        <v>0</v>
      </c>
      <c r="U75" s="243"/>
      <c r="V75" s="245"/>
      <c r="W75" s="245"/>
      <c r="X75" s="54"/>
      <c r="Y75" s="117"/>
      <c r="Z75" s="54"/>
      <c r="AA75" s="54"/>
      <c r="AB75" s="54"/>
      <c r="AC75" s="211"/>
    </row>
    <row r="76" spans="1:29" x14ac:dyDescent="0.3">
      <c r="A76" s="121"/>
      <c r="B76" s="204" t="b">
        <f>IF(Pipes!$B76,Pipes!$B76)</f>
        <v>0</v>
      </c>
      <c r="C76" s="205"/>
      <c r="D76" s="224"/>
      <c r="E76" s="224"/>
      <c r="F76" s="224">
        <f t="shared" si="207"/>
        <v>0</v>
      </c>
      <c r="G76" s="224"/>
      <c r="H76" s="224"/>
      <c r="I76" s="52"/>
      <c r="J76" s="52"/>
      <c r="K76" s="130"/>
      <c r="L76" s="206">
        <f t="shared" si="208"/>
        <v>0</v>
      </c>
      <c r="M76" s="206" t="b">
        <f t="shared" si="209"/>
        <v>0</v>
      </c>
      <c r="N76" s="207" t="b">
        <f t="shared" si="210"/>
        <v>0</v>
      </c>
      <c r="O76" s="209"/>
      <c r="P76" s="208">
        <f t="shared" si="211"/>
        <v>0</v>
      </c>
      <c r="Q76" s="53" t="b">
        <f t="shared" si="212"/>
        <v>0</v>
      </c>
      <c r="R76" s="53" t="b">
        <f t="shared" si="213"/>
        <v>0</v>
      </c>
      <c r="S76" s="241" t="s">
        <v>197</v>
      </c>
      <c r="T76" s="127" t="b">
        <f>IF($N76,IF($F76&gt;$P76,ROUND(($Q76-($F75/12)),2),IF($S76="YES",$N76,$N76-MinDrop)))</f>
        <v>0</v>
      </c>
      <c r="U76" s="210"/>
      <c r="V76" s="54"/>
      <c r="W76" s="54"/>
      <c r="X76" s="54"/>
      <c r="Y76" s="117"/>
      <c r="Z76" s="54"/>
      <c r="AA76" s="54"/>
      <c r="AB76" s="54"/>
      <c r="AC76" s="211"/>
    </row>
    <row r="77" spans="1:29" x14ac:dyDescent="0.3">
      <c r="A77" s="121"/>
      <c r="B77" s="204" t="b">
        <f>IF(Pipes!$B77,Pipes!$B77)</f>
        <v>0</v>
      </c>
      <c r="C77" s="205"/>
      <c r="D77" s="224"/>
      <c r="E77" s="224"/>
      <c r="F77" s="224">
        <f t="shared" si="207"/>
        <v>0</v>
      </c>
      <c r="G77" s="224"/>
      <c r="H77" s="224"/>
      <c r="I77" s="52"/>
      <c r="J77" s="52"/>
      <c r="K77" s="130"/>
      <c r="L77" s="206">
        <f t="shared" si="208"/>
        <v>0</v>
      </c>
      <c r="M77" s="206" t="b">
        <f t="shared" si="209"/>
        <v>0</v>
      </c>
      <c r="N77" s="207" t="b">
        <f t="shared" si="210"/>
        <v>0</v>
      </c>
      <c r="O77" s="209"/>
      <c r="P77" s="208">
        <f t="shared" si="211"/>
        <v>0</v>
      </c>
      <c r="Q77" s="53" t="b">
        <f t="shared" si="212"/>
        <v>0</v>
      </c>
      <c r="R77" s="53" t="b">
        <f t="shared" si="213"/>
        <v>0</v>
      </c>
      <c r="S77" s="241" t="s">
        <v>197</v>
      </c>
      <c r="T77" s="127" t="b">
        <f>IF($N77,IF($F77&gt;$P77,ROUND(($Q77-($F76/12)),2),IF($S77="YES",$N77,$N77-MinDrop)))</f>
        <v>0</v>
      </c>
      <c r="U77" s="210"/>
      <c r="V77" s="54"/>
      <c r="W77" s="54"/>
      <c r="X77" s="54"/>
      <c r="Y77" s="117"/>
      <c r="Z77" s="54"/>
      <c r="AA77" s="54"/>
      <c r="AB77" s="54"/>
      <c r="AC77" s="211"/>
    </row>
    <row r="78" spans="1:29" ht="15" thickBot="1" x14ac:dyDescent="0.35">
      <c r="A78" s="122"/>
      <c r="B78" s="204" t="b">
        <f>IF(Pipes!$B78,Pipes!$B78)</f>
        <v>0</v>
      </c>
      <c r="C78" s="212"/>
      <c r="D78" s="104"/>
      <c r="E78" s="104"/>
      <c r="F78" s="104">
        <f t="shared" si="207"/>
        <v>0</v>
      </c>
      <c r="G78" s="104"/>
      <c r="H78" s="104"/>
      <c r="I78" s="101"/>
      <c r="J78" s="101"/>
      <c r="K78" s="131"/>
      <c r="L78" s="213">
        <f t="shared" si="208"/>
        <v>0</v>
      </c>
      <c r="M78" s="213" t="b">
        <f t="shared" si="209"/>
        <v>0</v>
      </c>
      <c r="N78" s="214" t="b">
        <f t="shared" si="210"/>
        <v>0</v>
      </c>
      <c r="O78" s="216"/>
      <c r="P78" s="215">
        <f t="shared" si="211"/>
        <v>0</v>
      </c>
      <c r="Q78" s="103" t="b">
        <f t="shared" si="212"/>
        <v>0</v>
      </c>
      <c r="R78" s="53" t="b">
        <f t="shared" si="213"/>
        <v>0</v>
      </c>
      <c r="S78" s="241" t="s">
        <v>197</v>
      </c>
      <c r="T78" s="127" t="b">
        <f>IF($N78,IF($F78&gt;$P78,ROUND(($Q78-($F77/12)),2),IF($S78="YES",$N78,$N78-MinDrop)))</f>
        <v>0</v>
      </c>
      <c r="U78" s="217"/>
      <c r="V78" s="102"/>
      <c r="W78" s="102"/>
      <c r="X78" s="102"/>
      <c r="Y78" s="118"/>
      <c r="Z78" s="102"/>
      <c r="AA78" s="102"/>
      <c r="AB78" s="102"/>
      <c r="AC78" s="218"/>
    </row>
    <row r="79" spans="1:29" x14ac:dyDescent="0.3">
      <c r="A79" s="115">
        <f t="shared" ref="A79" si="214">$A74+1</f>
        <v>16</v>
      </c>
      <c r="B79" s="186"/>
      <c r="C79" s="201">
        <f>IF(Pipes!$Q79&gt;0,IF(Pipes!$R79&gt;MinDiameter,Pipes!$R79,MinDiameter),0)</f>
        <v>0</v>
      </c>
      <c r="D79" s="187" t="s">
        <v>197</v>
      </c>
      <c r="E79" s="187"/>
      <c r="F79" s="107">
        <f>Pipes!$S79</f>
        <v>0</v>
      </c>
      <c r="G79" s="108">
        <f>Pipes!$W79</f>
        <v>0</v>
      </c>
      <c r="H79" s="187" t="s">
        <v>197</v>
      </c>
      <c r="I79" s="188"/>
      <c r="J79" s="108">
        <f>Pipes!$X79</f>
        <v>0</v>
      </c>
      <c r="K79" s="193">
        <f>INDEX(Tribs!$H$3:$H$102,MATCH($A79,Tribs!$A$3:$A$102,0))</f>
        <v>0</v>
      </c>
      <c r="L79" s="105">
        <f>INDEX(Tribs!$I$3:$I$102,MATCH($A79,Tribs!$A$3:$A$102,0))</f>
        <v>0</v>
      </c>
      <c r="M79" s="105" t="b">
        <f>IF($L79,ROUND($L79-MinCover-($F79/12),2))</f>
        <v>0</v>
      </c>
      <c r="N79" s="202"/>
      <c r="O79" s="129">
        <f t="shared" ref="O79" si="215">MIN($N80:$N83)</f>
        <v>0</v>
      </c>
      <c r="P79" s="203"/>
      <c r="Q79" s="203"/>
      <c r="R79" s="203"/>
      <c r="S79" s="110"/>
      <c r="T79" s="116" t="b">
        <f t="shared" ref="T79" si="216">IF($M79,$M79)</f>
        <v>0</v>
      </c>
      <c r="U79" s="129">
        <f t="shared" ref="U79" si="217">MIN($T79:$T83)</f>
        <v>0</v>
      </c>
      <c r="V79" s="233" t="s">
        <v>197</v>
      </c>
      <c r="W79" s="219"/>
      <c r="X79" s="219" t="s">
        <v>197</v>
      </c>
      <c r="Y79" s="239"/>
      <c r="Z79" s="105">
        <f t="shared" ref="Z79" si="218">IF($V79="YES",$U79,IF($X79&lt;&gt;"YES",$W79,($AC79+$J79*$K79)))</f>
        <v>0</v>
      </c>
      <c r="AA79" s="105">
        <f t="shared" ref="AA79" si="219">ROUND($Z79+($F79/12),2)</f>
        <v>0</v>
      </c>
      <c r="AB79" s="105" t="b">
        <f t="shared" ref="AB79" si="220">IF($L79,($L79-$AA79))</f>
        <v>0</v>
      </c>
      <c r="AC79" s="111">
        <f t="shared" ref="AC79" si="221">IF(AND($V79&lt;&gt;"YES",$X79="YES"),$Y79,ROUND($Z79-($J79*$K79),2))</f>
        <v>0</v>
      </c>
    </row>
    <row r="80" spans="1:29" x14ac:dyDescent="0.3">
      <c r="A80" s="121"/>
      <c r="B80" s="204" t="b">
        <f>IF(Pipes!$B80,Pipes!$B80)</f>
        <v>0</v>
      </c>
      <c r="C80" s="205"/>
      <c r="D80" s="224"/>
      <c r="E80" s="224"/>
      <c r="F80" s="224">
        <f t="shared" ref="F80:F83" si="222">F79</f>
        <v>0</v>
      </c>
      <c r="G80" s="224"/>
      <c r="H80" s="224"/>
      <c r="I80" s="52"/>
      <c r="J80" s="52"/>
      <c r="K80" s="130"/>
      <c r="L80" s="206">
        <f t="shared" ref="L80" si="223">$L79</f>
        <v>0</v>
      </c>
      <c r="M80" s="206" t="b">
        <f t="shared" ref="M80" si="224">M79</f>
        <v>0</v>
      </c>
      <c r="N80" s="240" t="b">
        <f t="shared" ref="N80" si="225">IF($B80,INDEX($AC$4:$AC$499,MATCH($B80,$A$4:$A$499)))</f>
        <v>0</v>
      </c>
      <c r="O80" s="209"/>
      <c r="P80" s="208">
        <f t="shared" ref="P80:P83" si="226">IF($B80,INDEX($F$4:$F$499,MATCH($B80,$A$4:$A$499)),0)</f>
        <v>0</v>
      </c>
      <c r="Q80" s="242" t="b">
        <f t="shared" ref="Q80" si="227">IF($N80,ROUND(($N80+($P80/12)),2))</f>
        <v>0</v>
      </c>
      <c r="R80" s="53" t="b">
        <f t="shared" ref="R80" si="228">IF(AND($L80,$Q80),$L80-$Q80)</f>
        <v>0</v>
      </c>
      <c r="S80" s="241" t="s">
        <v>197</v>
      </c>
      <c r="T80" s="127" t="b">
        <f>IF($N80,IF($F80&gt;$P80,ROUND(($Q80-($F79/12)),2),IF($S80="YES",$N80,$N80-MinDrop)))</f>
        <v>0</v>
      </c>
      <c r="U80" s="243"/>
      <c r="V80" s="245"/>
      <c r="W80" s="245"/>
      <c r="X80" s="54"/>
      <c r="Y80" s="117"/>
      <c r="Z80" s="54"/>
      <c r="AA80" s="54"/>
      <c r="AB80" s="54"/>
      <c r="AC80" s="211"/>
    </row>
    <row r="81" spans="1:29" x14ac:dyDescent="0.3">
      <c r="A81" s="121"/>
      <c r="B81" s="204" t="b">
        <f>IF(Pipes!$B81,Pipes!$B81)</f>
        <v>0</v>
      </c>
      <c r="C81" s="205"/>
      <c r="D81" s="224"/>
      <c r="E81" s="224"/>
      <c r="F81" s="224">
        <f t="shared" si="222"/>
        <v>0</v>
      </c>
      <c r="G81" s="224"/>
      <c r="H81" s="224"/>
      <c r="I81" s="52"/>
      <c r="J81" s="52"/>
      <c r="K81" s="130"/>
      <c r="L81" s="206">
        <f t="shared" si="208"/>
        <v>0</v>
      </c>
      <c r="M81" s="206" t="b">
        <f t="shared" si="209"/>
        <v>0</v>
      </c>
      <c r="N81" s="207" t="b">
        <f t="shared" si="210"/>
        <v>0</v>
      </c>
      <c r="O81" s="209"/>
      <c r="P81" s="208">
        <f t="shared" si="226"/>
        <v>0</v>
      </c>
      <c r="Q81" s="53" t="b">
        <f t="shared" si="212"/>
        <v>0</v>
      </c>
      <c r="R81" s="53" t="b">
        <f t="shared" si="213"/>
        <v>0</v>
      </c>
      <c r="S81" s="241" t="s">
        <v>197</v>
      </c>
      <c r="T81" s="127" t="b">
        <f>IF($N81,IF($F81&gt;$P81,ROUND(($Q81-($F80/12)),2),IF($S81="YES",$N81,$N81-MinDrop)))</f>
        <v>0</v>
      </c>
      <c r="U81" s="210"/>
      <c r="V81" s="54"/>
      <c r="W81" s="54"/>
      <c r="X81" s="54"/>
      <c r="Y81" s="117"/>
      <c r="Z81" s="54"/>
      <c r="AA81" s="54"/>
      <c r="AB81" s="54"/>
      <c r="AC81" s="211"/>
    </row>
    <row r="82" spans="1:29" x14ac:dyDescent="0.3">
      <c r="A82" s="121"/>
      <c r="B82" s="204" t="b">
        <f>IF(Pipes!$B82,Pipes!$B82)</f>
        <v>0</v>
      </c>
      <c r="C82" s="205"/>
      <c r="D82" s="224"/>
      <c r="E82" s="224"/>
      <c r="F82" s="224">
        <f t="shared" si="222"/>
        <v>0</v>
      </c>
      <c r="G82" s="224"/>
      <c r="H82" s="224"/>
      <c r="I82" s="52"/>
      <c r="J82" s="52"/>
      <c r="K82" s="130"/>
      <c r="L82" s="206">
        <f t="shared" si="208"/>
        <v>0</v>
      </c>
      <c r="M82" s="206" t="b">
        <f t="shared" si="209"/>
        <v>0</v>
      </c>
      <c r="N82" s="207" t="b">
        <f t="shared" si="210"/>
        <v>0</v>
      </c>
      <c r="O82" s="209"/>
      <c r="P82" s="208">
        <f t="shared" si="226"/>
        <v>0</v>
      </c>
      <c r="Q82" s="53" t="b">
        <f t="shared" si="212"/>
        <v>0</v>
      </c>
      <c r="R82" s="53" t="b">
        <f t="shared" si="213"/>
        <v>0</v>
      </c>
      <c r="S82" s="241" t="s">
        <v>197</v>
      </c>
      <c r="T82" s="127" t="b">
        <f>IF($N82,IF($F82&gt;$P82,ROUND(($Q82-($F81/12)),2),IF($S82="YES",$N82,$N82-MinDrop)))</f>
        <v>0</v>
      </c>
      <c r="U82" s="210"/>
      <c r="V82" s="54"/>
      <c r="W82" s="54"/>
      <c r="X82" s="54"/>
      <c r="Y82" s="117"/>
      <c r="Z82" s="54"/>
      <c r="AA82" s="54"/>
      <c r="AB82" s="54"/>
      <c r="AC82" s="211"/>
    </row>
    <row r="83" spans="1:29" ht="15" thickBot="1" x14ac:dyDescent="0.35">
      <c r="A83" s="122"/>
      <c r="B83" s="204" t="b">
        <f>IF(Pipes!$B83,Pipes!$B83)</f>
        <v>0</v>
      </c>
      <c r="C83" s="212"/>
      <c r="D83" s="104"/>
      <c r="E83" s="104"/>
      <c r="F83" s="104">
        <f t="shared" si="222"/>
        <v>0</v>
      </c>
      <c r="G83" s="104"/>
      <c r="H83" s="104"/>
      <c r="I83" s="101"/>
      <c r="J83" s="101"/>
      <c r="K83" s="131"/>
      <c r="L83" s="213">
        <f t="shared" si="208"/>
        <v>0</v>
      </c>
      <c r="M83" s="213" t="b">
        <f t="shared" si="209"/>
        <v>0</v>
      </c>
      <c r="N83" s="214" t="b">
        <f t="shared" si="210"/>
        <v>0</v>
      </c>
      <c r="O83" s="216"/>
      <c r="P83" s="215">
        <f t="shared" si="226"/>
        <v>0</v>
      </c>
      <c r="Q83" s="103" t="b">
        <f t="shared" si="212"/>
        <v>0</v>
      </c>
      <c r="R83" s="53" t="b">
        <f t="shared" si="213"/>
        <v>0</v>
      </c>
      <c r="S83" s="241" t="s">
        <v>197</v>
      </c>
      <c r="T83" s="127" t="b">
        <f>IF($N83,IF($F83&gt;$P83,ROUND(($Q83-($F82/12)),2),IF($S83="YES",$N83,$N83-MinDrop)))</f>
        <v>0</v>
      </c>
      <c r="U83" s="217"/>
      <c r="V83" s="102"/>
      <c r="W83" s="102"/>
      <c r="X83" s="102"/>
      <c r="Y83" s="118"/>
      <c r="Z83" s="102"/>
      <c r="AA83" s="102"/>
      <c r="AB83" s="102"/>
      <c r="AC83" s="218"/>
    </row>
    <row r="84" spans="1:29" x14ac:dyDescent="0.3">
      <c r="A84" s="115">
        <f t="shared" ref="A84" si="229">$A79+1</f>
        <v>17</v>
      </c>
      <c r="B84" s="186"/>
      <c r="C84" s="201">
        <f>IF(Pipes!$Q84&gt;0,IF(Pipes!$R84&gt;MinDiameter,Pipes!$R84,MinDiameter),0)</f>
        <v>0</v>
      </c>
      <c r="D84" s="187" t="s">
        <v>197</v>
      </c>
      <c r="E84" s="187"/>
      <c r="F84" s="107">
        <f>Pipes!$S84</f>
        <v>0</v>
      </c>
      <c r="G84" s="108">
        <f>Pipes!$W84</f>
        <v>0</v>
      </c>
      <c r="H84" s="187" t="s">
        <v>197</v>
      </c>
      <c r="I84" s="188"/>
      <c r="J84" s="108">
        <f>Pipes!$X84</f>
        <v>0</v>
      </c>
      <c r="K84" s="193">
        <f>INDEX(Tribs!$H$3:$H$102,MATCH($A84,Tribs!$A$3:$A$102,0))</f>
        <v>0</v>
      </c>
      <c r="L84" s="105">
        <f>INDEX(Tribs!$I$3:$I$102,MATCH($A84,Tribs!$A$3:$A$102,0))</f>
        <v>0</v>
      </c>
      <c r="M84" s="105" t="b">
        <f>IF($L84,ROUND($L84-MinCover-($F84/12),2))</f>
        <v>0</v>
      </c>
      <c r="N84" s="202"/>
      <c r="O84" s="129">
        <f t="shared" ref="O84" si="230">MIN($N85:$N88)</f>
        <v>0</v>
      </c>
      <c r="P84" s="203"/>
      <c r="Q84" s="203"/>
      <c r="R84" s="203"/>
      <c r="S84" s="110"/>
      <c r="T84" s="116" t="b">
        <f t="shared" ref="T84" si="231">IF($M84,$M84)</f>
        <v>0</v>
      </c>
      <c r="U84" s="129">
        <f t="shared" ref="U84" si="232">MIN($T84:$T88)</f>
        <v>0</v>
      </c>
      <c r="V84" s="233" t="s">
        <v>197</v>
      </c>
      <c r="W84" s="219"/>
      <c r="X84" s="219" t="s">
        <v>197</v>
      </c>
      <c r="Y84" s="239"/>
      <c r="Z84" s="105">
        <f t="shared" ref="Z84" si="233">IF($V84="YES",$U84,IF($X84&lt;&gt;"YES",$W84,($AC84+$J84*$K84)))</f>
        <v>0</v>
      </c>
      <c r="AA84" s="105">
        <f t="shared" ref="AA84" si="234">ROUND($Z84+($F84/12),2)</f>
        <v>0</v>
      </c>
      <c r="AB84" s="105" t="b">
        <f t="shared" ref="AB84" si="235">IF($L84,($L84-$AA84))</f>
        <v>0</v>
      </c>
      <c r="AC84" s="111">
        <f t="shared" ref="AC84" si="236">IF(AND($V84&lt;&gt;"YES",$X84="YES"),$Y84,ROUND($Z84-($J84*$K84),2))</f>
        <v>0</v>
      </c>
    </row>
    <row r="85" spans="1:29" x14ac:dyDescent="0.3">
      <c r="A85" s="121"/>
      <c r="B85" s="204" t="b">
        <f>IF(Pipes!$B85,Pipes!$B85)</f>
        <v>0</v>
      </c>
      <c r="C85" s="205"/>
      <c r="D85" s="224"/>
      <c r="E85" s="224"/>
      <c r="F85" s="224">
        <f t="shared" ref="F85:F88" si="237">F84</f>
        <v>0</v>
      </c>
      <c r="G85" s="224"/>
      <c r="H85" s="224"/>
      <c r="I85" s="52"/>
      <c r="J85" s="52"/>
      <c r="K85" s="130"/>
      <c r="L85" s="206">
        <f t="shared" ref="L85" si="238">$L84</f>
        <v>0</v>
      </c>
      <c r="M85" s="206" t="b">
        <f t="shared" ref="M85" si="239">M84</f>
        <v>0</v>
      </c>
      <c r="N85" s="240" t="b">
        <f t="shared" ref="N85" si="240">IF($B85,INDEX($AC$4:$AC$499,MATCH($B85,$A$4:$A$499)))</f>
        <v>0</v>
      </c>
      <c r="O85" s="209"/>
      <c r="P85" s="208">
        <f t="shared" ref="P85:P88" si="241">IF($B85,INDEX($F$4:$F$499,MATCH($B85,$A$4:$A$499)),0)</f>
        <v>0</v>
      </c>
      <c r="Q85" s="242" t="b">
        <f t="shared" ref="Q85" si="242">IF($N85,ROUND(($N85+($P85/12)),2))</f>
        <v>0</v>
      </c>
      <c r="R85" s="53" t="b">
        <f t="shared" ref="R85" si="243">IF(AND($L85,$Q85),$L85-$Q85)</f>
        <v>0</v>
      </c>
      <c r="S85" s="241" t="s">
        <v>197</v>
      </c>
      <c r="T85" s="127" t="b">
        <f>IF($N85,IF($F85&gt;$P85,ROUND(($Q85-($F84/12)),2),IF($S85="YES",$N85,$N85-MinDrop)))</f>
        <v>0</v>
      </c>
      <c r="U85" s="243"/>
      <c r="V85" s="245"/>
      <c r="W85" s="245"/>
      <c r="X85" s="54"/>
      <c r="Y85" s="117"/>
      <c r="Z85" s="54"/>
      <c r="AA85" s="54"/>
      <c r="AB85" s="54"/>
      <c r="AC85" s="211"/>
    </row>
    <row r="86" spans="1:29" x14ac:dyDescent="0.3">
      <c r="A86" s="121"/>
      <c r="B86" s="204" t="b">
        <f>IF(Pipes!$B86,Pipes!$B86)</f>
        <v>0</v>
      </c>
      <c r="C86" s="205"/>
      <c r="D86" s="224"/>
      <c r="E86" s="224"/>
      <c r="F86" s="224">
        <f t="shared" si="237"/>
        <v>0</v>
      </c>
      <c r="G86" s="224"/>
      <c r="H86" s="224"/>
      <c r="I86" s="52"/>
      <c r="J86" s="52"/>
      <c r="K86" s="130"/>
      <c r="L86" s="206">
        <f t="shared" si="208"/>
        <v>0</v>
      </c>
      <c r="M86" s="206" t="b">
        <f t="shared" si="209"/>
        <v>0</v>
      </c>
      <c r="N86" s="207" t="b">
        <f t="shared" si="210"/>
        <v>0</v>
      </c>
      <c r="O86" s="209"/>
      <c r="P86" s="208">
        <f t="shared" si="241"/>
        <v>0</v>
      </c>
      <c r="Q86" s="53" t="b">
        <f t="shared" si="212"/>
        <v>0</v>
      </c>
      <c r="R86" s="53" t="b">
        <f t="shared" si="213"/>
        <v>0</v>
      </c>
      <c r="S86" s="241" t="s">
        <v>197</v>
      </c>
      <c r="T86" s="127" t="b">
        <f>IF($N86,IF($F86&gt;$P86,ROUND(($Q86-($F85/12)),2),IF($S86="YES",$N86,$N86-MinDrop)))</f>
        <v>0</v>
      </c>
      <c r="U86" s="210"/>
      <c r="V86" s="54"/>
      <c r="W86" s="54"/>
      <c r="X86" s="54"/>
      <c r="Y86" s="117"/>
      <c r="Z86" s="54"/>
      <c r="AA86" s="54"/>
      <c r="AB86" s="54"/>
      <c r="AC86" s="211"/>
    </row>
    <row r="87" spans="1:29" x14ac:dyDescent="0.3">
      <c r="A87" s="121"/>
      <c r="B87" s="204" t="b">
        <f>IF(Pipes!$B87,Pipes!$B87)</f>
        <v>0</v>
      </c>
      <c r="C87" s="205"/>
      <c r="D87" s="224"/>
      <c r="E87" s="224"/>
      <c r="F87" s="224">
        <f t="shared" si="237"/>
        <v>0</v>
      </c>
      <c r="G87" s="224"/>
      <c r="H87" s="224"/>
      <c r="I87" s="52"/>
      <c r="J87" s="52"/>
      <c r="K87" s="130"/>
      <c r="L87" s="206">
        <f t="shared" si="208"/>
        <v>0</v>
      </c>
      <c r="M87" s="206" t="b">
        <f t="shared" si="209"/>
        <v>0</v>
      </c>
      <c r="N87" s="207" t="b">
        <f t="shared" si="210"/>
        <v>0</v>
      </c>
      <c r="O87" s="209"/>
      <c r="P87" s="208">
        <f t="shared" si="241"/>
        <v>0</v>
      </c>
      <c r="Q87" s="53" t="b">
        <f t="shared" si="212"/>
        <v>0</v>
      </c>
      <c r="R87" s="53" t="b">
        <f t="shared" si="213"/>
        <v>0</v>
      </c>
      <c r="S87" s="241" t="s">
        <v>197</v>
      </c>
      <c r="T87" s="127" t="b">
        <f>IF($N87,IF($F87&gt;$P87,ROUND(($Q87-($F86/12)),2),IF($S87="YES",$N87,$N87-MinDrop)))</f>
        <v>0</v>
      </c>
      <c r="U87" s="210"/>
      <c r="V87" s="54"/>
      <c r="W87" s="54"/>
      <c r="X87" s="54"/>
      <c r="Y87" s="117"/>
      <c r="Z87" s="54"/>
      <c r="AA87" s="54"/>
      <c r="AB87" s="54"/>
      <c r="AC87" s="211"/>
    </row>
    <row r="88" spans="1:29" ht="15" thickBot="1" x14ac:dyDescent="0.35">
      <c r="A88" s="122"/>
      <c r="B88" s="204" t="b">
        <f>IF(Pipes!$B88,Pipes!$B88)</f>
        <v>0</v>
      </c>
      <c r="C88" s="212"/>
      <c r="D88" s="104"/>
      <c r="E88" s="104"/>
      <c r="F88" s="104">
        <f t="shared" si="237"/>
        <v>0</v>
      </c>
      <c r="G88" s="104"/>
      <c r="H88" s="104"/>
      <c r="I88" s="101"/>
      <c r="J88" s="101"/>
      <c r="K88" s="131"/>
      <c r="L88" s="213">
        <f t="shared" si="208"/>
        <v>0</v>
      </c>
      <c r="M88" s="213" t="b">
        <f t="shared" si="209"/>
        <v>0</v>
      </c>
      <c r="N88" s="214" t="b">
        <f t="shared" si="210"/>
        <v>0</v>
      </c>
      <c r="O88" s="216"/>
      <c r="P88" s="215">
        <f t="shared" si="241"/>
        <v>0</v>
      </c>
      <c r="Q88" s="103" t="b">
        <f t="shared" si="212"/>
        <v>0</v>
      </c>
      <c r="R88" s="53" t="b">
        <f t="shared" si="213"/>
        <v>0</v>
      </c>
      <c r="S88" s="241" t="s">
        <v>197</v>
      </c>
      <c r="T88" s="127" t="b">
        <f>IF($N88,IF($F88&gt;$P88,ROUND(($Q88-($F87/12)),2),IF($S88="YES",$N88,$N88-MinDrop)))</f>
        <v>0</v>
      </c>
      <c r="U88" s="217"/>
      <c r="V88" s="102"/>
      <c r="W88" s="102"/>
      <c r="X88" s="102"/>
      <c r="Y88" s="118"/>
      <c r="Z88" s="102"/>
      <c r="AA88" s="102"/>
      <c r="AB88" s="102"/>
      <c r="AC88" s="218"/>
    </row>
    <row r="89" spans="1:29" x14ac:dyDescent="0.3">
      <c r="A89" s="115">
        <f t="shared" ref="A89" si="244">$A84+1</f>
        <v>18</v>
      </c>
      <c r="B89" s="186"/>
      <c r="C89" s="201">
        <f>IF(Pipes!$Q89&gt;0,IF(Pipes!$R89&gt;MinDiameter,Pipes!$R89,MinDiameter),0)</f>
        <v>0</v>
      </c>
      <c r="D89" s="187" t="s">
        <v>197</v>
      </c>
      <c r="E89" s="187"/>
      <c r="F89" s="107">
        <f>Pipes!$S89</f>
        <v>0</v>
      </c>
      <c r="G89" s="108">
        <f>Pipes!$W89</f>
        <v>0</v>
      </c>
      <c r="H89" s="187" t="s">
        <v>197</v>
      </c>
      <c r="I89" s="188"/>
      <c r="J89" s="108">
        <f>Pipes!$X89</f>
        <v>0</v>
      </c>
      <c r="K89" s="193">
        <f>INDEX(Tribs!$H$3:$H$102,MATCH($A89,Tribs!$A$3:$A$102,0))</f>
        <v>0</v>
      </c>
      <c r="L89" s="105">
        <f>INDEX(Tribs!$I$3:$I$102,MATCH($A89,Tribs!$A$3:$A$102,0))</f>
        <v>0</v>
      </c>
      <c r="M89" s="105" t="b">
        <f>IF($L89,ROUND($L89-MinCover-($F89/12),2))</f>
        <v>0</v>
      </c>
      <c r="N89" s="202"/>
      <c r="O89" s="129">
        <f t="shared" ref="O89" si="245">MIN($N90:$N93)</f>
        <v>0</v>
      </c>
      <c r="P89" s="203"/>
      <c r="Q89" s="203"/>
      <c r="R89" s="203"/>
      <c r="S89" s="110"/>
      <c r="T89" s="116" t="b">
        <f t="shared" ref="T89" si="246">IF($M89,$M89)</f>
        <v>0</v>
      </c>
      <c r="U89" s="129">
        <f t="shared" ref="U89" si="247">MIN($T89:$T93)</f>
        <v>0</v>
      </c>
      <c r="V89" s="233" t="s">
        <v>197</v>
      </c>
      <c r="W89" s="219"/>
      <c r="X89" s="219" t="s">
        <v>197</v>
      </c>
      <c r="Y89" s="239"/>
      <c r="Z89" s="105">
        <f t="shared" ref="Z89" si="248">IF($V89="YES",$U89,IF($X89&lt;&gt;"YES",$W89,($AC89+$J89*$K89)))</f>
        <v>0</v>
      </c>
      <c r="AA89" s="105">
        <f t="shared" ref="AA89" si="249">ROUND($Z89+($F89/12),2)</f>
        <v>0</v>
      </c>
      <c r="AB89" s="105" t="b">
        <f t="shared" ref="AB89" si="250">IF($L89,($L89-$AA89))</f>
        <v>0</v>
      </c>
      <c r="AC89" s="111">
        <f t="shared" ref="AC89" si="251">IF(AND($V89&lt;&gt;"YES",$X89="YES"),$Y89,ROUND($Z89-($J89*$K89),2))</f>
        <v>0</v>
      </c>
    </row>
    <row r="90" spans="1:29" x14ac:dyDescent="0.3">
      <c r="A90" s="121"/>
      <c r="B90" s="204" t="b">
        <f>IF(Pipes!$B90,Pipes!$B90)</f>
        <v>0</v>
      </c>
      <c r="C90" s="205"/>
      <c r="D90" s="224"/>
      <c r="E90" s="224"/>
      <c r="F90" s="224">
        <f t="shared" ref="F90:F93" si="252">F89</f>
        <v>0</v>
      </c>
      <c r="G90" s="224"/>
      <c r="H90" s="224"/>
      <c r="I90" s="52"/>
      <c r="J90" s="52"/>
      <c r="K90" s="130"/>
      <c r="L90" s="206">
        <f t="shared" ref="L90" si="253">$L89</f>
        <v>0</v>
      </c>
      <c r="M90" s="206" t="b">
        <f t="shared" ref="M90" si="254">M89</f>
        <v>0</v>
      </c>
      <c r="N90" s="240" t="b">
        <f t="shared" ref="N90" si="255">IF($B90,INDEX($AC$4:$AC$499,MATCH($B90,$A$4:$A$499)))</f>
        <v>0</v>
      </c>
      <c r="O90" s="209"/>
      <c r="P90" s="208">
        <f t="shared" ref="P90:P93" si="256">IF($B90,INDEX($F$4:$F$499,MATCH($B90,$A$4:$A$499)),0)</f>
        <v>0</v>
      </c>
      <c r="Q90" s="242" t="b">
        <f t="shared" ref="Q90" si="257">IF($N90,ROUND(($N90+($P90/12)),2))</f>
        <v>0</v>
      </c>
      <c r="R90" s="53" t="b">
        <f t="shared" ref="R90" si="258">IF(AND($L90,$Q90),$L90-$Q90)</f>
        <v>0</v>
      </c>
      <c r="S90" s="241" t="s">
        <v>197</v>
      </c>
      <c r="T90" s="127" t="b">
        <f>IF($N90,IF($F90&gt;$P90,ROUND(($Q90-($F89/12)),2),IF($S90="YES",$N90,$N90-MinDrop)))</f>
        <v>0</v>
      </c>
      <c r="U90" s="243"/>
      <c r="V90" s="245"/>
      <c r="W90" s="245"/>
      <c r="X90" s="54"/>
      <c r="Y90" s="117"/>
      <c r="Z90" s="54"/>
      <c r="AA90" s="54"/>
      <c r="AB90" s="54"/>
      <c r="AC90" s="211"/>
    </row>
    <row r="91" spans="1:29" x14ac:dyDescent="0.3">
      <c r="A91" s="121"/>
      <c r="B91" s="204" t="b">
        <f>IF(Pipes!$B91,Pipes!$B91)</f>
        <v>0</v>
      </c>
      <c r="C91" s="205"/>
      <c r="D91" s="224"/>
      <c r="E91" s="224"/>
      <c r="F91" s="224">
        <f t="shared" si="252"/>
        <v>0</v>
      </c>
      <c r="G91" s="224"/>
      <c r="H91" s="224"/>
      <c r="I91" s="52"/>
      <c r="J91" s="52"/>
      <c r="K91" s="130"/>
      <c r="L91" s="206">
        <f t="shared" si="208"/>
        <v>0</v>
      </c>
      <c r="M91" s="206" t="b">
        <f t="shared" si="209"/>
        <v>0</v>
      </c>
      <c r="N91" s="207" t="b">
        <f t="shared" si="210"/>
        <v>0</v>
      </c>
      <c r="O91" s="209"/>
      <c r="P91" s="208">
        <f t="shared" si="256"/>
        <v>0</v>
      </c>
      <c r="Q91" s="53" t="b">
        <f t="shared" si="212"/>
        <v>0</v>
      </c>
      <c r="R91" s="53" t="b">
        <f t="shared" si="213"/>
        <v>0</v>
      </c>
      <c r="S91" s="241" t="s">
        <v>197</v>
      </c>
      <c r="T91" s="127" t="b">
        <f>IF($N91,IF($F91&gt;$P91,ROUND(($Q91-($F90/12)),2),IF($S91="YES",$N91,$N91-MinDrop)))</f>
        <v>0</v>
      </c>
      <c r="U91" s="210"/>
      <c r="V91" s="54"/>
      <c r="W91" s="54"/>
      <c r="X91" s="54"/>
      <c r="Y91" s="117"/>
      <c r="Z91" s="54"/>
      <c r="AA91" s="54"/>
      <c r="AB91" s="54"/>
      <c r="AC91" s="211"/>
    </row>
    <row r="92" spans="1:29" x14ac:dyDescent="0.3">
      <c r="A92" s="121"/>
      <c r="B92" s="204" t="b">
        <f>IF(Pipes!$B92,Pipes!$B92)</f>
        <v>0</v>
      </c>
      <c r="C92" s="205"/>
      <c r="D92" s="224"/>
      <c r="E92" s="224"/>
      <c r="F92" s="224">
        <f t="shared" si="252"/>
        <v>0</v>
      </c>
      <c r="G92" s="224"/>
      <c r="H92" s="224"/>
      <c r="I92" s="52"/>
      <c r="J92" s="52"/>
      <c r="K92" s="130"/>
      <c r="L92" s="206">
        <f t="shared" si="208"/>
        <v>0</v>
      </c>
      <c r="M92" s="206" t="b">
        <f t="shared" si="209"/>
        <v>0</v>
      </c>
      <c r="N92" s="207" t="b">
        <f t="shared" si="210"/>
        <v>0</v>
      </c>
      <c r="O92" s="209"/>
      <c r="P92" s="208">
        <f t="shared" si="256"/>
        <v>0</v>
      </c>
      <c r="Q92" s="53" t="b">
        <f t="shared" si="212"/>
        <v>0</v>
      </c>
      <c r="R92" s="53" t="b">
        <f t="shared" si="213"/>
        <v>0</v>
      </c>
      <c r="S92" s="241" t="s">
        <v>197</v>
      </c>
      <c r="T92" s="127" t="b">
        <f>IF($N92,IF($F92&gt;$P92,ROUND(($Q92-($F91/12)),2),IF($S92="YES",$N92,$N92-MinDrop)))</f>
        <v>0</v>
      </c>
      <c r="U92" s="210"/>
      <c r="V92" s="54"/>
      <c r="W92" s="54"/>
      <c r="X92" s="54"/>
      <c r="Y92" s="117"/>
      <c r="Z92" s="54"/>
      <c r="AA92" s="54"/>
      <c r="AB92" s="54"/>
      <c r="AC92" s="211"/>
    </row>
    <row r="93" spans="1:29" ht="15" thickBot="1" x14ac:dyDescent="0.35">
      <c r="A93" s="122"/>
      <c r="B93" s="204" t="b">
        <f>IF(Pipes!$B93,Pipes!$B93)</f>
        <v>0</v>
      </c>
      <c r="C93" s="212"/>
      <c r="D93" s="104"/>
      <c r="E93" s="104"/>
      <c r="F93" s="104">
        <f t="shared" si="252"/>
        <v>0</v>
      </c>
      <c r="G93" s="104"/>
      <c r="H93" s="104"/>
      <c r="I93" s="101"/>
      <c r="J93" s="101"/>
      <c r="K93" s="131"/>
      <c r="L93" s="213">
        <f t="shared" si="208"/>
        <v>0</v>
      </c>
      <c r="M93" s="213" t="b">
        <f t="shared" si="209"/>
        <v>0</v>
      </c>
      <c r="N93" s="214" t="b">
        <f t="shared" si="210"/>
        <v>0</v>
      </c>
      <c r="O93" s="216"/>
      <c r="P93" s="215">
        <f t="shared" si="256"/>
        <v>0</v>
      </c>
      <c r="Q93" s="103" t="b">
        <f t="shared" si="212"/>
        <v>0</v>
      </c>
      <c r="R93" s="53" t="b">
        <f t="shared" si="213"/>
        <v>0</v>
      </c>
      <c r="S93" s="241" t="s">
        <v>197</v>
      </c>
      <c r="T93" s="127" t="b">
        <f>IF($N93,IF($F93&gt;$P93,ROUND(($Q93-($F92/12)),2),IF($S93="YES",$N93,$N93-MinDrop)))</f>
        <v>0</v>
      </c>
      <c r="U93" s="217"/>
      <c r="V93" s="102"/>
      <c r="W93" s="102"/>
      <c r="X93" s="102"/>
      <c r="Y93" s="118"/>
      <c r="Z93" s="102"/>
      <c r="AA93" s="102"/>
      <c r="AB93" s="102"/>
      <c r="AC93" s="218"/>
    </row>
    <row r="94" spans="1:29" x14ac:dyDescent="0.3">
      <c r="A94" s="115">
        <f t="shared" ref="A94" si="259">$A89+1</f>
        <v>19</v>
      </c>
      <c r="B94" s="186"/>
      <c r="C94" s="201">
        <f>IF(Pipes!$Q94&gt;0,IF(Pipes!$R94&gt;MinDiameter,Pipes!$R94,MinDiameter),0)</f>
        <v>0</v>
      </c>
      <c r="D94" s="187" t="s">
        <v>197</v>
      </c>
      <c r="E94" s="187"/>
      <c r="F94" s="107">
        <f>Pipes!$S94</f>
        <v>0</v>
      </c>
      <c r="G94" s="108">
        <f>Pipes!$W94</f>
        <v>0</v>
      </c>
      <c r="H94" s="187" t="s">
        <v>197</v>
      </c>
      <c r="I94" s="188"/>
      <c r="J94" s="108">
        <f>Pipes!$X94</f>
        <v>0</v>
      </c>
      <c r="K94" s="193">
        <f>INDEX(Tribs!$H$3:$H$102,MATCH($A94,Tribs!$A$3:$A$102,0))</f>
        <v>0</v>
      </c>
      <c r="L94" s="105">
        <f>INDEX(Tribs!$I$3:$I$102,MATCH($A94,Tribs!$A$3:$A$102,0))</f>
        <v>0</v>
      </c>
      <c r="M94" s="105" t="b">
        <f>IF($L94,ROUND($L94-MinCover-($F94/12),2))</f>
        <v>0</v>
      </c>
      <c r="N94" s="202"/>
      <c r="O94" s="129">
        <f t="shared" ref="O94" si="260">MIN($N95:$N98)</f>
        <v>0</v>
      </c>
      <c r="P94" s="203"/>
      <c r="Q94" s="203"/>
      <c r="R94" s="203"/>
      <c r="S94" s="110"/>
      <c r="T94" s="116" t="b">
        <f t="shared" ref="T94" si="261">IF($M94,$M94)</f>
        <v>0</v>
      </c>
      <c r="U94" s="129">
        <f t="shared" ref="U94" si="262">MIN($T94:$T98)</f>
        <v>0</v>
      </c>
      <c r="V94" s="233" t="s">
        <v>197</v>
      </c>
      <c r="W94" s="219"/>
      <c r="X94" s="219" t="s">
        <v>197</v>
      </c>
      <c r="Y94" s="239"/>
      <c r="Z94" s="105">
        <f t="shared" ref="Z94" si="263">IF($V94="YES",$U94,IF($X94&lt;&gt;"YES",$W94,($AC94+$J94*$K94)))</f>
        <v>0</v>
      </c>
      <c r="AA94" s="105">
        <f t="shared" ref="AA94" si="264">ROUND($Z94+($F94/12),2)</f>
        <v>0</v>
      </c>
      <c r="AB94" s="105" t="b">
        <f t="shared" ref="AB94" si="265">IF($L94,($L94-$AA94))</f>
        <v>0</v>
      </c>
      <c r="AC94" s="111">
        <f t="shared" ref="AC94" si="266">IF(AND($V94&lt;&gt;"YES",$X94="YES"),$Y94,ROUND($Z94-($J94*$K94),2))</f>
        <v>0</v>
      </c>
    </row>
    <row r="95" spans="1:29" x14ac:dyDescent="0.3">
      <c r="A95" s="121"/>
      <c r="B95" s="204" t="b">
        <f>IF(Pipes!$B95,Pipes!$B95)</f>
        <v>0</v>
      </c>
      <c r="C95" s="205"/>
      <c r="D95" s="224"/>
      <c r="E95" s="224"/>
      <c r="F95" s="224">
        <f t="shared" ref="F95:F98" si="267">F94</f>
        <v>0</v>
      </c>
      <c r="G95" s="224"/>
      <c r="H95" s="224"/>
      <c r="I95" s="52"/>
      <c r="J95" s="52"/>
      <c r="K95" s="130"/>
      <c r="L95" s="206">
        <f t="shared" ref="L95" si="268">$L94</f>
        <v>0</v>
      </c>
      <c r="M95" s="206" t="b">
        <f t="shared" ref="M95" si="269">M94</f>
        <v>0</v>
      </c>
      <c r="N95" s="240" t="b">
        <f t="shared" ref="N95" si="270">IF($B95,INDEX($AC$4:$AC$499,MATCH($B95,$A$4:$A$499)))</f>
        <v>0</v>
      </c>
      <c r="O95" s="209"/>
      <c r="P95" s="208">
        <f t="shared" ref="P95:P98" si="271">IF($B95,INDEX($F$4:$F$499,MATCH($B95,$A$4:$A$499)),0)</f>
        <v>0</v>
      </c>
      <c r="Q95" s="242" t="b">
        <f t="shared" ref="Q95" si="272">IF($N95,ROUND(($N95+($P95/12)),2))</f>
        <v>0</v>
      </c>
      <c r="R95" s="53" t="b">
        <f t="shared" ref="R95" si="273">IF(AND($L95,$Q95),$L95-$Q95)</f>
        <v>0</v>
      </c>
      <c r="S95" s="241" t="s">
        <v>197</v>
      </c>
      <c r="T95" s="127" t="b">
        <f>IF($N95,IF($F95&gt;$P95,ROUND(($Q95-($F94/12)),2),IF($S95="YES",$N95,$N95-MinDrop)))</f>
        <v>0</v>
      </c>
      <c r="U95" s="243"/>
      <c r="V95" s="245"/>
      <c r="W95" s="245"/>
      <c r="X95" s="54"/>
      <c r="Y95" s="117"/>
      <c r="Z95" s="54"/>
      <c r="AA95" s="54"/>
      <c r="AB95" s="54"/>
      <c r="AC95" s="211"/>
    </row>
    <row r="96" spans="1:29" x14ac:dyDescent="0.3">
      <c r="A96" s="121"/>
      <c r="B96" s="204" t="b">
        <f>IF(Pipes!$B96,Pipes!$B96)</f>
        <v>0</v>
      </c>
      <c r="C96" s="205"/>
      <c r="D96" s="224"/>
      <c r="E96" s="224"/>
      <c r="F96" s="224">
        <f t="shared" si="267"/>
        <v>0</v>
      </c>
      <c r="G96" s="224"/>
      <c r="H96" s="224"/>
      <c r="I96" s="52"/>
      <c r="J96" s="52"/>
      <c r="K96" s="130"/>
      <c r="L96" s="206">
        <f t="shared" si="208"/>
        <v>0</v>
      </c>
      <c r="M96" s="206" t="b">
        <f t="shared" si="209"/>
        <v>0</v>
      </c>
      <c r="N96" s="207" t="b">
        <f t="shared" si="210"/>
        <v>0</v>
      </c>
      <c r="O96" s="209"/>
      <c r="P96" s="208">
        <f t="shared" si="271"/>
        <v>0</v>
      </c>
      <c r="Q96" s="53" t="b">
        <f t="shared" si="212"/>
        <v>0</v>
      </c>
      <c r="R96" s="53" t="b">
        <f t="shared" si="213"/>
        <v>0</v>
      </c>
      <c r="S96" s="241" t="s">
        <v>197</v>
      </c>
      <c r="T96" s="127" t="b">
        <f>IF($N96,IF($F96&gt;$P96,ROUND(($Q96-($F95/12)),2),IF($S96="YES",$N96,$N96-MinDrop)))</f>
        <v>0</v>
      </c>
      <c r="U96" s="210"/>
      <c r="V96" s="54"/>
      <c r="W96" s="54"/>
      <c r="X96" s="54"/>
      <c r="Y96" s="117"/>
      <c r="Z96" s="54"/>
      <c r="AA96" s="54"/>
      <c r="AB96" s="54"/>
      <c r="AC96" s="211"/>
    </row>
    <row r="97" spans="1:29" x14ac:dyDescent="0.3">
      <c r="A97" s="121"/>
      <c r="B97" s="204" t="b">
        <f>IF(Pipes!$B97,Pipes!$B97)</f>
        <v>0</v>
      </c>
      <c r="C97" s="205"/>
      <c r="D97" s="224"/>
      <c r="E97" s="224"/>
      <c r="F97" s="224">
        <f t="shared" si="267"/>
        <v>0</v>
      </c>
      <c r="G97" s="224"/>
      <c r="H97" s="224"/>
      <c r="I97" s="52"/>
      <c r="J97" s="52"/>
      <c r="K97" s="130"/>
      <c r="L97" s="206">
        <f t="shared" si="208"/>
        <v>0</v>
      </c>
      <c r="M97" s="206" t="b">
        <f t="shared" si="209"/>
        <v>0</v>
      </c>
      <c r="N97" s="207" t="b">
        <f t="shared" si="210"/>
        <v>0</v>
      </c>
      <c r="O97" s="209"/>
      <c r="P97" s="208">
        <f t="shared" si="271"/>
        <v>0</v>
      </c>
      <c r="Q97" s="53" t="b">
        <f t="shared" si="212"/>
        <v>0</v>
      </c>
      <c r="R97" s="53" t="b">
        <f t="shared" si="213"/>
        <v>0</v>
      </c>
      <c r="S97" s="241" t="s">
        <v>197</v>
      </c>
      <c r="T97" s="127" t="b">
        <f>IF($N97,IF($F97&gt;$P97,ROUND(($Q97-($F96/12)),2),IF($S97="YES",$N97,$N97-MinDrop)))</f>
        <v>0</v>
      </c>
      <c r="U97" s="210"/>
      <c r="V97" s="54"/>
      <c r="W97" s="54"/>
      <c r="X97" s="54"/>
      <c r="Y97" s="117"/>
      <c r="Z97" s="54"/>
      <c r="AA97" s="54"/>
      <c r="AB97" s="54"/>
      <c r="AC97" s="211"/>
    </row>
    <row r="98" spans="1:29" ht="15" thickBot="1" x14ac:dyDescent="0.35">
      <c r="A98" s="122"/>
      <c r="B98" s="204" t="b">
        <f>IF(Pipes!$B98,Pipes!$B98)</f>
        <v>0</v>
      </c>
      <c r="C98" s="212"/>
      <c r="D98" s="104"/>
      <c r="E98" s="104"/>
      <c r="F98" s="104">
        <f t="shared" si="267"/>
        <v>0</v>
      </c>
      <c r="G98" s="104"/>
      <c r="H98" s="104"/>
      <c r="I98" s="101"/>
      <c r="J98" s="101"/>
      <c r="K98" s="131"/>
      <c r="L98" s="213">
        <f t="shared" si="208"/>
        <v>0</v>
      </c>
      <c r="M98" s="213" t="b">
        <f t="shared" si="209"/>
        <v>0</v>
      </c>
      <c r="N98" s="214" t="b">
        <f t="shared" si="210"/>
        <v>0</v>
      </c>
      <c r="O98" s="216"/>
      <c r="P98" s="215">
        <f t="shared" si="271"/>
        <v>0</v>
      </c>
      <c r="Q98" s="103" t="b">
        <f t="shared" si="212"/>
        <v>0</v>
      </c>
      <c r="R98" s="53" t="b">
        <f t="shared" si="213"/>
        <v>0</v>
      </c>
      <c r="S98" s="241" t="s">
        <v>197</v>
      </c>
      <c r="T98" s="127" t="b">
        <f>IF($N98,IF($F98&gt;$P98,ROUND(($Q98-($F97/12)),2),IF($S98="YES",$N98,$N98-MinDrop)))</f>
        <v>0</v>
      </c>
      <c r="U98" s="217"/>
      <c r="V98" s="102"/>
      <c r="W98" s="102"/>
      <c r="X98" s="102"/>
      <c r="Y98" s="118"/>
      <c r="Z98" s="102"/>
      <c r="AA98" s="102"/>
      <c r="AB98" s="102"/>
      <c r="AC98" s="218"/>
    </row>
    <row r="99" spans="1:29" x14ac:dyDescent="0.3">
      <c r="A99" s="115">
        <f t="shared" ref="A99" si="274">$A94+1</f>
        <v>20</v>
      </c>
      <c r="B99" s="186"/>
      <c r="C99" s="201">
        <f>IF(Pipes!$Q99&gt;0,IF(Pipes!$R99&gt;MinDiameter,Pipes!$R99,MinDiameter),0)</f>
        <v>0</v>
      </c>
      <c r="D99" s="187" t="s">
        <v>197</v>
      </c>
      <c r="E99" s="187"/>
      <c r="F99" s="107">
        <f>Pipes!$S99</f>
        <v>0</v>
      </c>
      <c r="G99" s="108">
        <f>Pipes!$W99</f>
        <v>0</v>
      </c>
      <c r="H99" s="187" t="s">
        <v>197</v>
      </c>
      <c r="I99" s="188"/>
      <c r="J99" s="108">
        <f>Pipes!$X99</f>
        <v>0</v>
      </c>
      <c r="K99" s="193">
        <f>INDEX(Tribs!$H$3:$H$102,MATCH($A99,Tribs!$A$3:$A$102,0))</f>
        <v>0</v>
      </c>
      <c r="L99" s="105">
        <f>INDEX(Tribs!$I$3:$I$102,MATCH($A99,Tribs!$A$3:$A$102,0))</f>
        <v>0</v>
      </c>
      <c r="M99" s="105" t="b">
        <f>IF($L99,ROUND($L99-MinCover-($F99/12),2))</f>
        <v>0</v>
      </c>
      <c r="N99" s="202"/>
      <c r="O99" s="129">
        <f t="shared" ref="O99" si="275">MIN($N100:$N103)</f>
        <v>0</v>
      </c>
      <c r="P99" s="203"/>
      <c r="Q99" s="203"/>
      <c r="R99" s="203"/>
      <c r="S99" s="110"/>
      <c r="T99" s="116" t="b">
        <f t="shared" ref="T99" si="276">IF($M99,$M99)</f>
        <v>0</v>
      </c>
      <c r="U99" s="129">
        <f t="shared" ref="U99" si="277">MIN($T99:$T103)</f>
        <v>0</v>
      </c>
      <c r="V99" s="233" t="s">
        <v>197</v>
      </c>
      <c r="W99" s="219"/>
      <c r="X99" s="219" t="s">
        <v>197</v>
      </c>
      <c r="Y99" s="239"/>
      <c r="Z99" s="105">
        <f t="shared" ref="Z99" si="278">IF($V99="YES",$U99,IF($X99&lt;&gt;"YES",$W99,($AC99+$J99*$K99)))</f>
        <v>0</v>
      </c>
      <c r="AA99" s="105">
        <f t="shared" ref="AA99" si="279">ROUND($Z99+($F99/12),2)</f>
        <v>0</v>
      </c>
      <c r="AB99" s="105" t="b">
        <f t="shared" ref="AB99" si="280">IF($L99,($L99-$AA99))</f>
        <v>0</v>
      </c>
      <c r="AC99" s="111">
        <f t="shared" ref="AC99" si="281">IF(AND($V99&lt;&gt;"YES",$X99="YES"),$Y99,ROUND($Z99-($J99*$K99),2))</f>
        <v>0</v>
      </c>
    </row>
    <row r="100" spans="1:29" x14ac:dyDescent="0.3">
      <c r="A100" s="121"/>
      <c r="B100" s="204" t="b">
        <f>IF(Pipes!$B100,Pipes!$B100)</f>
        <v>0</v>
      </c>
      <c r="C100" s="205"/>
      <c r="D100" s="224"/>
      <c r="E100" s="224"/>
      <c r="F100" s="224">
        <f t="shared" ref="F100:F103" si="282">F99</f>
        <v>0</v>
      </c>
      <c r="G100" s="224"/>
      <c r="H100" s="224"/>
      <c r="I100" s="52"/>
      <c r="J100" s="52"/>
      <c r="K100" s="130"/>
      <c r="L100" s="206">
        <f t="shared" ref="L100" si="283">$L99</f>
        <v>0</v>
      </c>
      <c r="M100" s="206" t="b">
        <f t="shared" ref="M100" si="284">M99</f>
        <v>0</v>
      </c>
      <c r="N100" s="240" t="b">
        <f t="shared" ref="N100" si="285">IF($B100,INDEX($AC$4:$AC$499,MATCH($B100,$A$4:$A$499)))</f>
        <v>0</v>
      </c>
      <c r="O100" s="209"/>
      <c r="P100" s="208">
        <f t="shared" ref="P100:P103" si="286">IF($B100,INDEX($F$4:$F$499,MATCH($B100,$A$4:$A$499)),0)</f>
        <v>0</v>
      </c>
      <c r="Q100" s="242" t="b">
        <f t="shared" ref="Q100" si="287">IF($N100,ROUND(($N100+($P100/12)),2))</f>
        <v>0</v>
      </c>
      <c r="R100" s="53" t="b">
        <f t="shared" ref="R100" si="288">IF(AND($L100,$Q100),$L100-$Q100)</f>
        <v>0</v>
      </c>
      <c r="S100" s="241" t="s">
        <v>197</v>
      </c>
      <c r="T100" s="127" t="b">
        <f>IF($N100,IF($F100&gt;$P100,ROUND(($Q100-($F99/12)),2),IF($S100="YES",$N100,$N100-MinDrop)))</f>
        <v>0</v>
      </c>
      <c r="U100" s="243"/>
      <c r="V100" s="245"/>
      <c r="W100" s="245"/>
      <c r="X100" s="54"/>
      <c r="Y100" s="117"/>
      <c r="Z100" s="54"/>
      <c r="AA100" s="54"/>
      <c r="AB100" s="54"/>
      <c r="AC100" s="211"/>
    </row>
    <row r="101" spans="1:29" x14ac:dyDescent="0.3">
      <c r="A101" s="121"/>
      <c r="B101" s="204" t="b">
        <f>IF(Pipes!$B101,Pipes!$B101)</f>
        <v>0</v>
      </c>
      <c r="C101" s="205"/>
      <c r="D101" s="224"/>
      <c r="E101" s="224"/>
      <c r="F101" s="224">
        <f t="shared" si="282"/>
        <v>0</v>
      </c>
      <c r="G101" s="224"/>
      <c r="H101" s="224"/>
      <c r="I101" s="52"/>
      <c r="J101" s="52"/>
      <c r="K101" s="130"/>
      <c r="L101" s="206">
        <f t="shared" si="208"/>
        <v>0</v>
      </c>
      <c r="M101" s="206" t="b">
        <f t="shared" si="209"/>
        <v>0</v>
      </c>
      <c r="N101" s="207" t="b">
        <f t="shared" si="210"/>
        <v>0</v>
      </c>
      <c r="O101" s="209"/>
      <c r="P101" s="208">
        <f t="shared" si="286"/>
        <v>0</v>
      </c>
      <c r="Q101" s="53" t="b">
        <f t="shared" si="212"/>
        <v>0</v>
      </c>
      <c r="R101" s="53" t="b">
        <f t="shared" si="213"/>
        <v>0</v>
      </c>
      <c r="S101" s="241" t="s">
        <v>197</v>
      </c>
      <c r="T101" s="127" t="b">
        <f>IF($N101,IF($F101&gt;$P101,ROUND(($Q101-($F100/12)),2),IF($S101="YES",$N101,$N101-MinDrop)))</f>
        <v>0</v>
      </c>
      <c r="U101" s="210"/>
      <c r="V101" s="54"/>
      <c r="W101" s="54"/>
      <c r="X101" s="54"/>
      <c r="Y101" s="117"/>
      <c r="Z101" s="54"/>
      <c r="AA101" s="54"/>
      <c r="AB101" s="54"/>
      <c r="AC101" s="211"/>
    </row>
    <row r="102" spans="1:29" x14ac:dyDescent="0.3">
      <c r="A102" s="121"/>
      <c r="B102" s="204" t="b">
        <f>IF(Pipes!$B102,Pipes!$B102)</f>
        <v>0</v>
      </c>
      <c r="C102" s="205"/>
      <c r="D102" s="224"/>
      <c r="E102" s="224"/>
      <c r="F102" s="224">
        <f t="shared" si="282"/>
        <v>0</v>
      </c>
      <c r="G102" s="224"/>
      <c r="H102" s="224"/>
      <c r="I102" s="52"/>
      <c r="J102" s="52"/>
      <c r="K102" s="130"/>
      <c r="L102" s="206">
        <f t="shared" si="208"/>
        <v>0</v>
      </c>
      <c r="M102" s="206" t="b">
        <f t="shared" si="209"/>
        <v>0</v>
      </c>
      <c r="N102" s="207" t="b">
        <f t="shared" si="210"/>
        <v>0</v>
      </c>
      <c r="O102" s="209"/>
      <c r="P102" s="208">
        <f t="shared" si="286"/>
        <v>0</v>
      </c>
      <c r="Q102" s="53" t="b">
        <f t="shared" si="212"/>
        <v>0</v>
      </c>
      <c r="R102" s="53" t="b">
        <f t="shared" si="213"/>
        <v>0</v>
      </c>
      <c r="S102" s="241" t="s">
        <v>197</v>
      </c>
      <c r="T102" s="127" t="b">
        <f>IF($N102,IF($F102&gt;$P102,ROUND(($Q102-($F101/12)),2),IF($S102="YES",$N102,$N102-MinDrop)))</f>
        <v>0</v>
      </c>
      <c r="U102" s="210"/>
      <c r="V102" s="54"/>
      <c r="W102" s="54"/>
      <c r="X102" s="54"/>
      <c r="Y102" s="117"/>
      <c r="Z102" s="54"/>
      <c r="AA102" s="54"/>
      <c r="AB102" s="54"/>
      <c r="AC102" s="211"/>
    </row>
    <row r="103" spans="1:29" ht="15" thickBot="1" x14ac:dyDescent="0.35">
      <c r="A103" s="122"/>
      <c r="B103" s="204" t="b">
        <f>IF(Pipes!$B103,Pipes!$B103)</f>
        <v>0</v>
      </c>
      <c r="C103" s="212"/>
      <c r="D103" s="104"/>
      <c r="E103" s="104"/>
      <c r="F103" s="104">
        <f t="shared" si="282"/>
        <v>0</v>
      </c>
      <c r="G103" s="104"/>
      <c r="H103" s="104"/>
      <c r="I103" s="101"/>
      <c r="J103" s="101"/>
      <c r="K103" s="131"/>
      <c r="L103" s="213">
        <f t="shared" si="208"/>
        <v>0</v>
      </c>
      <c r="M103" s="213" t="b">
        <f t="shared" si="209"/>
        <v>0</v>
      </c>
      <c r="N103" s="214" t="b">
        <f t="shared" si="210"/>
        <v>0</v>
      </c>
      <c r="O103" s="216"/>
      <c r="P103" s="215">
        <f t="shared" si="286"/>
        <v>0</v>
      </c>
      <c r="Q103" s="103" t="b">
        <f t="shared" si="212"/>
        <v>0</v>
      </c>
      <c r="R103" s="53" t="b">
        <f t="shared" si="213"/>
        <v>0</v>
      </c>
      <c r="S103" s="241" t="s">
        <v>197</v>
      </c>
      <c r="T103" s="127" t="b">
        <f>IF($N103,IF($F103&gt;$P103,ROUND(($Q103-($F102/12)),2),IF($S103="YES",$N103,$N103-MinDrop)))</f>
        <v>0</v>
      </c>
      <c r="U103" s="217"/>
      <c r="V103" s="102"/>
      <c r="W103" s="102"/>
      <c r="X103" s="102"/>
      <c r="Y103" s="118"/>
      <c r="Z103" s="102"/>
      <c r="AA103" s="102"/>
      <c r="AB103" s="102"/>
      <c r="AC103" s="218"/>
    </row>
    <row r="104" spans="1:29" x14ac:dyDescent="0.3">
      <c r="A104" s="115">
        <f t="shared" ref="A104" si="289">$A99+1</f>
        <v>21</v>
      </c>
      <c r="B104" s="186"/>
      <c r="C104" s="201">
        <f>IF(Pipes!$Q104&gt;0,IF(Pipes!$R104&gt;MinDiameter,Pipes!$R104,MinDiameter),0)</f>
        <v>0</v>
      </c>
      <c r="D104" s="187" t="s">
        <v>197</v>
      </c>
      <c r="E104" s="187"/>
      <c r="F104" s="107">
        <f>Pipes!$S104</f>
        <v>0</v>
      </c>
      <c r="G104" s="108">
        <f>Pipes!$W104</f>
        <v>0</v>
      </c>
      <c r="H104" s="187" t="s">
        <v>197</v>
      </c>
      <c r="I104" s="188"/>
      <c r="J104" s="108">
        <f>Pipes!$X104</f>
        <v>0</v>
      </c>
      <c r="K104" s="193">
        <f>INDEX(Tribs!$H$3:$H$102,MATCH($A104,Tribs!$A$3:$A$102,0))</f>
        <v>0</v>
      </c>
      <c r="L104" s="105">
        <f>INDEX(Tribs!$I$3:$I$102,MATCH($A104,Tribs!$A$3:$A$102,0))</f>
        <v>0</v>
      </c>
      <c r="M104" s="105" t="b">
        <f>IF($L104,ROUND($L104-MinCover-($F104/12),2))</f>
        <v>0</v>
      </c>
      <c r="N104" s="202"/>
      <c r="O104" s="129">
        <f t="shared" ref="O104" si="290">MIN($N105:$N108)</f>
        <v>0</v>
      </c>
      <c r="P104" s="203"/>
      <c r="Q104" s="203"/>
      <c r="R104" s="203"/>
      <c r="S104" s="110"/>
      <c r="T104" s="116" t="b">
        <f t="shared" ref="T104" si="291">IF($M104,$M104)</f>
        <v>0</v>
      </c>
      <c r="U104" s="129">
        <f t="shared" ref="U104" si="292">MIN($T104:$T108)</f>
        <v>0</v>
      </c>
      <c r="V104" s="233" t="s">
        <v>197</v>
      </c>
      <c r="W104" s="219"/>
      <c r="X104" s="219" t="s">
        <v>197</v>
      </c>
      <c r="Y104" s="239"/>
      <c r="Z104" s="105">
        <f t="shared" ref="Z104" si="293">IF($V104="YES",$U104,IF($X104&lt;&gt;"YES",$W104,($AC104+$J104*$K104)))</f>
        <v>0</v>
      </c>
      <c r="AA104" s="105">
        <f t="shared" ref="AA104" si="294">ROUND($Z104+($F104/12),2)</f>
        <v>0</v>
      </c>
      <c r="AB104" s="105" t="b">
        <f t="shared" ref="AB104" si="295">IF($L104,($L104-$AA104))</f>
        <v>0</v>
      </c>
      <c r="AC104" s="111">
        <f t="shared" ref="AC104" si="296">IF(AND($V104&lt;&gt;"YES",$X104="YES"),$Y104,ROUND($Z104-($J104*$K104),2))</f>
        <v>0</v>
      </c>
    </row>
    <row r="105" spans="1:29" x14ac:dyDescent="0.3">
      <c r="A105" s="121"/>
      <c r="B105" s="204" t="b">
        <f>IF(Pipes!$B105,Pipes!$B105)</f>
        <v>0</v>
      </c>
      <c r="C105" s="205"/>
      <c r="D105" s="224"/>
      <c r="E105" s="224"/>
      <c r="F105" s="224">
        <f t="shared" ref="F105:F108" si="297">F104</f>
        <v>0</v>
      </c>
      <c r="G105" s="224"/>
      <c r="H105" s="224"/>
      <c r="I105" s="52"/>
      <c r="J105" s="52"/>
      <c r="K105" s="130"/>
      <c r="L105" s="206">
        <f t="shared" ref="L105" si="298">$L104</f>
        <v>0</v>
      </c>
      <c r="M105" s="206" t="b">
        <f t="shared" ref="M105" si="299">M104</f>
        <v>0</v>
      </c>
      <c r="N105" s="240" t="b">
        <f t="shared" ref="N105" si="300">IF($B105,INDEX($AC$4:$AC$499,MATCH($B105,$A$4:$A$499)))</f>
        <v>0</v>
      </c>
      <c r="O105" s="209"/>
      <c r="P105" s="208">
        <f t="shared" ref="P105:P108" si="301">IF($B105,INDEX($F$4:$F$499,MATCH($B105,$A$4:$A$499)),0)</f>
        <v>0</v>
      </c>
      <c r="Q105" s="242" t="b">
        <f t="shared" ref="Q105" si="302">IF($N105,ROUND(($N105+($P105/12)),2))</f>
        <v>0</v>
      </c>
      <c r="R105" s="53" t="b">
        <f t="shared" ref="R105" si="303">IF(AND($L105,$Q105),$L105-$Q105)</f>
        <v>0</v>
      </c>
      <c r="S105" s="241" t="s">
        <v>197</v>
      </c>
      <c r="T105" s="127" t="b">
        <f>IF($N105,IF($F105&gt;$P105,ROUND(($Q105-($F104/12)),2),IF($S105="YES",$N105,$N105-MinDrop)))</f>
        <v>0</v>
      </c>
      <c r="U105" s="243"/>
      <c r="V105" s="245"/>
      <c r="W105" s="245"/>
      <c r="X105" s="54"/>
      <c r="Y105" s="117"/>
      <c r="Z105" s="54"/>
      <c r="AA105" s="54"/>
      <c r="AB105" s="54"/>
      <c r="AC105" s="211"/>
    </row>
    <row r="106" spans="1:29" x14ac:dyDescent="0.3">
      <c r="A106" s="121"/>
      <c r="B106" s="204" t="b">
        <f>IF(Pipes!$B106,Pipes!$B106)</f>
        <v>0</v>
      </c>
      <c r="C106" s="205"/>
      <c r="D106" s="224"/>
      <c r="E106" s="224"/>
      <c r="F106" s="224">
        <f t="shared" si="297"/>
        <v>0</v>
      </c>
      <c r="G106" s="224"/>
      <c r="H106" s="224"/>
      <c r="I106" s="52"/>
      <c r="J106" s="52"/>
      <c r="K106" s="130"/>
      <c r="L106" s="206">
        <f t="shared" si="208"/>
        <v>0</v>
      </c>
      <c r="M106" s="206" t="b">
        <f t="shared" si="209"/>
        <v>0</v>
      </c>
      <c r="N106" s="207" t="b">
        <f t="shared" si="210"/>
        <v>0</v>
      </c>
      <c r="O106" s="209"/>
      <c r="P106" s="208">
        <f t="shared" si="301"/>
        <v>0</v>
      </c>
      <c r="Q106" s="53" t="b">
        <f t="shared" si="212"/>
        <v>0</v>
      </c>
      <c r="R106" s="53" t="b">
        <f t="shared" si="213"/>
        <v>0</v>
      </c>
      <c r="S106" s="241" t="s">
        <v>197</v>
      </c>
      <c r="T106" s="127" t="b">
        <f>IF($N106,IF($F106&gt;$P106,ROUND(($Q106-($F105/12)),2),IF($S106="YES",$N106,$N106-MinDrop)))</f>
        <v>0</v>
      </c>
      <c r="U106" s="210"/>
      <c r="V106" s="54"/>
      <c r="W106" s="54"/>
      <c r="X106" s="54"/>
      <c r="Y106" s="117"/>
      <c r="Z106" s="54"/>
      <c r="AA106" s="54"/>
      <c r="AB106" s="54"/>
      <c r="AC106" s="211"/>
    </row>
    <row r="107" spans="1:29" x14ac:dyDescent="0.3">
      <c r="A107" s="121"/>
      <c r="B107" s="204" t="b">
        <f>IF(Pipes!$B107,Pipes!$B107)</f>
        <v>0</v>
      </c>
      <c r="C107" s="205"/>
      <c r="D107" s="224"/>
      <c r="E107" s="224"/>
      <c r="F107" s="224">
        <f t="shared" si="297"/>
        <v>0</v>
      </c>
      <c r="G107" s="224"/>
      <c r="H107" s="224"/>
      <c r="I107" s="52"/>
      <c r="J107" s="52"/>
      <c r="K107" s="130"/>
      <c r="L107" s="206">
        <f t="shared" si="208"/>
        <v>0</v>
      </c>
      <c r="M107" s="206" t="b">
        <f t="shared" si="209"/>
        <v>0</v>
      </c>
      <c r="N107" s="207" t="b">
        <f t="shared" si="210"/>
        <v>0</v>
      </c>
      <c r="O107" s="209"/>
      <c r="P107" s="208">
        <f t="shared" si="301"/>
        <v>0</v>
      </c>
      <c r="Q107" s="53" t="b">
        <f t="shared" si="212"/>
        <v>0</v>
      </c>
      <c r="R107" s="53" t="b">
        <f t="shared" si="213"/>
        <v>0</v>
      </c>
      <c r="S107" s="241" t="s">
        <v>197</v>
      </c>
      <c r="T107" s="127" t="b">
        <f>IF($N107,IF($F107&gt;$P107,ROUND(($Q107-($F106/12)),2),IF($S107="YES",$N107,$N107-MinDrop)))</f>
        <v>0</v>
      </c>
      <c r="U107" s="210"/>
      <c r="V107" s="54"/>
      <c r="W107" s="54"/>
      <c r="X107" s="54"/>
      <c r="Y107" s="117"/>
      <c r="Z107" s="54"/>
      <c r="AA107" s="54"/>
      <c r="AB107" s="54"/>
      <c r="AC107" s="211"/>
    </row>
    <row r="108" spans="1:29" ht="15" thickBot="1" x14ac:dyDescent="0.35">
      <c r="A108" s="122"/>
      <c r="B108" s="204" t="b">
        <f>IF(Pipes!$B108,Pipes!$B108)</f>
        <v>0</v>
      </c>
      <c r="C108" s="212"/>
      <c r="D108" s="104"/>
      <c r="E108" s="104"/>
      <c r="F108" s="104">
        <f t="shared" si="297"/>
        <v>0</v>
      </c>
      <c r="G108" s="104"/>
      <c r="H108" s="104"/>
      <c r="I108" s="101"/>
      <c r="J108" s="101"/>
      <c r="K108" s="131"/>
      <c r="L108" s="213">
        <f t="shared" si="208"/>
        <v>0</v>
      </c>
      <c r="M108" s="213" t="b">
        <f t="shared" si="209"/>
        <v>0</v>
      </c>
      <c r="N108" s="214" t="b">
        <f t="shared" si="210"/>
        <v>0</v>
      </c>
      <c r="O108" s="216"/>
      <c r="P108" s="215">
        <f t="shared" si="301"/>
        <v>0</v>
      </c>
      <c r="Q108" s="103" t="b">
        <f t="shared" si="212"/>
        <v>0</v>
      </c>
      <c r="R108" s="53" t="b">
        <f t="shared" si="213"/>
        <v>0</v>
      </c>
      <c r="S108" s="241" t="s">
        <v>197</v>
      </c>
      <c r="T108" s="127" t="b">
        <f>IF($N108,IF($F108&gt;$P108,ROUND(($Q108-($F107/12)),2),IF($S108="YES",$N108,$N108-MinDrop)))</f>
        <v>0</v>
      </c>
      <c r="U108" s="217"/>
      <c r="V108" s="102"/>
      <c r="W108" s="102"/>
      <c r="X108" s="102"/>
      <c r="Y108" s="118"/>
      <c r="Z108" s="102"/>
      <c r="AA108" s="102"/>
      <c r="AB108" s="102"/>
      <c r="AC108" s="218"/>
    </row>
    <row r="109" spans="1:29" x14ac:dyDescent="0.3">
      <c r="A109" s="115">
        <f t="shared" ref="A109" si="304">$A104+1</f>
        <v>22</v>
      </c>
      <c r="B109" s="186"/>
      <c r="C109" s="201">
        <f>IF(Pipes!$Q109&gt;0,IF(Pipes!$R109&gt;MinDiameter,Pipes!$R109,MinDiameter),0)</f>
        <v>0</v>
      </c>
      <c r="D109" s="187" t="s">
        <v>197</v>
      </c>
      <c r="E109" s="187"/>
      <c r="F109" s="107">
        <f>Pipes!$S109</f>
        <v>0</v>
      </c>
      <c r="G109" s="108">
        <f>Pipes!$W109</f>
        <v>0</v>
      </c>
      <c r="H109" s="187" t="s">
        <v>197</v>
      </c>
      <c r="I109" s="188"/>
      <c r="J109" s="108">
        <f>Pipes!$X109</f>
        <v>0</v>
      </c>
      <c r="K109" s="193">
        <f>INDEX(Tribs!$H$3:$H$102,MATCH($A109,Tribs!$A$3:$A$102,0))</f>
        <v>0</v>
      </c>
      <c r="L109" s="105">
        <f>INDEX(Tribs!$I$3:$I$102,MATCH($A109,Tribs!$A$3:$A$102,0))</f>
        <v>0</v>
      </c>
      <c r="M109" s="105" t="b">
        <f>IF($L109,ROUND($L109-MinCover-($F109/12),2))</f>
        <v>0</v>
      </c>
      <c r="N109" s="202"/>
      <c r="O109" s="129">
        <f t="shared" ref="O109" si="305">MIN($N110:$N113)</f>
        <v>0</v>
      </c>
      <c r="P109" s="203"/>
      <c r="Q109" s="203"/>
      <c r="R109" s="203"/>
      <c r="S109" s="110"/>
      <c r="T109" s="116" t="b">
        <f t="shared" ref="T109" si="306">IF($M109,$M109)</f>
        <v>0</v>
      </c>
      <c r="U109" s="129">
        <f t="shared" ref="U109" si="307">MIN($T109:$T113)</f>
        <v>0</v>
      </c>
      <c r="V109" s="233" t="s">
        <v>197</v>
      </c>
      <c r="W109" s="219"/>
      <c r="X109" s="219" t="s">
        <v>197</v>
      </c>
      <c r="Y109" s="239"/>
      <c r="Z109" s="105">
        <f t="shared" ref="Z109" si="308">IF($V109="YES",$U109,IF($X109&lt;&gt;"YES",$W109,($AC109+$J109*$K109)))</f>
        <v>0</v>
      </c>
      <c r="AA109" s="105">
        <f t="shared" ref="AA109" si="309">ROUND($Z109+($F109/12),2)</f>
        <v>0</v>
      </c>
      <c r="AB109" s="105" t="b">
        <f t="shared" ref="AB109" si="310">IF($L109,($L109-$AA109))</f>
        <v>0</v>
      </c>
      <c r="AC109" s="111">
        <f t="shared" ref="AC109" si="311">IF(AND($V109&lt;&gt;"YES",$X109="YES"),$Y109,ROUND($Z109-($J109*$K109),2))</f>
        <v>0</v>
      </c>
    </row>
    <row r="110" spans="1:29" x14ac:dyDescent="0.3">
      <c r="A110" s="121"/>
      <c r="B110" s="204" t="b">
        <f>IF(Pipes!$B110,Pipes!$B110)</f>
        <v>0</v>
      </c>
      <c r="C110" s="205"/>
      <c r="D110" s="224"/>
      <c r="E110" s="224"/>
      <c r="F110" s="224">
        <f t="shared" ref="F110:F113" si="312">F109</f>
        <v>0</v>
      </c>
      <c r="G110" s="224"/>
      <c r="H110" s="224"/>
      <c r="I110" s="52"/>
      <c r="J110" s="52"/>
      <c r="K110" s="130"/>
      <c r="L110" s="206">
        <f t="shared" ref="L110" si="313">$L109</f>
        <v>0</v>
      </c>
      <c r="M110" s="206" t="b">
        <f t="shared" ref="M110" si="314">M109</f>
        <v>0</v>
      </c>
      <c r="N110" s="240" t="b">
        <f t="shared" ref="N110" si="315">IF($B110,INDEX($AC$4:$AC$499,MATCH($B110,$A$4:$A$499)))</f>
        <v>0</v>
      </c>
      <c r="O110" s="209"/>
      <c r="P110" s="208">
        <f t="shared" ref="P110:P113" si="316">IF($B110,INDEX($F$4:$F$499,MATCH($B110,$A$4:$A$499)),0)</f>
        <v>0</v>
      </c>
      <c r="Q110" s="242" t="b">
        <f t="shared" ref="Q110" si="317">IF($N110,ROUND(($N110+($P110/12)),2))</f>
        <v>0</v>
      </c>
      <c r="R110" s="53" t="b">
        <f t="shared" ref="R110" si="318">IF(AND($L110,$Q110),$L110-$Q110)</f>
        <v>0</v>
      </c>
      <c r="S110" s="241" t="s">
        <v>197</v>
      </c>
      <c r="T110" s="127" t="b">
        <f>IF($N110,IF($F110&gt;$P110,ROUND(($Q110-($F109/12)),2),IF($S110="YES",$N110,$N110-MinDrop)))</f>
        <v>0</v>
      </c>
      <c r="U110" s="243"/>
      <c r="V110" s="245"/>
      <c r="W110" s="245"/>
      <c r="X110" s="54"/>
      <c r="Y110" s="117"/>
      <c r="Z110" s="54"/>
      <c r="AA110" s="54"/>
      <c r="AB110" s="54"/>
      <c r="AC110" s="211"/>
    </row>
    <row r="111" spans="1:29" x14ac:dyDescent="0.3">
      <c r="A111" s="121"/>
      <c r="B111" s="204" t="b">
        <f>IF(Pipes!$B111,Pipes!$B111)</f>
        <v>0</v>
      </c>
      <c r="C111" s="205"/>
      <c r="D111" s="224"/>
      <c r="E111" s="224"/>
      <c r="F111" s="224">
        <f t="shared" si="312"/>
        <v>0</v>
      </c>
      <c r="G111" s="224"/>
      <c r="H111" s="224"/>
      <c r="I111" s="52"/>
      <c r="J111" s="52"/>
      <c r="K111" s="130"/>
      <c r="L111" s="206">
        <f t="shared" si="208"/>
        <v>0</v>
      </c>
      <c r="M111" s="206" t="b">
        <f t="shared" si="209"/>
        <v>0</v>
      </c>
      <c r="N111" s="207" t="b">
        <f t="shared" si="210"/>
        <v>0</v>
      </c>
      <c r="O111" s="209"/>
      <c r="P111" s="208">
        <f t="shared" si="316"/>
        <v>0</v>
      </c>
      <c r="Q111" s="53" t="b">
        <f t="shared" si="212"/>
        <v>0</v>
      </c>
      <c r="R111" s="53" t="b">
        <f t="shared" si="213"/>
        <v>0</v>
      </c>
      <c r="S111" s="241" t="s">
        <v>197</v>
      </c>
      <c r="T111" s="127" t="b">
        <f>IF($N111,IF($F111&gt;$P111,ROUND(($Q111-($F110/12)),2),IF($S111="YES",$N111,$N111-MinDrop)))</f>
        <v>0</v>
      </c>
      <c r="U111" s="210"/>
      <c r="V111" s="54"/>
      <c r="W111" s="54"/>
      <c r="X111" s="54"/>
      <c r="Y111" s="117"/>
      <c r="Z111" s="54"/>
      <c r="AA111" s="54"/>
      <c r="AB111" s="54"/>
      <c r="AC111" s="211"/>
    </row>
    <row r="112" spans="1:29" x14ac:dyDescent="0.3">
      <c r="A112" s="121"/>
      <c r="B112" s="204" t="b">
        <f>IF(Pipes!$B112,Pipes!$B112)</f>
        <v>0</v>
      </c>
      <c r="C112" s="205"/>
      <c r="D112" s="224"/>
      <c r="E112" s="224"/>
      <c r="F112" s="224">
        <f t="shared" si="312"/>
        <v>0</v>
      </c>
      <c r="G112" s="224"/>
      <c r="H112" s="224"/>
      <c r="I112" s="52"/>
      <c r="J112" s="52"/>
      <c r="K112" s="130"/>
      <c r="L112" s="206">
        <f t="shared" si="208"/>
        <v>0</v>
      </c>
      <c r="M112" s="206" t="b">
        <f t="shared" si="209"/>
        <v>0</v>
      </c>
      <c r="N112" s="207" t="b">
        <f t="shared" si="210"/>
        <v>0</v>
      </c>
      <c r="O112" s="209"/>
      <c r="P112" s="208">
        <f t="shared" si="316"/>
        <v>0</v>
      </c>
      <c r="Q112" s="53" t="b">
        <f t="shared" si="212"/>
        <v>0</v>
      </c>
      <c r="R112" s="53" t="b">
        <f t="shared" si="213"/>
        <v>0</v>
      </c>
      <c r="S112" s="241" t="s">
        <v>197</v>
      </c>
      <c r="T112" s="127" t="b">
        <f>IF($N112,IF($F112&gt;$P112,ROUND(($Q112-($F111/12)),2),IF($S112="YES",$N112,$N112-MinDrop)))</f>
        <v>0</v>
      </c>
      <c r="U112" s="210"/>
      <c r="V112" s="54"/>
      <c r="W112" s="54"/>
      <c r="X112" s="54"/>
      <c r="Y112" s="117"/>
      <c r="Z112" s="54"/>
      <c r="AA112" s="54"/>
      <c r="AB112" s="54"/>
      <c r="AC112" s="211"/>
    </row>
    <row r="113" spans="1:29" ht="15" thickBot="1" x14ac:dyDescent="0.35">
      <c r="A113" s="122"/>
      <c r="B113" s="204" t="b">
        <f>IF(Pipes!$B113,Pipes!$B113)</f>
        <v>0</v>
      </c>
      <c r="C113" s="212"/>
      <c r="D113" s="104"/>
      <c r="E113" s="104"/>
      <c r="F113" s="104">
        <f t="shared" si="312"/>
        <v>0</v>
      </c>
      <c r="G113" s="104"/>
      <c r="H113" s="104"/>
      <c r="I113" s="101"/>
      <c r="J113" s="101"/>
      <c r="K113" s="131"/>
      <c r="L113" s="213">
        <f t="shared" si="208"/>
        <v>0</v>
      </c>
      <c r="M113" s="213" t="b">
        <f t="shared" si="209"/>
        <v>0</v>
      </c>
      <c r="N113" s="214" t="b">
        <f t="shared" si="210"/>
        <v>0</v>
      </c>
      <c r="O113" s="216"/>
      <c r="P113" s="215">
        <f t="shared" si="316"/>
        <v>0</v>
      </c>
      <c r="Q113" s="103" t="b">
        <f t="shared" si="212"/>
        <v>0</v>
      </c>
      <c r="R113" s="53" t="b">
        <f t="shared" si="213"/>
        <v>0</v>
      </c>
      <c r="S113" s="241" t="s">
        <v>197</v>
      </c>
      <c r="T113" s="127" t="b">
        <f>IF($N113,IF($F113&gt;$P113,ROUND(($Q113-($F112/12)),2),IF($S113="YES",$N113,$N113-MinDrop)))</f>
        <v>0</v>
      </c>
      <c r="U113" s="217"/>
      <c r="V113" s="102"/>
      <c r="W113" s="102"/>
      <c r="X113" s="102"/>
      <c r="Y113" s="118"/>
      <c r="Z113" s="102"/>
      <c r="AA113" s="102"/>
      <c r="AB113" s="102"/>
      <c r="AC113" s="218"/>
    </row>
    <row r="114" spans="1:29" x14ac:dyDescent="0.3">
      <c r="A114" s="115">
        <f t="shared" ref="A114" si="319">$A109+1</f>
        <v>23</v>
      </c>
      <c r="B114" s="186"/>
      <c r="C114" s="201">
        <f>IF(Pipes!$Q114&gt;0,IF(Pipes!$R114&gt;MinDiameter,Pipes!$R114,MinDiameter),0)</f>
        <v>0</v>
      </c>
      <c r="D114" s="187" t="s">
        <v>197</v>
      </c>
      <c r="E114" s="187"/>
      <c r="F114" s="107">
        <f>Pipes!$S114</f>
        <v>0</v>
      </c>
      <c r="G114" s="108">
        <f>Pipes!$W114</f>
        <v>0</v>
      </c>
      <c r="H114" s="187" t="s">
        <v>197</v>
      </c>
      <c r="I114" s="188"/>
      <c r="J114" s="108">
        <f>Pipes!$X114</f>
        <v>0</v>
      </c>
      <c r="K114" s="193">
        <f>INDEX(Tribs!$H$3:$H$102,MATCH($A114,Tribs!$A$3:$A$102,0))</f>
        <v>0</v>
      </c>
      <c r="L114" s="105">
        <f>INDEX(Tribs!$I$3:$I$102,MATCH($A114,Tribs!$A$3:$A$102,0))</f>
        <v>0</v>
      </c>
      <c r="M114" s="105" t="b">
        <f>IF($L114,ROUND($L114-MinCover-($F114/12),2))</f>
        <v>0</v>
      </c>
      <c r="N114" s="202"/>
      <c r="O114" s="129">
        <f t="shared" ref="O114" si="320">MIN($N115:$N118)</f>
        <v>0</v>
      </c>
      <c r="P114" s="203"/>
      <c r="Q114" s="203"/>
      <c r="R114" s="203"/>
      <c r="S114" s="110"/>
      <c r="T114" s="116" t="b">
        <f t="shared" ref="T114" si="321">IF($M114,$M114)</f>
        <v>0</v>
      </c>
      <c r="U114" s="129">
        <f t="shared" ref="U114" si="322">MIN($T114:$T118)</f>
        <v>0</v>
      </c>
      <c r="V114" s="233" t="s">
        <v>197</v>
      </c>
      <c r="W114" s="219"/>
      <c r="X114" s="219" t="s">
        <v>197</v>
      </c>
      <c r="Y114" s="239"/>
      <c r="Z114" s="105">
        <f t="shared" ref="Z114" si="323">IF($V114="YES",$U114,IF($X114&lt;&gt;"YES",$W114,($AC114+$J114*$K114)))</f>
        <v>0</v>
      </c>
      <c r="AA114" s="105">
        <f t="shared" ref="AA114" si="324">ROUND($Z114+($F114/12),2)</f>
        <v>0</v>
      </c>
      <c r="AB114" s="105" t="b">
        <f t="shared" ref="AB114" si="325">IF($L114,($L114-$AA114))</f>
        <v>0</v>
      </c>
      <c r="AC114" s="111">
        <f t="shared" ref="AC114" si="326">IF(AND($V114&lt;&gt;"YES",$X114="YES"),$Y114,ROUND($Z114-($J114*$K114),2))</f>
        <v>0</v>
      </c>
    </row>
    <row r="115" spans="1:29" x14ac:dyDescent="0.3">
      <c r="A115" s="121"/>
      <c r="B115" s="204" t="b">
        <f>IF(Pipes!$B115,Pipes!$B115)</f>
        <v>0</v>
      </c>
      <c r="C115" s="205"/>
      <c r="D115" s="224"/>
      <c r="E115" s="224"/>
      <c r="F115" s="224">
        <f t="shared" ref="F115:F118" si="327">F114</f>
        <v>0</v>
      </c>
      <c r="G115" s="224"/>
      <c r="H115" s="224"/>
      <c r="I115" s="52"/>
      <c r="J115" s="52"/>
      <c r="K115" s="130"/>
      <c r="L115" s="206">
        <f t="shared" ref="L115" si="328">$L114</f>
        <v>0</v>
      </c>
      <c r="M115" s="206" t="b">
        <f t="shared" ref="M115" si="329">M114</f>
        <v>0</v>
      </c>
      <c r="N115" s="240" t="b">
        <f t="shared" ref="N115" si="330">IF($B115,INDEX($AC$4:$AC$499,MATCH($B115,$A$4:$A$499)))</f>
        <v>0</v>
      </c>
      <c r="O115" s="209"/>
      <c r="P115" s="208">
        <f t="shared" ref="P115:P118" si="331">IF($B115,INDEX($F$4:$F$499,MATCH($B115,$A$4:$A$499)),0)</f>
        <v>0</v>
      </c>
      <c r="Q115" s="242" t="b">
        <f t="shared" ref="Q115" si="332">IF($N115,ROUND(($N115+($P115/12)),2))</f>
        <v>0</v>
      </c>
      <c r="R115" s="53" t="b">
        <f t="shared" ref="R115" si="333">IF(AND($L115,$Q115),$L115-$Q115)</f>
        <v>0</v>
      </c>
      <c r="S115" s="241" t="s">
        <v>197</v>
      </c>
      <c r="T115" s="127" t="b">
        <f>IF($N115,IF($F115&gt;$P115,ROUND(($Q115-($F114/12)),2),IF($S115="YES",$N115,$N115-MinDrop)))</f>
        <v>0</v>
      </c>
      <c r="U115" s="243"/>
      <c r="V115" s="245"/>
      <c r="W115" s="245"/>
      <c r="X115" s="54"/>
      <c r="Y115" s="117"/>
      <c r="Z115" s="54"/>
      <c r="AA115" s="54"/>
      <c r="AB115" s="54"/>
      <c r="AC115" s="211"/>
    </row>
    <row r="116" spans="1:29" x14ac:dyDescent="0.3">
      <c r="A116" s="121"/>
      <c r="B116" s="204" t="b">
        <f>IF(Pipes!$B116,Pipes!$B116)</f>
        <v>0</v>
      </c>
      <c r="C116" s="205"/>
      <c r="D116" s="224"/>
      <c r="E116" s="224"/>
      <c r="F116" s="224">
        <f t="shared" si="327"/>
        <v>0</v>
      </c>
      <c r="G116" s="224"/>
      <c r="H116" s="224"/>
      <c r="I116" s="52"/>
      <c r="J116" s="52"/>
      <c r="K116" s="130"/>
      <c r="L116" s="206">
        <f t="shared" si="208"/>
        <v>0</v>
      </c>
      <c r="M116" s="206" t="b">
        <f t="shared" si="209"/>
        <v>0</v>
      </c>
      <c r="N116" s="207" t="b">
        <f t="shared" si="210"/>
        <v>0</v>
      </c>
      <c r="O116" s="209"/>
      <c r="P116" s="208">
        <f t="shared" si="331"/>
        <v>0</v>
      </c>
      <c r="Q116" s="53" t="b">
        <f t="shared" si="212"/>
        <v>0</v>
      </c>
      <c r="R116" s="53" t="b">
        <f t="shared" si="213"/>
        <v>0</v>
      </c>
      <c r="S116" s="241" t="s">
        <v>197</v>
      </c>
      <c r="T116" s="127" t="b">
        <f>IF($N116,IF($F116&gt;$P116,ROUND(($Q116-($F115/12)),2),IF($S116="YES",$N116,$N116-MinDrop)))</f>
        <v>0</v>
      </c>
      <c r="U116" s="210"/>
      <c r="V116" s="54"/>
      <c r="W116" s="54"/>
      <c r="X116" s="54"/>
      <c r="Y116" s="117"/>
      <c r="Z116" s="54"/>
      <c r="AA116" s="54"/>
      <c r="AB116" s="54"/>
      <c r="AC116" s="211"/>
    </row>
    <row r="117" spans="1:29" x14ac:dyDescent="0.3">
      <c r="A117" s="121"/>
      <c r="B117" s="204" t="b">
        <f>IF(Pipes!$B117,Pipes!$B117)</f>
        <v>0</v>
      </c>
      <c r="C117" s="205"/>
      <c r="D117" s="224"/>
      <c r="E117" s="224"/>
      <c r="F117" s="224">
        <f t="shared" si="327"/>
        <v>0</v>
      </c>
      <c r="G117" s="224"/>
      <c r="H117" s="224"/>
      <c r="I117" s="52"/>
      <c r="J117" s="52"/>
      <c r="K117" s="130"/>
      <c r="L117" s="206">
        <f t="shared" si="208"/>
        <v>0</v>
      </c>
      <c r="M117" s="206" t="b">
        <f t="shared" si="209"/>
        <v>0</v>
      </c>
      <c r="N117" s="207" t="b">
        <f t="shared" si="210"/>
        <v>0</v>
      </c>
      <c r="O117" s="209"/>
      <c r="P117" s="208">
        <f t="shared" si="331"/>
        <v>0</v>
      </c>
      <c r="Q117" s="53" t="b">
        <f t="shared" si="212"/>
        <v>0</v>
      </c>
      <c r="R117" s="53" t="b">
        <f t="shared" si="213"/>
        <v>0</v>
      </c>
      <c r="S117" s="241" t="s">
        <v>197</v>
      </c>
      <c r="T117" s="127" t="b">
        <f>IF($N117,IF($F117&gt;$P117,ROUND(($Q117-($F116/12)),2),IF($S117="YES",$N117,$N117-MinDrop)))</f>
        <v>0</v>
      </c>
      <c r="U117" s="210"/>
      <c r="V117" s="54"/>
      <c r="W117" s="54"/>
      <c r="X117" s="54"/>
      <c r="Y117" s="117"/>
      <c r="Z117" s="54"/>
      <c r="AA117" s="54"/>
      <c r="AB117" s="54"/>
      <c r="AC117" s="211"/>
    </row>
    <row r="118" spans="1:29" ht="15" thickBot="1" x14ac:dyDescent="0.35">
      <c r="A118" s="122"/>
      <c r="B118" s="204" t="b">
        <f>IF(Pipes!$B118,Pipes!$B118)</f>
        <v>0</v>
      </c>
      <c r="C118" s="212"/>
      <c r="D118" s="104"/>
      <c r="E118" s="104"/>
      <c r="F118" s="104">
        <f t="shared" si="327"/>
        <v>0</v>
      </c>
      <c r="G118" s="104"/>
      <c r="H118" s="104"/>
      <c r="I118" s="101"/>
      <c r="J118" s="101"/>
      <c r="K118" s="131"/>
      <c r="L118" s="213">
        <f t="shared" si="208"/>
        <v>0</v>
      </c>
      <c r="M118" s="213" t="b">
        <f t="shared" si="209"/>
        <v>0</v>
      </c>
      <c r="N118" s="214" t="b">
        <f t="shared" si="210"/>
        <v>0</v>
      </c>
      <c r="O118" s="216"/>
      <c r="P118" s="215">
        <f t="shared" si="331"/>
        <v>0</v>
      </c>
      <c r="Q118" s="103" t="b">
        <f t="shared" si="212"/>
        <v>0</v>
      </c>
      <c r="R118" s="53" t="b">
        <f t="shared" si="213"/>
        <v>0</v>
      </c>
      <c r="S118" s="241" t="s">
        <v>197</v>
      </c>
      <c r="T118" s="127" t="b">
        <f>IF($N118,IF($F118&gt;$P118,ROUND(($Q118-($F117/12)),2),IF($S118="YES",$N118,$N118-MinDrop)))</f>
        <v>0</v>
      </c>
      <c r="U118" s="217"/>
      <c r="V118" s="102"/>
      <c r="W118" s="102"/>
      <c r="X118" s="102"/>
      <c r="Y118" s="118"/>
      <c r="Z118" s="102"/>
      <c r="AA118" s="102"/>
      <c r="AB118" s="102"/>
      <c r="AC118" s="218"/>
    </row>
    <row r="119" spans="1:29" x14ac:dyDescent="0.3">
      <c r="A119" s="115">
        <f t="shared" ref="A119" si="334">$A114+1</f>
        <v>24</v>
      </c>
      <c r="B119" s="186"/>
      <c r="C119" s="201">
        <f>IF(Pipes!$Q119&gt;0,IF(Pipes!$R119&gt;MinDiameter,Pipes!$R119,MinDiameter),0)</f>
        <v>0</v>
      </c>
      <c r="D119" s="187" t="s">
        <v>197</v>
      </c>
      <c r="E119" s="187"/>
      <c r="F119" s="107">
        <f>Pipes!$S119</f>
        <v>0</v>
      </c>
      <c r="G119" s="108">
        <f>Pipes!$W119</f>
        <v>0</v>
      </c>
      <c r="H119" s="187" t="s">
        <v>197</v>
      </c>
      <c r="I119" s="188"/>
      <c r="J119" s="108">
        <f>Pipes!$X119</f>
        <v>0</v>
      </c>
      <c r="K119" s="193">
        <f>INDEX(Tribs!$H$3:$H$102,MATCH($A119,Tribs!$A$3:$A$102,0))</f>
        <v>0</v>
      </c>
      <c r="L119" s="105">
        <f>INDEX(Tribs!$I$3:$I$102,MATCH($A119,Tribs!$A$3:$A$102,0))</f>
        <v>0</v>
      </c>
      <c r="M119" s="105" t="b">
        <f>IF($L119,ROUND($L119-MinCover-($F119/12),2))</f>
        <v>0</v>
      </c>
      <c r="N119" s="202"/>
      <c r="O119" s="129">
        <f t="shared" ref="O119" si="335">MIN($N120:$N123)</f>
        <v>0</v>
      </c>
      <c r="P119" s="203"/>
      <c r="Q119" s="203"/>
      <c r="R119" s="203"/>
      <c r="S119" s="110"/>
      <c r="T119" s="116" t="b">
        <f t="shared" ref="T119" si="336">IF($M119,$M119)</f>
        <v>0</v>
      </c>
      <c r="U119" s="129">
        <f t="shared" ref="U119" si="337">MIN($T119:$T123)</f>
        <v>0</v>
      </c>
      <c r="V119" s="233" t="s">
        <v>197</v>
      </c>
      <c r="W119" s="219"/>
      <c r="X119" s="219" t="s">
        <v>197</v>
      </c>
      <c r="Y119" s="239"/>
      <c r="Z119" s="105">
        <f t="shared" ref="Z119" si="338">IF($V119="YES",$U119,IF($X119&lt;&gt;"YES",$W119,($AC119+$J119*$K119)))</f>
        <v>0</v>
      </c>
      <c r="AA119" s="105">
        <f t="shared" ref="AA119" si="339">ROUND($Z119+($F119/12),2)</f>
        <v>0</v>
      </c>
      <c r="AB119" s="105" t="b">
        <f t="shared" ref="AB119" si="340">IF($L119,($L119-$AA119))</f>
        <v>0</v>
      </c>
      <c r="AC119" s="111">
        <f t="shared" ref="AC119" si="341">IF(AND($V119&lt;&gt;"YES",$X119="YES"),$Y119,ROUND($Z119-($J119*$K119),2))</f>
        <v>0</v>
      </c>
    </row>
    <row r="120" spans="1:29" x14ac:dyDescent="0.3">
      <c r="A120" s="121"/>
      <c r="B120" s="204" t="b">
        <f>IF(Pipes!$B120,Pipes!$B120)</f>
        <v>0</v>
      </c>
      <c r="C120" s="205"/>
      <c r="D120" s="224"/>
      <c r="E120" s="224"/>
      <c r="F120" s="224">
        <f t="shared" ref="F120:F123" si="342">F119</f>
        <v>0</v>
      </c>
      <c r="G120" s="224"/>
      <c r="H120" s="224"/>
      <c r="I120" s="52"/>
      <c r="J120" s="52"/>
      <c r="K120" s="130"/>
      <c r="L120" s="206">
        <f t="shared" ref="L120" si="343">$L119</f>
        <v>0</v>
      </c>
      <c r="M120" s="206" t="b">
        <f t="shared" ref="M120" si="344">M119</f>
        <v>0</v>
      </c>
      <c r="N120" s="240" t="b">
        <f t="shared" ref="N120" si="345">IF($B120,INDEX($AC$4:$AC$499,MATCH($B120,$A$4:$A$499)))</f>
        <v>0</v>
      </c>
      <c r="O120" s="209"/>
      <c r="P120" s="208">
        <f t="shared" ref="P120:P123" si="346">IF($B120,INDEX($F$4:$F$499,MATCH($B120,$A$4:$A$499)),0)</f>
        <v>0</v>
      </c>
      <c r="Q120" s="242" t="b">
        <f t="shared" ref="Q120" si="347">IF($N120,ROUND(($N120+($P120/12)),2))</f>
        <v>0</v>
      </c>
      <c r="R120" s="53" t="b">
        <f t="shared" ref="R120" si="348">IF(AND($L120,$Q120),$L120-$Q120)</f>
        <v>0</v>
      </c>
      <c r="S120" s="241" t="s">
        <v>197</v>
      </c>
      <c r="T120" s="127" t="b">
        <f>IF($N120,IF($F120&gt;$P120,ROUND(($Q120-($F119/12)),2),IF($S120="YES",$N120,$N120-MinDrop)))</f>
        <v>0</v>
      </c>
      <c r="U120" s="243"/>
      <c r="V120" s="245"/>
      <c r="W120" s="245"/>
      <c r="X120" s="54"/>
      <c r="Y120" s="117"/>
      <c r="Z120" s="54"/>
      <c r="AA120" s="54"/>
      <c r="AB120" s="54"/>
      <c r="AC120" s="211"/>
    </row>
    <row r="121" spans="1:29" x14ac:dyDescent="0.3">
      <c r="A121" s="121"/>
      <c r="B121" s="204" t="b">
        <f>IF(Pipes!$B121,Pipes!$B121)</f>
        <v>0</v>
      </c>
      <c r="C121" s="205"/>
      <c r="D121" s="224"/>
      <c r="E121" s="224"/>
      <c r="F121" s="224">
        <f t="shared" si="342"/>
        <v>0</v>
      </c>
      <c r="G121" s="224"/>
      <c r="H121" s="224"/>
      <c r="I121" s="52"/>
      <c r="J121" s="52"/>
      <c r="K121" s="130"/>
      <c r="L121" s="206">
        <f t="shared" si="208"/>
        <v>0</v>
      </c>
      <c r="M121" s="206" t="b">
        <f t="shared" si="209"/>
        <v>0</v>
      </c>
      <c r="N121" s="207" t="b">
        <f t="shared" si="210"/>
        <v>0</v>
      </c>
      <c r="O121" s="209"/>
      <c r="P121" s="208">
        <f t="shared" si="346"/>
        <v>0</v>
      </c>
      <c r="Q121" s="53" t="b">
        <f t="shared" si="212"/>
        <v>0</v>
      </c>
      <c r="R121" s="53" t="b">
        <f t="shared" si="213"/>
        <v>0</v>
      </c>
      <c r="S121" s="241" t="s">
        <v>197</v>
      </c>
      <c r="T121" s="127" t="b">
        <f>IF($N121,IF($F121&gt;$P121,ROUND(($Q121-($F120/12)),2),IF($S121="YES",$N121,$N121-MinDrop)))</f>
        <v>0</v>
      </c>
      <c r="U121" s="210"/>
      <c r="V121" s="54"/>
      <c r="W121" s="54"/>
      <c r="X121" s="54"/>
      <c r="Y121" s="117"/>
      <c r="Z121" s="54"/>
      <c r="AA121" s="54"/>
      <c r="AB121" s="54"/>
      <c r="AC121" s="211"/>
    </row>
    <row r="122" spans="1:29" x14ac:dyDescent="0.3">
      <c r="A122" s="121"/>
      <c r="B122" s="204" t="b">
        <f>IF(Pipes!$B122,Pipes!$B122)</f>
        <v>0</v>
      </c>
      <c r="C122" s="205"/>
      <c r="D122" s="224"/>
      <c r="E122" s="224"/>
      <c r="F122" s="224">
        <f t="shared" si="342"/>
        <v>0</v>
      </c>
      <c r="G122" s="224"/>
      <c r="H122" s="224"/>
      <c r="I122" s="52"/>
      <c r="J122" s="52"/>
      <c r="K122" s="130"/>
      <c r="L122" s="206">
        <f t="shared" si="208"/>
        <v>0</v>
      </c>
      <c r="M122" s="206" t="b">
        <f t="shared" si="209"/>
        <v>0</v>
      </c>
      <c r="N122" s="207" t="b">
        <f t="shared" si="210"/>
        <v>0</v>
      </c>
      <c r="O122" s="209"/>
      <c r="P122" s="208">
        <f t="shared" si="346"/>
        <v>0</v>
      </c>
      <c r="Q122" s="53" t="b">
        <f t="shared" si="212"/>
        <v>0</v>
      </c>
      <c r="R122" s="53" t="b">
        <f t="shared" si="213"/>
        <v>0</v>
      </c>
      <c r="S122" s="241" t="s">
        <v>197</v>
      </c>
      <c r="T122" s="127" t="b">
        <f>IF($N122,IF($F122&gt;$P122,ROUND(($Q122-($F121/12)),2),IF($S122="YES",$N122,$N122-MinDrop)))</f>
        <v>0</v>
      </c>
      <c r="U122" s="210"/>
      <c r="V122" s="54"/>
      <c r="W122" s="54"/>
      <c r="X122" s="54"/>
      <c r="Y122" s="117"/>
      <c r="Z122" s="54"/>
      <c r="AA122" s="54"/>
      <c r="AB122" s="54"/>
      <c r="AC122" s="211"/>
    </row>
    <row r="123" spans="1:29" ht="15" thickBot="1" x14ac:dyDescent="0.35">
      <c r="A123" s="122"/>
      <c r="B123" s="204" t="b">
        <f>IF(Pipes!$B123,Pipes!$B123)</f>
        <v>0</v>
      </c>
      <c r="C123" s="212"/>
      <c r="D123" s="104"/>
      <c r="E123" s="104"/>
      <c r="F123" s="104">
        <f t="shared" si="342"/>
        <v>0</v>
      </c>
      <c r="G123" s="104"/>
      <c r="H123" s="104"/>
      <c r="I123" s="101"/>
      <c r="J123" s="101"/>
      <c r="K123" s="131"/>
      <c r="L123" s="213">
        <f t="shared" si="208"/>
        <v>0</v>
      </c>
      <c r="M123" s="213" t="b">
        <f t="shared" si="209"/>
        <v>0</v>
      </c>
      <c r="N123" s="214" t="b">
        <f t="shared" si="210"/>
        <v>0</v>
      </c>
      <c r="O123" s="216"/>
      <c r="P123" s="215">
        <f t="shared" si="346"/>
        <v>0</v>
      </c>
      <c r="Q123" s="103" t="b">
        <f t="shared" si="212"/>
        <v>0</v>
      </c>
      <c r="R123" s="53" t="b">
        <f t="shared" si="213"/>
        <v>0</v>
      </c>
      <c r="S123" s="241" t="s">
        <v>197</v>
      </c>
      <c r="T123" s="127" t="b">
        <f>IF($N123,IF($F123&gt;$P123,ROUND(($Q123-($F122/12)),2),IF($S123="YES",$N123,$N123-MinDrop)))</f>
        <v>0</v>
      </c>
      <c r="U123" s="217"/>
      <c r="V123" s="102"/>
      <c r="W123" s="102"/>
      <c r="X123" s="102"/>
      <c r="Y123" s="118"/>
      <c r="Z123" s="102"/>
      <c r="AA123" s="102"/>
      <c r="AB123" s="102"/>
      <c r="AC123" s="218"/>
    </row>
    <row r="124" spans="1:29" x14ac:dyDescent="0.3">
      <c r="A124" s="115">
        <f t="shared" ref="A124" si="349">$A119+1</f>
        <v>25</v>
      </c>
      <c r="B124" s="186"/>
      <c r="C124" s="201">
        <f>IF(Pipes!$Q124&gt;0,IF(Pipes!$R124&gt;MinDiameter,Pipes!$R124,MinDiameter),0)</f>
        <v>0</v>
      </c>
      <c r="D124" s="187" t="s">
        <v>197</v>
      </c>
      <c r="E124" s="187"/>
      <c r="F124" s="107">
        <f>Pipes!$S124</f>
        <v>0</v>
      </c>
      <c r="G124" s="108">
        <f>Pipes!$W124</f>
        <v>0</v>
      </c>
      <c r="H124" s="187" t="s">
        <v>197</v>
      </c>
      <c r="I124" s="188"/>
      <c r="J124" s="108">
        <f>Pipes!$X124</f>
        <v>0</v>
      </c>
      <c r="K124" s="193">
        <f>INDEX(Tribs!$H$3:$H$102,MATCH($A124,Tribs!$A$3:$A$102,0))</f>
        <v>0</v>
      </c>
      <c r="L124" s="105">
        <f>INDEX(Tribs!$I$3:$I$102,MATCH($A124,Tribs!$A$3:$A$102,0))</f>
        <v>0</v>
      </c>
      <c r="M124" s="105" t="b">
        <f>IF($L124,ROUND($L124-MinCover-($F124/12),2))</f>
        <v>0</v>
      </c>
      <c r="N124" s="202"/>
      <c r="O124" s="129">
        <f t="shared" ref="O124" si="350">MIN($N125:$N128)</f>
        <v>0</v>
      </c>
      <c r="P124" s="203"/>
      <c r="Q124" s="203"/>
      <c r="R124" s="203"/>
      <c r="S124" s="110"/>
      <c r="T124" s="116" t="b">
        <f t="shared" ref="T124" si="351">IF($M124,$M124)</f>
        <v>0</v>
      </c>
      <c r="U124" s="129">
        <f t="shared" ref="U124" si="352">MIN($T124:$T128)</f>
        <v>0</v>
      </c>
      <c r="V124" s="233" t="s">
        <v>197</v>
      </c>
      <c r="W124" s="219"/>
      <c r="X124" s="219" t="s">
        <v>197</v>
      </c>
      <c r="Y124" s="239"/>
      <c r="Z124" s="105">
        <f t="shared" ref="Z124" si="353">IF($V124="YES",$U124,IF($X124&lt;&gt;"YES",$W124,($AC124+$J124*$K124)))</f>
        <v>0</v>
      </c>
      <c r="AA124" s="105">
        <f t="shared" ref="AA124" si="354">ROUND($Z124+($F124/12),2)</f>
        <v>0</v>
      </c>
      <c r="AB124" s="105" t="b">
        <f t="shared" ref="AB124" si="355">IF($L124,($L124-$AA124))</f>
        <v>0</v>
      </c>
      <c r="AC124" s="111">
        <f t="shared" ref="AC124" si="356">IF(AND($V124&lt;&gt;"YES",$X124="YES"),$Y124,ROUND($Z124-($J124*$K124),2))</f>
        <v>0</v>
      </c>
    </row>
    <row r="125" spans="1:29" x14ac:dyDescent="0.3">
      <c r="A125" s="121"/>
      <c r="B125" s="204" t="b">
        <f>IF(Pipes!$B125,Pipes!$B125)</f>
        <v>0</v>
      </c>
      <c r="C125" s="205"/>
      <c r="D125" s="224"/>
      <c r="E125" s="224"/>
      <c r="F125" s="224">
        <f t="shared" ref="F125:F128" si="357">F124</f>
        <v>0</v>
      </c>
      <c r="G125" s="224"/>
      <c r="H125" s="224"/>
      <c r="I125" s="52"/>
      <c r="J125" s="52"/>
      <c r="K125" s="130"/>
      <c r="L125" s="206">
        <f t="shared" ref="L125" si="358">$L124</f>
        <v>0</v>
      </c>
      <c r="M125" s="206" t="b">
        <f t="shared" ref="M125" si="359">M124</f>
        <v>0</v>
      </c>
      <c r="N125" s="240" t="b">
        <f t="shared" ref="N125" si="360">IF($B125,INDEX($AC$4:$AC$499,MATCH($B125,$A$4:$A$499)))</f>
        <v>0</v>
      </c>
      <c r="O125" s="209"/>
      <c r="P125" s="208">
        <f t="shared" ref="P125:P128" si="361">IF($B125,INDEX($F$4:$F$499,MATCH($B125,$A$4:$A$499)),0)</f>
        <v>0</v>
      </c>
      <c r="Q125" s="242" t="b">
        <f t="shared" ref="Q125" si="362">IF($N125,ROUND(($N125+($P125/12)),2))</f>
        <v>0</v>
      </c>
      <c r="R125" s="53" t="b">
        <f t="shared" ref="R125" si="363">IF(AND($L125,$Q125),$L125-$Q125)</f>
        <v>0</v>
      </c>
      <c r="S125" s="241" t="s">
        <v>197</v>
      </c>
      <c r="T125" s="127" t="b">
        <f>IF($N125,IF($F125&gt;$P125,ROUND(($Q125-($F124/12)),2),IF($S125="YES",$N125,$N125-MinDrop)))</f>
        <v>0</v>
      </c>
      <c r="U125" s="243"/>
      <c r="V125" s="245"/>
      <c r="W125" s="245"/>
      <c r="X125" s="54"/>
      <c r="Y125" s="117"/>
      <c r="Z125" s="54"/>
      <c r="AA125" s="54"/>
      <c r="AB125" s="54"/>
      <c r="AC125" s="211"/>
    </row>
    <row r="126" spans="1:29" x14ac:dyDescent="0.3">
      <c r="A126" s="121"/>
      <c r="B126" s="204" t="b">
        <f>IF(Pipes!$B126,Pipes!$B126)</f>
        <v>0</v>
      </c>
      <c r="C126" s="205"/>
      <c r="D126" s="224"/>
      <c r="E126" s="224"/>
      <c r="F126" s="224">
        <f t="shared" si="357"/>
        <v>0</v>
      </c>
      <c r="G126" s="224"/>
      <c r="H126" s="224"/>
      <c r="I126" s="52"/>
      <c r="J126" s="52"/>
      <c r="K126" s="130"/>
      <c r="L126" s="206">
        <f t="shared" si="208"/>
        <v>0</v>
      </c>
      <c r="M126" s="206" t="b">
        <f t="shared" si="209"/>
        <v>0</v>
      </c>
      <c r="N126" s="207" t="b">
        <f t="shared" si="210"/>
        <v>0</v>
      </c>
      <c r="O126" s="209"/>
      <c r="P126" s="208">
        <f t="shared" si="361"/>
        <v>0</v>
      </c>
      <c r="Q126" s="53" t="b">
        <f t="shared" si="212"/>
        <v>0</v>
      </c>
      <c r="R126" s="53" t="b">
        <f t="shared" si="213"/>
        <v>0</v>
      </c>
      <c r="S126" s="241" t="s">
        <v>197</v>
      </c>
      <c r="T126" s="127" t="b">
        <f>IF($N126,IF($F126&gt;$P126,ROUND(($Q126-($F125/12)),2),IF($S126="YES",$N126,$N126-MinDrop)))</f>
        <v>0</v>
      </c>
      <c r="U126" s="210"/>
      <c r="V126" s="54"/>
      <c r="W126" s="54"/>
      <c r="X126" s="54"/>
      <c r="Y126" s="117"/>
      <c r="Z126" s="54"/>
      <c r="AA126" s="54"/>
      <c r="AB126" s="54"/>
      <c r="AC126" s="211"/>
    </row>
    <row r="127" spans="1:29" x14ac:dyDescent="0.3">
      <c r="A127" s="121"/>
      <c r="B127" s="204" t="b">
        <f>IF(Pipes!$B127,Pipes!$B127)</f>
        <v>0</v>
      </c>
      <c r="C127" s="205"/>
      <c r="D127" s="224"/>
      <c r="E127" s="224"/>
      <c r="F127" s="224">
        <f t="shared" si="357"/>
        <v>0</v>
      </c>
      <c r="G127" s="224"/>
      <c r="H127" s="224"/>
      <c r="I127" s="52"/>
      <c r="J127" s="52"/>
      <c r="K127" s="130"/>
      <c r="L127" s="206">
        <f t="shared" si="208"/>
        <v>0</v>
      </c>
      <c r="M127" s="206" t="b">
        <f t="shared" si="209"/>
        <v>0</v>
      </c>
      <c r="N127" s="207" t="b">
        <f t="shared" si="210"/>
        <v>0</v>
      </c>
      <c r="O127" s="209"/>
      <c r="P127" s="208">
        <f t="shared" si="361"/>
        <v>0</v>
      </c>
      <c r="Q127" s="53" t="b">
        <f t="shared" si="212"/>
        <v>0</v>
      </c>
      <c r="R127" s="53" t="b">
        <f t="shared" si="213"/>
        <v>0</v>
      </c>
      <c r="S127" s="241" t="s">
        <v>197</v>
      </c>
      <c r="T127" s="127" t="b">
        <f>IF($N127,IF($F127&gt;$P127,ROUND(($Q127-($F126/12)),2),IF($S127="YES",$N127,$N127-MinDrop)))</f>
        <v>0</v>
      </c>
      <c r="U127" s="210"/>
      <c r="V127" s="54"/>
      <c r="W127" s="54"/>
      <c r="X127" s="54"/>
      <c r="Y127" s="117"/>
      <c r="Z127" s="54"/>
      <c r="AA127" s="54"/>
      <c r="AB127" s="54"/>
      <c r="AC127" s="211"/>
    </row>
    <row r="128" spans="1:29" ht="15" thickBot="1" x14ac:dyDescent="0.35">
      <c r="A128" s="122"/>
      <c r="B128" s="204" t="b">
        <f>IF(Pipes!$B128,Pipes!$B128)</f>
        <v>0</v>
      </c>
      <c r="C128" s="212"/>
      <c r="D128" s="104"/>
      <c r="E128" s="104"/>
      <c r="F128" s="104">
        <f t="shared" si="357"/>
        <v>0</v>
      </c>
      <c r="G128" s="104"/>
      <c r="H128" s="104"/>
      <c r="I128" s="101"/>
      <c r="J128" s="101"/>
      <c r="K128" s="131"/>
      <c r="L128" s="213">
        <f t="shared" si="208"/>
        <v>0</v>
      </c>
      <c r="M128" s="213" t="b">
        <f t="shared" si="209"/>
        <v>0</v>
      </c>
      <c r="N128" s="214" t="b">
        <f t="shared" si="210"/>
        <v>0</v>
      </c>
      <c r="O128" s="216"/>
      <c r="P128" s="215">
        <f t="shared" si="361"/>
        <v>0</v>
      </c>
      <c r="Q128" s="103" t="b">
        <f t="shared" si="212"/>
        <v>0</v>
      </c>
      <c r="R128" s="53" t="b">
        <f t="shared" si="213"/>
        <v>0</v>
      </c>
      <c r="S128" s="241" t="s">
        <v>197</v>
      </c>
      <c r="T128" s="127" t="b">
        <f>IF($N128,IF($F128&gt;$P128,ROUND(($Q128-($F127/12)),2),IF($S128="YES",$N128,$N128-MinDrop)))</f>
        <v>0</v>
      </c>
      <c r="U128" s="217"/>
      <c r="V128" s="102"/>
      <c r="W128" s="102"/>
      <c r="X128" s="102"/>
      <c r="Y128" s="118"/>
      <c r="Z128" s="102"/>
      <c r="AA128" s="102"/>
      <c r="AB128" s="102"/>
      <c r="AC128" s="218"/>
    </row>
    <row r="129" spans="1:29" x14ac:dyDescent="0.3">
      <c r="A129" s="115">
        <f t="shared" ref="A129" si="364">$A124+1</f>
        <v>26</v>
      </c>
      <c r="B129" s="186"/>
      <c r="C129" s="201">
        <f>IF(Pipes!$Q129&gt;0,IF(Pipes!$R129&gt;MinDiameter,Pipes!$R129,MinDiameter),0)</f>
        <v>0</v>
      </c>
      <c r="D129" s="187" t="s">
        <v>197</v>
      </c>
      <c r="E129" s="187"/>
      <c r="F129" s="107">
        <f>Pipes!$S129</f>
        <v>0</v>
      </c>
      <c r="G129" s="108">
        <f>Pipes!$W129</f>
        <v>0</v>
      </c>
      <c r="H129" s="187" t="s">
        <v>197</v>
      </c>
      <c r="I129" s="188"/>
      <c r="J129" s="108">
        <f>Pipes!$X129</f>
        <v>0</v>
      </c>
      <c r="K129" s="193">
        <f>INDEX(Tribs!$H$3:$H$102,MATCH($A129,Tribs!$A$3:$A$102,0))</f>
        <v>0</v>
      </c>
      <c r="L129" s="105">
        <f>INDEX(Tribs!$I$3:$I$102,MATCH($A129,Tribs!$A$3:$A$102,0))</f>
        <v>0</v>
      </c>
      <c r="M129" s="105" t="b">
        <f>IF($L129,ROUND($L129-MinCover-($F129/12),2))</f>
        <v>0</v>
      </c>
      <c r="N129" s="202"/>
      <c r="O129" s="129">
        <f t="shared" ref="O129" si="365">MIN($N130:$N133)</f>
        <v>0</v>
      </c>
      <c r="P129" s="203"/>
      <c r="Q129" s="203"/>
      <c r="R129" s="203"/>
      <c r="S129" s="110"/>
      <c r="T129" s="116" t="b">
        <f t="shared" ref="T129" si="366">IF($M129,$M129)</f>
        <v>0</v>
      </c>
      <c r="U129" s="129">
        <f t="shared" ref="U129" si="367">MIN($T129:$T133)</f>
        <v>0</v>
      </c>
      <c r="V129" s="233" t="s">
        <v>197</v>
      </c>
      <c r="W129" s="219"/>
      <c r="X129" s="219" t="s">
        <v>197</v>
      </c>
      <c r="Y129" s="239"/>
      <c r="Z129" s="105">
        <f t="shared" ref="Z129" si="368">IF($V129="YES",$U129,IF($X129&lt;&gt;"YES",$W129,($AC129+$J129*$K129)))</f>
        <v>0</v>
      </c>
      <c r="AA129" s="105">
        <f t="shared" ref="AA129" si="369">ROUND($Z129+($F129/12),2)</f>
        <v>0</v>
      </c>
      <c r="AB129" s="105" t="b">
        <f t="shared" ref="AB129" si="370">IF($L129,($L129-$AA129))</f>
        <v>0</v>
      </c>
      <c r="AC129" s="111">
        <f t="shared" ref="AC129" si="371">IF(AND($V129&lt;&gt;"YES",$X129="YES"),$Y129,ROUND($Z129-($J129*$K129),2))</f>
        <v>0</v>
      </c>
    </row>
    <row r="130" spans="1:29" x14ac:dyDescent="0.3">
      <c r="A130" s="121"/>
      <c r="B130" s="204" t="b">
        <f>IF(Pipes!$B130,Pipes!$B130)</f>
        <v>0</v>
      </c>
      <c r="C130" s="205"/>
      <c r="D130" s="224"/>
      <c r="E130" s="224"/>
      <c r="F130" s="224">
        <f t="shared" ref="F130:F133" si="372">F129</f>
        <v>0</v>
      </c>
      <c r="G130" s="224"/>
      <c r="H130" s="224"/>
      <c r="I130" s="52"/>
      <c r="J130" s="52"/>
      <c r="K130" s="130"/>
      <c r="L130" s="206">
        <f t="shared" ref="L130" si="373">$L129</f>
        <v>0</v>
      </c>
      <c r="M130" s="206" t="b">
        <f t="shared" ref="M130" si="374">M129</f>
        <v>0</v>
      </c>
      <c r="N130" s="240" t="b">
        <f t="shared" ref="N130" si="375">IF($B130,INDEX($AC$4:$AC$499,MATCH($B130,$A$4:$A$499)))</f>
        <v>0</v>
      </c>
      <c r="O130" s="209"/>
      <c r="P130" s="208">
        <f t="shared" ref="P130:P133" si="376">IF($B130,INDEX($F$4:$F$499,MATCH($B130,$A$4:$A$499)),0)</f>
        <v>0</v>
      </c>
      <c r="Q130" s="242" t="b">
        <f t="shared" ref="Q130" si="377">IF($N130,ROUND(($N130+($P130/12)),2))</f>
        <v>0</v>
      </c>
      <c r="R130" s="53" t="b">
        <f t="shared" ref="R130" si="378">IF(AND($L130,$Q130),$L130-$Q130)</f>
        <v>0</v>
      </c>
      <c r="S130" s="241" t="s">
        <v>197</v>
      </c>
      <c r="T130" s="127" t="b">
        <f>IF($N130,IF($F130&gt;$P130,ROUND(($Q130-($F129/12)),2),IF($S130="YES",$N130,$N130-MinDrop)))</f>
        <v>0</v>
      </c>
      <c r="U130" s="243"/>
      <c r="V130" s="245"/>
      <c r="W130" s="245"/>
      <c r="X130" s="54"/>
      <c r="Y130" s="117"/>
      <c r="Z130" s="54"/>
      <c r="AA130" s="54"/>
      <c r="AB130" s="54"/>
      <c r="AC130" s="211"/>
    </row>
    <row r="131" spans="1:29" x14ac:dyDescent="0.3">
      <c r="A131" s="121"/>
      <c r="B131" s="204" t="b">
        <f>IF(Pipes!$B131,Pipes!$B131)</f>
        <v>0</v>
      </c>
      <c r="C131" s="205"/>
      <c r="D131" s="224"/>
      <c r="E131" s="224"/>
      <c r="F131" s="224">
        <f t="shared" si="372"/>
        <v>0</v>
      </c>
      <c r="G131" s="224"/>
      <c r="H131" s="224"/>
      <c r="I131" s="52"/>
      <c r="J131" s="52"/>
      <c r="K131" s="130"/>
      <c r="L131" s="206">
        <f t="shared" si="208"/>
        <v>0</v>
      </c>
      <c r="M131" s="206" t="b">
        <f t="shared" si="209"/>
        <v>0</v>
      </c>
      <c r="N131" s="207" t="b">
        <f t="shared" si="210"/>
        <v>0</v>
      </c>
      <c r="O131" s="209"/>
      <c r="P131" s="208">
        <f t="shared" si="376"/>
        <v>0</v>
      </c>
      <c r="Q131" s="53" t="b">
        <f t="shared" si="212"/>
        <v>0</v>
      </c>
      <c r="R131" s="53" t="b">
        <f t="shared" si="213"/>
        <v>0</v>
      </c>
      <c r="S131" s="241" t="s">
        <v>197</v>
      </c>
      <c r="T131" s="127" t="b">
        <f>IF($N131,IF($F131&gt;$P131,ROUND(($Q131-($F130/12)),2),IF($S131="YES",$N131,$N131-MinDrop)))</f>
        <v>0</v>
      </c>
      <c r="U131" s="210"/>
      <c r="V131" s="54"/>
      <c r="W131" s="54"/>
      <c r="X131" s="54"/>
      <c r="Y131" s="117"/>
      <c r="Z131" s="54"/>
      <c r="AA131" s="54"/>
      <c r="AB131" s="54"/>
      <c r="AC131" s="211"/>
    </row>
    <row r="132" spans="1:29" x14ac:dyDescent="0.3">
      <c r="A132" s="121"/>
      <c r="B132" s="204" t="b">
        <f>IF(Pipes!$B132,Pipes!$B132)</f>
        <v>0</v>
      </c>
      <c r="C132" s="205"/>
      <c r="D132" s="224"/>
      <c r="E132" s="224"/>
      <c r="F132" s="224">
        <f t="shared" si="372"/>
        <v>0</v>
      </c>
      <c r="G132" s="224"/>
      <c r="H132" s="224"/>
      <c r="I132" s="52"/>
      <c r="J132" s="52"/>
      <c r="K132" s="130"/>
      <c r="L132" s="206">
        <f t="shared" si="208"/>
        <v>0</v>
      </c>
      <c r="M132" s="206" t="b">
        <f t="shared" si="209"/>
        <v>0</v>
      </c>
      <c r="N132" s="207" t="b">
        <f t="shared" si="210"/>
        <v>0</v>
      </c>
      <c r="O132" s="209"/>
      <c r="P132" s="208">
        <f t="shared" si="376"/>
        <v>0</v>
      </c>
      <c r="Q132" s="53" t="b">
        <f t="shared" si="212"/>
        <v>0</v>
      </c>
      <c r="R132" s="53" t="b">
        <f t="shared" si="213"/>
        <v>0</v>
      </c>
      <c r="S132" s="241" t="s">
        <v>197</v>
      </c>
      <c r="T132" s="127" t="b">
        <f>IF($N132,IF($F132&gt;$P132,ROUND(($Q132-($F131/12)),2),IF($S132="YES",$N132,$N132-MinDrop)))</f>
        <v>0</v>
      </c>
      <c r="U132" s="210"/>
      <c r="V132" s="54"/>
      <c r="W132" s="54"/>
      <c r="X132" s="54"/>
      <c r="Y132" s="117"/>
      <c r="Z132" s="54"/>
      <c r="AA132" s="54"/>
      <c r="AB132" s="54"/>
      <c r="AC132" s="211"/>
    </row>
    <row r="133" spans="1:29" ht="15" thickBot="1" x14ac:dyDescent="0.35">
      <c r="A133" s="122"/>
      <c r="B133" s="204" t="b">
        <f>IF(Pipes!$B133,Pipes!$B133)</f>
        <v>0</v>
      </c>
      <c r="C133" s="212"/>
      <c r="D133" s="104"/>
      <c r="E133" s="104"/>
      <c r="F133" s="104">
        <f t="shared" si="372"/>
        <v>0</v>
      </c>
      <c r="G133" s="104"/>
      <c r="H133" s="104"/>
      <c r="I133" s="101"/>
      <c r="J133" s="101"/>
      <c r="K133" s="131"/>
      <c r="L133" s="213">
        <f t="shared" si="208"/>
        <v>0</v>
      </c>
      <c r="M133" s="213" t="b">
        <f t="shared" si="209"/>
        <v>0</v>
      </c>
      <c r="N133" s="214" t="b">
        <f t="shared" si="210"/>
        <v>0</v>
      </c>
      <c r="O133" s="216"/>
      <c r="P133" s="215">
        <f t="shared" si="376"/>
        <v>0</v>
      </c>
      <c r="Q133" s="103" t="b">
        <f t="shared" si="212"/>
        <v>0</v>
      </c>
      <c r="R133" s="53" t="b">
        <f t="shared" si="213"/>
        <v>0</v>
      </c>
      <c r="S133" s="241" t="s">
        <v>197</v>
      </c>
      <c r="T133" s="127" t="b">
        <f>IF($N133,IF($F133&gt;$P133,ROUND(($Q133-($F132/12)),2),IF($S133="YES",$N133,$N133-MinDrop)))</f>
        <v>0</v>
      </c>
      <c r="U133" s="217"/>
      <c r="V133" s="102"/>
      <c r="W133" s="102"/>
      <c r="X133" s="102"/>
      <c r="Y133" s="118"/>
      <c r="Z133" s="102"/>
      <c r="AA133" s="102"/>
      <c r="AB133" s="102"/>
      <c r="AC133" s="218"/>
    </row>
    <row r="134" spans="1:29" x14ac:dyDescent="0.3">
      <c r="A134" s="115">
        <f t="shared" ref="A134" si="379">$A129+1</f>
        <v>27</v>
      </c>
      <c r="B134" s="186"/>
      <c r="C134" s="201">
        <f>IF(Pipes!$Q134&gt;0,IF(Pipes!$R134&gt;MinDiameter,Pipes!$R134,MinDiameter),0)</f>
        <v>0</v>
      </c>
      <c r="D134" s="187" t="s">
        <v>197</v>
      </c>
      <c r="E134" s="187"/>
      <c r="F134" s="107">
        <f>Pipes!$S134</f>
        <v>0</v>
      </c>
      <c r="G134" s="108">
        <f>Pipes!$W134</f>
        <v>0</v>
      </c>
      <c r="H134" s="187" t="s">
        <v>197</v>
      </c>
      <c r="I134" s="188"/>
      <c r="J134" s="108">
        <f>Pipes!$X134</f>
        <v>0</v>
      </c>
      <c r="K134" s="193">
        <f>INDEX(Tribs!$H$3:$H$102,MATCH($A134,Tribs!$A$3:$A$102,0))</f>
        <v>0</v>
      </c>
      <c r="L134" s="105">
        <f>INDEX(Tribs!$I$3:$I$102,MATCH($A134,Tribs!$A$3:$A$102,0))</f>
        <v>0</v>
      </c>
      <c r="M134" s="105" t="b">
        <f>IF($L134,ROUND($L134-MinCover-($F134/12),2))</f>
        <v>0</v>
      </c>
      <c r="N134" s="202"/>
      <c r="O134" s="129">
        <f t="shared" ref="O134" si="380">MIN($N135:$N138)</f>
        <v>0</v>
      </c>
      <c r="P134" s="203"/>
      <c r="Q134" s="203"/>
      <c r="R134" s="203"/>
      <c r="S134" s="110"/>
      <c r="T134" s="116" t="b">
        <f t="shared" ref="T134" si="381">IF($M134,$M134)</f>
        <v>0</v>
      </c>
      <c r="U134" s="129">
        <f t="shared" ref="U134" si="382">MIN($T134:$T138)</f>
        <v>0</v>
      </c>
      <c r="V134" s="233" t="s">
        <v>197</v>
      </c>
      <c r="W134" s="219"/>
      <c r="X134" s="219" t="s">
        <v>197</v>
      </c>
      <c r="Y134" s="239"/>
      <c r="Z134" s="105">
        <f t="shared" ref="Z134" si="383">IF($V134="YES",$U134,IF($X134&lt;&gt;"YES",$W134,($AC134+$J134*$K134)))</f>
        <v>0</v>
      </c>
      <c r="AA134" s="105">
        <f t="shared" ref="AA134" si="384">ROUND($Z134+($F134/12),2)</f>
        <v>0</v>
      </c>
      <c r="AB134" s="105" t="b">
        <f t="shared" ref="AB134" si="385">IF($L134,($L134-$AA134))</f>
        <v>0</v>
      </c>
      <c r="AC134" s="111">
        <f t="shared" ref="AC134" si="386">IF(AND($V134&lt;&gt;"YES",$X134="YES"),$Y134,ROUND($Z134-($J134*$K134),2))</f>
        <v>0</v>
      </c>
    </row>
    <row r="135" spans="1:29" x14ac:dyDescent="0.3">
      <c r="A135" s="121"/>
      <c r="B135" s="204" t="b">
        <f>IF(Pipes!$B135,Pipes!$B135)</f>
        <v>0</v>
      </c>
      <c r="C135" s="205"/>
      <c r="D135" s="224"/>
      <c r="E135" s="224"/>
      <c r="F135" s="224">
        <f t="shared" ref="F135:F138" si="387">F134</f>
        <v>0</v>
      </c>
      <c r="G135" s="224"/>
      <c r="H135" s="224"/>
      <c r="I135" s="52"/>
      <c r="J135" s="52"/>
      <c r="K135" s="130"/>
      <c r="L135" s="206">
        <f t="shared" ref="L135" si="388">$L134</f>
        <v>0</v>
      </c>
      <c r="M135" s="206" t="b">
        <f t="shared" ref="M135" si="389">M134</f>
        <v>0</v>
      </c>
      <c r="N135" s="240" t="b">
        <f t="shared" ref="N135" si="390">IF($B135,INDEX($AC$4:$AC$499,MATCH($B135,$A$4:$A$499)))</f>
        <v>0</v>
      </c>
      <c r="O135" s="209"/>
      <c r="P135" s="208">
        <f t="shared" ref="P135:P138" si="391">IF($B135,INDEX($F$4:$F$499,MATCH($B135,$A$4:$A$499)),0)</f>
        <v>0</v>
      </c>
      <c r="Q135" s="242" t="b">
        <f t="shared" ref="Q135" si="392">IF($N135,ROUND(($N135+($P135/12)),2))</f>
        <v>0</v>
      </c>
      <c r="R135" s="53" t="b">
        <f t="shared" ref="R135" si="393">IF(AND($L135,$Q135),$L135-$Q135)</f>
        <v>0</v>
      </c>
      <c r="S135" s="241" t="s">
        <v>197</v>
      </c>
      <c r="T135" s="127" t="b">
        <f>IF($N135,IF($F135&gt;$P135,ROUND(($Q135-($F134/12)),2),IF($S135="YES",$N135,$N135-MinDrop)))</f>
        <v>0</v>
      </c>
      <c r="U135" s="243"/>
      <c r="V135" s="245"/>
      <c r="W135" s="245"/>
      <c r="X135" s="54"/>
      <c r="Y135" s="117"/>
      <c r="Z135" s="54"/>
      <c r="AA135" s="54"/>
      <c r="AB135" s="54"/>
      <c r="AC135" s="211"/>
    </row>
    <row r="136" spans="1:29" x14ac:dyDescent="0.3">
      <c r="A136" s="121"/>
      <c r="B136" s="204" t="b">
        <f>IF(Pipes!$B136,Pipes!$B136)</f>
        <v>0</v>
      </c>
      <c r="C136" s="205"/>
      <c r="D136" s="224"/>
      <c r="E136" s="224"/>
      <c r="F136" s="224">
        <f t="shared" si="387"/>
        <v>0</v>
      </c>
      <c r="G136" s="224"/>
      <c r="H136" s="224"/>
      <c r="I136" s="52"/>
      <c r="J136" s="52"/>
      <c r="K136" s="130"/>
      <c r="L136" s="206">
        <f t="shared" si="208"/>
        <v>0</v>
      </c>
      <c r="M136" s="206" t="b">
        <f t="shared" si="209"/>
        <v>0</v>
      </c>
      <c r="N136" s="207" t="b">
        <f t="shared" si="210"/>
        <v>0</v>
      </c>
      <c r="O136" s="209"/>
      <c r="P136" s="208">
        <f t="shared" si="391"/>
        <v>0</v>
      </c>
      <c r="Q136" s="53" t="b">
        <f t="shared" si="212"/>
        <v>0</v>
      </c>
      <c r="R136" s="53" t="b">
        <f t="shared" si="213"/>
        <v>0</v>
      </c>
      <c r="S136" s="241" t="s">
        <v>197</v>
      </c>
      <c r="T136" s="127" t="b">
        <f>IF($N136,IF($F136&gt;$P136,ROUND(($Q136-($F135/12)),2),IF($S136="YES",$N136,$N136-MinDrop)))</f>
        <v>0</v>
      </c>
      <c r="U136" s="210"/>
      <c r="V136" s="54"/>
      <c r="W136" s="54"/>
      <c r="X136" s="54"/>
      <c r="Y136" s="117"/>
      <c r="Z136" s="54"/>
      <c r="AA136" s="54"/>
      <c r="AB136" s="54"/>
      <c r="AC136" s="211"/>
    </row>
    <row r="137" spans="1:29" x14ac:dyDescent="0.3">
      <c r="A137" s="121"/>
      <c r="B137" s="204" t="b">
        <f>IF(Pipes!$B137,Pipes!$B137)</f>
        <v>0</v>
      </c>
      <c r="C137" s="205"/>
      <c r="D137" s="224"/>
      <c r="E137" s="224"/>
      <c r="F137" s="224">
        <f t="shared" si="387"/>
        <v>0</v>
      </c>
      <c r="G137" s="224"/>
      <c r="H137" s="224"/>
      <c r="I137" s="52"/>
      <c r="J137" s="52"/>
      <c r="K137" s="130"/>
      <c r="L137" s="206">
        <f t="shared" si="208"/>
        <v>0</v>
      </c>
      <c r="M137" s="206" t="b">
        <f t="shared" si="209"/>
        <v>0</v>
      </c>
      <c r="N137" s="207" t="b">
        <f t="shared" si="210"/>
        <v>0</v>
      </c>
      <c r="O137" s="209"/>
      <c r="P137" s="208">
        <f t="shared" si="391"/>
        <v>0</v>
      </c>
      <c r="Q137" s="53" t="b">
        <f t="shared" si="212"/>
        <v>0</v>
      </c>
      <c r="R137" s="53" t="b">
        <f t="shared" si="213"/>
        <v>0</v>
      </c>
      <c r="S137" s="241" t="s">
        <v>197</v>
      </c>
      <c r="T137" s="127" t="b">
        <f>IF($N137,IF($F137&gt;$P137,ROUND(($Q137-($F136/12)),2),IF($S137="YES",$N137,$N137-MinDrop)))</f>
        <v>0</v>
      </c>
      <c r="U137" s="210"/>
      <c r="V137" s="54"/>
      <c r="W137" s="54"/>
      <c r="X137" s="54"/>
      <c r="Y137" s="117"/>
      <c r="Z137" s="54"/>
      <c r="AA137" s="54"/>
      <c r="AB137" s="54"/>
      <c r="AC137" s="211"/>
    </row>
    <row r="138" spans="1:29" ht="15" thickBot="1" x14ac:dyDescent="0.35">
      <c r="A138" s="122"/>
      <c r="B138" s="204" t="b">
        <f>IF(Pipes!$B138,Pipes!$B138)</f>
        <v>0</v>
      </c>
      <c r="C138" s="212"/>
      <c r="D138" s="104"/>
      <c r="E138" s="104"/>
      <c r="F138" s="104">
        <f t="shared" si="387"/>
        <v>0</v>
      </c>
      <c r="G138" s="104"/>
      <c r="H138" s="104"/>
      <c r="I138" s="101"/>
      <c r="J138" s="101"/>
      <c r="K138" s="131"/>
      <c r="L138" s="213">
        <f t="shared" si="208"/>
        <v>0</v>
      </c>
      <c r="M138" s="213" t="b">
        <f t="shared" si="209"/>
        <v>0</v>
      </c>
      <c r="N138" s="214" t="b">
        <f t="shared" si="210"/>
        <v>0</v>
      </c>
      <c r="O138" s="216"/>
      <c r="P138" s="215">
        <f t="shared" si="391"/>
        <v>0</v>
      </c>
      <c r="Q138" s="103" t="b">
        <f t="shared" si="212"/>
        <v>0</v>
      </c>
      <c r="R138" s="53" t="b">
        <f t="shared" si="213"/>
        <v>0</v>
      </c>
      <c r="S138" s="241" t="s">
        <v>197</v>
      </c>
      <c r="T138" s="127" t="b">
        <f>IF($N138,IF($F138&gt;$P138,ROUND(($Q138-($F137/12)),2),IF($S138="YES",$N138,$N138-MinDrop)))</f>
        <v>0</v>
      </c>
      <c r="U138" s="217"/>
      <c r="V138" s="102"/>
      <c r="W138" s="102"/>
      <c r="X138" s="102"/>
      <c r="Y138" s="118"/>
      <c r="Z138" s="102"/>
      <c r="AA138" s="102"/>
      <c r="AB138" s="102"/>
      <c r="AC138" s="218"/>
    </row>
    <row r="139" spans="1:29" x14ac:dyDescent="0.3">
      <c r="A139" s="115">
        <f t="shared" ref="A139" si="394">$A134+1</f>
        <v>28</v>
      </c>
      <c r="B139" s="186"/>
      <c r="C139" s="201">
        <f>IF(Pipes!$Q139&gt;0,IF(Pipes!$R139&gt;MinDiameter,Pipes!$R139,MinDiameter),0)</f>
        <v>0</v>
      </c>
      <c r="D139" s="187" t="s">
        <v>197</v>
      </c>
      <c r="E139" s="187"/>
      <c r="F139" s="107">
        <f>Pipes!$S139</f>
        <v>0</v>
      </c>
      <c r="G139" s="108">
        <f>Pipes!$W139</f>
        <v>0</v>
      </c>
      <c r="H139" s="187" t="s">
        <v>197</v>
      </c>
      <c r="I139" s="188"/>
      <c r="J139" s="108">
        <f>Pipes!$X139</f>
        <v>0</v>
      </c>
      <c r="K139" s="193">
        <f>INDEX(Tribs!$H$3:$H$102,MATCH($A139,Tribs!$A$3:$A$102,0))</f>
        <v>0</v>
      </c>
      <c r="L139" s="105">
        <f>INDEX(Tribs!$I$3:$I$102,MATCH($A139,Tribs!$A$3:$A$102,0))</f>
        <v>0</v>
      </c>
      <c r="M139" s="105" t="b">
        <f>IF($L139,ROUND($L139-MinCover-($F139/12),2))</f>
        <v>0</v>
      </c>
      <c r="N139" s="202"/>
      <c r="O139" s="129">
        <f t="shared" ref="O139" si="395">MIN($N140:$N143)</f>
        <v>0</v>
      </c>
      <c r="P139" s="203"/>
      <c r="Q139" s="203"/>
      <c r="R139" s="203"/>
      <c r="S139" s="110"/>
      <c r="T139" s="116" t="b">
        <f t="shared" ref="T139" si="396">IF($M139,$M139)</f>
        <v>0</v>
      </c>
      <c r="U139" s="129">
        <f t="shared" ref="U139" si="397">MIN($T139:$T143)</f>
        <v>0</v>
      </c>
      <c r="V139" s="233" t="s">
        <v>197</v>
      </c>
      <c r="W139" s="219"/>
      <c r="X139" s="219" t="s">
        <v>197</v>
      </c>
      <c r="Y139" s="239"/>
      <c r="Z139" s="105">
        <f t="shared" ref="Z139" si="398">IF($V139="YES",$U139,IF($X139&lt;&gt;"YES",$W139,($AC139+$J139*$K139)))</f>
        <v>0</v>
      </c>
      <c r="AA139" s="105">
        <f t="shared" ref="AA139" si="399">ROUND($Z139+($F139/12),2)</f>
        <v>0</v>
      </c>
      <c r="AB139" s="105" t="b">
        <f t="shared" ref="AB139" si="400">IF($L139,($L139-$AA139))</f>
        <v>0</v>
      </c>
      <c r="AC139" s="111">
        <f t="shared" ref="AC139" si="401">IF(AND($V139&lt;&gt;"YES",$X139="YES"),$Y139,ROUND($Z139-($J139*$K139),2))</f>
        <v>0</v>
      </c>
    </row>
    <row r="140" spans="1:29" x14ac:dyDescent="0.3">
      <c r="A140" s="121"/>
      <c r="B140" s="204" t="b">
        <f>IF(Pipes!$B140,Pipes!$B140)</f>
        <v>0</v>
      </c>
      <c r="C140" s="205"/>
      <c r="D140" s="224"/>
      <c r="E140" s="224"/>
      <c r="F140" s="224">
        <f t="shared" ref="F140:F143" si="402">F139</f>
        <v>0</v>
      </c>
      <c r="G140" s="224"/>
      <c r="H140" s="224"/>
      <c r="I140" s="52"/>
      <c r="J140" s="52"/>
      <c r="K140" s="130"/>
      <c r="L140" s="206">
        <f t="shared" ref="L140:L203" si="403">$L139</f>
        <v>0</v>
      </c>
      <c r="M140" s="206" t="b">
        <f t="shared" ref="M140:M203" si="404">M139</f>
        <v>0</v>
      </c>
      <c r="N140" s="240" t="b">
        <f t="shared" ref="N140:N203" si="405">IF($B140,INDEX($AC$4:$AC$499,MATCH($B140,$A$4:$A$499)))</f>
        <v>0</v>
      </c>
      <c r="O140" s="209"/>
      <c r="P140" s="208">
        <f t="shared" ref="P140:P143" si="406">IF($B140,INDEX($F$4:$F$499,MATCH($B140,$A$4:$A$499)),0)</f>
        <v>0</v>
      </c>
      <c r="Q140" s="242" t="b">
        <f t="shared" ref="Q140:Q203" si="407">IF($N140,ROUND(($N140+($P140/12)),2))</f>
        <v>0</v>
      </c>
      <c r="R140" s="53" t="b">
        <f t="shared" ref="R140:R203" si="408">IF(AND($L140,$Q140),$L140-$Q140)</f>
        <v>0</v>
      </c>
      <c r="S140" s="241" t="s">
        <v>197</v>
      </c>
      <c r="T140" s="127" t="b">
        <f>IF($N140,IF($F140&gt;$P140,ROUND(($Q140-($F139/12)),2),IF($S140="YES",$N140,$N140-MinDrop)))</f>
        <v>0</v>
      </c>
      <c r="U140" s="243"/>
      <c r="V140" s="245"/>
      <c r="W140" s="245"/>
      <c r="X140" s="54"/>
      <c r="Y140" s="117"/>
      <c r="Z140" s="54"/>
      <c r="AA140" s="54"/>
      <c r="AB140" s="54"/>
      <c r="AC140" s="211"/>
    </row>
    <row r="141" spans="1:29" x14ac:dyDescent="0.3">
      <c r="A141" s="121"/>
      <c r="B141" s="204" t="b">
        <f>IF(Pipes!$B141,Pipes!$B141)</f>
        <v>0</v>
      </c>
      <c r="C141" s="205"/>
      <c r="D141" s="224"/>
      <c r="E141" s="224"/>
      <c r="F141" s="224">
        <f t="shared" si="402"/>
        <v>0</v>
      </c>
      <c r="G141" s="224"/>
      <c r="H141" s="224"/>
      <c r="I141" s="52"/>
      <c r="J141" s="52"/>
      <c r="K141" s="130"/>
      <c r="L141" s="206">
        <f t="shared" si="403"/>
        <v>0</v>
      </c>
      <c r="M141" s="206" t="b">
        <f t="shared" si="404"/>
        <v>0</v>
      </c>
      <c r="N141" s="207" t="b">
        <f t="shared" si="405"/>
        <v>0</v>
      </c>
      <c r="O141" s="209"/>
      <c r="P141" s="208">
        <f t="shared" si="406"/>
        <v>0</v>
      </c>
      <c r="Q141" s="53" t="b">
        <f t="shared" si="407"/>
        <v>0</v>
      </c>
      <c r="R141" s="53" t="b">
        <f t="shared" si="408"/>
        <v>0</v>
      </c>
      <c r="S141" s="241" t="s">
        <v>197</v>
      </c>
      <c r="T141" s="127" t="b">
        <f>IF($N141,IF($F141&gt;$P141,ROUND(($Q141-($F140/12)),2),IF($S141="YES",$N141,$N141-MinDrop)))</f>
        <v>0</v>
      </c>
      <c r="U141" s="210"/>
      <c r="V141" s="54"/>
      <c r="W141" s="54"/>
      <c r="X141" s="54"/>
      <c r="Y141" s="117"/>
      <c r="Z141" s="54"/>
      <c r="AA141" s="54"/>
      <c r="AB141" s="54"/>
      <c r="AC141" s="211"/>
    </row>
    <row r="142" spans="1:29" x14ac:dyDescent="0.3">
      <c r="A142" s="121"/>
      <c r="B142" s="204" t="b">
        <f>IF(Pipes!$B142,Pipes!$B142)</f>
        <v>0</v>
      </c>
      <c r="C142" s="205"/>
      <c r="D142" s="224"/>
      <c r="E142" s="224"/>
      <c r="F142" s="224">
        <f t="shared" si="402"/>
        <v>0</v>
      </c>
      <c r="G142" s="224"/>
      <c r="H142" s="224"/>
      <c r="I142" s="52"/>
      <c r="J142" s="52"/>
      <c r="K142" s="130"/>
      <c r="L142" s="206">
        <f t="shared" si="403"/>
        <v>0</v>
      </c>
      <c r="M142" s="206" t="b">
        <f t="shared" si="404"/>
        <v>0</v>
      </c>
      <c r="N142" s="207" t="b">
        <f t="shared" si="405"/>
        <v>0</v>
      </c>
      <c r="O142" s="209"/>
      <c r="P142" s="208">
        <f t="shared" si="406"/>
        <v>0</v>
      </c>
      <c r="Q142" s="53" t="b">
        <f t="shared" si="407"/>
        <v>0</v>
      </c>
      <c r="R142" s="53" t="b">
        <f t="shared" si="408"/>
        <v>0</v>
      </c>
      <c r="S142" s="241" t="s">
        <v>197</v>
      </c>
      <c r="T142" s="127" t="b">
        <f>IF($N142,IF($F142&gt;$P142,ROUND(($Q142-($F141/12)),2),IF($S142="YES",$N142,$N142-MinDrop)))</f>
        <v>0</v>
      </c>
      <c r="U142" s="210"/>
      <c r="V142" s="54"/>
      <c r="W142" s="54"/>
      <c r="X142" s="54"/>
      <c r="Y142" s="117"/>
      <c r="Z142" s="54"/>
      <c r="AA142" s="54"/>
      <c r="AB142" s="54"/>
      <c r="AC142" s="211"/>
    </row>
    <row r="143" spans="1:29" ht="15" thickBot="1" x14ac:dyDescent="0.35">
      <c r="A143" s="122"/>
      <c r="B143" s="204" t="b">
        <f>IF(Pipes!$B143,Pipes!$B143)</f>
        <v>0</v>
      </c>
      <c r="C143" s="212"/>
      <c r="D143" s="104"/>
      <c r="E143" s="104"/>
      <c r="F143" s="104">
        <f t="shared" si="402"/>
        <v>0</v>
      </c>
      <c r="G143" s="104"/>
      <c r="H143" s="104"/>
      <c r="I143" s="101"/>
      <c r="J143" s="101"/>
      <c r="K143" s="131"/>
      <c r="L143" s="213">
        <f t="shared" si="403"/>
        <v>0</v>
      </c>
      <c r="M143" s="213" t="b">
        <f t="shared" si="404"/>
        <v>0</v>
      </c>
      <c r="N143" s="214" t="b">
        <f t="shared" si="405"/>
        <v>0</v>
      </c>
      <c r="O143" s="216"/>
      <c r="P143" s="215">
        <f t="shared" si="406"/>
        <v>0</v>
      </c>
      <c r="Q143" s="103" t="b">
        <f t="shared" si="407"/>
        <v>0</v>
      </c>
      <c r="R143" s="53" t="b">
        <f t="shared" si="408"/>
        <v>0</v>
      </c>
      <c r="S143" s="241" t="s">
        <v>197</v>
      </c>
      <c r="T143" s="127" t="b">
        <f>IF($N143,IF($F143&gt;$P143,ROUND(($Q143-($F142/12)),2),IF($S143="YES",$N143,$N143-MinDrop)))</f>
        <v>0</v>
      </c>
      <c r="U143" s="217"/>
      <c r="V143" s="102"/>
      <c r="W143" s="102"/>
      <c r="X143" s="102"/>
      <c r="Y143" s="118"/>
      <c r="Z143" s="102"/>
      <c r="AA143" s="102"/>
      <c r="AB143" s="102"/>
      <c r="AC143" s="218"/>
    </row>
    <row r="144" spans="1:29" x14ac:dyDescent="0.3">
      <c r="A144" s="115">
        <f t="shared" ref="A144" si="409">$A139+1</f>
        <v>29</v>
      </c>
      <c r="B144" s="186"/>
      <c r="C144" s="201">
        <f>IF(Pipes!$Q144&gt;0,IF(Pipes!$R144&gt;MinDiameter,Pipes!$R144,MinDiameter),0)</f>
        <v>0</v>
      </c>
      <c r="D144" s="187" t="s">
        <v>197</v>
      </c>
      <c r="E144" s="187"/>
      <c r="F144" s="107">
        <f>Pipes!$S144</f>
        <v>0</v>
      </c>
      <c r="G144" s="108">
        <f>Pipes!$W144</f>
        <v>0</v>
      </c>
      <c r="H144" s="187" t="s">
        <v>197</v>
      </c>
      <c r="I144" s="188"/>
      <c r="J144" s="108">
        <f>Pipes!$X144</f>
        <v>0</v>
      </c>
      <c r="K144" s="193">
        <f>INDEX(Tribs!$H$3:$H$102,MATCH($A144,Tribs!$A$3:$A$102,0))</f>
        <v>0</v>
      </c>
      <c r="L144" s="105">
        <f>INDEX(Tribs!$I$3:$I$102,MATCH($A144,Tribs!$A$3:$A$102,0))</f>
        <v>0</v>
      </c>
      <c r="M144" s="105" t="b">
        <f>IF($L144,ROUND($L144-MinCover-($F144/12),2))</f>
        <v>0</v>
      </c>
      <c r="N144" s="202"/>
      <c r="O144" s="129">
        <f t="shared" ref="O144" si="410">MIN($N145:$N148)</f>
        <v>0</v>
      </c>
      <c r="P144" s="203"/>
      <c r="Q144" s="203"/>
      <c r="R144" s="203"/>
      <c r="S144" s="110"/>
      <c r="T144" s="116" t="b">
        <f t="shared" ref="T144" si="411">IF($M144,$M144)</f>
        <v>0</v>
      </c>
      <c r="U144" s="129">
        <f t="shared" ref="U144" si="412">MIN($T144:$T148)</f>
        <v>0</v>
      </c>
      <c r="V144" s="233" t="s">
        <v>197</v>
      </c>
      <c r="W144" s="219"/>
      <c r="X144" s="219" t="s">
        <v>197</v>
      </c>
      <c r="Y144" s="239"/>
      <c r="Z144" s="105">
        <f t="shared" ref="Z144" si="413">IF($V144="YES",$U144,IF($X144&lt;&gt;"YES",$W144,($AC144+$J144*$K144)))</f>
        <v>0</v>
      </c>
      <c r="AA144" s="105">
        <f t="shared" ref="AA144" si="414">ROUND($Z144+($F144/12),2)</f>
        <v>0</v>
      </c>
      <c r="AB144" s="105" t="b">
        <f t="shared" ref="AB144" si="415">IF($L144,($L144-$AA144))</f>
        <v>0</v>
      </c>
      <c r="AC144" s="111">
        <f t="shared" ref="AC144" si="416">IF(AND($V144&lt;&gt;"YES",$X144="YES"),$Y144,ROUND($Z144-($J144*$K144),2))</f>
        <v>0</v>
      </c>
    </row>
    <row r="145" spans="1:29" x14ac:dyDescent="0.3">
      <c r="A145" s="121"/>
      <c r="B145" s="204" t="b">
        <f>IF(Pipes!$B145,Pipes!$B145)</f>
        <v>0</v>
      </c>
      <c r="C145" s="205"/>
      <c r="D145" s="224"/>
      <c r="E145" s="224"/>
      <c r="F145" s="224">
        <f t="shared" ref="F145:F148" si="417">F144</f>
        <v>0</v>
      </c>
      <c r="G145" s="224"/>
      <c r="H145" s="224"/>
      <c r="I145" s="52"/>
      <c r="J145" s="52"/>
      <c r="K145" s="130"/>
      <c r="L145" s="206">
        <f t="shared" ref="L145" si="418">$L144</f>
        <v>0</v>
      </c>
      <c r="M145" s="206" t="b">
        <f t="shared" ref="M145" si="419">M144</f>
        <v>0</v>
      </c>
      <c r="N145" s="240" t="b">
        <f t="shared" ref="N145" si="420">IF($B145,INDEX($AC$4:$AC$499,MATCH($B145,$A$4:$A$499)))</f>
        <v>0</v>
      </c>
      <c r="O145" s="209"/>
      <c r="P145" s="208">
        <f t="shared" ref="P145:P148" si="421">IF($B145,INDEX($F$4:$F$499,MATCH($B145,$A$4:$A$499)),0)</f>
        <v>0</v>
      </c>
      <c r="Q145" s="242" t="b">
        <f t="shared" ref="Q145" si="422">IF($N145,ROUND(($N145+($P145/12)),2))</f>
        <v>0</v>
      </c>
      <c r="R145" s="53" t="b">
        <f t="shared" ref="R145" si="423">IF(AND($L145,$Q145),$L145-$Q145)</f>
        <v>0</v>
      </c>
      <c r="S145" s="241" t="s">
        <v>197</v>
      </c>
      <c r="T145" s="127" t="b">
        <f>IF($N145,IF($F145&gt;$P145,ROUND(($Q145-($F144/12)),2),IF($S145="YES",$N145,$N145-MinDrop)))</f>
        <v>0</v>
      </c>
      <c r="U145" s="243"/>
      <c r="V145" s="245"/>
      <c r="W145" s="245"/>
      <c r="X145" s="54"/>
      <c r="Y145" s="117"/>
      <c r="Z145" s="54"/>
      <c r="AA145" s="54"/>
      <c r="AB145" s="54"/>
      <c r="AC145" s="211"/>
    </row>
    <row r="146" spans="1:29" x14ac:dyDescent="0.3">
      <c r="A146" s="121"/>
      <c r="B146" s="204" t="b">
        <f>IF(Pipes!$B146,Pipes!$B146)</f>
        <v>0</v>
      </c>
      <c r="C146" s="205"/>
      <c r="D146" s="224"/>
      <c r="E146" s="224"/>
      <c r="F146" s="224">
        <f t="shared" si="417"/>
        <v>0</v>
      </c>
      <c r="G146" s="224"/>
      <c r="H146" s="224"/>
      <c r="I146" s="52"/>
      <c r="J146" s="52"/>
      <c r="K146" s="130"/>
      <c r="L146" s="206">
        <f t="shared" si="403"/>
        <v>0</v>
      </c>
      <c r="M146" s="206" t="b">
        <f t="shared" si="404"/>
        <v>0</v>
      </c>
      <c r="N146" s="207" t="b">
        <f t="shared" si="405"/>
        <v>0</v>
      </c>
      <c r="O146" s="209"/>
      <c r="P146" s="208">
        <f t="shared" si="421"/>
        <v>0</v>
      </c>
      <c r="Q146" s="53" t="b">
        <f t="shared" si="407"/>
        <v>0</v>
      </c>
      <c r="R146" s="53" t="b">
        <f t="shared" si="408"/>
        <v>0</v>
      </c>
      <c r="S146" s="241" t="s">
        <v>197</v>
      </c>
      <c r="T146" s="127" t="b">
        <f>IF($N146,IF($F146&gt;$P146,ROUND(($Q146-($F145/12)),2),IF($S146="YES",$N146,$N146-MinDrop)))</f>
        <v>0</v>
      </c>
      <c r="U146" s="210"/>
      <c r="V146" s="54"/>
      <c r="W146" s="54"/>
      <c r="X146" s="54"/>
      <c r="Y146" s="117"/>
      <c r="Z146" s="54"/>
      <c r="AA146" s="54"/>
      <c r="AB146" s="54"/>
      <c r="AC146" s="211"/>
    </row>
    <row r="147" spans="1:29" x14ac:dyDescent="0.3">
      <c r="A147" s="121"/>
      <c r="B147" s="204" t="b">
        <f>IF(Pipes!$B147,Pipes!$B147)</f>
        <v>0</v>
      </c>
      <c r="C147" s="205"/>
      <c r="D147" s="224"/>
      <c r="E147" s="224"/>
      <c r="F147" s="224">
        <f t="shared" si="417"/>
        <v>0</v>
      </c>
      <c r="G147" s="224"/>
      <c r="H147" s="224"/>
      <c r="I147" s="52"/>
      <c r="J147" s="52"/>
      <c r="K147" s="130"/>
      <c r="L147" s="206">
        <f t="shared" si="403"/>
        <v>0</v>
      </c>
      <c r="M147" s="206" t="b">
        <f t="shared" si="404"/>
        <v>0</v>
      </c>
      <c r="N147" s="207" t="b">
        <f t="shared" si="405"/>
        <v>0</v>
      </c>
      <c r="O147" s="209"/>
      <c r="P147" s="208">
        <f t="shared" si="421"/>
        <v>0</v>
      </c>
      <c r="Q147" s="53" t="b">
        <f t="shared" si="407"/>
        <v>0</v>
      </c>
      <c r="R147" s="53" t="b">
        <f t="shared" si="408"/>
        <v>0</v>
      </c>
      <c r="S147" s="241" t="s">
        <v>197</v>
      </c>
      <c r="T147" s="127" t="b">
        <f>IF($N147,IF($F147&gt;$P147,ROUND(($Q147-($F146/12)),2),IF($S147="YES",$N147,$N147-MinDrop)))</f>
        <v>0</v>
      </c>
      <c r="U147" s="210"/>
      <c r="V147" s="54"/>
      <c r="W147" s="54"/>
      <c r="X147" s="54"/>
      <c r="Y147" s="117"/>
      <c r="Z147" s="54"/>
      <c r="AA147" s="54"/>
      <c r="AB147" s="54"/>
      <c r="AC147" s="211"/>
    </row>
    <row r="148" spans="1:29" ht="15" thickBot="1" x14ac:dyDescent="0.35">
      <c r="A148" s="122"/>
      <c r="B148" s="204" t="b">
        <f>IF(Pipes!$B148,Pipes!$B148)</f>
        <v>0</v>
      </c>
      <c r="C148" s="212"/>
      <c r="D148" s="104"/>
      <c r="E148" s="104"/>
      <c r="F148" s="104">
        <f t="shared" si="417"/>
        <v>0</v>
      </c>
      <c r="G148" s="104"/>
      <c r="H148" s="104"/>
      <c r="I148" s="101"/>
      <c r="J148" s="101"/>
      <c r="K148" s="131"/>
      <c r="L148" s="213">
        <f t="shared" si="403"/>
        <v>0</v>
      </c>
      <c r="M148" s="213" t="b">
        <f t="shared" si="404"/>
        <v>0</v>
      </c>
      <c r="N148" s="214" t="b">
        <f t="shared" si="405"/>
        <v>0</v>
      </c>
      <c r="O148" s="216"/>
      <c r="P148" s="215">
        <f t="shared" si="421"/>
        <v>0</v>
      </c>
      <c r="Q148" s="103" t="b">
        <f t="shared" si="407"/>
        <v>0</v>
      </c>
      <c r="R148" s="53" t="b">
        <f t="shared" si="408"/>
        <v>0</v>
      </c>
      <c r="S148" s="241" t="s">
        <v>197</v>
      </c>
      <c r="T148" s="127" t="b">
        <f>IF($N148,IF($F148&gt;$P148,ROUND(($Q148-($F147/12)),2),IF($S148="YES",$N148,$N148-MinDrop)))</f>
        <v>0</v>
      </c>
      <c r="U148" s="217"/>
      <c r="V148" s="102"/>
      <c r="W148" s="102"/>
      <c r="X148" s="102"/>
      <c r="Y148" s="118"/>
      <c r="Z148" s="102"/>
      <c r="AA148" s="102"/>
      <c r="AB148" s="102"/>
      <c r="AC148" s="218"/>
    </row>
    <row r="149" spans="1:29" x14ac:dyDescent="0.3">
      <c r="A149" s="115">
        <f t="shared" ref="A149" si="424">$A144+1</f>
        <v>30</v>
      </c>
      <c r="B149" s="186"/>
      <c r="C149" s="201">
        <f>IF(Pipes!$Q149&gt;0,IF(Pipes!$R149&gt;MinDiameter,Pipes!$R149,MinDiameter),0)</f>
        <v>0</v>
      </c>
      <c r="D149" s="187" t="s">
        <v>197</v>
      </c>
      <c r="E149" s="187"/>
      <c r="F149" s="107">
        <f>Pipes!$S149</f>
        <v>0</v>
      </c>
      <c r="G149" s="108">
        <f>Pipes!$W149</f>
        <v>0</v>
      </c>
      <c r="H149" s="187" t="s">
        <v>197</v>
      </c>
      <c r="I149" s="188"/>
      <c r="J149" s="108">
        <f>Pipes!$X149</f>
        <v>0</v>
      </c>
      <c r="K149" s="193">
        <f>INDEX(Tribs!$H$3:$H$102,MATCH($A149,Tribs!$A$3:$A$102,0))</f>
        <v>0</v>
      </c>
      <c r="L149" s="105">
        <f>INDEX(Tribs!$I$3:$I$102,MATCH($A149,Tribs!$A$3:$A$102,0))</f>
        <v>0</v>
      </c>
      <c r="M149" s="105" t="b">
        <f>IF($L149,ROUND($L149-MinCover-($F149/12),2))</f>
        <v>0</v>
      </c>
      <c r="N149" s="202"/>
      <c r="O149" s="129">
        <f t="shared" ref="O149" si="425">MIN($N150:$N153)</f>
        <v>0</v>
      </c>
      <c r="P149" s="203"/>
      <c r="Q149" s="203"/>
      <c r="R149" s="203"/>
      <c r="S149" s="110"/>
      <c r="T149" s="116" t="b">
        <f t="shared" ref="T149" si="426">IF($M149,$M149)</f>
        <v>0</v>
      </c>
      <c r="U149" s="129">
        <f t="shared" ref="U149" si="427">MIN($T149:$T153)</f>
        <v>0</v>
      </c>
      <c r="V149" s="233" t="s">
        <v>197</v>
      </c>
      <c r="W149" s="219"/>
      <c r="X149" s="219" t="s">
        <v>197</v>
      </c>
      <c r="Y149" s="239"/>
      <c r="Z149" s="105">
        <f t="shared" ref="Z149" si="428">IF($V149="YES",$U149,IF($X149&lt;&gt;"YES",$W149,($AC149+$J149*$K149)))</f>
        <v>0</v>
      </c>
      <c r="AA149" s="105">
        <f t="shared" ref="AA149" si="429">ROUND($Z149+($F149/12),2)</f>
        <v>0</v>
      </c>
      <c r="AB149" s="105" t="b">
        <f t="shared" ref="AB149" si="430">IF($L149,($L149-$AA149))</f>
        <v>0</v>
      </c>
      <c r="AC149" s="111">
        <f t="shared" ref="AC149" si="431">IF(AND($V149&lt;&gt;"YES",$X149="YES"),$Y149,ROUND($Z149-($J149*$K149),2))</f>
        <v>0</v>
      </c>
    </row>
    <row r="150" spans="1:29" x14ac:dyDescent="0.3">
      <c r="A150" s="121"/>
      <c r="B150" s="204" t="b">
        <f>IF(Pipes!$B150,Pipes!$B150)</f>
        <v>0</v>
      </c>
      <c r="C150" s="205"/>
      <c r="D150" s="224"/>
      <c r="E150" s="224"/>
      <c r="F150" s="224">
        <f t="shared" ref="F150:F153" si="432">F149</f>
        <v>0</v>
      </c>
      <c r="G150" s="224"/>
      <c r="H150" s="224"/>
      <c r="I150" s="52"/>
      <c r="J150" s="52"/>
      <c r="K150" s="130"/>
      <c r="L150" s="206">
        <f t="shared" ref="L150" si="433">$L149</f>
        <v>0</v>
      </c>
      <c r="M150" s="206" t="b">
        <f t="shared" ref="M150" si="434">M149</f>
        <v>0</v>
      </c>
      <c r="N150" s="240" t="b">
        <f t="shared" ref="N150" si="435">IF($B150,INDEX($AC$4:$AC$499,MATCH($B150,$A$4:$A$499)))</f>
        <v>0</v>
      </c>
      <c r="O150" s="209"/>
      <c r="P150" s="208">
        <f t="shared" ref="P150:P153" si="436">IF($B150,INDEX($F$4:$F$499,MATCH($B150,$A$4:$A$499)),0)</f>
        <v>0</v>
      </c>
      <c r="Q150" s="242" t="b">
        <f t="shared" ref="Q150" si="437">IF($N150,ROUND(($N150+($P150/12)),2))</f>
        <v>0</v>
      </c>
      <c r="R150" s="53" t="b">
        <f t="shared" ref="R150" si="438">IF(AND($L150,$Q150),$L150-$Q150)</f>
        <v>0</v>
      </c>
      <c r="S150" s="241" t="s">
        <v>197</v>
      </c>
      <c r="T150" s="127" t="b">
        <f>IF($N150,IF($F150&gt;$P150,ROUND(($Q150-($F149/12)),2),IF($S150="YES",$N150,$N150-MinDrop)))</f>
        <v>0</v>
      </c>
      <c r="U150" s="243"/>
      <c r="V150" s="245"/>
      <c r="W150" s="245"/>
      <c r="X150" s="54"/>
      <c r="Y150" s="117"/>
      <c r="Z150" s="54"/>
      <c r="AA150" s="54"/>
      <c r="AB150" s="54"/>
      <c r="AC150" s="211"/>
    </row>
    <row r="151" spans="1:29" x14ac:dyDescent="0.3">
      <c r="A151" s="121"/>
      <c r="B151" s="204" t="b">
        <f>IF(Pipes!$B151,Pipes!$B151)</f>
        <v>0</v>
      </c>
      <c r="C151" s="205"/>
      <c r="D151" s="224"/>
      <c r="E151" s="224"/>
      <c r="F151" s="224">
        <f t="shared" si="432"/>
        <v>0</v>
      </c>
      <c r="G151" s="224"/>
      <c r="H151" s="224"/>
      <c r="I151" s="52"/>
      <c r="J151" s="52"/>
      <c r="K151" s="130"/>
      <c r="L151" s="206">
        <f t="shared" si="403"/>
        <v>0</v>
      </c>
      <c r="M151" s="206" t="b">
        <f t="shared" si="404"/>
        <v>0</v>
      </c>
      <c r="N151" s="207" t="b">
        <f t="shared" si="405"/>
        <v>0</v>
      </c>
      <c r="O151" s="209"/>
      <c r="P151" s="208">
        <f t="shared" si="436"/>
        <v>0</v>
      </c>
      <c r="Q151" s="53" t="b">
        <f t="shared" si="407"/>
        <v>0</v>
      </c>
      <c r="R151" s="53" t="b">
        <f t="shared" si="408"/>
        <v>0</v>
      </c>
      <c r="S151" s="241" t="s">
        <v>197</v>
      </c>
      <c r="T151" s="127" t="b">
        <f>IF($N151,IF($F151&gt;$P151,ROUND(($Q151-($F150/12)),2),IF($S151="YES",$N151,$N151-MinDrop)))</f>
        <v>0</v>
      </c>
      <c r="U151" s="210"/>
      <c r="V151" s="54"/>
      <c r="W151" s="54"/>
      <c r="X151" s="54"/>
      <c r="Y151" s="117"/>
      <c r="Z151" s="54"/>
      <c r="AA151" s="54"/>
      <c r="AB151" s="54"/>
      <c r="AC151" s="211"/>
    </row>
    <row r="152" spans="1:29" x14ac:dyDescent="0.3">
      <c r="A152" s="121"/>
      <c r="B152" s="204" t="b">
        <f>IF(Pipes!$B152,Pipes!$B152)</f>
        <v>0</v>
      </c>
      <c r="C152" s="205"/>
      <c r="D152" s="224"/>
      <c r="E152" s="224"/>
      <c r="F152" s="224">
        <f t="shared" si="432"/>
        <v>0</v>
      </c>
      <c r="G152" s="224"/>
      <c r="H152" s="224"/>
      <c r="I152" s="52"/>
      <c r="J152" s="52"/>
      <c r="K152" s="130"/>
      <c r="L152" s="206">
        <f t="shared" si="403"/>
        <v>0</v>
      </c>
      <c r="M152" s="206" t="b">
        <f t="shared" si="404"/>
        <v>0</v>
      </c>
      <c r="N152" s="207" t="b">
        <f t="shared" si="405"/>
        <v>0</v>
      </c>
      <c r="O152" s="209"/>
      <c r="P152" s="208">
        <f t="shared" si="436"/>
        <v>0</v>
      </c>
      <c r="Q152" s="53" t="b">
        <f t="shared" si="407"/>
        <v>0</v>
      </c>
      <c r="R152" s="53" t="b">
        <f t="shared" si="408"/>
        <v>0</v>
      </c>
      <c r="S152" s="241" t="s">
        <v>197</v>
      </c>
      <c r="T152" s="127" t="b">
        <f>IF($N152,IF($F152&gt;$P152,ROUND(($Q152-($F151/12)),2),IF($S152="YES",$N152,$N152-MinDrop)))</f>
        <v>0</v>
      </c>
      <c r="U152" s="210"/>
      <c r="V152" s="54"/>
      <c r="W152" s="54"/>
      <c r="X152" s="54"/>
      <c r="Y152" s="117"/>
      <c r="Z152" s="54"/>
      <c r="AA152" s="54"/>
      <c r="AB152" s="54"/>
      <c r="AC152" s="211"/>
    </row>
    <row r="153" spans="1:29" ht="15" thickBot="1" x14ac:dyDescent="0.35">
      <c r="A153" s="122"/>
      <c r="B153" s="204" t="b">
        <f>IF(Pipes!$B153,Pipes!$B153)</f>
        <v>0</v>
      </c>
      <c r="C153" s="212"/>
      <c r="D153" s="104"/>
      <c r="E153" s="104"/>
      <c r="F153" s="104">
        <f t="shared" si="432"/>
        <v>0</v>
      </c>
      <c r="G153" s="104"/>
      <c r="H153" s="104"/>
      <c r="I153" s="101"/>
      <c r="J153" s="101"/>
      <c r="K153" s="131"/>
      <c r="L153" s="213">
        <f t="shared" si="403"/>
        <v>0</v>
      </c>
      <c r="M153" s="213" t="b">
        <f t="shared" si="404"/>
        <v>0</v>
      </c>
      <c r="N153" s="214" t="b">
        <f t="shared" si="405"/>
        <v>0</v>
      </c>
      <c r="O153" s="216"/>
      <c r="P153" s="215">
        <f t="shared" si="436"/>
        <v>0</v>
      </c>
      <c r="Q153" s="103" t="b">
        <f t="shared" si="407"/>
        <v>0</v>
      </c>
      <c r="R153" s="53" t="b">
        <f t="shared" si="408"/>
        <v>0</v>
      </c>
      <c r="S153" s="241" t="s">
        <v>197</v>
      </c>
      <c r="T153" s="127" t="b">
        <f>IF($N153,IF($F153&gt;$P153,ROUND(($Q153-($F152/12)),2),IF($S153="YES",$N153,$N153-MinDrop)))</f>
        <v>0</v>
      </c>
      <c r="U153" s="217"/>
      <c r="V153" s="102"/>
      <c r="W153" s="102"/>
      <c r="X153" s="102"/>
      <c r="Y153" s="118"/>
      <c r="Z153" s="102"/>
      <c r="AA153" s="102"/>
      <c r="AB153" s="102"/>
      <c r="AC153" s="218"/>
    </row>
    <row r="154" spans="1:29" x14ac:dyDescent="0.3">
      <c r="A154" s="115">
        <f t="shared" ref="A154" si="439">$A149+1</f>
        <v>31</v>
      </c>
      <c r="B154" s="186"/>
      <c r="C154" s="201">
        <f>IF(Pipes!$Q154&gt;0,IF(Pipes!$R154&gt;MinDiameter,Pipes!$R154,MinDiameter),0)</f>
        <v>0</v>
      </c>
      <c r="D154" s="187" t="s">
        <v>197</v>
      </c>
      <c r="E154" s="187"/>
      <c r="F154" s="107">
        <f>Pipes!$S154</f>
        <v>0</v>
      </c>
      <c r="G154" s="108">
        <f>Pipes!$W154</f>
        <v>0</v>
      </c>
      <c r="H154" s="187" t="s">
        <v>197</v>
      </c>
      <c r="I154" s="188"/>
      <c r="J154" s="108">
        <f>Pipes!$X154</f>
        <v>0</v>
      </c>
      <c r="K154" s="193">
        <f>INDEX(Tribs!$H$3:$H$102,MATCH($A154,Tribs!$A$3:$A$102,0))</f>
        <v>0</v>
      </c>
      <c r="L154" s="105">
        <f>INDEX(Tribs!$I$3:$I$102,MATCH($A154,Tribs!$A$3:$A$102,0))</f>
        <v>0</v>
      </c>
      <c r="M154" s="105" t="b">
        <f>IF($L154,ROUND($L154-MinCover-($F154/12),2))</f>
        <v>0</v>
      </c>
      <c r="N154" s="202"/>
      <c r="O154" s="129">
        <f t="shared" ref="O154" si="440">MIN($N155:$N158)</f>
        <v>0</v>
      </c>
      <c r="P154" s="203"/>
      <c r="Q154" s="203"/>
      <c r="R154" s="203"/>
      <c r="S154" s="110"/>
      <c r="T154" s="116" t="b">
        <f t="shared" ref="T154" si="441">IF($M154,$M154)</f>
        <v>0</v>
      </c>
      <c r="U154" s="129">
        <f t="shared" ref="U154" si="442">MIN($T154:$T158)</f>
        <v>0</v>
      </c>
      <c r="V154" s="233" t="s">
        <v>197</v>
      </c>
      <c r="W154" s="219"/>
      <c r="X154" s="219" t="s">
        <v>197</v>
      </c>
      <c r="Y154" s="239"/>
      <c r="Z154" s="105">
        <f t="shared" ref="Z154" si="443">IF($V154="YES",$U154,IF($X154&lt;&gt;"YES",$W154,($AC154+$J154*$K154)))</f>
        <v>0</v>
      </c>
      <c r="AA154" s="105">
        <f t="shared" ref="AA154" si="444">ROUND($Z154+($F154/12),2)</f>
        <v>0</v>
      </c>
      <c r="AB154" s="105" t="b">
        <f t="shared" ref="AB154" si="445">IF($L154,($L154-$AA154))</f>
        <v>0</v>
      </c>
      <c r="AC154" s="111">
        <f t="shared" ref="AC154" si="446">IF(AND($V154&lt;&gt;"YES",$X154="YES"),$Y154,ROUND($Z154-($J154*$K154),2))</f>
        <v>0</v>
      </c>
    </row>
    <row r="155" spans="1:29" x14ac:dyDescent="0.3">
      <c r="A155" s="121"/>
      <c r="B155" s="204" t="b">
        <f>IF(Pipes!$B155,Pipes!$B155)</f>
        <v>0</v>
      </c>
      <c r="C155" s="205"/>
      <c r="D155" s="224"/>
      <c r="E155" s="224"/>
      <c r="F155" s="224">
        <f t="shared" ref="F155:F158" si="447">F154</f>
        <v>0</v>
      </c>
      <c r="G155" s="224"/>
      <c r="H155" s="224"/>
      <c r="I155" s="52"/>
      <c r="J155" s="52"/>
      <c r="K155" s="130"/>
      <c r="L155" s="206">
        <f t="shared" ref="L155" si="448">$L154</f>
        <v>0</v>
      </c>
      <c r="M155" s="206" t="b">
        <f t="shared" ref="M155" si="449">M154</f>
        <v>0</v>
      </c>
      <c r="N155" s="240" t="b">
        <f t="shared" ref="N155" si="450">IF($B155,INDEX($AC$4:$AC$499,MATCH($B155,$A$4:$A$499)))</f>
        <v>0</v>
      </c>
      <c r="O155" s="209"/>
      <c r="P155" s="208">
        <f t="shared" ref="P155:P158" si="451">IF($B155,INDEX($F$4:$F$499,MATCH($B155,$A$4:$A$499)),0)</f>
        <v>0</v>
      </c>
      <c r="Q155" s="242" t="b">
        <f t="shared" ref="Q155" si="452">IF($N155,ROUND(($N155+($P155/12)),2))</f>
        <v>0</v>
      </c>
      <c r="R155" s="53" t="b">
        <f t="shared" ref="R155" si="453">IF(AND($L155,$Q155),$L155-$Q155)</f>
        <v>0</v>
      </c>
      <c r="S155" s="241" t="s">
        <v>197</v>
      </c>
      <c r="T155" s="127" t="b">
        <f>IF($N155,IF($F155&gt;$P155,ROUND(($Q155-($F154/12)),2),IF($S155="YES",$N155,$N155-MinDrop)))</f>
        <v>0</v>
      </c>
      <c r="U155" s="243"/>
      <c r="V155" s="245"/>
      <c r="W155" s="245"/>
      <c r="X155" s="54"/>
      <c r="Y155" s="117"/>
      <c r="Z155" s="54"/>
      <c r="AA155" s="54"/>
      <c r="AB155" s="54"/>
      <c r="AC155" s="211"/>
    </row>
    <row r="156" spans="1:29" x14ac:dyDescent="0.3">
      <c r="A156" s="121"/>
      <c r="B156" s="204" t="b">
        <f>IF(Pipes!$B156,Pipes!$B156)</f>
        <v>0</v>
      </c>
      <c r="C156" s="205"/>
      <c r="D156" s="224"/>
      <c r="E156" s="224"/>
      <c r="F156" s="224">
        <f t="shared" si="447"/>
        <v>0</v>
      </c>
      <c r="G156" s="224"/>
      <c r="H156" s="224"/>
      <c r="I156" s="52"/>
      <c r="J156" s="52"/>
      <c r="K156" s="130"/>
      <c r="L156" s="206">
        <f t="shared" si="403"/>
        <v>0</v>
      </c>
      <c r="M156" s="206" t="b">
        <f t="shared" si="404"/>
        <v>0</v>
      </c>
      <c r="N156" s="207" t="b">
        <f t="shared" si="405"/>
        <v>0</v>
      </c>
      <c r="O156" s="209"/>
      <c r="P156" s="208">
        <f t="shared" si="451"/>
        <v>0</v>
      </c>
      <c r="Q156" s="53" t="b">
        <f t="shared" si="407"/>
        <v>0</v>
      </c>
      <c r="R156" s="53" t="b">
        <f t="shared" si="408"/>
        <v>0</v>
      </c>
      <c r="S156" s="241" t="s">
        <v>197</v>
      </c>
      <c r="T156" s="127" t="b">
        <f>IF($N156,IF($F156&gt;$P156,ROUND(($Q156-($F155/12)),2),IF($S156="YES",$N156,$N156-MinDrop)))</f>
        <v>0</v>
      </c>
      <c r="U156" s="210"/>
      <c r="V156" s="54"/>
      <c r="W156" s="54"/>
      <c r="X156" s="54"/>
      <c r="Y156" s="117"/>
      <c r="Z156" s="54"/>
      <c r="AA156" s="54"/>
      <c r="AB156" s="54"/>
      <c r="AC156" s="211"/>
    </row>
    <row r="157" spans="1:29" x14ac:dyDescent="0.3">
      <c r="A157" s="121"/>
      <c r="B157" s="204" t="b">
        <f>IF(Pipes!$B157,Pipes!$B157)</f>
        <v>0</v>
      </c>
      <c r="C157" s="205"/>
      <c r="D157" s="224"/>
      <c r="E157" s="224"/>
      <c r="F157" s="224">
        <f t="shared" si="447"/>
        <v>0</v>
      </c>
      <c r="G157" s="224"/>
      <c r="H157" s="224"/>
      <c r="I157" s="52"/>
      <c r="J157" s="52"/>
      <c r="K157" s="130"/>
      <c r="L157" s="206">
        <f t="shared" si="403"/>
        <v>0</v>
      </c>
      <c r="M157" s="206" t="b">
        <f t="shared" si="404"/>
        <v>0</v>
      </c>
      <c r="N157" s="207" t="b">
        <f t="shared" si="405"/>
        <v>0</v>
      </c>
      <c r="O157" s="209"/>
      <c r="P157" s="208">
        <f t="shared" si="451"/>
        <v>0</v>
      </c>
      <c r="Q157" s="53" t="b">
        <f t="shared" si="407"/>
        <v>0</v>
      </c>
      <c r="R157" s="53" t="b">
        <f t="shared" si="408"/>
        <v>0</v>
      </c>
      <c r="S157" s="241" t="s">
        <v>197</v>
      </c>
      <c r="T157" s="127" t="b">
        <f>IF($N157,IF($F157&gt;$P157,ROUND(($Q157-($F156/12)),2),IF($S157="YES",$N157,$N157-MinDrop)))</f>
        <v>0</v>
      </c>
      <c r="U157" s="210"/>
      <c r="V157" s="54"/>
      <c r="W157" s="54"/>
      <c r="X157" s="54"/>
      <c r="Y157" s="117"/>
      <c r="Z157" s="54"/>
      <c r="AA157" s="54"/>
      <c r="AB157" s="54"/>
      <c r="AC157" s="211"/>
    </row>
    <row r="158" spans="1:29" ht="15" thickBot="1" x14ac:dyDescent="0.35">
      <c r="A158" s="122"/>
      <c r="B158" s="204" t="b">
        <f>IF(Pipes!$B158,Pipes!$B158)</f>
        <v>0</v>
      </c>
      <c r="C158" s="212"/>
      <c r="D158" s="104"/>
      <c r="E158" s="104"/>
      <c r="F158" s="104">
        <f t="shared" si="447"/>
        <v>0</v>
      </c>
      <c r="G158" s="104"/>
      <c r="H158" s="104"/>
      <c r="I158" s="101"/>
      <c r="J158" s="101"/>
      <c r="K158" s="131"/>
      <c r="L158" s="213">
        <f t="shared" si="403"/>
        <v>0</v>
      </c>
      <c r="M158" s="213" t="b">
        <f t="shared" si="404"/>
        <v>0</v>
      </c>
      <c r="N158" s="214" t="b">
        <f t="shared" si="405"/>
        <v>0</v>
      </c>
      <c r="O158" s="216"/>
      <c r="P158" s="215">
        <f t="shared" si="451"/>
        <v>0</v>
      </c>
      <c r="Q158" s="103" t="b">
        <f t="shared" si="407"/>
        <v>0</v>
      </c>
      <c r="R158" s="53" t="b">
        <f t="shared" si="408"/>
        <v>0</v>
      </c>
      <c r="S158" s="241" t="s">
        <v>197</v>
      </c>
      <c r="T158" s="127" t="b">
        <f>IF($N158,IF($F158&gt;$P158,ROUND(($Q158-($F157/12)),2),IF($S158="YES",$N158,$N158-MinDrop)))</f>
        <v>0</v>
      </c>
      <c r="U158" s="217"/>
      <c r="V158" s="102"/>
      <c r="W158" s="102"/>
      <c r="X158" s="102"/>
      <c r="Y158" s="118"/>
      <c r="Z158" s="102"/>
      <c r="AA158" s="102"/>
      <c r="AB158" s="102"/>
      <c r="AC158" s="218"/>
    </row>
    <row r="159" spans="1:29" x14ac:dyDescent="0.3">
      <c r="A159" s="115">
        <f t="shared" ref="A159" si="454">$A154+1</f>
        <v>32</v>
      </c>
      <c r="B159" s="186"/>
      <c r="C159" s="201">
        <f>IF(Pipes!$Q159&gt;0,IF(Pipes!$R159&gt;MinDiameter,Pipes!$R159,MinDiameter),0)</f>
        <v>0</v>
      </c>
      <c r="D159" s="187" t="s">
        <v>197</v>
      </c>
      <c r="E159" s="187"/>
      <c r="F159" s="107">
        <f>Pipes!$S159</f>
        <v>0</v>
      </c>
      <c r="G159" s="108">
        <f>Pipes!$W159</f>
        <v>0</v>
      </c>
      <c r="H159" s="187" t="s">
        <v>197</v>
      </c>
      <c r="I159" s="188"/>
      <c r="J159" s="108">
        <f>Pipes!$X159</f>
        <v>0</v>
      </c>
      <c r="K159" s="193">
        <f>INDEX(Tribs!$H$3:$H$102,MATCH($A159,Tribs!$A$3:$A$102,0))</f>
        <v>0</v>
      </c>
      <c r="L159" s="105">
        <f>INDEX(Tribs!$I$3:$I$102,MATCH($A159,Tribs!$A$3:$A$102,0))</f>
        <v>0</v>
      </c>
      <c r="M159" s="105" t="b">
        <f>IF($L159,ROUND($L159-MinCover-($F159/12),2))</f>
        <v>0</v>
      </c>
      <c r="N159" s="202"/>
      <c r="O159" s="129">
        <f t="shared" ref="O159" si="455">MIN($N160:$N163)</f>
        <v>0</v>
      </c>
      <c r="P159" s="203"/>
      <c r="Q159" s="203"/>
      <c r="R159" s="203"/>
      <c r="S159" s="110"/>
      <c r="T159" s="116" t="b">
        <f t="shared" ref="T159" si="456">IF($M159,$M159)</f>
        <v>0</v>
      </c>
      <c r="U159" s="129">
        <f t="shared" ref="U159" si="457">MIN($T159:$T163)</f>
        <v>0</v>
      </c>
      <c r="V159" s="233" t="s">
        <v>197</v>
      </c>
      <c r="W159" s="219"/>
      <c r="X159" s="219" t="s">
        <v>197</v>
      </c>
      <c r="Y159" s="239"/>
      <c r="Z159" s="105">
        <f t="shared" ref="Z159" si="458">IF($V159="YES",$U159,IF($X159&lt;&gt;"YES",$W159,($AC159+$J159*$K159)))</f>
        <v>0</v>
      </c>
      <c r="AA159" s="105">
        <f t="shared" ref="AA159" si="459">ROUND($Z159+($F159/12),2)</f>
        <v>0</v>
      </c>
      <c r="AB159" s="105" t="b">
        <f t="shared" ref="AB159" si="460">IF($L159,($L159-$AA159))</f>
        <v>0</v>
      </c>
      <c r="AC159" s="111">
        <f t="shared" ref="AC159" si="461">IF(AND($V159&lt;&gt;"YES",$X159="YES"),$Y159,ROUND($Z159-($J159*$K159),2))</f>
        <v>0</v>
      </c>
    </row>
    <row r="160" spans="1:29" x14ac:dyDescent="0.3">
      <c r="A160" s="121"/>
      <c r="B160" s="204" t="b">
        <f>IF(Pipes!$B160,Pipes!$B160)</f>
        <v>0</v>
      </c>
      <c r="C160" s="205"/>
      <c r="D160" s="224"/>
      <c r="E160" s="224"/>
      <c r="F160" s="224">
        <f t="shared" ref="F160:F163" si="462">F159</f>
        <v>0</v>
      </c>
      <c r="G160" s="224"/>
      <c r="H160" s="224"/>
      <c r="I160" s="52"/>
      <c r="J160" s="52"/>
      <c r="K160" s="130"/>
      <c r="L160" s="206">
        <f t="shared" ref="L160" si="463">$L159</f>
        <v>0</v>
      </c>
      <c r="M160" s="206" t="b">
        <f t="shared" ref="M160" si="464">M159</f>
        <v>0</v>
      </c>
      <c r="N160" s="240" t="b">
        <f t="shared" ref="N160" si="465">IF($B160,INDEX($AC$4:$AC$499,MATCH($B160,$A$4:$A$499)))</f>
        <v>0</v>
      </c>
      <c r="O160" s="209"/>
      <c r="P160" s="208">
        <f t="shared" ref="P160:P163" si="466">IF($B160,INDEX($F$4:$F$499,MATCH($B160,$A$4:$A$499)),0)</f>
        <v>0</v>
      </c>
      <c r="Q160" s="242" t="b">
        <f t="shared" ref="Q160" si="467">IF($N160,ROUND(($N160+($P160/12)),2))</f>
        <v>0</v>
      </c>
      <c r="R160" s="53" t="b">
        <f t="shared" ref="R160" si="468">IF(AND($L160,$Q160),$L160-$Q160)</f>
        <v>0</v>
      </c>
      <c r="S160" s="241" t="s">
        <v>197</v>
      </c>
      <c r="T160" s="127" t="b">
        <f>IF($N160,IF($F160&gt;$P160,ROUND(($Q160-($F159/12)),2),IF($S160="YES",$N160,$N160-MinDrop)))</f>
        <v>0</v>
      </c>
      <c r="U160" s="243"/>
      <c r="V160" s="245"/>
      <c r="W160" s="245"/>
      <c r="X160" s="54"/>
      <c r="Y160" s="117"/>
      <c r="Z160" s="54"/>
      <c r="AA160" s="54"/>
      <c r="AB160" s="54"/>
      <c r="AC160" s="211"/>
    </row>
    <row r="161" spans="1:29" x14ac:dyDescent="0.3">
      <c r="A161" s="121"/>
      <c r="B161" s="204" t="b">
        <f>IF(Pipes!$B161,Pipes!$B161)</f>
        <v>0</v>
      </c>
      <c r="C161" s="205"/>
      <c r="D161" s="224"/>
      <c r="E161" s="224"/>
      <c r="F161" s="224">
        <f t="shared" si="462"/>
        <v>0</v>
      </c>
      <c r="G161" s="224"/>
      <c r="H161" s="224"/>
      <c r="I161" s="52"/>
      <c r="J161" s="52"/>
      <c r="K161" s="130"/>
      <c r="L161" s="206">
        <f t="shared" si="403"/>
        <v>0</v>
      </c>
      <c r="M161" s="206" t="b">
        <f t="shared" si="404"/>
        <v>0</v>
      </c>
      <c r="N161" s="207" t="b">
        <f t="shared" si="405"/>
        <v>0</v>
      </c>
      <c r="O161" s="209"/>
      <c r="P161" s="208">
        <f t="shared" si="466"/>
        <v>0</v>
      </c>
      <c r="Q161" s="53" t="b">
        <f t="shared" si="407"/>
        <v>0</v>
      </c>
      <c r="R161" s="53" t="b">
        <f t="shared" si="408"/>
        <v>0</v>
      </c>
      <c r="S161" s="241" t="s">
        <v>197</v>
      </c>
      <c r="T161" s="127" t="b">
        <f>IF($N161,IF($F161&gt;$P161,ROUND(($Q161-($F160/12)),2),IF($S161="YES",$N161,$N161-MinDrop)))</f>
        <v>0</v>
      </c>
      <c r="U161" s="210"/>
      <c r="V161" s="54"/>
      <c r="W161" s="54"/>
      <c r="X161" s="54"/>
      <c r="Y161" s="117"/>
      <c r="Z161" s="54"/>
      <c r="AA161" s="54"/>
      <c r="AB161" s="54"/>
      <c r="AC161" s="211"/>
    </row>
    <row r="162" spans="1:29" x14ac:dyDescent="0.3">
      <c r="A162" s="121"/>
      <c r="B162" s="204" t="b">
        <f>IF(Pipes!$B162,Pipes!$B162)</f>
        <v>0</v>
      </c>
      <c r="C162" s="205"/>
      <c r="D162" s="224"/>
      <c r="E162" s="224"/>
      <c r="F162" s="224">
        <f t="shared" si="462"/>
        <v>0</v>
      </c>
      <c r="G162" s="224"/>
      <c r="H162" s="224"/>
      <c r="I162" s="52"/>
      <c r="J162" s="52"/>
      <c r="K162" s="130"/>
      <c r="L162" s="206">
        <f t="shared" si="403"/>
        <v>0</v>
      </c>
      <c r="M162" s="206" t="b">
        <f t="shared" si="404"/>
        <v>0</v>
      </c>
      <c r="N162" s="207" t="b">
        <f t="shared" si="405"/>
        <v>0</v>
      </c>
      <c r="O162" s="209"/>
      <c r="P162" s="208">
        <f t="shared" si="466"/>
        <v>0</v>
      </c>
      <c r="Q162" s="53" t="b">
        <f t="shared" si="407"/>
        <v>0</v>
      </c>
      <c r="R162" s="53" t="b">
        <f t="shared" si="408"/>
        <v>0</v>
      </c>
      <c r="S162" s="241" t="s">
        <v>197</v>
      </c>
      <c r="T162" s="127" t="b">
        <f>IF($N162,IF($F162&gt;$P162,ROUND(($Q162-($F161/12)),2),IF($S162="YES",$N162,$N162-MinDrop)))</f>
        <v>0</v>
      </c>
      <c r="U162" s="210"/>
      <c r="V162" s="54"/>
      <c r="W162" s="54"/>
      <c r="X162" s="54"/>
      <c r="Y162" s="117"/>
      <c r="Z162" s="54"/>
      <c r="AA162" s="54"/>
      <c r="AB162" s="54"/>
      <c r="AC162" s="211"/>
    </row>
    <row r="163" spans="1:29" ht="15" thickBot="1" x14ac:dyDescent="0.35">
      <c r="A163" s="122"/>
      <c r="B163" s="204" t="b">
        <f>IF(Pipes!$B163,Pipes!$B163)</f>
        <v>0</v>
      </c>
      <c r="C163" s="212"/>
      <c r="D163" s="104"/>
      <c r="E163" s="104"/>
      <c r="F163" s="104">
        <f t="shared" si="462"/>
        <v>0</v>
      </c>
      <c r="G163" s="104"/>
      <c r="H163" s="104"/>
      <c r="I163" s="101"/>
      <c r="J163" s="101"/>
      <c r="K163" s="131"/>
      <c r="L163" s="213">
        <f t="shared" si="403"/>
        <v>0</v>
      </c>
      <c r="M163" s="213" t="b">
        <f t="shared" si="404"/>
        <v>0</v>
      </c>
      <c r="N163" s="214" t="b">
        <f t="shared" si="405"/>
        <v>0</v>
      </c>
      <c r="O163" s="216"/>
      <c r="P163" s="215">
        <f t="shared" si="466"/>
        <v>0</v>
      </c>
      <c r="Q163" s="103" t="b">
        <f t="shared" si="407"/>
        <v>0</v>
      </c>
      <c r="R163" s="53" t="b">
        <f t="shared" si="408"/>
        <v>0</v>
      </c>
      <c r="S163" s="241" t="s">
        <v>197</v>
      </c>
      <c r="T163" s="127" t="b">
        <f>IF($N163,IF($F163&gt;$P163,ROUND(($Q163-($F162/12)),2),IF($S163="YES",$N163,$N163-MinDrop)))</f>
        <v>0</v>
      </c>
      <c r="U163" s="217"/>
      <c r="V163" s="102"/>
      <c r="W163" s="102"/>
      <c r="X163" s="102"/>
      <c r="Y163" s="118"/>
      <c r="Z163" s="102"/>
      <c r="AA163" s="102"/>
      <c r="AB163" s="102"/>
      <c r="AC163" s="218"/>
    </row>
    <row r="164" spans="1:29" x14ac:dyDescent="0.3">
      <c r="A164" s="115">
        <f t="shared" ref="A164" si="469">$A159+1</f>
        <v>33</v>
      </c>
      <c r="B164" s="186"/>
      <c r="C164" s="201">
        <f>IF(Pipes!$Q164&gt;0,IF(Pipes!$R164&gt;MinDiameter,Pipes!$R164,MinDiameter),0)</f>
        <v>0</v>
      </c>
      <c r="D164" s="187" t="s">
        <v>197</v>
      </c>
      <c r="E164" s="187"/>
      <c r="F164" s="107">
        <f>Pipes!$S164</f>
        <v>0</v>
      </c>
      <c r="G164" s="108">
        <f>Pipes!$W164</f>
        <v>0</v>
      </c>
      <c r="H164" s="187" t="s">
        <v>197</v>
      </c>
      <c r="I164" s="188"/>
      <c r="J164" s="108">
        <f>Pipes!$X164</f>
        <v>0</v>
      </c>
      <c r="K164" s="193">
        <f>INDEX(Tribs!$H$3:$H$102,MATCH($A164,Tribs!$A$3:$A$102,0))</f>
        <v>0</v>
      </c>
      <c r="L164" s="105">
        <f>INDEX(Tribs!$I$3:$I$102,MATCH($A164,Tribs!$A$3:$A$102,0))</f>
        <v>0</v>
      </c>
      <c r="M164" s="105" t="b">
        <f>IF($L164,ROUND($L164-MinCover-($F164/12),2))</f>
        <v>0</v>
      </c>
      <c r="N164" s="202"/>
      <c r="O164" s="129">
        <f t="shared" ref="O164" si="470">MIN($N165:$N168)</f>
        <v>0</v>
      </c>
      <c r="P164" s="203"/>
      <c r="Q164" s="203"/>
      <c r="R164" s="203"/>
      <c r="S164" s="110"/>
      <c r="T164" s="116" t="b">
        <f t="shared" ref="T164" si="471">IF($M164,$M164)</f>
        <v>0</v>
      </c>
      <c r="U164" s="129">
        <f t="shared" ref="U164" si="472">MIN($T164:$T168)</f>
        <v>0</v>
      </c>
      <c r="V164" s="233" t="s">
        <v>197</v>
      </c>
      <c r="W164" s="219"/>
      <c r="X164" s="219" t="s">
        <v>197</v>
      </c>
      <c r="Y164" s="239"/>
      <c r="Z164" s="105">
        <f t="shared" ref="Z164" si="473">IF($V164="YES",$U164,IF($X164&lt;&gt;"YES",$W164,($AC164+$J164*$K164)))</f>
        <v>0</v>
      </c>
      <c r="AA164" s="105">
        <f t="shared" ref="AA164" si="474">ROUND($Z164+($F164/12),2)</f>
        <v>0</v>
      </c>
      <c r="AB164" s="105" t="b">
        <f t="shared" ref="AB164" si="475">IF($L164,($L164-$AA164))</f>
        <v>0</v>
      </c>
      <c r="AC164" s="111">
        <f t="shared" ref="AC164" si="476">IF(AND($V164&lt;&gt;"YES",$X164="YES"),$Y164,ROUND($Z164-($J164*$K164),2))</f>
        <v>0</v>
      </c>
    </row>
    <row r="165" spans="1:29" x14ac:dyDescent="0.3">
      <c r="A165" s="121"/>
      <c r="B165" s="204" t="b">
        <f>IF(Pipes!$B165,Pipes!$B165)</f>
        <v>0</v>
      </c>
      <c r="C165" s="205"/>
      <c r="D165" s="224"/>
      <c r="E165" s="224"/>
      <c r="F165" s="224">
        <f t="shared" ref="F165:F168" si="477">F164</f>
        <v>0</v>
      </c>
      <c r="G165" s="224"/>
      <c r="H165" s="224"/>
      <c r="I165" s="52"/>
      <c r="J165" s="52"/>
      <c r="K165" s="130"/>
      <c r="L165" s="206">
        <f t="shared" ref="L165" si="478">$L164</f>
        <v>0</v>
      </c>
      <c r="M165" s="206" t="b">
        <f t="shared" ref="M165" si="479">M164</f>
        <v>0</v>
      </c>
      <c r="N165" s="240" t="b">
        <f t="shared" ref="N165" si="480">IF($B165,INDEX($AC$4:$AC$499,MATCH($B165,$A$4:$A$499)))</f>
        <v>0</v>
      </c>
      <c r="O165" s="209"/>
      <c r="P165" s="208">
        <f t="shared" ref="P165:P168" si="481">IF($B165,INDEX($F$4:$F$499,MATCH($B165,$A$4:$A$499)),0)</f>
        <v>0</v>
      </c>
      <c r="Q165" s="242" t="b">
        <f t="shared" ref="Q165" si="482">IF($N165,ROUND(($N165+($P165/12)),2))</f>
        <v>0</v>
      </c>
      <c r="R165" s="53" t="b">
        <f t="shared" ref="R165" si="483">IF(AND($L165,$Q165),$L165-$Q165)</f>
        <v>0</v>
      </c>
      <c r="S165" s="241" t="s">
        <v>197</v>
      </c>
      <c r="T165" s="127" t="b">
        <f>IF($N165,IF($F165&gt;$P165,ROUND(($Q165-($F164/12)),2),IF($S165="YES",$N165,$N165-MinDrop)))</f>
        <v>0</v>
      </c>
      <c r="U165" s="243"/>
      <c r="V165" s="245"/>
      <c r="W165" s="245"/>
      <c r="X165" s="54"/>
      <c r="Y165" s="117"/>
      <c r="Z165" s="54"/>
      <c r="AA165" s="54"/>
      <c r="AB165" s="54"/>
      <c r="AC165" s="211"/>
    </row>
    <row r="166" spans="1:29" x14ac:dyDescent="0.3">
      <c r="A166" s="121"/>
      <c r="B166" s="204" t="b">
        <f>IF(Pipes!$B166,Pipes!$B166)</f>
        <v>0</v>
      </c>
      <c r="C166" s="205"/>
      <c r="D166" s="224"/>
      <c r="E166" s="224"/>
      <c r="F166" s="224">
        <f t="shared" si="477"/>
        <v>0</v>
      </c>
      <c r="G166" s="224"/>
      <c r="H166" s="224"/>
      <c r="I166" s="52"/>
      <c r="J166" s="52"/>
      <c r="K166" s="130"/>
      <c r="L166" s="206">
        <f t="shared" si="403"/>
        <v>0</v>
      </c>
      <c r="M166" s="206" t="b">
        <f t="shared" si="404"/>
        <v>0</v>
      </c>
      <c r="N166" s="207" t="b">
        <f t="shared" si="405"/>
        <v>0</v>
      </c>
      <c r="O166" s="209"/>
      <c r="P166" s="208">
        <f t="shared" si="481"/>
        <v>0</v>
      </c>
      <c r="Q166" s="53" t="b">
        <f t="shared" si="407"/>
        <v>0</v>
      </c>
      <c r="R166" s="53" t="b">
        <f t="shared" si="408"/>
        <v>0</v>
      </c>
      <c r="S166" s="241" t="s">
        <v>197</v>
      </c>
      <c r="T166" s="127" t="b">
        <f>IF($N166,IF($F166&gt;$P166,ROUND(($Q166-($F165/12)),2),IF($S166="YES",$N166,$N166-MinDrop)))</f>
        <v>0</v>
      </c>
      <c r="U166" s="210"/>
      <c r="V166" s="54"/>
      <c r="W166" s="54"/>
      <c r="X166" s="54"/>
      <c r="Y166" s="117"/>
      <c r="Z166" s="54"/>
      <c r="AA166" s="54"/>
      <c r="AB166" s="54"/>
      <c r="AC166" s="211"/>
    </row>
    <row r="167" spans="1:29" x14ac:dyDescent="0.3">
      <c r="A167" s="121"/>
      <c r="B167" s="204" t="b">
        <f>IF(Pipes!$B167,Pipes!$B167)</f>
        <v>0</v>
      </c>
      <c r="C167" s="205"/>
      <c r="D167" s="224"/>
      <c r="E167" s="224"/>
      <c r="F167" s="224">
        <f t="shared" si="477"/>
        <v>0</v>
      </c>
      <c r="G167" s="224"/>
      <c r="H167" s="224"/>
      <c r="I167" s="52"/>
      <c r="J167" s="52"/>
      <c r="K167" s="130"/>
      <c r="L167" s="206">
        <f t="shared" si="403"/>
        <v>0</v>
      </c>
      <c r="M167" s="206" t="b">
        <f t="shared" si="404"/>
        <v>0</v>
      </c>
      <c r="N167" s="207" t="b">
        <f t="shared" si="405"/>
        <v>0</v>
      </c>
      <c r="O167" s="209"/>
      <c r="P167" s="208">
        <f t="shared" si="481"/>
        <v>0</v>
      </c>
      <c r="Q167" s="53" t="b">
        <f t="shared" si="407"/>
        <v>0</v>
      </c>
      <c r="R167" s="53" t="b">
        <f t="shared" si="408"/>
        <v>0</v>
      </c>
      <c r="S167" s="241" t="s">
        <v>197</v>
      </c>
      <c r="T167" s="127" t="b">
        <f>IF($N167,IF($F167&gt;$P167,ROUND(($Q167-($F166/12)),2),IF($S167="YES",$N167,$N167-MinDrop)))</f>
        <v>0</v>
      </c>
      <c r="U167" s="210"/>
      <c r="V167" s="54"/>
      <c r="W167" s="54"/>
      <c r="X167" s="54"/>
      <c r="Y167" s="117"/>
      <c r="Z167" s="54"/>
      <c r="AA167" s="54"/>
      <c r="AB167" s="54"/>
      <c r="AC167" s="211"/>
    </row>
    <row r="168" spans="1:29" ht="15" thickBot="1" x14ac:dyDescent="0.35">
      <c r="A168" s="122"/>
      <c r="B168" s="204" t="b">
        <f>IF(Pipes!$B168,Pipes!$B168)</f>
        <v>0</v>
      </c>
      <c r="C168" s="212"/>
      <c r="D168" s="104"/>
      <c r="E168" s="104"/>
      <c r="F168" s="104">
        <f t="shared" si="477"/>
        <v>0</v>
      </c>
      <c r="G168" s="104"/>
      <c r="H168" s="104"/>
      <c r="I168" s="101"/>
      <c r="J168" s="101"/>
      <c r="K168" s="131"/>
      <c r="L168" s="213">
        <f t="shared" si="403"/>
        <v>0</v>
      </c>
      <c r="M168" s="213" t="b">
        <f t="shared" si="404"/>
        <v>0</v>
      </c>
      <c r="N168" s="214" t="b">
        <f t="shared" si="405"/>
        <v>0</v>
      </c>
      <c r="O168" s="216"/>
      <c r="P168" s="215">
        <f t="shared" si="481"/>
        <v>0</v>
      </c>
      <c r="Q168" s="103" t="b">
        <f t="shared" si="407"/>
        <v>0</v>
      </c>
      <c r="R168" s="53" t="b">
        <f t="shared" si="408"/>
        <v>0</v>
      </c>
      <c r="S168" s="241" t="s">
        <v>197</v>
      </c>
      <c r="T168" s="127" t="b">
        <f>IF($N168,IF($F168&gt;$P168,ROUND(($Q168-($F167/12)),2),IF($S168="YES",$N168,$N168-MinDrop)))</f>
        <v>0</v>
      </c>
      <c r="U168" s="217"/>
      <c r="V168" s="102"/>
      <c r="W168" s="102"/>
      <c r="X168" s="102"/>
      <c r="Y168" s="118"/>
      <c r="Z168" s="102"/>
      <c r="AA168" s="102"/>
      <c r="AB168" s="102"/>
      <c r="AC168" s="218"/>
    </row>
    <row r="169" spans="1:29" x14ac:dyDescent="0.3">
      <c r="A169" s="115">
        <f t="shared" ref="A169" si="484">$A164+1</f>
        <v>34</v>
      </c>
      <c r="B169" s="186"/>
      <c r="C169" s="201">
        <f>IF(Pipes!$Q169&gt;0,IF(Pipes!$R169&gt;MinDiameter,Pipes!$R169,MinDiameter),0)</f>
        <v>0</v>
      </c>
      <c r="D169" s="187" t="s">
        <v>197</v>
      </c>
      <c r="E169" s="187"/>
      <c r="F169" s="107">
        <f>Pipes!$S169</f>
        <v>0</v>
      </c>
      <c r="G169" s="108">
        <f>Pipes!$W169</f>
        <v>0</v>
      </c>
      <c r="H169" s="187" t="s">
        <v>197</v>
      </c>
      <c r="I169" s="188"/>
      <c r="J169" s="108">
        <f>Pipes!$X169</f>
        <v>0</v>
      </c>
      <c r="K169" s="193">
        <f>INDEX(Tribs!$H$3:$H$102,MATCH($A169,Tribs!$A$3:$A$102,0))</f>
        <v>0</v>
      </c>
      <c r="L169" s="105">
        <f>INDEX(Tribs!$I$3:$I$102,MATCH($A169,Tribs!$A$3:$A$102,0))</f>
        <v>0</v>
      </c>
      <c r="M169" s="105" t="b">
        <f>IF($L169,ROUND($L169-MinCover-($F169/12),2))</f>
        <v>0</v>
      </c>
      <c r="N169" s="202"/>
      <c r="O169" s="129">
        <f t="shared" ref="O169" si="485">MIN($N170:$N173)</f>
        <v>0</v>
      </c>
      <c r="P169" s="203"/>
      <c r="Q169" s="203"/>
      <c r="R169" s="203"/>
      <c r="S169" s="110"/>
      <c r="T169" s="116" t="b">
        <f t="shared" ref="T169" si="486">IF($M169,$M169)</f>
        <v>0</v>
      </c>
      <c r="U169" s="129">
        <f t="shared" ref="U169" si="487">MIN($T169:$T173)</f>
        <v>0</v>
      </c>
      <c r="V169" s="233" t="s">
        <v>197</v>
      </c>
      <c r="W169" s="219"/>
      <c r="X169" s="219" t="s">
        <v>197</v>
      </c>
      <c r="Y169" s="239"/>
      <c r="Z169" s="105">
        <f t="shared" ref="Z169" si="488">IF($V169="YES",$U169,IF($X169&lt;&gt;"YES",$W169,($AC169+$J169*$K169)))</f>
        <v>0</v>
      </c>
      <c r="AA169" s="105">
        <f t="shared" ref="AA169" si="489">ROUND($Z169+($F169/12),2)</f>
        <v>0</v>
      </c>
      <c r="AB169" s="105" t="b">
        <f t="shared" ref="AB169" si="490">IF($L169,($L169-$AA169))</f>
        <v>0</v>
      </c>
      <c r="AC169" s="111">
        <f t="shared" ref="AC169" si="491">IF(AND($V169&lt;&gt;"YES",$X169="YES"),$Y169,ROUND($Z169-($J169*$K169),2))</f>
        <v>0</v>
      </c>
    </row>
    <row r="170" spans="1:29" x14ac:dyDescent="0.3">
      <c r="A170" s="121"/>
      <c r="B170" s="204" t="b">
        <f>IF(Pipes!$B170,Pipes!$B170)</f>
        <v>0</v>
      </c>
      <c r="C170" s="205"/>
      <c r="D170" s="224"/>
      <c r="E170" s="224"/>
      <c r="F170" s="224">
        <f t="shared" ref="F170:F173" si="492">F169</f>
        <v>0</v>
      </c>
      <c r="G170" s="224"/>
      <c r="H170" s="224"/>
      <c r="I170" s="52"/>
      <c r="J170" s="52"/>
      <c r="K170" s="130"/>
      <c r="L170" s="206">
        <f t="shared" ref="L170" si="493">$L169</f>
        <v>0</v>
      </c>
      <c r="M170" s="206" t="b">
        <f t="shared" ref="M170" si="494">M169</f>
        <v>0</v>
      </c>
      <c r="N170" s="240" t="b">
        <f t="shared" ref="N170" si="495">IF($B170,INDEX($AC$4:$AC$499,MATCH($B170,$A$4:$A$499)))</f>
        <v>0</v>
      </c>
      <c r="O170" s="209"/>
      <c r="P170" s="208">
        <f t="shared" ref="P170:P173" si="496">IF($B170,INDEX($F$4:$F$499,MATCH($B170,$A$4:$A$499)),0)</f>
        <v>0</v>
      </c>
      <c r="Q170" s="242" t="b">
        <f t="shared" ref="Q170" si="497">IF($N170,ROUND(($N170+($P170/12)),2))</f>
        <v>0</v>
      </c>
      <c r="R170" s="53" t="b">
        <f t="shared" ref="R170" si="498">IF(AND($L170,$Q170),$L170-$Q170)</f>
        <v>0</v>
      </c>
      <c r="S170" s="241" t="s">
        <v>197</v>
      </c>
      <c r="T170" s="127" t="b">
        <f>IF($N170,IF($F170&gt;$P170,ROUND(($Q170-($F169/12)),2),IF($S170="YES",$N170,$N170-MinDrop)))</f>
        <v>0</v>
      </c>
      <c r="U170" s="243"/>
      <c r="V170" s="245"/>
      <c r="W170" s="245"/>
      <c r="X170" s="54"/>
      <c r="Y170" s="117"/>
      <c r="Z170" s="54"/>
      <c r="AA170" s="54"/>
      <c r="AB170" s="54"/>
      <c r="AC170" s="211"/>
    </row>
    <row r="171" spans="1:29" x14ac:dyDescent="0.3">
      <c r="A171" s="121"/>
      <c r="B171" s="204" t="b">
        <f>IF(Pipes!$B171,Pipes!$B171)</f>
        <v>0</v>
      </c>
      <c r="C171" s="205"/>
      <c r="D171" s="224"/>
      <c r="E171" s="224"/>
      <c r="F171" s="224">
        <f t="shared" si="492"/>
        <v>0</v>
      </c>
      <c r="G171" s="224"/>
      <c r="H171" s="224"/>
      <c r="I171" s="52"/>
      <c r="J171" s="52"/>
      <c r="K171" s="130"/>
      <c r="L171" s="206">
        <f t="shared" si="403"/>
        <v>0</v>
      </c>
      <c r="M171" s="206" t="b">
        <f t="shared" si="404"/>
        <v>0</v>
      </c>
      <c r="N171" s="207" t="b">
        <f t="shared" si="405"/>
        <v>0</v>
      </c>
      <c r="O171" s="209"/>
      <c r="P171" s="208">
        <f t="shared" si="496"/>
        <v>0</v>
      </c>
      <c r="Q171" s="53" t="b">
        <f t="shared" si="407"/>
        <v>0</v>
      </c>
      <c r="R171" s="53" t="b">
        <f t="shared" si="408"/>
        <v>0</v>
      </c>
      <c r="S171" s="241" t="s">
        <v>197</v>
      </c>
      <c r="T171" s="127" t="b">
        <f>IF($N171,IF($F171&gt;$P171,ROUND(($Q171-($F170/12)),2),IF($S171="YES",$N171,$N171-MinDrop)))</f>
        <v>0</v>
      </c>
      <c r="U171" s="210"/>
      <c r="V171" s="54"/>
      <c r="W171" s="54"/>
      <c r="X171" s="54"/>
      <c r="Y171" s="117"/>
      <c r="Z171" s="54"/>
      <c r="AA171" s="54"/>
      <c r="AB171" s="54"/>
      <c r="AC171" s="211"/>
    </row>
    <row r="172" spans="1:29" x14ac:dyDescent="0.3">
      <c r="A172" s="121"/>
      <c r="B172" s="204" t="b">
        <f>IF(Pipes!$B172,Pipes!$B172)</f>
        <v>0</v>
      </c>
      <c r="C172" s="205"/>
      <c r="D172" s="224"/>
      <c r="E172" s="224"/>
      <c r="F172" s="224">
        <f t="shared" si="492"/>
        <v>0</v>
      </c>
      <c r="G172" s="224"/>
      <c r="H172" s="224"/>
      <c r="I172" s="52"/>
      <c r="J172" s="52"/>
      <c r="K172" s="130"/>
      <c r="L172" s="206">
        <f t="shared" si="403"/>
        <v>0</v>
      </c>
      <c r="M172" s="206" t="b">
        <f t="shared" si="404"/>
        <v>0</v>
      </c>
      <c r="N172" s="207" t="b">
        <f t="shared" si="405"/>
        <v>0</v>
      </c>
      <c r="O172" s="209"/>
      <c r="P172" s="208">
        <f t="shared" si="496"/>
        <v>0</v>
      </c>
      <c r="Q172" s="53" t="b">
        <f t="shared" si="407"/>
        <v>0</v>
      </c>
      <c r="R172" s="53" t="b">
        <f t="shared" si="408"/>
        <v>0</v>
      </c>
      <c r="S172" s="241" t="s">
        <v>197</v>
      </c>
      <c r="T172" s="127" t="b">
        <f>IF($N172,IF($F172&gt;$P172,ROUND(($Q172-($F171/12)),2),IF($S172="YES",$N172,$N172-MinDrop)))</f>
        <v>0</v>
      </c>
      <c r="U172" s="210"/>
      <c r="V172" s="54"/>
      <c r="W172" s="54"/>
      <c r="X172" s="54"/>
      <c r="Y172" s="117"/>
      <c r="Z172" s="54"/>
      <c r="AA172" s="54"/>
      <c r="AB172" s="54"/>
      <c r="AC172" s="211"/>
    </row>
    <row r="173" spans="1:29" ht="15" thickBot="1" x14ac:dyDescent="0.35">
      <c r="A173" s="122"/>
      <c r="B173" s="204" t="b">
        <f>IF(Pipes!$B173,Pipes!$B173)</f>
        <v>0</v>
      </c>
      <c r="C173" s="212"/>
      <c r="D173" s="104"/>
      <c r="E173" s="104"/>
      <c r="F173" s="104">
        <f t="shared" si="492"/>
        <v>0</v>
      </c>
      <c r="G173" s="104"/>
      <c r="H173" s="104"/>
      <c r="I173" s="101"/>
      <c r="J173" s="101"/>
      <c r="K173" s="131"/>
      <c r="L173" s="213">
        <f t="shared" si="403"/>
        <v>0</v>
      </c>
      <c r="M173" s="213" t="b">
        <f t="shared" si="404"/>
        <v>0</v>
      </c>
      <c r="N173" s="214" t="b">
        <f t="shared" si="405"/>
        <v>0</v>
      </c>
      <c r="O173" s="216"/>
      <c r="P173" s="215">
        <f t="shared" si="496"/>
        <v>0</v>
      </c>
      <c r="Q173" s="103" t="b">
        <f t="shared" si="407"/>
        <v>0</v>
      </c>
      <c r="R173" s="53" t="b">
        <f t="shared" si="408"/>
        <v>0</v>
      </c>
      <c r="S173" s="241" t="s">
        <v>197</v>
      </c>
      <c r="T173" s="127" t="b">
        <f>IF($N173,IF($F173&gt;$P173,ROUND(($Q173-($F172/12)),2),IF($S173="YES",$N173,$N173-MinDrop)))</f>
        <v>0</v>
      </c>
      <c r="U173" s="217"/>
      <c r="V173" s="102"/>
      <c r="W173" s="102"/>
      <c r="X173" s="102"/>
      <c r="Y173" s="118"/>
      <c r="Z173" s="102"/>
      <c r="AA173" s="102"/>
      <c r="AB173" s="102"/>
      <c r="AC173" s="218"/>
    </row>
    <row r="174" spans="1:29" x14ac:dyDescent="0.3">
      <c r="A174" s="115">
        <f t="shared" ref="A174" si="499">$A169+1</f>
        <v>35</v>
      </c>
      <c r="B174" s="186"/>
      <c r="C174" s="201">
        <f>IF(Pipes!$Q174&gt;0,IF(Pipes!$R174&gt;MinDiameter,Pipes!$R174,MinDiameter),0)</f>
        <v>0</v>
      </c>
      <c r="D174" s="187" t="s">
        <v>197</v>
      </c>
      <c r="E174" s="187"/>
      <c r="F174" s="107">
        <f>Pipes!$S174</f>
        <v>0</v>
      </c>
      <c r="G174" s="108">
        <f>Pipes!$W174</f>
        <v>0</v>
      </c>
      <c r="H174" s="187" t="s">
        <v>197</v>
      </c>
      <c r="I174" s="188"/>
      <c r="J174" s="108">
        <f>Pipes!$X174</f>
        <v>0</v>
      </c>
      <c r="K174" s="193">
        <f>INDEX(Tribs!$H$3:$H$102,MATCH($A174,Tribs!$A$3:$A$102,0))</f>
        <v>0</v>
      </c>
      <c r="L174" s="105">
        <f>INDEX(Tribs!$I$3:$I$102,MATCH($A174,Tribs!$A$3:$A$102,0))</f>
        <v>0</v>
      </c>
      <c r="M174" s="105" t="b">
        <f>IF($L174,ROUND($L174-MinCover-($F174/12),2))</f>
        <v>0</v>
      </c>
      <c r="N174" s="202"/>
      <c r="O174" s="129">
        <f t="shared" ref="O174" si="500">MIN($N175:$N178)</f>
        <v>0</v>
      </c>
      <c r="P174" s="203"/>
      <c r="Q174" s="203"/>
      <c r="R174" s="203"/>
      <c r="S174" s="110"/>
      <c r="T174" s="116" t="b">
        <f t="shared" ref="T174" si="501">IF($M174,$M174)</f>
        <v>0</v>
      </c>
      <c r="U174" s="129">
        <f t="shared" ref="U174" si="502">MIN($T174:$T178)</f>
        <v>0</v>
      </c>
      <c r="V174" s="233" t="s">
        <v>197</v>
      </c>
      <c r="W174" s="219"/>
      <c r="X174" s="219" t="s">
        <v>197</v>
      </c>
      <c r="Y174" s="239"/>
      <c r="Z174" s="105">
        <f t="shared" ref="Z174" si="503">IF($V174="YES",$U174,IF($X174&lt;&gt;"YES",$W174,($AC174+$J174*$K174)))</f>
        <v>0</v>
      </c>
      <c r="AA174" s="105">
        <f t="shared" ref="AA174" si="504">ROUND($Z174+($F174/12),2)</f>
        <v>0</v>
      </c>
      <c r="AB174" s="105" t="b">
        <f t="shared" ref="AB174" si="505">IF($L174,($L174-$AA174))</f>
        <v>0</v>
      </c>
      <c r="AC174" s="111">
        <f t="shared" ref="AC174" si="506">IF(AND($V174&lt;&gt;"YES",$X174="YES"),$Y174,ROUND($Z174-($J174*$K174),2))</f>
        <v>0</v>
      </c>
    </row>
    <row r="175" spans="1:29" x14ac:dyDescent="0.3">
      <c r="A175" s="121"/>
      <c r="B175" s="204" t="b">
        <f>IF(Pipes!$B175,Pipes!$B175)</f>
        <v>0</v>
      </c>
      <c r="C175" s="205"/>
      <c r="D175" s="224"/>
      <c r="E175" s="224"/>
      <c r="F175" s="224">
        <f t="shared" ref="F175:F178" si="507">F174</f>
        <v>0</v>
      </c>
      <c r="G175" s="224"/>
      <c r="H175" s="224"/>
      <c r="I175" s="52"/>
      <c r="J175" s="52"/>
      <c r="K175" s="130"/>
      <c r="L175" s="206">
        <f t="shared" ref="L175" si="508">$L174</f>
        <v>0</v>
      </c>
      <c r="M175" s="206" t="b">
        <f t="shared" ref="M175" si="509">M174</f>
        <v>0</v>
      </c>
      <c r="N175" s="240" t="b">
        <f t="shared" ref="N175" si="510">IF($B175,INDEX($AC$4:$AC$499,MATCH($B175,$A$4:$A$499)))</f>
        <v>0</v>
      </c>
      <c r="O175" s="209"/>
      <c r="P175" s="208">
        <f t="shared" ref="P175:P178" si="511">IF($B175,INDEX($F$4:$F$499,MATCH($B175,$A$4:$A$499)),0)</f>
        <v>0</v>
      </c>
      <c r="Q175" s="242" t="b">
        <f t="shared" ref="Q175" si="512">IF($N175,ROUND(($N175+($P175/12)),2))</f>
        <v>0</v>
      </c>
      <c r="R175" s="53" t="b">
        <f t="shared" ref="R175" si="513">IF(AND($L175,$Q175),$L175-$Q175)</f>
        <v>0</v>
      </c>
      <c r="S175" s="241" t="s">
        <v>197</v>
      </c>
      <c r="T175" s="127" t="b">
        <f>IF($N175,IF($F175&gt;$P175,ROUND(($Q175-($F174/12)),2),IF($S175="YES",$N175,$N175-MinDrop)))</f>
        <v>0</v>
      </c>
      <c r="U175" s="243"/>
      <c r="V175" s="245"/>
      <c r="W175" s="245"/>
      <c r="X175" s="54"/>
      <c r="Y175" s="117"/>
      <c r="Z175" s="54"/>
      <c r="AA175" s="54"/>
      <c r="AB175" s="54"/>
      <c r="AC175" s="211"/>
    </row>
    <row r="176" spans="1:29" x14ac:dyDescent="0.3">
      <c r="A176" s="121"/>
      <c r="B176" s="204" t="b">
        <f>IF(Pipes!$B176,Pipes!$B176)</f>
        <v>0</v>
      </c>
      <c r="C176" s="205"/>
      <c r="D176" s="224"/>
      <c r="E176" s="224"/>
      <c r="F176" s="224">
        <f t="shared" si="507"/>
        <v>0</v>
      </c>
      <c r="G176" s="224"/>
      <c r="H176" s="224"/>
      <c r="I176" s="52"/>
      <c r="J176" s="52"/>
      <c r="K176" s="130"/>
      <c r="L176" s="206">
        <f t="shared" si="403"/>
        <v>0</v>
      </c>
      <c r="M176" s="206" t="b">
        <f t="shared" si="404"/>
        <v>0</v>
      </c>
      <c r="N176" s="207" t="b">
        <f t="shared" si="405"/>
        <v>0</v>
      </c>
      <c r="O176" s="209"/>
      <c r="P176" s="208">
        <f t="shared" si="511"/>
        <v>0</v>
      </c>
      <c r="Q176" s="53" t="b">
        <f t="shared" si="407"/>
        <v>0</v>
      </c>
      <c r="R176" s="53" t="b">
        <f t="shared" si="408"/>
        <v>0</v>
      </c>
      <c r="S176" s="241" t="s">
        <v>197</v>
      </c>
      <c r="T176" s="127" t="b">
        <f>IF($N176,IF($F176&gt;$P176,ROUND(($Q176-($F175/12)),2),IF($S176="YES",$N176,$N176-MinDrop)))</f>
        <v>0</v>
      </c>
      <c r="U176" s="210"/>
      <c r="V176" s="54"/>
      <c r="W176" s="54"/>
      <c r="X176" s="54"/>
      <c r="Y176" s="117"/>
      <c r="Z176" s="54"/>
      <c r="AA176" s="54"/>
      <c r="AB176" s="54"/>
      <c r="AC176" s="211"/>
    </row>
    <row r="177" spans="1:29" x14ac:dyDescent="0.3">
      <c r="A177" s="121"/>
      <c r="B177" s="204" t="b">
        <f>IF(Pipes!$B177,Pipes!$B177)</f>
        <v>0</v>
      </c>
      <c r="C177" s="205"/>
      <c r="D177" s="224"/>
      <c r="E177" s="224"/>
      <c r="F177" s="224">
        <f t="shared" si="507"/>
        <v>0</v>
      </c>
      <c r="G177" s="224"/>
      <c r="H177" s="224"/>
      <c r="I177" s="52"/>
      <c r="J177" s="52"/>
      <c r="K177" s="130"/>
      <c r="L177" s="206">
        <f t="shared" si="403"/>
        <v>0</v>
      </c>
      <c r="M177" s="206" t="b">
        <f t="shared" si="404"/>
        <v>0</v>
      </c>
      <c r="N177" s="207" t="b">
        <f t="shared" si="405"/>
        <v>0</v>
      </c>
      <c r="O177" s="209"/>
      <c r="P177" s="208">
        <f t="shared" si="511"/>
        <v>0</v>
      </c>
      <c r="Q177" s="53" t="b">
        <f t="shared" si="407"/>
        <v>0</v>
      </c>
      <c r="R177" s="53" t="b">
        <f t="shared" si="408"/>
        <v>0</v>
      </c>
      <c r="S177" s="241" t="s">
        <v>197</v>
      </c>
      <c r="T177" s="127" t="b">
        <f>IF($N177,IF($F177&gt;$P177,ROUND(($Q177-($F176/12)),2),IF($S177="YES",$N177,$N177-MinDrop)))</f>
        <v>0</v>
      </c>
      <c r="U177" s="210"/>
      <c r="V177" s="54"/>
      <c r="W177" s="54"/>
      <c r="X177" s="54"/>
      <c r="Y177" s="117"/>
      <c r="Z177" s="54"/>
      <c r="AA177" s="54"/>
      <c r="AB177" s="54"/>
      <c r="AC177" s="211"/>
    </row>
    <row r="178" spans="1:29" ht="15" thickBot="1" x14ac:dyDescent="0.35">
      <c r="A178" s="122"/>
      <c r="B178" s="204" t="b">
        <f>IF(Pipes!$B178,Pipes!$B178)</f>
        <v>0</v>
      </c>
      <c r="C178" s="212"/>
      <c r="D178" s="104"/>
      <c r="E178" s="104"/>
      <c r="F178" s="104">
        <f t="shared" si="507"/>
        <v>0</v>
      </c>
      <c r="G178" s="104"/>
      <c r="H178" s="104"/>
      <c r="I178" s="101"/>
      <c r="J178" s="101"/>
      <c r="K178" s="131"/>
      <c r="L178" s="213">
        <f t="shared" si="403"/>
        <v>0</v>
      </c>
      <c r="M178" s="213" t="b">
        <f t="shared" si="404"/>
        <v>0</v>
      </c>
      <c r="N178" s="214" t="b">
        <f t="shared" si="405"/>
        <v>0</v>
      </c>
      <c r="O178" s="216"/>
      <c r="P178" s="215">
        <f t="shared" si="511"/>
        <v>0</v>
      </c>
      <c r="Q178" s="103" t="b">
        <f t="shared" si="407"/>
        <v>0</v>
      </c>
      <c r="R178" s="53" t="b">
        <f t="shared" si="408"/>
        <v>0</v>
      </c>
      <c r="S178" s="241" t="s">
        <v>197</v>
      </c>
      <c r="T178" s="127" t="b">
        <f>IF($N178,IF($F178&gt;$P178,ROUND(($Q178-($F177/12)),2),IF($S178="YES",$N178,$N178-MinDrop)))</f>
        <v>0</v>
      </c>
      <c r="U178" s="217"/>
      <c r="V178" s="102"/>
      <c r="W178" s="102"/>
      <c r="X178" s="102"/>
      <c r="Y178" s="118"/>
      <c r="Z178" s="102"/>
      <c r="AA178" s="102"/>
      <c r="AB178" s="102"/>
      <c r="AC178" s="218"/>
    </row>
    <row r="179" spans="1:29" x14ac:dyDescent="0.3">
      <c r="A179" s="115">
        <f t="shared" ref="A179" si="514">$A174+1</f>
        <v>36</v>
      </c>
      <c r="B179" s="186"/>
      <c r="C179" s="201">
        <f>IF(Pipes!$Q179&gt;0,IF(Pipes!$R179&gt;MinDiameter,Pipes!$R179,MinDiameter),0)</f>
        <v>0</v>
      </c>
      <c r="D179" s="187" t="s">
        <v>197</v>
      </c>
      <c r="E179" s="187"/>
      <c r="F179" s="107">
        <f>Pipes!$S179</f>
        <v>0</v>
      </c>
      <c r="G179" s="108">
        <f>Pipes!$W179</f>
        <v>0</v>
      </c>
      <c r="H179" s="187" t="s">
        <v>197</v>
      </c>
      <c r="I179" s="188"/>
      <c r="J179" s="108">
        <f>Pipes!$X179</f>
        <v>0</v>
      </c>
      <c r="K179" s="193">
        <f>INDEX(Tribs!$H$3:$H$102,MATCH($A179,Tribs!$A$3:$A$102,0))</f>
        <v>0</v>
      </c>
      <c r="L179" s="105">
        <f>INDEX(Tribs!$I$3:$I$102,MATCH($A179,Tribs!$A$3:$A$102,0))</f>
        <v>0</v>
      </c>
      <c r="M179" s="105" t="b">
        <f>IF($L179,ROUND($L179-MinCover-($F179/12),2))</f>
        <v>0</v>
      </c>
      <c r="N179" s="202"/>
      <c r="O179" s="129">
        <f t="shared" ref="O179" si="515">MIN($N180:$N183)</f>
        <v>0</v>
      </c>
      <c r="P179" s="203"/>
      <c r="Q179" s="203"/>
      <c r="R179" s="203"/>
      <c r="S179" s="110"/>
      <c r="T179" s="116" t="b">
        <f t="shared" ref="T179" si="516">IF($M179,$M179)</f>
        <v>0</v>
      </c>
      <c r="U179" s="129">
        <f t="shared" ref="U179" si="517">MIN($T179:$T183)</f>
        <v>0</v>
      </c>
      <c r="V179" s="233" t="s">
        <v>197</v>
      </c>
      <c r="W179" s="219"/>
      <c r="X179" s="219" t="s">
        <v>197</v>
      </c>
      <c r="Y179" s="239"/>
      <c r="Z179" s="105">
        <f t="shared" ref="Z179" si="518">IF($V179="YES",$U179,IF($X179&lt;&gt;"YES",$W179,($AC179+$J179*$K179)))</f>
        <v>0</v>
      </c>
      <c r="AA179" s="105">
        <f t="shared" ref="AA179" si="519">ROUND($Z179+($F179/12),2)</f>
        <v>0</v>
      </c>
      <c r="AB179" s="105" t="b">
        <f t="shared" ref="AB179" si="520">IF($L179,($L179-$AA179))</f>
        <v>0</v>
      </c>
      <c r="AC179" s="111">
        <f t="shared" ref="AC179" si="521">IF(AND($V179&lt;&gt;"YES",$X179="YES"),$Y179,ROUND($Z179-($J179*$K179),2))</f>
        <v>0</v>
      </c>
    </row>
    <row r="180" spans="1:29" x14ac:dyDescent="0.3">
      <c r="A180" s="121"/>
      <c r="B180" s="204" t="b">
        <f>IF(Pipes!$B180,Pipes!$B180)</f>
        <v>0</v>
      </c>
      <c r="C180" s="205"/>
      <c r="D180" s="224"/>
      <c r="E180" s="224"/>
      <c r="F180" s="224">
        <f t="shared" ref="F180:F183" si="522">F179</f>
        <v>0</v>
      </c>
      <c r="G180" s="224"/>
      <c r="H180" s="224"/>
      <c r="I180" s="52"/>
      <c r="J180" s="52"/>
      <c r="K180" s="130"/>
      <c r="L180" s="206">
        <f t="shared" ref="L180" si="523">$L179</f>
        <v>0</v>
      </c>
      <c r="M180" s="206" t="b">
        <f t="shared" ref="M180" si="524">M179</f>
        <v>0</v>
      </c>
      <c r="N180" s="240" t="b">
        <f t="shared" ref="N180" si="525">IF($B180,INDEX($AC$4:$AC$499,MATCH($B180,$A$4:$A$499)))</f>
        <v>0</v>
      </c>
      <c r="O180" s="209"/>
      <c r="P180" s="208">
        <f t="shared" ref="P180:P183" si="526">IF($B180,INDEX($F$4:$F$499,MATCH($B180,$A$4:$A$499)),0)</f>
        <v>0</v>
      </c>
      <c r="Q180" s="242" t="b">
        <f t="shared" ref="Q180" si="527">IF($N180,ROUND(($N180+($P180/12)),2))</f>
        <v>0</v>
      </c>
      <c r="R180" s="53" t="b">
        <f t="shared" ref="R180" si="528">IF(AND($L180,$Q180),$L180-$Q180)</f>
        <v>0</v>
      </c>
      <c r="S180" s="241" t="s">
        <v>197</v>
      </c>
      <c r="T180" s="127" t="b">
        <f>IF($N180,IF($F180&gt;$P180,ROUND(($Q180-($F179/12)),2),IF($S180="YES",$N180,$N180-MinDrop)))</f>
        <v>0</v>
      </c>
      <c r="U180" s="243"/>
      <c r="V180" s="245"/>
      <c r="W180" s="245"/>
      <c r="X180" s="54"/>
      <c r="Y180" s="117"/>
      <c r="Z180" s="54"/>
      <c r="AA180" s="54"/>
      <c r="AB180" s="54"/>
      <c r="AC180" s="211"/>
    </row>
    <row r="181" spans="1:29" x14ac:dyDescent="0.3">
      <c r="A181" s="121"/>
      <c r="B181" s="204" t="b">
        <f>IF(Pipes!$B181,Pipes!$B181)</f>
        <v>0</v>
      </c>
      <c r="C181" s="205"/>
      <c r="D181" s="224"/>
      <c r="E181" s="224"/>
      <c r="F181" s="224">
        <f t="shared" si="522"/>
        <v>0</v>
      </c>
      <c r="G181" s="224"/>
      <c r="H181" s="224"/>
      <c r="I181" s="52"/>
      <c r="J181" s="52"/>
      <c r="K181" s="130"/>
      <c r="L181" s="206">
        <f t="shared" si="403"/>
        <v>0</v>
      </c>
      <c r="M181" s="206" t="b">
        <f t="shared" si="404"/>
        <v>0</v>
      </c>
      <c r="N181" s="207" t="b">
        <f t="shared" si="405"/>
        <v>0</v>
      </c>
      <c r="O181" s="209"/>
      <c r="P181" s="208">
        <f t="shared" si="526"/>
        <v>0</v>
      </c>
      <c r="Q181" s="53" t="b">
        <f t="shared" si="407"/>
        <v>0</v>
      </c>
      <c r="R181" s="53" t="b">
        <f t="shared" si="408"/>
        <v>0</v>
      </c>
      <c r="S181" s="241" t="s">
        <v>197</v>
      </c>
      <c r="T181" s="127" t="b">
        <f>IF($N181,IF($F181&gt;$P181,ROUND(($Q181-($F180/12)),2),IF($S181="YES",$N181,$N181-MinDrop)))</f>
        <v>0</v>
      </c>
      <c r="U181" s="210"/>
      <c r="V181" s="54"/>
      <c r="W181" s="54"/>
      <c r="X181" s="54"/>
      <c r="Y181" s="117"/>
      <c r="Z181" s="54"/>
      <c r="AA181" s="54"/>
      <c r="AB181" s="54"/>
      <c r="AC181" s="211"/>
    </row>
    <row r="182" spans="1:29" x14ac:dyDescent="0.3">
      <c r="A182" s="121"/>
      <c r="B182" s="204" t="b">
        <f>IF(Pipes!$B182,Pipes!$B182)</f>
        <v>0</v>
      </c>
      <c r="C182" s="205"/>
      <c r="D182" s="224"/>
      <c r="E182" s="224"/>
      <c r="F182" s="224">
        <f t="shared" si="522"/>
        <v>0</v>
      </c>
      <c r="G182" s="224"/>
      <c r="H182" s="224"/>
      <c r="I182" s="52"/>
      <c r="J182" s="52"/>
      <c r="K182" s="130"/>
      <c r="L182" s="206">
        <f t="shared" si="403"/>
        <v>0</v>
      </c>
      <c r="M182" s="206" t="b">
        <f t="shared" si="404"/>
        <v>0</v>
      </c>
      <c r="N182" s="207" t="b">
        <f t="shared" si="405"/>
        <v>0</v>
      </c>
      <c r="O182" s="209"/>
      <c r="P182" s="208">
        <f t="shared" si="526"/>
        <v>0</v>
      </c>
      <c r="Q182" s="53" t="b">
        <f t="shared" si="407"/>
        <v>0</v>
      </c>
      <c r="R182" s="53" t="b">
        <f t="shared" si="408"/>
        <v>0</v>
      </c>
      <c r="S182" s="241" t="s">
        <v>197</v>
      </c>
      <c r="T182" s="127" t="b">
        <f>IF($N182,IF($F182&gt;$P182,ROUND(($Q182-($F181/12)),2),IF($S182="YES",$N182,$N182-MinDrop)))</f>
        <v>0</v>
      </c>
      <c r="U182" s="210"/>
      <c r="V182" s="54"/>
      <c r="W182" s="54"/>
      <c r="X182" s="54"/>
      <c r="Y182" s="117"/>
      <c r="Z182" s="54"/>
      <c r="AA182" s="54"/>
      <c r="AB182" s="54"/>
      <c r="AC182" s="211"/>
    </row>
    <row r="183" spans="1:29" ht="15" thickBot="1" x14ac:dyDescent="0.35">
      <c r="A183" s="122"/>
      <c r="B183" s="204" t="b">
        <f>IF(Pipes!$B183,Pipes!$B183)</f>
        <v>0</v>
      </c>
      <c r="C183" s="212"/>
      <c r="D183" s="104"/>
      <c r="E183" s="104"/>
      <c r="F183" s="104">
        <f t="shared" si="522"/>
        <v>0</v>
      </c>
      <c r="G183" s="104"/>
      <c r="H183" s="104"/>
      <c r="I183" s="101"/>
      <c r="J183" s="101"/>
      <c r="K183" s="131"/>
      <c r="L183" s="213">
        <f t="shared" si="403"/>
        <v>0</v>
      </c>
      <c r="M183" s="213" t="b">
        <f t="shared" si="404"/>
        <v>0</v>
      </c>
      <c r="N183" s="214" t="b">
        <f t="shared" si="405"/>
        <v>0</v>
      </c>
      <c r="O183" s="216"/>
      <c r="P183" s="215">
        <f t="shared" si="526"/>
        <v>0</v>
      </c>
      <c r="Q183" s="103" t="b">
        <f t="shared" si="407"/>
        <v>0</v>
      </c>
      <c r="R183" s="53" t="b">
        <f t="shared" si="408"/>
        <v>0</v>
      </c>
      <c r="S183" s="241" t="s">
        <v>197</v>
      </c>
      <c r="T183" s="127" t="b">
        <f>IF($N183,IF($F183&gt;$P183,ROUND(($Q183-($F182/12)),2),IF($S183="YES",$N183,$N183-MinDrop)))</f>
        <v>0</v>
      </c>
      <c r="U183" s="217"/>
      <c r="V183" s="102"/>
      <c r="W183" s="102"/>
      <c r="X183" s="102"/>
      <c r="Y183" s="118"/>
      <c r="Z183" s="102"/>
      <c r="AA183" s="102"/>
      <c r="AB183" s="102"/>
      <c r="AC183" s="218"/>
    </row>
    <row r="184" spans="1:29" x14ac:dyDescent="0.3">
      <c r="A184" s="115">
        <f t="shared" ref="A184" si="529">$A179+1</f>
        <v>37</v>
      </c>
      <c r="B184" s="186"/>
      <c r="C184" s="201">
        <f>IF(Pipes!$Q184&gt;0,IF(Pipes!$R184&gt;MinDiameter,Pipes!$R184,MinDiameter),0)</f>
        <v>0</v>
      </c>
      <c r="D184" s="187" t="s">
        <v>197</v>
      </c>
      <c r="E184" s="187"/>
      <c r="F184" s="107">
        <f>Pipes!$S184</f>
        <v>0</v>
      </c>
      <c r="G184" s="108">
        <f>Pipes!$W184</f>
        <v>0</v>
      </c>
      <c r="H184" s="187" t="s">
        <v>197</v>
      </c>
      <c r="I184" s="188"/>
      <c r="J184" s="108">
        <f>Pipes!$X184</f>
        <v>0</v>
      </c>
      <c r="K184" s="193">
        <f>INDEX(Tribs!$H$3:$H$102,MATCH($A184,Tribs!$A$3:$A$102,0))</f>
        <v>0</v>
      </c>
      <c r="L184" s="105">
        <f>INDEX(Tribs!$I$3:$I$102,MATCH($A184,Tribs!$A$3:$A$102,0))</f>
        <v>0</v>
      </c>
      <c r="M184" s="105" t="b">
        <f>IF($L184,ROUND($L184-MinCover-($F184/12),2))</f>
        <v>0</v>
      </c>
      <c r="N184" s="202"/>
      <c r="O184" s="129">
        <f t="shared" ref="O184" si="530">MIN($N185:$N188)</f>
        <v>0</v>
      </c>
      <c r="P184" s="203"/>
      <c r="Q184" s="203"/>
      <c r="R184" s="203"/>
      <c r="S184" s="110"/>
      <c r="T184" s="116" t="b">
        <f t="shared" ref="T184" si="531">IF($M184,$M184)</f>
        <v>0</v>
      </c>
      <c r="U184" s="129">
        <f t="shared" ref="U184" si="532">MIN($T184:$T188)</f>
        <v>0</v>
      </c>
      <c r="V184" s="233" t="s">
        <v>197</v>
      </c>
      <c r="W184" s="219"/>
      <c r="X184" s="219" t="s">
        <v>197</v>
      </c>
      <c r="Y184" s="239"/>
      <c r="Z184" s="105">
        <f t="shared" ref="Z184" si="533">IF($V184="YES",$U184,IF($X184&lt;&gt;"YES",$W184,($AC184+$J184*$K184)))</f>
        <v>0</v>
      </c>
      <c r="AA184" s="105">
        <f t="shared" ref="AA184" si="534">ROUND($Z184+($F184/12),2)</f>
        <v>0</v>
      </c>
      <c r="AB184" s="105" t="b">
        <f t="shared" ref="AB184" si="535">IF($L184,($L184-$AA184))</f>
        <v>0</v>
      </c>
      <c r="AC184" s="111">
        <f t="shared" ref="AC184" si="536">IF(AND($V184&lt;&gt;"YES",$X184="YES"),$Y184,ROUND($Z184-($J184*$K184),2))</f>
        <v>0</v>
      </c>
    </row>
    <row r="185" spans="1:29" x14ac:dyDescent="0.3">
      <c r="A185" s="121"/>
      <c r="B185" s="204" t="b">
        <f>IF(Pipes!$B185,Pipes!$B185)</f>
        <v>0</v>
      </c>
      <c r="C185" s="205"/>
      <c r="D185" s="224"/>
      <c r="E185" s="224"/>
      <c r="F185" s="224">
        <f t="shared" ref="F185:F188" si="537">F184</f>
        <v>0</v>
      </c>
      <c r="G185" s="224"/>
      <c r="H185" s="224"/>
      <c r="I185" s="52"/>
      <c r="J185" s="52"/>
      <c r="K185" s="130"/>
      <c r="L185" s="206">
        <f t="shared" ref="L185" si="538">$L184</f>
        <v>0</v>
      </c>
      <c r="M185" s="206" t="b">
        <f t="shared" ref="M185" si="539">M184</f>
        <v>0</v>
      </c>
      <c r="N185" s="240" t="b">
        <f t="shared" ref="N185" si="540">IF($B185,INDEX($AC$4:$AC$499,MATCH($B185,$A$4:$A$499)))</f>
        <v>0</v>
      </c>
      <c r="O185" s="209"/>
      <c r="P185" s="208">
        <f t="shared" ref="P185:P188" si="541">IF($B185,INDEX($F$4:$F$499,MATCH($B185,$A$4:$A$499)),0)</f>
        <v>0</v>
      </c>
      <c r="Q185" s="242" t="b">
        <f t="shared" ref="Q185" si="542">IF($N185,ROUND(($N185+($P185/12)),2))</f>
        <v>0</v>
      </c>
      <c r="R185" s="53" t="b">
        <f t="shared" ref="R185" si="543">IF(AND($L185,$Q185),$L185-$Q185)</f>
        <v>0</v>
      </c>
      <c r="S185" s="241" t="s">
        <v>197</v>
      </c>
      <c r="T185" s="127" t="b">
        <f>IF($N185,IF($F185&gt;$P185,ROUND(($Q185-($F184/12)),2),IF($S185="YES",$N185,$N185-MinDrop)))</f>
        <v>0</v>
      </c>
      <c r="U185" s="243"/>
      <c r="V185" s="245"/>
      <c r="W185" s="245"/>
      <c r="X185" s="54"/>
      <c r="Y185" s="117"/>
      <c r="Z185" s="54"/>
      <c r="AA185" s="54"/>
      <c r="AB185" s="54"/>
      <c r="AC185" s="211"/>
    </row>
    <row r="186" spans="1:29" x14ac:dyDescent="0.3">
      <c r="A186" s="121"/>
      <c r="B186" s="204" t="b">
        <f>IF(Pipes!$B186,Pipes!$B186)</f>
        <v>0</v>
      </c>
      <c r="C186" s="205"/>
      <c r="D186" s="224"/>
      <c r="E186" s="224"/>
      <c r="F186" s="224">
        <f t="shared" si="537"/>
        <v>0</v>
      </c>
      <c r="G186" s="224"/>
      <c r="H186" s="224"/>
      <c r="I186" s="52"/>
      <c r="J186" s="52"/>
      <c r="K186" s="130"/>
      <c r="L186" s="206">
        <f t="shared" si="403"/>
        <v>0</v>
      </c>
      <c r="M186" s="206" t="b">
        <f t="shared" si="404"/>
        <v>0</v>
      </c>
      <c r="N186" s="207" t="b">
        <f t="shared" si="405"/>
        <v>0</v>
      </c>
      <c r="O186" s="209"/>
      <c r="P186" s="208">
        <f t="shared" si="541"/>
        <v>0</v>
      </c>
      <c r="Q186" s="53" t="b">
        <f t="shared" si="407"/>
        <v>0</v>
      </c>
      <c r="R186" s="53" t="b">
        <f t="shared" si="408"/>
        <v>0</v>
      </c>
      <c r="S186" s="241" t="s">
        <v>197</v>
      </c>
      <c r="T186" s="127" t="b">
        <f>IF($N186,IF($F186&gt;$P186,ROUND(($Q186-($F185/12)),2),IF($S186="YES",$N186,$N186-MinDrop)))</f>
        <v>0</v>
      </c>
      <c r="U186" s="210"/>
      <c r="V186" s="54"/>
      <c r="W186" s="54"/>
      <c r="X186" s="54"/>
      <c r="Y186" s="117"/>
      <c r="Z186" s="54"/>
      <c r="AA186" s="54"/>
      <c r="AB186" s="54"/>
      <c r="AC186" s="211"/>
    </row>
    <row r="187" spans="1:29" x14ac:dyDescent="0.3">
      <c r="A187" s="121"/>
      <c r="B187" s="204" t="b">
        <f>IF(Pipes!$B187,Pipes!$B187)</f>
        <v>0</v>
      </c>
      <c r="C187" s="205"/>
      <c r="D187" s="224"/>
      <c r="E187" s="224"/>
      <c r="F187" s="224">
        <f t="shared" si="537"/>
        <v>0</v>
      </c>
      <c r="G187" s="224"/>
      <c r="H187" s="224"/>
      <c r="I187" s="52"/>
      <c r="J187" s="52"/>
      <c r="K187" s="130"/>
      <c r="L187" s="206">
        <f t="shared" si="403"/>
        <v>0</v>
      </c>
      <c r="M187" s="206" t="b">
        <f t="shared" si="404"/>
        <v>0</v>
      </c>
      <c r="N187" s="207" t="b">
        <f t="shared" si="405"/>
        <v>0</v>
      </c>
      <c r="O187" s="209"/>
      <c r="P187" s="208">
        <f t="shared" si="541"/>
        <v>0</v>
      </c>
      <c r="Q187" s="53" t="b">
        <f t="shared" si="407"/>
        <v>0</v>
      </c>
      <c r="R187" s="53" t="b">
        <f t="shared" si="408"/>
        <v>0</v>
      </c>
      <c r="S187" s="241" t="s">
        <v>197</v>
      </c>
      <c r="T187" s="127" t="b">
        <f>IF($N187,IF($F187&gt;$P187,ROUND(($Q187-($F186/12)),2),IF($S187="YES",$N187,$N187-MinDrop)))</f>
        <v>0</v>
      </c>
      <c r="U187" s="210"/>
      <c r="V187" s="54"/>
      <c r="W187" s="54"/>
      <c r="X187" s="54"/>
      <c r="Y187" s="117"/>
      <c r="Z187" s="54"/>
      <c r="AA187" s="54"/>
      <c r="AB187" s="54"/>
      <c r="AC187" s="211"/>
    </row>
    <row r="188" spans="1:29" ht="15" thickBot="1" x14ac:dyDescent="0.35">
      <c r="A188" s="122"/>
      <c r="B188" s="204" t="b">
        <f>IF(Pipes!$B188,Pipes!$B188)</f>
        <v>0</v>
      </c>
      <c r="C188" s="212"/>
      <c r="D188" s="104"/>
      <c r="E188" s="104"/>
      <c r="F188" s="104">
        <f t="shared" si="537"/>
        <v>0</v>
      </c>
      <c r="G188" s="104"/>
      <c r="H188" s="104"/>
      <c r="I188" s="101"/>
      <c r="J188" s="101"/>
      <c r="K188" s="131"/>
      <c r="L188" s="213">
        <f t="shared" si="403"/>
        <v>0</v>
      </c>
      <c r="M188" s="213" t="b">
        <f t="shared" si="404"/>
        <v>0</v>
      </c>
      <c r="N188" s="214" t="b">
        <f t="shared" si="405"/>
        <v>0</v>
      </c>
      <c r="O188" s="216"/>
      <c r="P188" s="215">
        <f t="shared" si="541"/>
        <v>0</v>
      </c>
      <c r="Q188" s="103" t="b">
        <f t="shared" si="407"/>
        <v>0</v>
      </c>
      <c r="R188" s="53" t="b">
        <f t="shared" si="408"/>
        <v>0</v>
      </c>
      <c r="S188" s="241" t="s">
        <v>197</v>
      </c>
      <c r="T188" s="127" t="b">
        <f>IF($N188,IF($F188&gt;$P188,ROUND(($Q188-($F187/12)),2),IF($S188="YES",$N188,$N188-MinDrop)))</f>
        <v>0</v>
      </c>
      <c r="U188" s="217"/>
      <c r="V188" s="102"/>
      <c r="W188" s="102"/>
      <c r="X188" s="102"/>
      <c r="Y188" s="118"/>
      <c r="Z188" s="102"/>
      <c r="AA188" s="102"/>
      <c r="AB188" s="102"/>
      <c r="AC188" s="218"/>
    </row>
    <row r="189" spans="1:29" x14ac:dyDescent="0.3">
      <c r="A189" s="115">
        <f t="shared" ref="A189" si="544">$A184+1</f>
        <v>38</v>
      </c>
      <c r="B189" s="186"/>
      <c r="C189" s="201">
        <f>IF(Pipes!$Q189&gt;0,IF(Pipes!$R189&gt;MinDiameter,Pipes!$R189,MinDiameter),0)</f>
        <v>0</v>
      </c>
      <c r="D189" s="187" t="s">
        <v>197</v>
      </c>
      <c r="E189" s="187"/>
      <c r="F189" s="107">
        <f>Pipes!$S189</f>
        <v>0</v>
      </c>
      <c r="G189" s="108">
        <f>Pipes!$W189</f>
        <v>0</v>
      </c>
      <c r="H189" s="187" t="s">
        <v>197</v>
      </c>
      <c r="I189" s="188"/>
      <c r="J189" s="108">
        <f>Pipes!$X189</f>
        <v>0</v>
      </c>
      <c r="K189" s="193">
        <f>INDEX(Tribs!$H$3:$H$102,MATCH($A189,Tribs!$A$3:$A$102,0))</f>
        <v>0</v>
      </c>
      <c r="L189" s="105">
        <f>INDEX(Tribs!$I$3:$I$102,MATCH($A189,Tribs!$A$3:$A$102,0))</f>
        <v>0</v>
      </c>
      <c r="M189" s="105" t="b">
        <f>IF($L189,ROUND($L189-MinCover-($F189/12),2))</f>
        <v>0</v>
      </c>
      <c r="N189" s="202"/>
      <c r="O189" s="129">
        <f t="shared" ref="O189" si="545">MIN($N190:$N193)</f>
        <v>0</v>
      </c>
      <c r="P189" s="203"/>
      <c r="Q189" s="203"/>
      <c r="R189" s="203"/>
      <c r="S189" s="110"/>
      <c r="T189" s="116" t="b">
        <f t="shared" ref="T189" si="546">IF($M189,$M189)</f>
        <v>0</v>
      </c>
      <c r="U189" s="129">
        <f t="shared" ref="U189" si="547">MIN($T189:$T193)</f>
        <v>0</v>
      </c>
      <c r="V189" s="233" t="s">
        <v>197</v>
      </c>
      <c r="W189" s="219"/>
      <c r="X189" s="219" t="s">
        <v>197</v>
      </c>
      <c r="Y189" s="239"/>
      <c r="Z189" s="105">
        <f t="shared" ref="Z189" si="548">IF($V189="YES",$U189,IF($X189&lt;&gt;"YES",$W189,($AC189+$J189*$K189)))</f>
        <v>0</v>
      </c>
      <c r="AA189" s="105">
        <f t="shared" ref="AA189" si="549">ROUND($Z189+($F189/12),2)</f>
        <v>0</v>
      </c>
      <c r="AB189" s="105" t="b">
        <f t="shared" ref="AB189" si="550">IF($L189,($L189-$AA189))</f>
        <v>0</v>
      </c>
      <c r="AC189" s="111">
        <f t="shared" ref="AC189" si="551">IF(AND($V189&lt;&gt;"YES",$X189="YES"),$Y189,ROUND($Z189-($J189*$K189),2))</f>
        <v>0</v>
      </c>
    </row>
    <row r="190" spans="1:29" x14ac:dyDescent="0.3">
      <c r="A190" s="121"/>
      <c r="B190" s="204" t="b">
        <f>IF(Pipes!$B190,Pipes!$B190)</f>
        <v>0</v>
      </c>
      <c r="C190" s="205"/>
      <c r="D190" s="224"/>
      <c r="E190" s="224"/>
      <c r="F190" s="224">
        <f t="shared" ref="F190:F193" si="552">F189</f>
        <v>0</v>
      </c>
      <c r="G190" s="224"/>
      <c r="H190" s="224"/>
      <c r="I190" s="52"/>
      <c r="J190" s="52"/>
      <c r="K190" s="130"/>
      <c r="L190" s="206">
        <f t="shared" ref="L190" si="553">$L189</f>
        <v>0</v>
      </c>
      <c r="M190" s="206" t="b">
        <f t="shared" ref="M190" si="554">M189</f>
        <v>0</v>
      </c>
      <c r="N190" s="240" t="b">
        <f t="shared" ref="N190" si="555">IF($B190,INDEX($AC$4:$AC$499,MATCH($B190,$A$4:$A$499)))</f>
        <v>0</v>
      </c>
      <c r="O190" s="209"/>
      <c r="P190" s="208">
        <f t="shared" ref="P190:P193" si="556">IF($B190,INDEX($F$4:$F$499,MATCH($B190,$A$4:$A$499)),0)</f>
        <v>0</v>
      </c>
      <c r="Q190" s="242" t="b">
        <f t="shared" ref="Q190" si="557">IF($N190,ROUND(($N190+($P190/12)),2))</f>
        <v>0</v>
      </c>
      <c r="R190" s="53" t="b">
        <f t="shared" ref="R190" si="558">IF(AND($L190,$Q190),$L190-$Q190)</f>
        <v>0</v>
      </c>
      <c r="S190" s="241" t="s">
        <v>197</v>
      </c>
      <c r="T190" s="127" t="b">
        <f>IF($N190,IF($F190&gt;$P190,ROUND(($Q190-($F189/12)),2),IF($S190="YES",$N190,$N190-MinDrop)))</f>
        <v>0</v>
      </c>
      <c r="U190" s="243"/>
      <c r="V190" s="245"/>
      <c r="W190" s="245"/>
      <c r="X190" s="54"/>
      <c r="Y190" s="117"/>
      <c r="Z190" s="54"/>
      <c r="AA190" s="54"/>
      <c r="AB190" s="54"/>
      <c r="AC190" s="211"/>
    </row>
    <row r="191" spans="1:29" x14ac:dyDescent="0.3">
      <c r="A191" s="121"/>
      <c r="B191" s="204" t="b">
        <f>IF(Pipes!$B191,Pipes!$B191)</f>
        <v>0</v>
      </c>
      <c r="C191" s="205"/>
      <c r="D191" s="224"/>
      <c r="E191" s="224"/>
      <c r="F191" s="224">
        <f t="shared" si="552"/>
        <v>0</v>
      </c>
      <c r="G191" s="224"/>
      <c r="H191" s="224"/>
      <c r="I191" s="52"/>
      <c r="J191" s="52"/>
      <c r="K191" s="130"/>
      <c r="L191" s="206">
        <f t="shared" si="403"/>
        <v>0</v>
      </c>
      <c r="M191" s="206" t="b">
        <f t="shared" si="404"/>
        <v>0</v>
      </c>
      <c r="N191" s="207" t="b">
        <f t="shared" si="405"/>
        <v>0</v>
      </c>
      <c r="O191" s="209"/>
      <c r="P191" s="208">
        <f t="shared" si="556"/>
        <v>0</v>
      </c>
      <c r="Q191" s="53" t="b">
        <f t="shared" si="407"/>
        <v>0</v>
      </c>
      <c r="R191" s="53" t="b">
        <f t="shared" si="408"/>
        <v>0</v>
      </c>
      <c r="S191" s="241" t="s">
        <v>197</v>
      </c>
      <c r="T191" s="127" t="b">
        <f>IF($N191,IF($F191&gt;$P191,ROUND(($Q191-($F190/12)),2),IF($S191="YES",$N191,$N191-MinDrop)))</f>
        <v>0</v>
      </c>
      <c r="U191" s="210"/>
      <c r="V191" s="54"/>
      <c r="W191" s="54"/>
      <c r="X191" s="54"/>
      <c r="Y191" s="117"/>
      <c r="Z191" s="54"/>
      <c r="AA191" s="54"/>
      <c r="AB191" s="54"/>
      <c r="AC191" s="211"/>
    </row>
    <row r="192" spans="1:29" x14ac:dyDescent="0.3">
      <c r="A192" s="121"/>
      <c r="B192" s="204" t="b">
        <f>IF(Pipes!$B192,Pipes!$B192)</f>
        <v>0</v>
      </c>
      <c r="C192" s="205"/>
      <c r="D192" s="224"/>
      <c r="E192" s="224"/>
      <c r="F192" s="224">
        <f t="shared" si="552"/>
        <v>0</v>
      </c>
      <c r="G192" s="224"/>
      <c r="H192" s="224"/>
      <c r="I192" s="52"/>
      <c r="J192" s="52"/>
      <c r="K192" s="130"/>
      <c r="L192" s="206">
        <f t="shared" si="403"/>
        <v>0</v>
      </c>
      <c r="M192" s="206" t="b">
        <f t="shared" si="404"/>
        <v>0</v>
      </c>
      <c r="N192" s="207" t="b">
        <f t="shared" si="405"/>
        <v>0</v>
      </c>
      <c r="O192" s="209"/>
      <c r="P192" s="208">
        <f t="shared" si="556"/>
        <v>0</v>
      </c>
      <c r="Q192" s="53" t="b">
        <f t="shared" si="407"/>
        <v>0</v>
      </c>
      <c r="R192" s="53" t="b">
        <f t="shared" si="408"/>
        <v>0</v>
      </c>
      <c r="S192" s="241" t="s">
        <v>197</v>
      </c>
      <c r="T192" s="127" t="b">
        <f>IF($N192,IF($F192&gt;$P192,ROUND(($Q192-($F191/12)),2),IF($S192="YES",$N192,$N192-MinDrop)))</f>
        <v>0</v>
      </c>
      <c r="U192" s="210"/>
      <c r="V192" s="54"/>
      <c r="W192" s="54"/>
      <c r="X192" s="54"/>
      <c r="Y192" s="117"/>
      <c r="Z192" s="54"/>
      <c r="AA192" s="54"/>
      <c r="AB192" s="54"/>
      <c r="AC192" s="211"/>
    </row>
    <row r="193" spans="1:29" ht="15" thickBot="1" x14ac:dyDescent="0.35">
      <c r="A193" s="122"/>
      <c r="B193" s="204" t="b">
        <f>IF(Pipes!$B193,Pipes!$B193)</f>
        <v>0</v>
      </c>
      <c r="C193" s="212"/>
      <c r="D193" s="104"/>
      <c r="E193" s="104"/>
      <c r="F193" s="104">
        <f t="shared" si="552"/>
        <v>0</v>
      </c>
      <c r="G193" s="104"/>
      <c r="H193" s="104"/>
      <c r="I193" s="101"/>
      <c r="J193" s="101"/>
      <c r="K193" s="131"/>
      <c r="L193" s="213">
        <f t="shared" si="403"/>
        <v>0</v>
      </c>
      <c r="M193" s="213" t="b">
        <f t="shared" si="404"/>
        <v>0</v>
      </c>
      <c r="N193" s="214" t="b">
        <f t="shared" si="405"/>
        <v>0</v>
      </c>
      <c r="O193" s="216"/>
      <c r="P193" s="215">
        <f t="shared" si="556"/>
        <v>0</v>
      </c>
      <c r="Q193" s="103" t="b">
        <f t="shared" si="407"/>
        <v>0</v>
      </c>
      <c r="R193" s="53" t="b">
        <f t="shared" si="408"/>
        <v>0</v>
      </c>
      <c r="S193" s="241" t="s">
        <v>197</v>
      </c>
      <c r="T193" s="127" t="b">
        <f>IF($N193,IF($F193&gt;$P193,ROUND(($Q193-($F192/12)),2),IF($S193="YES",$N193,$N193-MinDrop)))</f>
        <v>0</v>
      </c>
      <c r="U193" s="217"/>
      <c r="V193" s="102"/>
      <c r="W193" s="102"/>
      <c r="X193" s="102"/>
      <c r="Y193" s="118"/>
      <c r="Z193" s="102"/>
      <c r="AA193" s="102"/>
      <c r="AB193" s="102"/>
      <c r="AC193" s="218"/>
    </row>
    <row r="194" spans="1:29" x14ac:dyDescent="0.3">
      <c r="A194" s="115">
        <f t="shared" ref="A194" si="559">$A189+1</f>
        <v>39</v>
      </c>
      <c r="B194" s="186"/>
      <c r="C194" s="201">
        <f>IF(Pipes!$Q194&gt;0,IF(Pipes!$R194&gt;MinDiameter,Pipes!$R194,MinDiameter),0)</f>
        <v>0</v>
      </c>
      <c r="D194" s="187" t="s">
        <v>197</v>
      </c>
      <c r="E194" s="187"/>
      <c r="F194" s="107">
        <f>Pipes!$S194</f>
        <v>0</v>
      </c>
      <c r="G194" s="108">
        <f>Pipes!$W194</f>
        <v>0</v>
      </c>
      <c r="H194" s="187" t="s">
        <v>197</v>
      </c>
      <c r="I194" s="188"/>
      <c r="J194" s="108">
        <f>Pipes!$X194</f>
        <v>0</v>
      </c>
      <c r="K194" s="193">
        <f>INDEX(Tribs!$H$3:$H$102,MATCH($A194,Tribs!$A$3:$A$102,0))</f>
        <v>0</v>
      </c>
      <c r="L194" s="105">
        <f>INDEX(Tribs!$I$3:$I$102,MATCH($A194,Tribs!$A$3:$A$102,0))</f>
        <v>0</v>
      </c>
      <c r="M194" s="105" t="b">
        <f>IF($L194,ROUND($L194-MinCover-($F194/12),2))</f>
        <v>0</v>
      </c>
      <c r="N194" s="202"/>
      <c r="O194" s="129">
        <f t="shared" ref="O194" si="560">MIN($N195:$N198)</f>
        <v>0</v>
      </c>
      <c r="P194" s="203"/>
      <c r="Q194" s="203"/>
      <c r="R194" s="203"/>
      <c r="S194" s="110"/>
      <c r="T194" s="116" t="b">
        <f t="shared" ref="T194" si="561">IF($M194,$M194)</f>
        <v>0</v>
      </c>
      <c r="U194" s="129">
        <f t="shared" ref="U194" si="562">MIN($T194:$T198)</f>
        <v>0</v>
      </c>
      <c r="V194" s="233" t="s">
        <v>197</v>
      </c>
      <c r="W194" s="219"/>
      <c r="X194" s="219" t="s">
        <v>197</v>
      </c>
      <c r="Y194" s="239"/>
      <c r="Z194" s="105">
        <f t="shared" ref="Z194" si="563">IF($V194="YES",$U194,IF($X194&lt;&gt;"YES",$W194,($AC194+$J194*$K194)))</f>
        <v>0</v>
      </c>
      <c r="AA194" s="105">
        <f t="shared" ref="AA194" si="564">ROUND($Z194+($F194/12),2)</f>
        <v>0</v>
      </c>
      <c r="AB194" s="105" t="b">
        <f t="shared" ref="AB194" si="565">IF($L194,($L194-$AA194))</f>
        <v>0</v>
      </c>
      <c r="AC194" s="111">
        <f t="shared" ref="AC194" si="566">IF(AND($V194&lt;&gt;"YES",$X194="YES"),$Y194,ROUND($Z194-($J194*$K194),2))</f>
        <v>0</v>
      </c>
    </row>
    <row r="195" spans="1:29" x14ac:dyDescent="0.3">
      <c r="A195" s="121"/>
      <c r="B195" s="204" t="b">
        <f>IF(Pipes!$B195,Pipes!$B195)</f>
        <v>0</v>
      </c>
      <c r="C195" s="205"/>
      <c r="D195" s="224"/>
      <c r="E195" s="224"/>
      <c r="F195" s="224">
        <f t="shared" ref="F195:F198" si="567">F194</f>
        <v>0</v>
      </c>
      <c r="G195" s="224"/>
      <c r="H195" s="224"/>
      <c r="I195" s="52"/>
      <c r="J195" s="52"/>
      <c r="K195" s="130"/>
      <c r="L195" s="206">
        <f t="shared" ref="L195" si="568">$L194</f>
        <v>0</v>
      </c>
      <c r="M195" s="206" t="b">
        <f t="shared" ref="M195" si="569">M194</f>
        <v>0</v>
      </c>
      <c r="N195" s="240" t="b">
        <f t="shared" ref="N195" si="570">IF($B195,INDEX($AC$4:$AC$499,MATCH($B195,$A$4:$A$499)))</f>
        <v>0</v>
      </c>
      <c r="O195" s="209"/>
      <c r="P195" s="208">
        <f t="shared" ref="P195:P198" si="571">IF($B195,INDEX($F$4:$F$499,MATCH($B195,$A$4:$A$499)),0)</f>
        <v>0</v>
      </c>
      <c r="Q195" s="242" t="b">
        <f t="shared" ref="Q195" si="572">IF($N195,ROUND(($N195+($P195/12)),2))</f>
        <v>0</v>
      </c>
      <c r="R195" s="53" t="b">
        <f t="shared" ref="R195" si="573">IF(AND($L195,$Q195),$L195-$Q195)</f>
        <v>0</v>
      </c>
      <c r="S195" s="241" t="s">
        <v>197</v>
      </c>
      <c r="T195" s="127" t="b">
        <f>IF($N195,IF($F195&gt;$P195,ROUND(($Q195-($F194/12)),2),IF($S195="YES",$N195,$N195-MinDrop)))</f>
        <v>0</v>
      </c>
      <c r="U195" s="243"/>
      <c r="V195" s="245"/>
      <c r="W195" s="245"/>
      <c r="X195" s="54"/>
      <c r="Y195" s="117"/>
      <c r="Z195" s="54"/>
      <c r="AA195" s="54"/>
      <c r="AB195" s="54"/>
      <c r="AC195" s="211"/>
    </row>
    <row r="196" spans="1:29" x14ac:dyDescent="0.3">
      <c r="A196" s="121"/>
      <c r="B196" s="204" t="b">
        <f>IF(Pipes!$B196,Pipes!$B196)</f>
        <v>0</v>
      </c>
      <c r="C196" s="205"/>
      <c r="D196" s="224"/>
      <c r="E196" s="224"/>
      <c r="F196" s="224">
        <f t="shared" si="567"/>
        <v>0</v>
      </c>
      <c r="G196" s="224"/>
      <c r="H196" s="224"/>
      <c r="I196" s="52"/>
      <c r="J196" s="52"/>
      <c r="K196" s="130"/>
      <c r="L196" s="206">
        <f t="shared" si="403"/>
        <v>0</v>
      </c>
      <c r="M196" s="206" t="b">
        <f t="shared" si="404"/>
        <v>0</v>
      </c>
      <c r="N196" s="207" t="b">
        <f t="shared" si="405"/>
        <v>0</v>
      </c>
      <c r="O196" s="209"/>
      <c r="P196" s="208">
        <f t="shared" si="571"/>
        <v>0</v>
      </c>
      <c r="Q196" s="53" t="b">
        <f t="shared" si="407"/>
        <v>0</v>
      </c>
      <c r="R196" s="53" t="b">
        <f t="shared" si="408"/>
        <v>0</v>
      </c>
      <c r="S196" s="241" t="s">
        <v>197</v>
      </c>
      <c r="T196" s="127" t="b">
        <f>IF($N196,IF($F196&gt;$P196,ROUND(($Q196-($F195/12)),2),IF($S196="YES",$N196,$N196-MinDrop)))</f>
        <v>0</v>
      </c>
      <c r="U196" s="210"/>
      <c r="V196" s="54"/>
      <c r="W196" s="54"/>
      <c r="X196" s="54"/>
      <c r="Y196" s="117"/>
      <c r="Z196" s="54"/>
      <c r="AA196" s="54"/>
      <c r="AB196" s="54"/>
      <c r="AC196" s="211"/>
    </row>
    <row r="197" spans="1:29" x14ac:dyDescent="0.3">
      <c r="A197" s="121"/>
      <c r="B197" s="204" t="b">
        <f>IF(Pipes!$B197,Pipes!$B197)</f>
        <v>0</v>
      </c>
      <c r="C197" s="205"/>
      <c r="D197" s="224"/>
      <c r="E197" s="224"/>
      <c r="F197" s="224">
        <f t="shared" si="567"/>
        <v>0</v>
      </c>
      <c r="G197" s="224"/>
      <c r="H197" s="224"/>
      <c r="I197" s="52"/>
      <c r="J197" s="52"/>
      <c r="K197" s="130"/>
      <c r="L197" s="206">
        <f t="shared" si="403"/>
        <v>0</v>
      </c>
      <c r="M197" s="206" t="b">
        <f t="shared" si="404"/>
        <v>0</v>
      </c>
      <c r="N197" s="207" t="b">
        <f t="shared" si="405"/>
        <v>0</v>
      </c>
      <c r="O197" s="209"/>
      <c r="P197" s="208">
        <f t="shared" si="571"/>
        <v>0</v>
      </c>
      <c r="Q197" s="53" t="b">
        <f t="shared" si="407"/>
        <v>0</v>
      </c>
      <c r="R197" s="53" t="b">
        <f t="shared" si="408"/>
        <v>0</v>
      </c>
      <c r="S197" s="241" t="s">
        <v>197</v>
      </c>
      <c r="T197" s="127" t="b">
        <f>IF($N197,IF($F197&gt;$P197,ROUND(($Q197-($F196/12)),2),IF($S197="YES",$N197,$N197-MinDrop)))</f>
        <v>0</v>
      </c>
      <c r="U197" s="210"/>
      <c r="V197" s="54"/>
      <c r="W197" s="54"/>
      <c r="X197" s="54"/>
      <c r="Y197" s="117"/>
      <c r="Z197" s="54"/>
      <c r="AA197" s="54"/>
      <c r="AB197" s="54"/>
      <c r="AC197" s="211"/>
    </row>
    <row r="198" spans="1:29" ht="15" thickBot="1" x14ac:dyDescent="0.35">
      <c r="A198" s="122"/>
      <c r="B198" s="204" t="b">
        <f>IF(Pipes!$B198,Pipes!$B198)</f>
        <v>0</v>
      </c>
      <c r="C198" s="212"/>
      <c r="D198" s="104"/>
      <c r="E198" s="104"/>
      <c r="F198" s="104">
        <f t="shared" si="567"/>
        <v>0</v>
      </c>
      <c r="G198" s="104"/>
      <c r="H198" s="104"/>
      <c r="I198" s="101"/>
      <c r="J198" s="101"/>
      <c r="K198" s="131"/>
      <c r="L198" s="213">
        <f t="shared" si="403"/>
        <v>0</v>
      </c>
      <c r="M198" s="213" t="b">
        <f t="shared" si="404"/>
        <v>0</v>
      </c>
      <c r="N198" s="214" t="b">
        <f t="shared" si="405"/>
        <v>0</v>
      </c>
      <c r="O198" s="216"/>
      <c r="P198" s="215">
        <f t="shared" si="571"/>
        <v>0</v>
      </c>
      <c r="Q198" s="103" t="b">
        <f t="shared" si="407"/>
        <v>0</v>
      </c>
      <c r="R198" s="53" t="b">
        <f t="shared" si="408"/>
        <v>0</v>
      </c>
      <c r="S198" s="241" t="s">
        <v>197</v>
      </c>
      <c r="T198" s="127" t="b">
        <f>IF($N198,IF($F198&gt;$P198,ROUND(($Q198-($F197/12)),2),IF($S198="YES",$N198,$N198-MinDrop)))</f>
        <v>0</v>
      </c>
      <c r="U198" s="217"/>
      <c r="V198" s="102"/>
      <c r="W198" s="102"/>
      <c r="X198" s="102"/>
      <c r="Y198" s="118"/>
      <c r="Z198" s="102"/>
      <c r="AA198" s="102"/>
      <c r="AB198" s="102"/>
      <c r="AC198" s="218"/>
    </row>
    <row r="199" spans="1:29" x14ac:dyDescent="0.3">
      <c r="A199" s="115">
        <f t="shared" ref="A199" si="574">$A194+1</f>
        <v>40</v>
      </c>
      <c r="B199" s="186"/>
      <c r="C199" s="201">
        <f>IF(Pipes!$Q199&gt;0,IF(Pipes!$R199&gt;MinDiameter,Pipes!$R199,MinDiameter),0)</f>
        <v>0</v>
      </c>
      <c r="D199" s="187" t="s">
        <v>197</v>
      </c>
      <c r="E199" s="187"/>
      <c r="F199" s="107">
        <f>Pipes!$S199</f>
        <v>0</v>
      </c>
      <c r="G199" s="108">
        <f>Pipes!$W199</f>
        <v>0</v>
      </c>
      <c r="H199" s="187" t="s">
        <v>197</v>
      </c>
      <c r="I199" s="188"/>
      <c r="J199" s="108">
        <f>Pipes!$X199</f>
        <v>0</v>
      </c>
      <c r="K199" s="193">
        <f>INDEX(Tribs!$H$3:$H$102,MATCH($A199,Tribs!$A$3:$A$102,0))</f>
        <v>0</v>
      </c>
      <c r="L199" s="105">
        <f>INDEX(Tribs!$I$3:$I$102,MATCH($A199,Tribs!$A$3:$A$102,0))</f>
        <v>0</v>
      </c>
      <c r="M199" s="105" t="b">
        <f>IF($L199,ROUND($L199-MinCover-($F199/12),2))</f>
        <v>0</v>
      </c>
      <c r="N199" s="202"/>
      <c r="O199" s="129">
        <f t="shared" ref="O199" si="575">MIN($N200:$N203)</f>
        <v>0</v>
      </c>
      <c r="P199" s="203"/>
      <c r="Q199" s="203"/>
      <c r="R199" s="203"/>
      <c r="S199" s="110"/>
      <c r="T199" s="116" t="b">
        <f t="shared" ref="T199" si="576">IF($M199,$M199)</f>
        <v>0</v>
      </c>
      <c r="U199" s="129">
        <f t="shared" ref="U199" si="577">MIN($T199:$T203)</f>
        <v>0</v>
      </c>
      <c r="V199" s="233" t="s">
        <v>197</v>
      </c>
      <c r="W199" s="219"/>
      <c r="X199" s="219" t="s">
        <v>197</v>
      </c>
      <c r="Y199" s="239"/>
      <c r="Z199" s="105">
        <f t="shared" ref="Z199" si="578">IF($V199="YES",$U199,IF($X199&lt;&gt;"YES",$W199,($AC199+$J199*$K199)))</f>
        <v>0</v>
      </c>
      <c r="AA199" s="105">
        <f t="shared" ref="AA199" si="579">ROUND($Z199+($F199/12),2)</f>
        <v>0</v>
      </c>
      <c r="AB199" s="105" t="b">
        <f t="shared" ref="AB199" si="580">IF($L199,($L199-$AA199))</f>
        <v>0</v>
      </c>
      <c r="AC199" s="111">
        <f t="shared" ref="AC199" si="581">IF(AND($V199&lt;&gt;"YES",$X199="YES"),$Y199,ROUND($Z199-($J199*$K199),2))</f>
        <v>0</v>
      </c>
    </row>
    <row r="200" spans="1:29" x14ac:dyDescent="0.3">
      <c r="A200" s="121"/>
      <c r="B200" s="204" t="b">
        <f>IF(Pipes!$B200,Pipes!$B200)</f>
        <v>0</v>
      </c>
      <c r="C200" s="205"/>
      <c r="D200" s="224"/>
      <c r="E200" s="224"/>
      <c r="F200" s="224">
        <f t="shared" ref="F200:F203" si="582">F199</f>
        <v>0</v>
      </c>
      <c r="G200" s="224"/>
      <c r="H200" s="224"/>
      <c r="I200" s="52"/>
      <c r="J200" s="52"/>
      <c r="K200" s="130"/>
      <c r="L200" s="206">
        <f t="shared" ref="L200" si="583">$L199</f>
        <v>0</v>
      </c>
      <c r="M200" s="206" t="b">
        <f t="shared" ref="M200" si="584">M199</f>
        <v>0</v>
      </c>
      <c r="N200" s="240" t="b">
        <f t="shared" ref="N200" si="585">IF($B200,INDEX($AC$4:$AC$499,MATCH($B200,$A$4:$A$499)))</f>
        <v>0</v>
      </c>
      <c r="O200" s="209"/>
      <c r="P200" s="208">
        <f t="shared" ref="P200:P203" si="586">IF($B200,INDEX($F$4:$F$499,MATCH($B200,$A$4:$A$499)),0)</f>
        <v>0</v>
      </c>
      <c r="Q200" s="242" t="b">
        <f t="shared" ref="Q200" si="587">IF($N200,ROUND(($N200+($P200/12)),2))</f>
        <v>0</v>
      </c>
      <c r="R200" s="53" t="b">
        <f t="shared" ref="R200" si="588">IF(AND($L200,$Q200),$L200-$Q200)</f>
        <v>0</v>
      </c>
      <c r="S200" s="241" t="s">
        <v>197</v>
      </c>
      <c r="T200" s="127" t="b">
        <f>IF($N200,IF($F200&gt;$P200,ROUND(($Q200-($F199/12)),2),IF($S200="YES",$N200,$N200-MinDrop)))</f>
        <v>0</v>
      </c>
      <c r="U200" s="243"/>
      <c r="V200" s="245"/>
      <c r="W200" s="245"/>
      <c r="X200" s="54"/>
      <c r="Y200" s="117"/>
      <c r="Z200" s="54"/>
      <c r="AA200" s="54"/>
      <c r="AB200" s="54"/>
      <c r="AC200" s="211"/>
    </row>
    <row r="201" spans="1:29" x14ac:dyDescent="0.3">
      <c r="A201" s="121"/>
      <c r="B201" s="204" t="b">
        <f>IF(Pipes!$B201,Pipes!$B201)</f>
        <v>0</v>
      </c>
      <c r="C201" s="205"/>
      <c r="D201" s="224"/>
      <c r="E201" s="224"/>
      <c r="F201" s="224">
        <f t="shared" si="582"/>
        <v>0</v>
      </c>
      <c r="G201" s="224"/>
      <c r="H201" s="224"/>
      <c r="I201" s="52"/>
      <c r="J201" s="52"/>
      <c r="K201" s="130"/>
      <c r="L201" s="206">
        <f t="shared" si="403"/>
        <v>0</v>
      </c>
      <c r="M201" s="206" t="b">
        <f t="shared" si="404"/>
        <v>0</v>
      </c>
      <c r="N201" s="207" t="b">
        <f t="shared" si="405"/>
        <v>0</v>
      </c>
      <c r="O201" s="209"/>
      <c r="P201" s="208">
        <f t="shared" si="586"/>
        <v>0</v>
      </c>
      <c r="Q201" s="53" t="b">
        <f t="shared" si="407"/>
        <v>0</v>
      </c>
      <c r="R201" s="53" t="b">
        <f t="shared" si="408"/>
        <v>0</v>
      </c>
      <c r="S201" s="241" t="s">
        <v>197</v>
      </c>
      <c r="T201" s="127" t="b">
        <f>IF($N201,IF($F201&gt;$P201,ROUND(($Q201-($F200/12)),2),IF($S201="YES",$N201,$N201-MinDrop)))</f>
        <v>0</v>
      </c>
      <c r="U201" s="210"/>
      <c r="V201" s="54"/>
      <c r="W201" s="54"/>
      <c r="X201" s="54"/>
      <c r="Y201" s="117"/>
      <c r="Z201" s="54"/>
      <c r="AA201" s="54"/>
      <c r="AB201" s="54"/>
      <c r="AC201" s="211"/>
    </row>
    <row r="202" spans="1:29" x14ac:dyDescent="0.3">
      <c r="A202" s="121"/>
      <c r="B202" s="204" t="b">
        <f>IF(Pipes!$B202,Pipes!$B202)</f>
        <v>0</v>
      </c>
      <c r="C202" s="205"/>
      <c r="D202" s="224"/>
      <c r="E202" s="224"/>
      <c r="F202" s="224">
        <f t="shared" si="582"/>
        <v>0</v>
      </c>
      <c r="G202" s="224"/>
      <c r="H202" s="224"/>
      <c r="I202" s="52"/>
      <c r="J202" s="52"/>
      <c r="K202" s="130"/>
      <c r="L202" s="206">
        <f t="shared" si="403"/>
        <v>0</v>
      </c>
      <c r="M202" s="206" t="b">
        <f t="shared" si="404"/>
        <v>0</v>
      </c>
      <c r="N202" s="207" t="b">
        <f t="shared" si="405"/>
        <v>0</v>
      </c>
      <c r="O202" s="209"/>
      <c r="P202" s="208">
        <f t="shared" si="586"/>
        <v>0</v>
      </c>
      <c r="Q202" s="53" t="b">
        <f t="shared" si="407"/>
        <v>0</v>
      </c>
      <c r="R202" s="53" t="b">
        <f t="shared" si="408"/>
        <v>0</v>
      </c>
      <c r="S202" s="241" t="s">
        <v>197</v>
      </c>
      <c r="T202" s="127" t="b">
        <f>IF($N202,IF($F202&gt;$P202,ROUND(($Q202-($F201/12)),2),IF($S202="YES",$N202,$N202-MinDrop)))</f>
        <v>0</v>
      </c>
      <c r="U202" s="210"/>
      <c r="V202" s="54"/>
      <c r="W202" s="54"/>
      <c r="X202" s="54"/>
      <c r="Y202" s="117"/>
      <c r="Z202" s="54"/>
      <c r="AA202" s="54"/>
      <c r="AB202" s="54"/>
      <c r="AC202" s="211"/>
    </row>
    <row r="203" spans="1:29" ht="15" thickBot="1" x14ac:dyDescent="0.35">
      <c r="A203" s="122"/>
      <c r="B203" s="204" t="b">
        <f>IF(Pipes!$B203,Pipes!$B203)</f>
        <v>0</v>
      </c>
      <c r="C203" s="212"/>
      <c r="D203" s="104"/>
      <c r="E203" s="104"/>
      <c r="F203" s="104">
        <f t="shared" si="582"/>
        <v>0</v>
      </c>
      <c r="G203" s="104"/>
      <c r="H203" s="104"/>
      <c r="I203" s="101"/>
      <c r="J203" s="101"/>
      <c r="K203" s="131"/>
      <c r="L203" s="213">
        <f t="shared" si="403"/>
        <v>0</v>
      </c>
      <c r="M203" s="213" t="b">
        <f t="shared" si="404"/>
        <v>0</v>
      </c>
      <c r="N203" s="214" t="b">
        <f t="shared" si="405"/>
        <v>0</v>
      </c>
      <c r="O203" s="216"/>
      <c r="P203" s="215">
        <f t="shared" si="586"/>
        <v>0</v>
      </c>
      <c r="Q203" s="103" t="b">
        <f t="shared" si="407"/>
        <v>0</v>
      </c>
      <c r="R203" s="53" t="b">
        <f t="shared" si="408"/>
        <v>0</v>
      </c>
      <c r="S203" s="241" t="s">
        <v>197</v>
      </c>
      <c r="T203" s="127" t="b">
        <f>IF($N203,IF($F203&gt;$P203,ROUND(($Q203-($F202/12)),2),IF($S203="YES",$N203,$N203-MinDrop)))</f>
        <v>0</v>
      </c>
      <c r="U203" s="217"/>
      <c r="V203" s="102"/>
      <c r="W203" s="102"/>
      <c r="X203" s="102"/>
      <c r="Y203" s="118"/>
      <c r="Z203" s="102"/>
      <c r="AA203" s="102"/>
      <c r="AB203" s="102"/>
      <c r="AC203" s="218"/>
    </row>
    <row r="204" spans="1:29" x14ac:dyDescent="0.3">
      <c r="A204" s="115">
        <f t="shared" ref="A204" si="589">$A199+1</f>
        <v>41</v>
      </c>
      <c r="B204" s="186"/>
      <c r="C204" s="201">
        <f>IF(Pipes!$Q204&gt;0,IF(Pipes!$R204&gt;MinDiameter,Pipes!$R204,MinDiameter),0)</f>
        <v>0</v>
      </c>
      <c r="D204" s="187" t="s">
        <v>197</v>
      </c>
      <c r="E204" s="187"/>
      <c r="F204" s="107">
        <f>Pipes!$S204</f>
        <v>0</v>
      </c>
      <c r="G204" s="108">
        <f>Pipes!$W204</f>
        <v>0</v>
      </c>
      <c r="H204" s="187" t="s">
        <v>197</v>
      </c>
      <c r="I204" s="188"/>
      <c r="J204" s="108">
        <f>Pipes!$X204</f>
        <v>0</v>
      </c>
      <c r="K204" s="193">
        <f>INDEX(Tribs!$H$3:$H$102,MATCH($A204,Tribs!$A$3:$A$102,0))</f>
        <v>0</v>
      </c>
      <c r="L204" s="105">
        <f>INDEX(Tribs!$I$3:$I$102,MATCH($A204,Tribs!$A$3:$A$102,0))</f>
        <v>0</v>
      </c>
      <c r="M204" s="105" t="b">
        <f>IF($L204,ROUND($L204-MinCover-($F204/12),2))</f>
        <v>0</v>
      </c>
      <c r="N204" s="202"/>
      <c r="O204" s="129">
        <f t="shared" ref="O204" si="590">MIN($N205:$N208)</f>
        <v>0</v>
      </c>
      <c r="P204" s="203"/>
      <c r="Q204" s="203"/>
      <c r="R204" s="203"/>
      <c r="S204" s="110"/>
      <c r="T204" s="116" t="b">
        <f t="shared" ref="T204" si="591">IF($M204,$M204)</f>
        <v>0</v>
      </c>
      <c r="U204" s="129">
        <f t="shared" ref="U204" si="592">MIN($T204:$T208)</f>
        <v>0</v>
      </c>
      <c r="V204" s="233" t="s">
        <v>197</v>
      </c>
      <c r="W204" s="219"/>
      <c r="X204" s="219" t="s">
        <v>197</v>
      </c>
      <c r="Y204" s="239"/>
      <c r="Z204" s="105">
        <f t="shared" ref="Z204" si="593">IF($V204="YES",$U204,IF($X204&lt;&gt;"YES",$W204,($AC204+$J204*$K204)))</f>
        <v>0</v>
      </c>
      <c r="AA204" s="105">
        <f t="shared" ref="AA204" si="594">ROUND($Z204+($F204/12),2)</f>
        <v>0</v>
      </c>
      <c r="AB204" s="105" t="b">
        <f t="shared" ref="AB204" si="595">IF($L204,($L204-$AA204))</f>
        <v>0</v>
      </c>
      <c r="AC204" s="111">
        <f t="shared" ref="AC204" si="596">IF(AND($V204&lt;&gt;"YES",$X204="YES"),$Y204,ROUND($Z204-($J204*$K204),2))</f>
        <v>0</v>
      </c>
    </row>
    <row r="205" spans="1:29" x14ac:dyDescent="0.3">
      <c r="A205" s="121"/>
      <c r="B205" s="204" t="b">
        <f>IF(Pipes!$B205,Pipes!$B205)</f>
        <v>0</v>
      </c>
      <c r="C205" s="205"/>
      <c r="D205" s="224"/>
      <c r="E205" s="224"/>
      <c r="F205" s="224">
        <f t="shared" ref="F205:F208" si="597">F204</f>
        <v>0</v>
      </c>
      <c r="G205" s="224"/>
      <c r="H205" s="224"/>
      <c r="I205" s="52"/>
      <c r="J205" s="52"/>
      <c r="K205" s="130"/>
      <c r="L205" s="206">
        <f t="shared" ref="L205:L268" si="598">$L204</f>
        <v>0</v>
      </c>
      <c r="M205" s="206" t="b">
        <f t="shared" ref="M205:M268" si="599">M204</f>
        <v>0</v>
      </c>
      <c r="N205" s="240" t="b">
        <f t="shared" ref="N205:N268" si="600">IF($B205,INDEX($AC$4:$AC$499,MATCH($B205,$A$4:$A$499)))</f>
        <v>0</v>
      </c>
      <c r="O205" s="209"/>
      <c r="P205" s="208">
        <f t="shared" ref="P205:P208" si="601">IF($B205,INDEX($F$4:$F$499,MATCH($B205,$A$4:$A$499)),0)</f>
        <v>0</v>
      </c>
      <c r="Q205" s="242" t="b">
        <f t="shared" ref="Q205:Q268" si="602">IF($N205,ROUND(($N205+($P205/12)),2))</f>
        <v>0</v>
      </c>
      <c r="R205" s="53" t="b">
        <f t="shared" ref="R205:R268" si="603">IF(AND($L205,$Q205),$L205-$Q205)</f>
        <v>0</v>
      </c>
      <c r="S205" s="241" t="s">
        <v>197</v>
      </c>
      <c r="T205" s="127" t="b">
        <f>IF($N205,IF($F205&gt;$P205,ROUND(($Q205-($F204/12)),2),IF($S205="YES",$N205,$N205-MinDrop)))</f>
        <v>0</v>
      </c>
      <c r="U205" s="243"/>
      <c r="V205" s="245"/>
      <c r="W205" s="245"/>
      <c r="X205" s="54"/>
      <c r="Y205" s="117"/>
      <c r="Z205" s="54"/>
      <c r="AA205" s="54"/>
      <c r="AB205" s="54"/>
      <c r="AC205" s="211"/>
    </row>
    <row r="206" spans="1:29" x14ac:dyDescent="0.3">
      <c r="A206" s="121"/>
      <c r="B206" s="204" t="b">
        <f>IF(Pipes!$B206,Pipes!$B206)</f>
        <v>0</v>
      </c>
      <c r="C206" s="205"/>
      <c r="D206" s="224"/>
      <c r="E206" s="224"/>
      <c r="F206" s="224">
        <f t="shared" si="597"/>
        <v>0</v>
      </c>
      <c r="G206" s="224"/>
      <c r="H206" s="224"/>
      <c r="I206" s="52"/>
      <c r="J206" s="52"/>
      <c r="K206" s="130"/>
      <c r="L206" s="206">
        <f t="shared" si="598"/>
        <v>0</v>
      </c>
      <c r="M206" s="206" t="b">
        <f t="shared" si="599"/>
        <v>0</v>
      </c>
      <c r="N206" s="207" t="b">
        <f t="shared" si="600"/>
        <v>0</v>
      </c>
      <c r="O206" s="209"/>
      <c r="P206" s="208">
        <f t="shared" si="601"/>
        <v>0</v>
      </c>
      <c r="Q206" s="53" t="b">
        <f t="shared" si="602"/>
        <v>0</v>
      </c>
      <c r="R206" s="53" t="b">
        <f t="shared" si="603"/>
        <v>0</v>
      </c>
      <c r="S206" s="241" t="s">
        <v>197</v>
      </c>
      <c r="T206" s="127" t="b">
        <f>IF($N206,IF($F206&gt;$P206,ROUND(($Q206-($F205/12)),2),IF($S206="YES",$N206,$N206-MinDrop)))</f>
        <v>0</v>
      </c>
      <c r="U206" s="210"/>
      <c r="V206" s="54"/>
      <c r="W206" s="54"/>
      <c r="X206" s="54"/>
      <c r="Y206" s="117"/>
      <c r="Z206" s="54"/>
      <c r="AA206" s="54"/>
      <c r="AB206" s="54"/>
      <c r="AC206" s="211"/>
    </row>
    <row r="207" spans="1:29" x14ac:dyDescent="0.3">
      <c r="A207" s="121"/>
      <c r="B207" s="204" t="b">
        <f>IF(Pipes!$B207,Pipes!$B207)</f>
        <v>0</v>
      </c>
      <c r="C207" s="205"/>
      <c r="D207" s="224"/>
      <c r="E207" s="224"/>
      <c r="F207" s="224">
        <f t="shared" si="597"/>
        <v>0</v>
      </c>
      <c r="G207" s="224"/>
      <c r="H207" s="224"/>
      <c r="I207" s="52"/>
      <c r="J207" s="52"/>
      <c r="K207" s="130"/>
      <c r="L207" s="206">
        <f t="shared" si="598"/>
        <v>0</v>
      </c>
      <c r="M207" s="206" t="b">
        <f t="shared" si="599"/>
        <v>0</v>
      </c>
      <c r="N207" s="207" t="b">
        <f t="shared" si="600"/>
        <v>0</v>
      </c>
      <c r="O207" s="209"/>
      <c r="P207" s="208">
        <f t="shared" si="601"/>
        <v>0</v>
      </c>
      <c r="Q207" s="53" t="b">
        <f t="shared" si="602"/>
        <v>0</v>
      </c>
      <c r="R207" s="53" t="b">
        <f t="shared" si="603"/>
        <v>0</v>
      </c>
      <c r="S207" s="241" t="s">
        <v>197</v>
      </c>
      <c r="T207" s="127" t="b">
        <f>IF($N207,IF($F207&gt;$P207,ROUND(($Q207-($F206/12)),2),IF($S207="YES",$N207,$N207-MinDrop)))</f>
        <v>0</v>
      </c>
      <c r="U207" s="210"/>
      <c r="V207" s="54"/>
      <c r="W207" s="54"/>
      <c r="X207" s="54"/>
      <c r="Y207" s="117"/>
      <c r="Z207" s="54"/>
      <c r="AA207" s="54"/>
      <c r="AB207" s="54"/>
      <c r="AC207" s="211"/>
    </row>
    <row r="208" spans="1:29" ht="15" thickBot="1" x14ac:dyDescent="0.35">
      <c r="A208" s="122"/>
      <c r="B208" s="204" t="b">
        <f>IF(Pipes!$B208,Pipes!$B208)</f>
        <v>0</v>
      </c>
      <c r="C208" s="212"/>
      <c r="D208" s="104"/>
      <c r="E208" s="104"/>
      <c r="F208" s="104">
        <f t="shared" si="597"/>
        <v>0</v>
      </c>
      <c r="G208" s="104"/>
      <c r="H208" s="104"/>
      <c r="I208" s="101"/>
      <c r="J208" s="101"/>
      <c r="K208" s="131"/>
      <c r="L208" s="213">
        <f t="shared" si="598"/>
        <v>0</v>
      </c>
      <c r="M208" s="213" t="b">
        <f t="shared" si="599"/>
        <v>0</v>
      </c>
      <c r="N208" s="214" t="b">
        <f t="shared" si="600"/>
        <v>0</v>
      </c>
      <c r="O208" s="216"/>
      <c r="P208" s="215">
        <f t="shared" si="601"/>
        <v>0</v>
      </c>
      <c r="Q208" s="103" t="b">
        <f t="shared" si="602"/>
        <v>0</v>
      </c>
      <c r="R208" s="53" t="b">
        <f t="shared" si="603"/>
        <v>0</v>
      </c>
      <c r="S208" s="241" t="s">
        <v>197</v>
      </c>
      <c r="T208" s="127" t="b">
        <f>IF($N208,IF($F208&gt;$P208,ROUND(($Q208-($F207/12)),2),IF($S208="YES",$N208,$N208-MinDrop)))</f>
        <v>0</v>
      </c>
      <c r="U208" s="217"/>
      <c r="V208" s="102"/>
      <c r="W208" s="102"/>
      <c r="X208" s="102"/>
      <c r="Y208" s="118"/>
      <c r="Z208" s="102"/>
      <c r="AA208" s="102"/>
      <c r="AB208" s="102"/>
      <c r="AC208" s="218"/>
    </row>
    <row r="209" spans="1:29" x14ac:dyDescent="0.3">
      <c r="A209" s="115">
        <f t="shared" ref="A209" si="604">$A204+1</f>
        <v>42</v>
      </c>
      <c r="B209" s="186"/>
      <c r="C209" s="201">
        <f>IF(Pipes!$Q209&gt;0,IF(Pipes!$R209&gt;MinDiameter,Pipes!$R209,MinDiameter),0)</f>
        <v>0</v>
      </c>
      <c r="D209" s="187" t="s">
        <v>197</v>
      </c>
      <c r="E209" s="187"/>
      <c r="F209" s="107">
        <f>Pipes!$S209</f>
        <v>0</v>
      </c>
      <c r="G209" s="108">
        <f>Pipes!$W209</f>
        <v>0</v>
      </c>
      <c r="H209" s="187" t="s">
        <v>197</v>
      </c>
      <c r="I209" s="188"/>
      <c r="J209" s="108">
        <f>Pipes!$X209</f>
        <v>0</v>
      </c>
      <c r="K209" s="193">
        <f>INDEX(Tribs!$H$3:$H$102,MATCH($A209,Tribs!$A$3:$A$102,0))</f>
        <v>0</v>
      </c>
      <c r="L209" s="105">
        <f>INDEX(Tribs!$I$3:$I$102,MATCH($A209,Tribs!$A$3:$A$102,0))</f>
        <v>0</v>
      </c>
      <c r="M209" s="105" t="b">
        <f>IF($L209,ROUND($L209-MinCover-($F209/12),2))</f>
        <v>0</v>
      </c>
      <c r="N209" s="202"/>
      <c r="O209" s="129">
        <f t="shared" ref="O209" si="605">MIN($N210:$N213)</f>
        <v>0</v>
      </c>
      <c r="P209" s="203"/>
      <c r="Q209" s="203"/>
      <c r="R209" s="203"/>
      <c r="S209" s="110"/>
      <c r="T209" s="116" t="b">
        <f t="shared" ref="T209" si="606">IF($M209,$M209)</f>
        <v>0</v>
      </c>
      <c r="U209" s="129">
        <f t="shared" ref="U209" si="607">MIN($T209:$T213)</f>
        <v>0</v>
      </c>
      <c r="V209" s="233" t="s">
        <v>197</v>
      </c>
      <c r="W209" s="219"/>
      <c r="X209" s="219" t="s">
        <v>197</v>
      </c>
      <c r="Y209" s="239"/>
      <c r="Z209" s="105">
        <f t="shared" ref="Z209" si="608">IF($V209="YES",$U209,IF($X209&lt;&gt;"YES",$W209,($AC209+$J209*$K209)))</f>
        <v>0</v>
      </c>
      <c r="AA209" s="105">
        <f t="shared" ref="AA209" si="609">ROUND($Z209+($F209/12),2)</f>
        <v>0</v>
      </c>
      <c r="AB209" s="105" t="b">
        <f t="shared" ref="AB209" si="610">IF($L209,($L209-$AA209))</f>
        <v>0</v>
      </c>
      <c r="AC209" s="111">
        <f t="shared" ref="AC209" si="611">IF(AND($V209&lt;&gt;"YES",$X209="YES"),$Y209,ROUND($Z209-($J209*$K209),2))</f>
        <v>0</v>
      </c>
    </row>
    <row r="210" spans="1:29" x14ac:dyDescent="0.3">
      <c r="A210" s="121"/>
      <c r="B210" s="204" t="b">
        <f>IF(Pipes!$B210,Pipes!$B210)</f>
        <v>0</v>
      </c>
      <c r="C210" s="205"/>
      <c r="D210" s="224"/>
      <c r="E210" s="224"/>
      <c r="F210" s="224">
        <f t="shared" ref="F210:F213" si="612">F209</f>
        <v>0</v>
      </c>
      <c r="G210" s="224"/>
      <c r="H210" s="224"/>
      <c r="I210" s="52"/>
      <c r="J210" s="52"/>
      <c r="K210" s="130"/>
      <c r="L210" s="206">
        <f t="shared" ref="L210" si="613">$L209</f>
        <v>0</v>
      </c>
      <c r="M210" s="206" t="b">
        <f t="shared" ref="M210" si="614">M209</f>
        <v>0</v>
      </c>
      <c r="N210" s="240" t="b">
        <f t="shared" ref="N210" si="615">IF($B210,INDEX($AC$4:$AC$499,MATCH($B210,$A$4:$A$499)))</f>
        <v>0</v>
      </c>
      <c r="O210" s="209"/>
      <c r="P210" s="208">
        <f t="shared" ref="P210:P213" si="616">IF($B210,INDEX($F$4:$F$499,MATCH($B210,$A$4:$A$499)),0)</f>
        <v>0</v>
      </c>
      <c r="Q210" s="242" t="b">
        <f t="shared" ref="Q210" si="617">IF($N210,ROUND(($N210+($P210/12)),2))</f>
        <v>0</v>
      </c>
      <c r="R210" s="53" t="b">
        <f t="shared" ref="R210" si="618">IF(AND($L210,$Q210),$L210-$Q210)</f>
        <v>0</v>
      </c>
      <c r="S210" s="241" t="s">
        <v>197</v>
      </c>
      <c r="T210" s="127" t="b">
        <f>IF($N210,IF($F210&gt;$P210,ROUND(($Q210-($F209/12)),2),IF($S210="YES",$N210,$N210-MinDrop)))</f>
        <v>0</v>
      </c>
      <c r="U210" s="243"/>
      <c r="V210" s="245"/>
      <c r="W210" s="245"/>
      <c r="X210" s="54"/>
      <c r="Y210" s="117"/>
      <c r="Z210" s="54"/>
      <c r="AA210" s="54"/>
      <c r="AB210" s="54"/>
      <c r="AC210" s="211"/>
    </row>
    <row r="211" spans="1:29" x14ac:dyDescent="0.3">
      <c r="A211" s="121"/>
      <c r="B211" s="204" t="b">
        <f>IF(Pipes!$B211,Pipes!$B211)</f>
        <v>0</v>
      </c>
      <c r="C211" s="205"/>
      <c r="D211" s="224"/>
      <c r="E211" s="224"/>
      <c r="F211" s="224">
        <f t="shared" si="612"/>
        <v>0</v>
      </c>
      <c r="G211" s="224"/>
      <c r="H211" s="224"/>
      <c r="I211" s="52"/>
      <c r="J211" s="52"/>
      <c r="K211" s="130"/>
      <c r="L211" s="206">
        <f t="shared" si="598"/>
        <v>0</v>
      </c>
      <c r="M211" s="206" t="b">
        <f t="shared" si="599"/>
        <v>0</v>
      </c>
      <c r="N211" s="207" t="b">
        <f t="shared" si="600"/>
        <v>0</v>
      </c>
      <c r="O211" s="209"/>
      <c r="P211" s="208">
        <f t="shared" si="616"/>
        <v>0</v>
      </c>
      <c r="Q211" s="53" t="b">
        <f t="shared" si="602"/>
        <v>0</v>
      </c>
      <c r="R211" s="53" t="b">
        <f t="shared" si="603"/>
        <v>0</v>
      </c>
      <c r="S211" s="241" t="s">
        <v>197</v>
      </c>
      <c r="T211" s="127" t="b">
        <f>IF($N211,IF($F211&gt;$P211,ROUND(($Q211-($F210/12)),2),IF($S211="YES",$N211,$N211-MinDrop)))</f>
        <v>0</v>
      </c>
      <c r="U211" s="210"/>
      <c r="V211" s="54"/>
      <c r="W211" s="54"/>
      <c r="X211" s="54"/>
      <c r="Y211" s="117"/>
      <c r="Z211" s="54"/>
      <c r="AA211" s="54"/>
      <c r="AB211" s="54"/>
      <c r="AC211" s="211"/>
    </row>
    <row r="212" spans="1:29" x14ac:dyDescent="0.3">
      <c r="A212" s="121"/>
      <c r="B212" s="204" t="b">
        <f>IF(Pipes!$B212,Pipes!$B212)</f>
        <v>0</v>
      </c>
      <c r="C212" s="205"/>
      <c r="D212" s="224"/>
      <c r="E212" s="224"/>
      <c r="F212" s="224">
        <f t="shared" si="612"/>
        <v>0</v>
      </c>
      <c r="G212" s="224"/>
      <c r="H212" s="224"/>
      <c r="I212" s="52"/>
      <c r="J212" s="52"/>
      <c r="K212" s="130"/>
      <c r="L212" s="206">
        <f t="shared" si="598"/>
        <v>0</v>
      </c>
      <c r="M212" s="206" t="b">
        <f t="shared" si="599"/>
        <v>0</v>
      </c>
      <c r="N212" s="207" t="b">
        <f t="shared" si="600"/>
        <v>0</v>
      </c>
      <c r="O212" s="209"/>
      <c r="P212" s="208">
        <f t="shared" si="616"/>
        <v>0</v>
      </c>
      <c r="Q212" s="53" t="b">
        <f t="shared" si="602"/>
        <v>0</v>
      </c>
      <c r="R212" s="53" t="b">
        <f t="shared" si="603"/>
        <v>0</v>
      </c>
      <c r="S212" s="241" t="s">
        <v>197</v>
      </c>
      <c r="T212" s="127" t="b">
        <f>IF($N212,IF($F212&gt;$P212,ROUND(($Q212-($F211/12)),2),IF($S212="YES",$N212,$N212-MinDrop)))</f>
        <v>0</v>
      </c>
      <c r="U212" s="210"/>
      <c r="V212" s="54"/>
      <c r="W212" s="54"/>
      <c r="X212" s="54"/>
      <c r="Y212" s="117"/>
      <c r="Z212" s="54"/>
      <c r="AA212" s="54"/>
      <c r="AB212" s="54"/>
      <c r="AC212" s="211"/>
    </row>
    <row r="213" spans="1:29" ht="15" thickBot="1" x14ac:dyDescent="0.35">
      <c r="A213" s="122"/>
      <c r="B213" s="204" t="b">
        <f>IF(Pipes!$B213,Pipes!$B213)</f>
        <v>0</v>
      </c>
      <c r="C213" s="212"/>
      <c r="D213" s="104"/>
      <c r="E213" s="104"/>
      <c r="F213" s="104">
        <f t="shared" si="612"/>
        <v>0</v>
      </c>
      <c r="G213" s="104"/>
      <c r="H213" s="104"/>
      <c r="I213" s="101"/>
      <c r="J213" s="101"/>
      <c r="K213" s="131"/>
      <c r="L213" s="213">
        <f t="shared" si="598"/>
        <v>0</v>
      </c>
      <c r="M213" s="213" t="b">
        <f t="shared" si="599"/>
        <v>0</v>
      </c>
      <c r="N213" s="214" t="b">
        <f t="shared" si="600"/>
        <v>0</v>
      </c>
      <c r="O213" s="216"/>
      <c r="P213" s="215">
        <f t="shared" si="616"/>
        <v>0</v>
      </c>
      <c r="Q213" s="103" t="b">
        <f t="shared" si="602"/>
        <v>0</v>
      </c>
      <c r="R213" s="53" t="b">
        <f t="shared" si="603"/>
        <v>0</v>
      </c>
      <c r="S213" s="241" t="s">
        <v>197</v>
      </c>
      <c r="T213" s="127" t="b">
        <f>IF($N213,IF($F213&gt;$P213,ROUND(($Q213-($F212/12)),2),IF($S213="YES",$N213,$N213-MinDrop)))</f>
        <v>0</v>
      </c>
      <c r="U213" s="217"/>
      <c r="V213" s="102"/>
      <c r="W213" s="102"/>
      <c r="X213" s="102"/>
      <c r="Y213" s="118"/>
      <c r="Z213" s="102"/>
      <c r="AA213" s="102"/>
      <c r="AB213" s="102"/>
      <c r="AC213" s="218"/>
    </row>
    <row r="214" spans="1:29" x14ac:dyDescent="0.3">
      <c r="A214" s="115">
        <f t="shared" ref="A214" si="619">$A209+1</f>
        <v>43</v>
      </c>
      <c r="B214" s="186"/>
      <c r="C214" s="201">
        <f>IF(Pipes!$Q214&gt;0,IF(Pipes!$R214&gt;MinDiameter,Pipes!$R214,MinDiameter),0)</f>
        <v>0</v>
      </c>
      <c r="D214" s="187" t="s">
        <v>197</v>
      </c>
      <c r="E214" s="187"/>
      <c r="F214" s="107">
        <f>Pipes!$S214</f>
        <v>0</v>
      </c>
      <c r="G214" s="108">
        <f>Pipes!$W214</f>
        <v>0</v>
      </c>
      <c r="H214" s="187" t="s">
        <v>197</v>
      </c>
      <c r="I214" s="188"/>
      <c r="J214" s="108">
        <f>Pipes!$X214</f>
        <v>0</v>
      </c>
      <c r="K214" s="193">
        <f>INDEX(Tribs!$H$3:$H$102,MATCH($A214,Tribs!$A$3:$A$102,0))</f>
        <v>0</v>
      </c>
      <c r="L214" s="105">
        <f>INDEX(Tribs!$I$3:$I$102,MATCH($A214,Tribs!$A$3:$A$102,0))</f>
        <v>0</v>
      </c>
      <c r="M214" s="105" t="b">
        <f>IF($L214,ROUND($L214-MinCover-($F214/12),2))</f>
        <v>0</v>
      </c>
      <c r="N214" s="202"/>
      <c r="O214" s="129">
        <f t="shared" ref="O214" si="620">MIN($N215:$N218)</f>
        <v>0</v>
      </c>
      <c r="P214" s="203"/>
      <c r="Q214" s="203"/>
      <c r="R214" s="203"/>
      <c r="S214" s="110"/>
      <c r="T214" s="116" t="b">
        <f t="shared" ref="T214" si="621">IF($M214,$M214)</f>
        <v>0</v>
      </c>
      <c r="U214" s="129">
        <f t="shared" ref="U214" si="622">MIN($T214:$T218)</f>
        <v>0</v>
      </c>
      <c r="V214" s="233" t="s">
        <v>197</v>
      </c>
      <c r="W214" s="219"/>
      <c r="X214" s="219" t="s">
        <v>197</v>
      </c>
      <c r="Y214" s="239"/>
      <c r="Z214" s="105">
        <f t="shared" ref="Z214" si="623">IF($V214="YES",$U214,IF($X214&lt;&gt;"YES",$W214,($AC214+$J214*$K214)))</f>
        <v>0</v>
      </c>
      <c r="AA214" s="105">
        <f t="shared" ref="AA214" si="624">ROUND($Z214+($F214/12),2)</f>
        <v>0</v>
      </c>
      <c r="AB214" s="105" t="b">
        <f t="shared" ref="AB214" si="625">IF($L214,($L214-$AA214))</f>
        <v>0</v>
      </c>
      <c r="AC214" s="111">
        <f t="shared" ref="AC214" si="626">IF(AND($V214&lt;&gt;"YES",$X214="YES"),$Y214,ROUND($Z214-($J214*$K214),2))</f>
        <v>0</v>
      </c>
    </row>
    <row r="215" spans="1:29" x14ac:dyDescent="0.3">
      <c r="A215" s="121"/>
      <c r="B215" s="204" t="b">
        <f>IF(Pipes!$B215,Pipes!$B215)</f>
        <v>0</v>
      </c>
      <c r="C215" s="205"/>
      <c r="D215" s="224"/>
      <c r="E215" s="224"/>
      <c r="F215" s="224">
        <f t="shared" ref="F215:F218" si="627">F214</f>
        <v>0</v>
      </c>
      <c r="G215" s="224"/>
      <c r="H215" s="224"/>
      <c r="I215" s="52"/>
      <c r="J215" s="52"/>
      <c r="K215" s="130"/>
      <c r="L215" s="206">
        <f t="shared" ref="L215" si="628">$L214</f>
        <v>0</v>
      </c>
      <c r="M215" s="206" t="b">
        <f t="shared" ref="M215" si="629">M214</f>
        <v>0</v>
      </c>
      <c r="N215" s="240" t="b">
        <f t="shared" ref="N215" si="630">IF($B215,INDEX($AC$4:$AC$499,MATCH($B215,$A$4:$A$499)))</f>
        <v>0</v>
      </c>
      <c r="O215" s="209"/>
      <c r="P215" s="208">
        <f t="shared" ref="P215:P218" si="631">IF($B215,INDEX($F$4:$F$499,MATCH($B215,$A$4:$A$499)),0)</f>
        <v>0</v>
      </c>
      <c r="Q215" s="242" t="b">
        <f t="shared" ref="Q215" si="632">IF($N215,ROUND(($N215+($P215/12)),2))</f>
        <v>0</v>
      </c>
      <c r="R215" s="53" t="b">
        <f t="shared" ref="R215" si="633">IF(AND($L215,$Q215),$L215-$Q215)</f>
        <v>0</v>
      </c>
      <c r="S215" s="241" t="s">
        <v>197</v>
      </c>
      <c r="T215" s="127" t="b">
        <f>IF($N215,IF($F215&gt;$P215,ROUND(($Q215-($F214/12)),2),IF($S215="YES",$N215,$N215-MinDrop)))</f>
        <v>0</v>
      </c>
      <c r="U215" s="243"/>
      <c r="V215" s="245"/>
      <c r="W215" s="245"/>
      <c r="X215" s="54"/>
      <c r="Y215" s="117"/>
      <c r="Z215" s="54"/>
      <c r="AA215" s="54"/>
      <c r="AB215" s="54"/>
      <c r="AC215" s="211"/>
    </row>
    <row r="216" spans="1:29" x14ac:dyDescent="0.3">
      <c r="A216" s="121"/>
      <c r="B216" s="204" t="b">
        <f>IF(Pipes!$B216,Pipes!$B216)</f>
        <v>0</v>
      </c>
      <c r="C216" s="205"/>
      <c r="D216" s="224"/>
      <c r="E216" s="224"/>
      <c r="F216" s="224">
        <f t="shared" si="627"/>
        <v>0</v>
      </c>
      <c r="G216" s="224"/>
      <c r="H216" s="224"/>
      <c r="I216" s="52"/>
      <c r="J216" s="52"/>
      <c r="K216" s="130"/>
      <c r="L216" s="206">
        <f t="shared" si="598"/>
        <v>0</v>
      </c>
      <c r="M216" s="206" t="b">
        <f t="shared" si="599"/>
        <v>0</v>
      </c>
      <c r="N216" s="207" t="b">
        <f t="shared" si="600"/>
        <v>0</v>
      </c>
      <c r="O216" s="209"/>
      <c r="P216" s="208">
        <f t="shared" si="631"/>
        <v>0</v>
      </c>
      <c r="Q216" s="53" t="b">
        <f t="shared" si="602"/>
        <v>0</v>
      </c>
      <c r="R216" s="53" t="b">
        <f t="shared" si="603"/>
        <v>0</v>
      </c>
      <c r="S216" s="241" t="s">
        <v>197</v>
      </c>
      <c r="T216" s="127" t="b">
        <f>IF($N216,IF($F216&gt;$P216,ROUND(($Q216-($F215/12)),2),IF($S216="YES",$N216,$N216-MinDrop)))</f>
        <v>0</v>
      </c>
      <c r="U216" s="210"/>
      <c r="V216" s="54"/>
      <c r="W216" s="54"/>
      <c r="X216" s="54"/>
      <c r="Y216" s="117"/>
      <c r="Z216" s="54"/>
      <c r="AA216" s="54"/>
      <c r="AB216" s="54"/>
      <c r="AC216" s="211"/>
    </row>
    <row r="217" spans="1:29" x14ac:dyDescent="0.3">
      <c r="A217" s="121"/>
      <c r="B217" s="204" t="b">
        <f>IF(Pipes!$B217,Pipes!$B217)</f>
        <v>0</v>
      </c>
      <c r="C217" s="205"/>
      <c r="D217" s="224"/>
      <c r="E217" s="224"/>
      <c r="F217" s="224">
        <f t="shared" si="627"/>
        <v>0</v>
      </c>
      <c r="G217" s="224"/>
      <c r="H217" s="224"/>
      <c r="I217" s="52"/>
      <c r="J217" s="52"/>
      <c r="K217" s="130"/>
      <c r="L217" s="206">
        <f t="shared" si="598"/>
        <v>0</v>
      </c>
      <c r="M217" s="206" t="b">
        <f t="shared" si="599"/>
        <v>0</v>
      </c>
      <c r="N217" s="207" t="b">
        <f t="shared" si="600"/>
        <v>0</v>
      </c>
      <c r="O217" s="209"/>
      <c r="P217" s="208">
        <f t="shared" si="631"/>
        <v>0</v>
      </c>
      <c r="Q217" s="53" t="b">
        <f t="shared" si="602"/>
        <v>0</v>
      </c>
      <c r="R217" s="53" t="b">
        <f t="shared" si="603"/>
        <v>0</v>
      </c>
      <c r="S217" s="241" t="s">
        <v>197</v>
      </c>
      <c r="T217" s="127" t="b">
        <f>IF($N217,IF($F217&gt;$P217,ROUND(($Q217-($F216/12)),2),IF($S217="YES",$N217,$N217-MinDrop)))</f>
        <v>0</v>
      </c>
      <c r="U217" s="210"/>
      <c r="V217" s="54"/>
      <c r="W217" s="54"/>
      <c r="X217" s="54"/>
      <c r="Y217" s="117"/>
      <c r="Z217" s="54"/>
      <c r="AA217" s="54"/>
      <c r="AB217" s="54"/>
      <c r="AC217" s="211"/>
    </row>
    <row r="218" spans="1:29" ht="15" thickBot="1" x14ac:dyDescent="0.35">
      <c r="A218" s="122"/>
      <c r="B218" s="204" t="b">
        <f>IF(Pipes!$B218,Pipes!$B218)</f>
        <v>0</v>
      </c>
      <c r="C218" s="212"/>
      <c r="D218" s="104"/>
      <c r="E218" s="104"/>
      <c r="F218" s="104">
        <f t="shared" si="627"/>
        <v>0</v>
      </c>
      <c r="G218" s="104"/>
      <c r="H218" s="104"/>
      <c r="I218" s="101"/>
      <c r="J218" s="101"/>
      <c r="K218" s="131"/>
      <c r="L218" s="213">
        <f t="shared" si="598"/>
        <v>0</v>
      </c>
      <c r="M218" s="213" t="b">
        <f t="shared" si="599"/>
        <v>0</v>
      </c>
      <c r="N218" s="214" t="b">
        <f t="shared" si="600"/>
        <v>0</v>
      </c>
      <c r="O218" s="216"/>
      <c r="P218" s="215">
        <f t="shared" si="631"/>
        <v>0</v>
      </c>
      <c r="Q218" s="103" t="b">
        <f t="shared" si="602"/>
        <v>0</v>
      </c>
      <c r="R218" s="53" t="b">
        <f t="shared" si="603"/>
        <v>0</v>
      </c>
      <c r="S218" s="241" t="s">
        <v>197</v>
      </c>
      <c r="T218" s="127" t="b">
        <f>IF($N218,IF($F218&gt;$P218,ROUND(($Q218-($F217/12)),2),IF($S218="YES",$N218,$N218-MinDrop)))</f>
        <v>0</v>
      </c>
      <c r="U218" s="217"/>
      <c r="V218" s="102"/>
      <c r="W218" s="102"/>
      <c r="X218" s="102"/>
      <c r="Y218" s="118"/>
      <c r="Z218" s="102"/>
      <c r="AA218" s="102"/>
      <c r="AB218" s="102"/>
      <c r="AC218" s="218"/>
    </row>
    <row r="219" spans="1:29" x14ac:dyDescent="0.3">
      <c r="A219" s="115">
        <f t="shared" ref="A219" si="634">$A214+1</f>
        <v>44</v>
      </c>
      <c r="B219" s="186"/>
      <c r="C219" s="201">
        <f>IF(Pipes!$Q219&gt;0,IF(Pipes!$R219&gt;MinDiameter,Pipes!$R219,MinDiameter),0)</f>
        <v>0</v>
      </c>
      <c r="D219" s="187" t="s">
        <v>197</v>
      </c>
      <c r="E219" s="187"/>
      <c r="F219" s="107">
        <f>Pipes!$S219</f>
        <v>0</v>
      </c>
      <c r="G219" s="108">
        <f>Pipes!$W219</f>
        <v>0</v>
      </c>
      <c r="H219" s="187" t="s">
        <v>197</v>
      </c>
      <c r="I219" s="188"/>
      <c r="J219" s="108">
        <f>Pipes!$X219</f>
        <v>0</v>
      </c>
      <c r="K219" s="193">
        <f>INDEX(Tribs!$H$3:$H$102,MATCH($A219,Tribs!$A$3:$A$102,0))</f>
        <v>0</v>
      </c>
      <c r="L219" s="105">
        <f>INDEX(Tribs!$I$3:$I$102,MATCH($A219,Tribs!$A$3:$A$102,0))</f>
        <v>0</v>
      </c>
      <c r="M219" s="105" t="b">
        <f>IF($L219,ROUND($L219-MinCover-($F219/12),2))</f>
        <v>0</v>
      </c>
      <c r="N219" s="202"/>
      <c r="O219" s="129">
        <f t="shared" ref="O219" si="635">MIN($N220:$N223)</f>
        <v>0</v>
      </c>
      <c r="P219" s="203"/>
      <c r="Q219" s="203"/>
      <c r="R219" s="203"/>
      <c r="S219" s="110"/>
      <c r="T219" s="116" t="b">
        <f t="shared" ref="T219" si="636">IF($M219,$M219)</f>
        <v>0</v>
      </c>
      <c r="U219" s="129">
        <f t="shared" ref="U219" si="637">MIN($T219:$T223)</f>
        <v>0</v>
      </c>
      <c r="V219" s="233" t="s">
        <v>197</v>
      </c>
      <c r="W219" s="219"/>
      <c r="X219" s="219" t="s">
        <v>197</v>
      </c>
      <c r="Y219" s="239"/>
      <c r="Z219" s="105">
        <f t="shared" ref="Z219" si="638">IF($V219="YES",$U219,IF($X219&lt;&gt;"YES",$W219,($AC219+$J219*$K219)))</f>
        <v>0</v>
      </c>
      <c r="AA219" s="105">
        <f t="shared" ref="AA219" si="639">ROUND($Z219+($F219/12),2)</f>
        <v>0</v>
      </c>
      <c r="AB219" s="105" t="b">
        <f t="shared" ref="AB219" si="640">IF($L219,($L219-$AA219))</f>
        <v>0</v>
      </c>
      <c r="AC219" s="111">
        <f t="shared" ref="AC219" si="641">IF(AND($V219&lt;&gt;"YES",$X219="YES"),$Y219,ROUND($Z219-($J219*$K219),2))</f>
        <v>0</v>
      </c>
    </row>
    <row r="220" spans="1:29" x14ac:dyDescent="0.3">
      <c r="A220" s="121"/>
      <c r="B220" s="204" t="b">
        <f>IF(Pipes!$B220,Pipes!$B220)</f>
        <v>0</v>
      </c>
      <c r="C220" s="205"/>
      <c r="D220" s="224"/>
      <c r="E220" s="224"/>
      <c r="F220" s="224">
        <f t="shared" ref="F220:F223" si="642">F219</f>
        <v>0</v>
      </c>
      <c r="G220" s="224"/>
      <c r="H220" s="224"/>
      <c r="I220" s="52"/>
      <c r="J220" s="52"/>
      <c r="K220" s="130"/>
      <c r="L220" s="206">
        <f t="shared" ref="L220" si="643">$L219</f>
        <v>0</v>
      </c>
      <c r="M220" s="206" t="b">
        <f t="shared" ref="M220" si="644">M219</f>
        <v>0</v>
      </c>
      <c r="N220" s="240" t="b">
        <f t="shared" ref="N220" si="645">IF($B220,INDEX($AC$4:$AC$499,MATCH($B220,$A$4:$A$499)))</f>
        <v>0</v>
      </c>
      <c r="O220" s="209"/>
      <c r="P220" s="208">
        <f t="shared" ref="P220:P223" si="646">IF($B220,INDEX($F$4:$F$499,MATCH($B220,$A$4:$A$499)),0)</f>
        <v>0</v>
      </c>
      <c r="Q220" s="242" t="b">
        <f t="shared" ref="Q220" si="647">IF($N220,ROUND(($N220+($P220/12)),2))</f>
        <v>0</v>
      </c>
      <c r="R220" s="53" t="b">
        <f t="shared" ref="R220" si="648">IF(AND($L220,$Q220),$L220-$Q220)</f>
        <v>0</v>
      </c>
      <c r="S220" s="241" t="s">
        <v>197</v>
      </c>
      <c r="T220" s="127" t="b">
        <f>IF($N220,IF($F220&gt;$P220,ROUND(($Q220-($F219/12)),2),IF($S220="YES",$N220,$N220-MinDrop)))</f>
        <v>0</v>
      </c>
      <c r="U220" s="243"/>
      <c r="V220" s="245"/>
      <c r="W220" s="245"/>
      <c r="X220" s="54"/>
      <c r="Y220" s="117"/>
      <c r="Z220" s="54"/>
      <c r="AA220" s="54"/>
      <c r="AB220" s="54"/>
      <c r="AC220" s="211"/>
    </row>
    <row r="221" spans="1:29" x14ac:dyDescent="0.3">
      <c r="A221" s="121"/>
      <c r="B221" s="204" t="b">
        <f>IF(Pipes!$B221,Pipes!$B221)</f>
        <v>0</v>
      </c>
      <c r="C221" s="205"/>
      <c r="D221" s="224"/>
      <c r="E221" s="224"/>
      <c r="F221" s="224">
        <f t="shared" si="642"/>
        <v>0</v>
      </c>
      <c r="G221" s="224"/>
      <c r="H221" s="224"/>
      <c r="I221" s="52"/>
      <c r="J221" s="52"/>
      <c r="K221" s="130"/>
      <c r="L221" s="206">
        <f t="shared" si="598"/>
        <v>0</v>
      </c>
      <c r="M221" s="206" t="b">
        <f t="shared" si="599"/>
        <v>0</v>
      </c>
      <c r="N221" s="207" t="b">
        <f t="shared" si="600"/>
        <v>0</v>
      </c>
      <c r="O221" s="209"/>
      <c r="P221" s="208">
        <f t="shared" si="646"/>
        <v>0</v>
      </c>
      <c r="Q221" s="53" t="b">
        <f t="shared" si="602"/>
        <v>0</v>
      </c>
      <c r="R221" s="53" t="b">
        <f t="shared" si="603"/>
        <v>0</v>
      </c>
      <c r="S221" s="241" t="s">
        <v>197</v>
      </c>
      <c r="T221" s="127" t="b">
        <f>IF($N221,IF($F221&gt;$P221,ROUND(($Q221-($F220/12)),2),IF($S221="YES",$N221,$N221-MinDrop)))</f>
        <v>0</v>
      </c>
      <c r="U221" s="210"/>
      <c r="V221" s="54"/>
      <c r="W221" s="54"/>
      <c r="X221" s="54"/>
      <c r="Y221" s="117"/>
      <c r="Z221" s="54"/>
      <c r="AA221" s="54"/>
      <c r="AB221" s="54"/>
      <c r="AC221" s="211"/>
    </row>
    <row r="222" spans="1:29" x14ac:dyDescent="0.3">
      <c r="A222" s="121"/>
      <c r="B222" s="204" t="b">
        <f>IF(Pipes!$B222,Pipes!$B222)</f>
        <v>0</v>
      </c>
      <c r="C222" s="205"/>
      <c r="D222" s="224"/>
      <c r="E222" s="224"/>
      <c r="F222" s="224">
        <f t="shared" si="642"/>
        <v>0</v>
      </c>
      <c r="G222" s="224"/>
      <c r="H222" s="224"/>
      <c r="I222" s="52"/>
      <c r="J222" s="52"/>
      <c r="K222" s="130"/>
      <c r="L222" s="206">
        <f t="shared" si="598"/>
        <v>0</v>
      </c>
      <c r="M222" s="206" t="b">
        <f t="shared" si="599"/>
        <v>0</v>
      </c>
      <c r="N222" s="207" t="b">
        <f t="shared" si="600"/>
        <v>0</v>
      </c>
      <c r="O222" s="209"/>
      <c r="P222" s="208">
        <f t="shared" si="646"/>
        <v>0</v>
      </c>
      <c r="Q222" s="53" t="b">
        <f t="shared" si="602"/>
        <v>0</v>
      </c>
      <c r="R222" s="53" t="b">
        <f t="shared" si="603"/>
        <v>0</v>
      </c>
      <c r="S222" s="241" t="s">
        <v>197</v>
      </c>
      <c r="T222" s="127" t="b">
        <f>IF($N222,IF($F222&gt;$P222,ROUND(($Q222-($F221/12)),2),IF($S222="YES",$N222,$N222-MinDrop)))</f>
        <v>0</v>
      </c>
      <c r="U222" s="210"/>
      <c r="V222" s="54"/>
      <c r="W222" s="54"/>
      <c r="X222" s="54"/>
      <c r="Y222" s="117"/>
      <c r="Z222" s="54"/>
      <c r="AA222" s="54"/>
      <c r="AB222" s="54"/>
      <c r="AC222" s="211"/>
    </row>
    <row r="223" spans="1:29" ht="15" thickBot="1" x14ac:dyDescent="0.35">
      <c r="A223" s="122"/>
      <c r="B223" s="204" t="b">
        <f>IF(Pipes!$B223,Pipes!$B223)</f>
        <v>0</v>
      </c>
      <c r="C223" s="212"/>
      <c r="D223" s="104"/>
      <c r="E223" s="104"/>
      <c r="F223" s="104">
        <f t="shared" si="642"/>
        <v>0</v>
      </c>
      <c r="G223" s="104"/>
      <c r="H223" s="104"/>
      <c r="I223" s="101"/>
      <c r="J223" s="101"/>
      <c r="K223" s="131"/>
      <c r="L223" s="213">
        <f t="shared" si="598"/>
        <v>0</v>
      </c>
      <c r="M223" s="213" t="b">
        <f t="shared" si="599"/>
        <v>0</v>
      </c>
      <c r="N223" s="214" t="b">
        <f t="shared" si="600"/>
        <v>0</v>
      </c>
      <c r="O223" s="216"/>
      <c r="P223" s="215">
        <f t="shared" si="646"/>
        <v>0</v>
      </c>
      <c r="Q223" s="103" t="b">
        <f t="shared" si="602"/>
        <v>0</v>
      </c>
      <c r="R223" s="53" t="b">
        <f t="shared" si="603"/>
        <v>0</v>
      </c>
      <c r="S223" s="241" t="s">
        <v>197</v>
      </c>
      <c r="T223" s="127" t="b">
        <f>IF($N223,IF($F223&gt;$P223,ROUND(($Q223-($F222/12)),2),IF($S223="YES",$N223,$N223-MinDrop)))</f>
        <v>0</v>
      </c>
      <c r="U223" s="217"/>
      <c r="V223" s="102"/>
      <c r="W223" s="102"/>
      <c r="X223" s="102"/>
      <c r="Y223" s="118"/>
      <c r="Z223" s="102"/>
      <c r="AA223" s="102"/>
      <c r="AB223" s="102"/>
      <c r="AC223" s="218"/>
    </row>
    <row r="224" spans="1:29" x14ac:dyDescent="0.3">
      <c r="A224" s="115">
        <f t="shared" ref="A224" si="649">$A219+1</f>
        <v>45</v>
      </c>
      <c r="B224" s="186"/>
      <c r="C224" s="201">
        <f>IF(Pipes!$Q224&gt;0,IF(Pipes!$R224&gt;MinDiameter,Pipes!$R224,MinDiameter),0)</f>
        <v>0</v>
      </c>
      <c r="D224" s="187" t="s">
        <v>197</v>
      </c>
      <c r="E224" s="187"/>
      <c r="F224" s="107">
        <f>Pipes!$S224</f>
        <v>0</v>
      </c>
      <c r="G224" s="108">
        <f>Pipes!$W224</f>
        <v>0</v>
      </c>
      <c r="H224" s="187" t="s">
        <v>197</v>
      </c>
      <c r="I224" s="188"/>
      <c r="J224" s="108">
        <f>Pipes!$X224</f>
        <v>0</v>
      </c>
      <c r="K224" s="193">
        <f>INDEX(Tribs!$H$3:$H$102,MATCH($A224,Tribs!$A$3:$A$102,0))</f>
        <v>0</v>
      </c>
      <c r="L224" s="105">
        <f>INDEX(Tribs!$I$3:$I$102,MATCH($A224,Tribs!$A$3:$A$102,0))</f>
        <v>0</v>
      </c>
      <c r="M224" s="105" t="b">
        <f>IF($L224,ROUND($L224-MinCover-($F224/12),2))</f>
        <v>0</v>
      </c>
      <c r="N224" s="202"/>
      <c r="O224" s="129">
        <f t="shared" ref="O224" si="650">MIN($N225:$N228)</f>
        <v>0</v>
      </c>
      <c r="P224" s="203"/>
      <c r="Q224" s="203"/>
      <c r="R224" s="203"/>
      <c r="S224" s="110"/>
      <c r="T224" s="116" t="b">
        <f t="shared" ref="T224" si="651">IF($M224,$M224)</f>
        <v>0</v>
      </c>
      <c r="U224" s="129">
        <f t="shared" ref="U224" si="652">MIN($T224:$T228)</f>
        <v>0</v>
      </c>
      <c r="V224" s="233" t="s">
        <v>197</v>
      </c>
      <c r="W224" s="219"/>
      <c r="X224" s="219" t="s">
        <v>197</v>
      </c>
      <c r="Y224" s="239"/>
      <c r="Z224" s="105">
        <f t="shared" ref="Z224" si="653">IF($V224="YES",$U224,IF($X224&lt;&gt;"YES",$W224,($AC224+$J224*$K224)))</f>
        <v>0</v>
      </c>
      <c r="AA224" s="105">
        <f t="shared" ref="AA224" si="654">ROUND($Z224+($F224/12),2)</f>
        <v>0</v>
      </c>
      <c r="AB224" s="105" t="b">
        <f t="shared" ref="AB224" si="655">IF($L224,($L224-$AA224))</f>
        <v>0</v>
      </c>
      <c r="AC224" s="111">
        <f t="shared" ref="AC224" si="656">IF(AND($V224&lt;&gt;"YES",$X224="YES"),$Y224,ROUND($Z224-($J224*$K224),2))</f>
        <v>0</v>
      </c>
    </row>
    <row r="225" spans="1:29" x14ac:dyDescent="0.3">
      <c r="A225" s="121"/>
      <c r="B225" s="204" t="b">
        <f>IF(Pipes!$B225,Pipes!$B225)</f>
        <v>0</v>
      </c>
      <c r="C225" s="205"/>
      <c r="D225" s="224"/>
      <c r="E225" s="224"/>
      <c r="F225" s="224">
        <f t="shared" ref="F225:F228" si="657">F224</f>
        <v>0</v>
      </c>
      <c r="G225" s="224"/>
      <c r="H225" s="224"/>
      <c r="I225" s="52"/>
      <c r="J225" s="52"/>
      <c r="K225" s="130"/>
      <c r="L225" s="206">
        <f t="shared" ref="L225" si="658">$L224</f>
        <v>0</v>
      </c>
      <c r="M225" s="206" t="b">
        <f t="shared" ref="M225" si="659">M224</f>
        <v>0</v>
      </c>
      <c r="N225" s="240" t="b">
        <f t="shared" ref="N225" si="660">IF($B225,INDEX($AC$4:$AC$499,MATCH($B225,$A$4:$A$499)))</f>
        <v>0</v>
      </c>
      <c r="O225" s="209"/>
      <c r="P225" s="208">
        <f t="shared" ref="P225:P228" si="661">IF($B225,INDEX($F$4:$F$499,MATCH($B225,$A$4:$A$499)),0)</f>
        <v>0</v>
      </c>
      <c r="Q225" s="242" t="b">
        <f t="shared" ref="Q225" si="662">IF($N225,ROUND(($N225+($P225/12)),2))</f>
        <v>0</v>
      </c>
      <c r="R225" s="53" t="b">
        <f t="shared" ref="R225" si="663">IF(AND($L225,$Q225),$L225-$Q225)</f>
        <v>0</v>
      </c>
      <c r="S225" s="241" t="s">
        <v>197</v>
      </c>
      <c r="T225" s="127" t="b">
        <f>IF($N225,IF($F225&gt;$P225,ROUND(($Q225-($F224/12)),2),IF($S225="YES",$N225,$N225-MinDrop)))</f>
        <v>0</v>
      </c>
      <c r="U225" s="243"/>
      <c r="V225" s="245"/>
      <c r="W225" s="245"/>
      <c r="X225" s="54"/>
      <c r="Y225" s="117"/>
      <c r="Z225" s="54"/>
      <c r="AA225" s="54"/>
      <c r="AB225" s="54"/>
      <c r="AC225" s="211"/>
    </row>
    <row r="226" spans="1:29" x14ac:dyDescent="0.3">
      <c r="A226" s="121"/>
      <c r="B226" s="204" t="b">
        <f>IF(Pipes!$B226,Pipes!$B226)</f>
        <v>0</v>
      </c>
      <c r="C226" s="205"/>
      <c r="D226" s="224"/>
      <c r="E226" s="224"/>
      <c r="F226" s="224">
        <f t="shared" si="657"/>
        <v>0</v>
      </c>
      <c r="G226" s="224"/>
      <c r="H226" s="224"/>
      <c r="I226" s="52"/>
      <c r="J226" s="52"/>
      <c r="K226" s="130"/>
      <c r="L226" s="206">
        <f t="shared" si="598"/>
        <v>0</v>
      </c>
      <c r="M226" s="206" t="b">
        <f t="shared" si="599"/>
        <v>0</v>
      </c>
      <c r="N226" s="207" t="b">
        <f t="shared" si="600"/>
        <v>0</v>
      </c>
      <c r="O226" s="209"/>
      <c r="P226" s="208">
        <f t="shared" si="661"/>
        <v>0</v>
      </c>
      <c r="Q226" s="53" t="b">
        <f t="shared" si="602"/>
        <v>0</v>
      </c>
      <c r="R226" s="53" t="b">
        <f t="shared" si="603"/>
        <v>0</v>
      </c>
      <c r="S226" s="241" t="s">
        <v>197</v>
      </c>
      <c r="T226" s="127" t="b">
        <f>IF($N226,IF($F226&gt;$P226,ROUND(($Q226-($F225/12)),2),IF($S226="YES",$N226,$N226-MinDrop)))</f>
        <v>0</v>
      </c>
      <c r="U226" s="210"/>
      <c r="V226" s="54"/>
      <c r="W226" s="54"/>
      <c r="X226" s="54"/>
      <c r="Y226" s="117"/>
      <c r="Z226" s="54"/>
      <c r="AA226" s="54"/>
      <c r="AB226" s="54"/>
      <c r="AC226" s="211"/>
    </row>
    <row r="227" spans="1:29" x14ac:dyDescent="0.3">
      <c r="A227" s="121"/>
      <c r="B227" s="204" t="b">
        <f>IF(Pipes!$B227,Pipes!$B227)</f>
        <v>0</v>
      </c>
      <c r="C227" s="205"/>
      <c r="D227" s="224"/>
      <c r="E227" s="224"/>
      <c r="F227" s="224">
        <f t="shared" si="657"/>
        <v>0</v>
      </c>
      <c r="G227" s="224"/>
      <c r="H227" s="224"/>
      <c r="I227" s="52"/>
      <c r="J227" s="52"/>
      <c r="K227" s="130"/>
      <c r="L227" s="206">
        <f t="shared" si="598"/>
        <v>0</v>
      </c>
      <c r="M227" s="206" t="b">
        <f t="shared" si="599"/>
        <v>0</v>
      </c>
      <c r="N227" s="207" t="b">
        <f t="shared" si="600"/>
        <v>0</v>
      </c>
      <c r="O227" s="209"/>
      <c r="P227" s="208">
        <f t="shared" si="661"/>
        <v>0</v>
      </c>
      <c r="Q227" s="53" t="b">
        <f t="shared" si="602"/>
        <v>0</v>
      </c>
      <c r="R227" s="53" t="b">
        <f t="shared" si="603"/>
        <v>0</v>
      </c>
      <c r="S227" s="241" t="s">
        <v>197</v>
      </c>
      <c r="T227" s="127" t="b">
        <f>IF($N227,IF($F227&gt;$P227,ROUND(($Q227-($F226/12)),2),IF($S227="YES",$N227,$N227-MinDrop)))</f>
        <v>0</v>
      </c>
      <c r="U227" s="210"/>
      <c r="V227" s="54"/>
      <c r="W227" s="54"/>
      <c r="X227" s="54"/>
      <c r="Y227" s="117"/>
      <c r="Z227" s="54"/>
      <c r="AA227" s="54"/>
      <c r="AB227" s="54"/>
      <c r="AC227" s="211"/>
    </row>
    <row r="228" spans="1:29" ht="15" thickBot="1" x14ac:dyDescent="0.35">
      <c r="A228" s="122"/>
      <c r="B228" s="204" t="b">
        <f>IF(Pipes!$B228,Pipes!$B228)</f>
        <v>0</v>
      </c>
      <c r="C228" s="212"/>
      <c r="D228" s="104"/>
      <c r="E228" s="104"/>
      <c r="F228" s="104">
        <f t="shared" si="657"/>
        <v>0</v>
      </c>
      <c r="G228" s="104"/>
      <c r="H228" s="104"/>
      <c r="I228" s="101"/>
      <c r="J228" s="101"/>
      <c r="K228" s="131"/>
      <c r="L228" s="213">
        <f t="shared" si="598"/>
        <v>0</v>
      </c>
      <c r="M228" s="213" t="b">
        <f t="shared" si="599"/>
        <v>0</v>
      </c>
      <c r="N228" s="214" t="b">
        <f t="shared" si="600"/>
        <v>0</v>
      </c>
      <c r="O228" s="216"/>
      <c r="P228" s="215">
        <f t="shared" si="661"/>
        <v>0</v>
      </c>
      <c r="Q228" s="103" t="b">
        <f t="shared" si="602"/>
        <v>0</v>
      </c>
      <c r="R228" s="53" t="b">
        <f t="shared" si="603"/>
        <v>0</v>
      </c>
      <c r="S228" s="241" t="s">
        <v>197</v>
      </c>
      <c r="T228" s="127" t="b">
        <f>IF($N228,IF($F228&gt;$P228,ROUND(($Q228-($F227/12)),2),IF($S228="YES",$N228,$N228-MinDrop)))</f>
        <v>0</v>
      </c>
      <c r="U228" s="217"/>
      <c r="V228" s="102"/>
      <c r="W228" s="102"/>
      <c r="X228" s="102"/>
      <c r="Y228" s="118"/>
      <c r="Z228" s="102"/>
      <c r="AA228" s="102"/>
      <c r="AB228" s="102"/>
      <c r="AC228" s="218"/>
    </row>
    <row r="229" spans="1:29" x14ac:dyDescent="0.3">
      <c r="A229" s="115">
        <f t="shared" ref="A229" si="664">$A224+1</f>
        <v>46</v>
      </c>
      <c r="B229" s="186"/>
      <c r="C229" s="201">
        <f>IF(Pipes!$Q229&gt;0,IF(Pipes!$R229&gt;MinDiameter,Pipes!$R229,MinDiameter),0)</f>
        <v>0</v>
      </c>
      <c r="D229" s="187" t="s">
        <v>197</v>
      </c>
      <c r="E229" s="187"/>
      <c r="F229" s="107">
        <f>Pipes!$S229</f>
        <v>0</v>
      </c>
      <c r="G229" s="108">
        <f>Pipes!$W229</f>
        <v>0</v>
      </c>
      <c r="H229" s="187" t="s">
        <v>197</v>
      </c>
      <c r="I229" s="188"/>
      <c r="J229" s="108">
        <f>Pipes!$X229</f>
        <v>0</v>
      </c>
      <c r="K229" s="193">
        <f>INDEX(Tribs!$H$3:$H$102,MATCH($A229,Tribs!$A$3:$A$102,0))</f>
        <v>0</v>
      </c>
      <c r="L229" s="105">
        <f>INDEX(Tribs!$I$3:$I$102,MATCH($A229,Tribs!$A$3:$A$102,0))</f>
        <v>0</v>
      </c>
      <c r="M229" s="105" t="b">
        <f>IF($L229,ROUND($L229-MinCover-($F229/12),2))</f>
        <v>0</v>
      </c>
      <c r="N229" s="202"/>
      <c r="O229" s="129">
        <f t="shared" ref="O229" si="665">MIN($N230:$N233)</f>
        <v>0</v>
      </c>
      <c r="P229" s="203"/>
      <c r="Q229" s="203"/>
      <c r="R229" s="203"/>
      <c r="S229" s="110"/>
      <c r="T229" s="116" t="b">
        <f t="shared" ref="T229" si="666">IF($M229,$M229)</f>
        <v>0</v>
      </c>
      <c r="U229" s="129">
        <f t="shared" ref="U229" si="667">MIN($T229:$T233)</f>
        <v>0</v>
      </c>
      <c r="V229" s="233" t="s">
        <v>197</v>
      </c>
      <c r="W229" s="219"/>
      <c r="X229" s="219" t="s">
        <v>197</v>
      </c>
      <c r="Y229" s="239"/>
      <c r="Z229" s="105">
        <f t="shared" ref="Z229" si="668">IF($V229="YES",$U229,IF($X229&lt;&gt;"YES",$W229,($AC229+$J229*$K229)))</f>
        <v>0</v>
      </c>
      <c r="AA229" s="105">
        <f t="shared" ref="AA229" si="669">ROUND($Z229+($F229/12),2)</f>
        <v>0</v>
      </c>
      <c r="AB229" s="105" t="b">
        <f t="shared" ref="AB229" si="670">IF($L229,($L229-$AA229))</f>
        <v>0</v>
      </c>
      <c r="AC229" s="111">
        <f t="shared" ref="AC229" si="671">IF(AND($V229&lt;&gt;"YES",$X229="YES"),$Y229,ROUND($Z229-($J229*$K229),2))</f>
        <v>0</v>
      </c>
    </row>
    <row r="230" spans="1:29" x14ac:dyDescent="0.3">
      <c r="A230" s="121"/>
      <c r="B230" s="204" t="b">
        <f>IF(Pipes!$B230,Pipes!$B230)</f>
        <v>0</v>
      </c>
      <c r="C230" s="205"/>
      <c r="D230" s="224"/>
      <c r="E230" s="224"/>
      <c r="F230" s="224">
        <f t="shared" ref="F230:F233" si="672">F229</f>
        <v>0</v>
      </c>
      <c r="G230" s="224"/>
      <c r="H230" s="224"/>
      <c r="I230" s="52"/>
      <c r="J230" s="52"/>
      <c r="K230" s="130"/>
      <c r="L230" s="206">
        <f t="shared" ref="L230" si="673">$L229</f>
        <v>0</v>
      </c>
      <c r="M230" s="206" t="b">
        <f t="shared" ref="M230" si="674">M229</f>
        <v>0</v>
      </c>
      <c r="N230" s="240" t="b">
        <f t="shared" ref="N230" si="675">IF($B230,INDEX($AC$4:$AC$499,MATCH($B230,$A$4:$A$499)))</f>
        <v>0</v>
      </c>
      <c r="O230" s="209"/>
      <c r="P230" s="208">
        <f t="shared" ref="P230:P233" si="676">IF($B230,INDEX($F$4:$F$499,MATCH($B230,$A$4:$A$499)),0)</f>
        <v>0</v>
      </c>
      <c r="Q230" s="242" t="b">
        <f t="shared" ref="Q230" si="677">IF($N230,ROUND(($N230+($P230/12)),2))</f>
        <v>0</v>
      </c>
      <c r="R230" s="53" t="b">
        <f t="shared" ref="R230" si="678">IF(AND($L230,$Q230),$L230-$Q230)</f>
        <v>0</v>
      </c>
      <c r="S230" s="241" t="s">
        <v>197</v>
      </c>
      <c r="T230" s="127" t="b">
        <f>IF($N230,IF($F230&gt;$P230,ROUND(($Q230-($F229/12)),2),IF($S230="YES",$N230,$N230-MinDrop)))</f>
        <v>0</v>
      </c>
      <c r="U230" s="243"/>
      <c r="V230" s="245"/>
      <c r="W230" s="245"/>
      <c r="X230" s="54"/>
      <c r="Y230" s="117"/>
      <c r="Z230" s="54"/>
      <c r="AA230" s="54"/>
      <c r="AB230" s="54"/>
      <c r="AC230" s="211"/>
    </row>
    <row r="231" spans="1:29" x14ac:dyDescent="0.3">
      <c r="A231" s="121"/>
      <c r="B231" s="204" t="b">
        <f>IF(Pipes!$B231,Pipes!$B231)</f>
        <v>0</v>
      </c>
      <c r="C231" s="205"/>
      <c r="D231" s="224"/>
      <c r="E231" s="224"/>
      <c r="F231" s="224">
        <f t="shared" si="672"/>
        <v>0</v>
      </c>
      <c r="G231" s="224"/>
      <c r="H231" s="224"/>
      <c r="I231" s="52"/>
      <c r="J231" s="52"/>
      <c r="K231" s="130"/>
      <c r="L231" s="206">
        <f t="shared" si="598"/>
        <v>0</v>
      </c>
      <c r="M231" s="206" t="b">
        <f t="shared" si="599"/>
        <v>0</v>
      </c>
      <c r="N231" s="207" t="b">
        <f t="shared" si="600"/>
        <v>0</v>
      </c>
      <c r="O231" s="209"/>
      <c r="P231" s="208">
        <f t="shared" si="676"/>
        <v>0</v>
      </c>
      <c r="Q231" s="53" t="b">
        <f t="shared" si="602"/>
        <v>0</v>
      </c>
      <c r="R231" s="53" t="b">
        <f t="shared" si="603"/>
        <v>0</v>
      </c>
      <c r="S231" s="241" t="s">
        <v>197</v>
      </c>
      <c r="T231" s="127" t="b">
        <f>IF($N231,IF($F231&gt;$P231,ROUND(($Q231-($F230/12)),2),IF($S231="YES",$N231,$N231-MinDrop)))</f>
        <v>0</v>
      </c>
      <c r="U231" s="210"/>
      <c r="V231" s="54"/>
      <c r="W231" s="54"/>
      <c r="X231" s="54"/>
      <c r="Y231" s="117"/>
      <c r="Z231" s="54"/>
      <c r="AA231" s="54"/>
      <c r="AB231" s="54"/>
      <c r="AC231" s="211"/>
    </row>
    <row r="232" spans="1:29" x14ac:dyDescent="0.3">
      <c r="A232" s="121"/>
      <c r="B232" s="204" t="b">
        <f>IF(Pipes!$B232,Pipes!$B232)</f>
        <v>0</v>
      </c>
      <c r="C232" s="205"/>
      <c r="D232" s="224"/>
      <c r="E232" s="224"/>
      <c r="F232" s="224">
        <f t="shared" si="672"/>
        <v>0</v>
      </c>
      <c r="G232" s="224"/>
      <c r="H232" s="224"/>
      <c r="I232" s="52"/>
      <c r="J232" s="52"/>
      <c r="K232" s="130"/>
      <c r="L232" s="206">
        <f t="shared" si="598"/>
        <v>0</v>
      </c>
      <c r="M232" s="206" t="b">
        <f t="shared" si="599"/>
        <v>0</v>
      </c>
      <c r="N232" s="207" t="b">
        <f t="shared" si="600"/>
        <v>0</v>
      </c>
      <c r="O232" s="209"/>
      <c r="P232" s="208">
        <f t="shared" si="676"/>
        <v>0</v>
      </c>
      <c r="Q232" s="53" t="b">
        <f t="shared" si="602"/>
        <v>0</v>
      </c>
      <c r="R232" s="53" t="b">
        <f t="shared" si="603"/>
        <v>0</v>
      </c>
      <c r="S232" s="241" t="s">
        <v>197</v>
      </c>
      <c r="T232" s="127" t="b">
        <f>IF($N232,IF($F232&gt;$P232,ROUND(($Q232-($F231/12)),2),IF($S232="YES",$N232,$N232-MinDrop)))</f>
        <v>0</v>
      </c>
      <c r="U232" s="210"/>
      <c r="V232" s="54"/>
      <c r="W232" s="54"/>
      <c r="X232" s="54"/>
      <c r="Y232" s="117"/>
      <c r="Z232" s="54"/>
      <c r="AA232" s="54"/>
      <c r="AB232" s="54"/>
      <c r="AC232" s="211"/>
    </row>
    <row r="233" spans="1:29" ht="15" thickBot="1" x14ac:dyDescent="0.35">
      <c r="A233" s="122"/>
      <c r="B233" s="204" t="b">
        <f>IF(Pipes!$B233,Pipes!$B233)</f>
        <v>0</v>
      </c>
      <c r="C233" s="212"/>
      <c r="D233" s="104"/>
      <c r="E233" s="104"/>
      <c r="F233" s="104">
        <f t="shared" si="672"/>
        <v>0</v>
      </c>
      <c r="G233" s="104"/>
      <c r="H233" s="104"/>
      <c r="I233" s="101"/>
      <c r="J233" s="101"/>
      <c r="K233" s="131"/>
      <c r="L233" s="213">
        <f t="shared" si="598"/>
        <v>0</v>
      </c>
      <c r="M233" s="213" t="b">
        <f t="shared" si="599"/>
        <v>0</v>
      </c>
      <c r="N233" s="214" t="b">
        <f t="shared" si="600"/>
        <v>0</v>
      </c>
      <c r="O233" s="216"/>
      <c r="P233" s="215">
        <f t="shared" si="676"/>
        <v>0</v>
      </c>
      <c r="Q233" s="103" t="b">
        <f t="shared" si="602"/>
        <v>0</v>
      </c>
      <c r="R233" s="53" t="b">
        <f t="shared" si="603"/>
        <v>0</v>
      </c>
      <c r="S233" s="241" t="s">
        <v>197</v>
      </c>
      <c r="T233" s="127" t="b">
        <f>IF($N233,IF($F233&gt;$P233,ROUND(($Q233-($F232/12)),2),IF($S233="YES",$N233,$N233-MinDrop)))</f>
        <v>0</v>
      </c>
      <c r="U233" s="217"/>
      <c r="V233" s="102"/>
      <c r="W233" s="102"/>
      <c r="X233" s="102"/>
      <c r="Y233" s="118"/>
      <c r="Z233" s="102"/>
      <c r="AA233" s="102"/>
      <c r="AB233" s="102"/>
      <c r="AC233" s="218"/>
    </row>
    <row r="234" spans="1:29" x14ac:dyDescent="0.3">
      <c r="A234" s="115">
        <f t="shared" ref="A234" si="679">$A229+1</f>
        <v>47</v>
      </c>
      <c r="B234" s="186"/>
      <c r="C234" s="201">
        <f>IF(Pipes!$Q234&gt;0,IF(Pipes!$R234&gt;MinDiameter,Pipes!$R234,MinDiameter),0)</f>
        <v>0</v>
      </c>
      <c r="D234" s="187" t="s">
        <v>197</v>
      </c>
      <c r="E234" s="187"/>
      <c r="F234" s="107">
        <f>Pipes!$S234</f>
        <v>0</v>
      </c>
      <c r="G234" s="108">
        <f>Pipes!$W234</f>
        <v>0</v>
      </c>
      <c r="H234" s="187" t="s">
        <v>197</v>
      </c>
      <c r="I234" s="188"/>
      <c r="J234" s="108">
        <f>Pipes!$X234</f>
        <v>0</v>
      </c>
      <c r="K234" s="193">
        <f>INDEX(Tribs!$H$3:$H$102,MATCH($A234,Tribs!$A$3:$A$102,0))</f>
        <v>0</v>
      </c>
      <c r="L234" s="105">
        <f>INDEX(Tribs!$I$3:$I$102,MATCH($A234,Tribs!$A$3:$A$102,0))</f>
        <v>0</v>
      </c>
      <c r="M234" s="105" t="b">
        <f>IF($L234,ROUND($L234-MinCover-($F234/12),2))</f>
        <v>0</v>
      </c>
      <c r="N234" s="202"/>
      <c r="O234" s="129">
        <f t="shared" ref="O234" si="680">MIN($N235:$N238)</f>
        <v>0</v>
      </c>
      <c r="P234" s="203"/>
      <c r="Q234" s="203"/>
      <c r="R234" s="203"/>
      <c r="S234" s="110"/>
      <c r="T234" s="116" t="b">
        <f t="shared" ref="T234" si="681">IF($M234,$M234)</f>
        <v>0</v>
      </c>
      <c r="U234" s="129">
        <f t="shared" ref="U234" si="682">MIN($T234:$T238)</f>
        <v>0</v>
      </c>
      <c r="V234" s="233" t="s">
        <v>197</v>
      </c>
      <c r="W234" s="219"/>
      <c r="X234" s="219" t="s">
        <v>197</v>
      </c>
      <c r="Y234" s="239"/>
      <c r="Z234" s="105">
        <f t="shared" ref="Z234" si="683">IF($V234="YES",$U234,IF($X234&lt;&gt;"YES",$W234,($AC234+$J234*$K234)))</f>
        <v>0</v>
      </c>
      <c r="AA234" s="105">
        <f t="shared" ref="AA234" si="684">ROUND($Z234+($F234/12),2)</f>
        <v>0</v>
      </c>
      <c r="AB234" s="105" t="b">
        <f t="shared" ref="AB234" si="685">IF($L234,($L234-$AA234))</f>
        <v>0</v>
      </c>
      <c r="AC234" s="111">
        <f t="shared" ref="AC234" si="686">IF(AND($V234&lt;&gt;"YES",$X234="YES"),$Y234,ROUND($Z234-($J234*$K234),2))</f>
        <v>0</v>
      </c>
    </row>
    <row r="235" spans="1:29" x14ac:dyDescent="0.3">
      <c r="A235" s="121"/>
      <c r="B235" s="204" t="b">
        <f>IF(Pipes!$B235,Pipes!$B235)</f>
        <v>0</v>
      </c>
      <c r="C235" s="205"/>
      <c r="D235" s="224"/>
      <c r="E235" s="224"/>
      <c r="F235" s="224">
        <f t="shared" ref="F235:F238" si="687">F234</f>
        <v>0</v>
      </c>
      <c r="G235" s="224"/>
      <c r="H235" s="224"/>
      <c r="I235" s="52"/>
      <c r="J235" s="52"/>
      <c r="K235" s="130"/>
      <c r="L235" s="206">
        <f t="shared" ref="L235" si="688">$L234</f>
        <v>0</v>
      </c>
      <c r="M235" s="206" t="b">
        <f t="shared" ref="M235" si="689">M234</f>
        <v>0</v>
      </c>
      <c r="N235" s="240" t="b">
        <f t="shared" ref="N235" si="690">IF($B235,INDEX($AC$4:$AC$499,MATCH($B235,$A$4:$A$499)))</f>
        <v>0</v>
      </c>
      <c r="O235" s="209"/>
      <c r="P235" s="208">
        <f t="shared" ref="P235:P238" si="691">IF($B235,INDEX($F$4:$F$499,MATCH($B235,$A$4:$A$499)),0)</f>
        <v>0</v>
      </c>
      <c r="Q235" s="242" t="b">
        <f t="shared" ref="Q235" si="692">IF($N235,ROUND(($N235+($P235/12)),2))</f>
        <v>0</v>
      </c>
      <c r="R235" s="53" t="b">
        <f t="shared" ref="R235" si="693">IF(AND($L235,$Q235),$L235-$Q235)</f>
        <v>0</v>
      </c>
      <c r="S235" s="241" t="s">
        <v>197</v>
      </c>
      <c r="T235" s="127" t="b">
        <f>IF($N235,IF($F235&gt;$P235,ROUND(($Q235-($F234/12)),2),IF($S235="YES",$N235,$N235-MinDrop)))</f>
        <v>0</v>
      </c>
      <c r="U235" s="243"/>
      <c r="V235" s="245"/>
      <c r="W235" s="245"/>
      <c r="X235" s="54"/>
      <c r="Y235" s="117"/>
      <c r="Z235" s="54"/>
      <c r="AA235" s="54"/>
      <c r="AB235" s="54"/>
      <c r="AC235" s="211"/>
    </row>
    <row r="236" spans="1:29" x14ac:dyDescent="0.3">
      <c r="A236" s="121"/>
      <c r="B236" s="204" t="b">
        <f>IF(Pipes!$B236,Pipes!$B236)</f>
        <v>0</v>
      </c>
      <c r="C236" s="205"/>
      <c r="D236" s="224"/>
      <c r="E236" s="224"/>
      <c r="F236" s="224">
        <f t="shared" si="687"/>
        <v>0</v>
      </c>
      <c r="G236" s="224"/>
      <c r="H236" s="224"/>
      <c r="I236" s="52"/>
      <c r="J236" s="52"/>
      <c r="K236" s="130"/>
      <c r="L236" s="206">
        <f t="shared" si="598"/>
        <v>0</v>
      </c>
      <c r="M236" s="206" t="b">
        <f t="shared" si="599"/>
        <v>0</v>
      </c>
      <c r="N236" s="207" t="b">
        <f t="shared" si="600"/>
        <v>0</v>
      </c>
      <c r="O236" s="209"/>
      <c r="P236" s="208">
        <f t="shared" si="691"/>
        <v>0</v>
      </c>
      <c r="Q236" s="53" t="b">
        <f t="shared" si="602"/>
        <v>0</v>
      </c>
      <c r="R236" s="53" t="b">
        <f t="shared" si="603"/>
        <v>0</v>
      </c>
      <c r="S236" s="241" t="s">
        <v>197</v>
      </c>
      <c r="T236" s="127" t="b">
        <f>IF($N236,IF($F236&gt;$P236,ROUND(($Q236-($F235/12)),2),IF($S236="YES",$N236,$N236-MinDrop)))</f>
        <v>0</v>
      </c>
      <c r="U236" s="210"/>
      <c r="V236" s="54"/>
      <c r="W236" s="54"/>
      <c r="X236" s="54"/>
      <c r="Y236" s="117"/>
      <c r="Z236" s="54"/>
      <c r="AA236" s="54"/>
      <c r="AB236" s="54"/>
      <c r="AC236" s="211"/>
    </row>
    <row r="237" spans="1:29" x14ac:dyDescent="0.3">
      <c r="A237" s="121"/>
      <c r="B237" s="204" t="b">
        <f>IF(Pipes!$B237,Pipes!$B237)</f>
        <v>0</v>
      </c>
      <c r="C237" s="205"/>
      <c r="D237" s="224"/>
      <c r="E237" s="224"/>
      <c r="F237" s="224">
        <f t="shared" si="687"/>
        <v>0</v>
      </c>
      <c r="G237" s="224"/>
      <c r="H237" s="224"/>
      <c r="I237" s="52"/>
      <c r="J237" s="52"/>
      <c r="K237" s="130"/>
      <c r="L237" s="206">
        <f t="shared" si="598"/>
        <v>0</v>
      </c>
      <c r="M237" s="206" t="b">
        <f t="shared" si="599"/>
        <v>0</v>
      </c>
      <c r="N237" s="207" t="b">
        <f t="shared" si="600"/>
        <v>0</v>
      </c>
      <c r="O237" s="209"/>
      <c r="P237" s="208">
        <f t="shared" si="691"/>
        <v>0</v>
      </c>
      <c r="Q237" s="53" t="b">
        <f t="shared" si="602"/>
        <v>0</v>
      </c>
      <c r="R237" s="53" t="b">
        <f t="shared" si="603"/>
        <v>0</v>
      </c>
      <c r="S237" s="241" t="s">
        <v>197</v>
      </c>
      <c r="T237" s="127" t="b">
        <f>IF($N237,IF($F237&gt;$P237,ROUND(($Q237-($F236/12)),2),IF($S237="YES",$N237,$N237-MinDrop)))</f>
        <v>0</v>
      </c>
      <c r="U237" s="210"/>
      <c r="V237" s="54"/>
      <c r="W237" s="54"/>
      <c r="X237" s="54"/>
      <c r="Y237" s="117"/>
      <c r="Z237" s="54"/>
      <c r="AA237" s="54"/>
      <c r="AB237" s="54"/>
      <c r="AC237" s="211"/>
    </row>
    <row r="238" spans="1:29" ht="15" thickBot="1" x14ac:dyDescent="0.35">
      <c r="A238" s="122"/>
      <c r="B238" s="204" t="b">
        <f>IF(Pipes!$B238,Pipes!$B238)</f>
        <v>0</v>
      </c>
      <c r="C238" s="212"/>
      <c r="D238" s="104"/>
      <c r="E238" s="104"/>
      <c r="F238" s="104">
        <f t="shared" si="687"/>
        <v>0</v>
      </c>
      <c r="G238" s="104"/>
      <c r="H238" s="104"/>
      <c r="I238" s="101"/>
      <c r="J238" s="101"/>
      <c r="K238" s="131"/>
      <c r="L238" s="213">
        <f t="shared" si="598"/>
        <v>0</v>
      </c>
      <c r="M238" s="213" t="b">
        <f t="shared" si="599"/>
        <v>0</v>
      </c>
      <c r="N238" s="214" t="b">
        <f t="shared" si="600"/>
        <v>0</v>
      </c>
      <c r="O238" s="216"/>
      <c r="P238" s="215">
        <f t="shared" si="691"/>
        <v>0</v>
      </c>
      <c r="Q238" s="103" t="b">
        <f t="shared" si="602"/>
        <v>0</v>
      </c>
      <c r="R238" s="53" t="b">
        <f t="shared" si="603"/>
        <v>0</v>
      </c>
      <c r="S238" s="241" t="s">
        <v>197</v>
      </c>
      <c r="T238" s="127" t="b">
        <f>IF($N238,IF($F238&gt;$P238,ROUND(($Q238-($F237/12)),2),IF($S238="YES",$N238,$N238-MinDrop)))</f>
        <v>0</v>
      </c>
      <c r="U238" s="217"/>
      <c r="V238" s="102"/>
      <c r="W238" s="102"/>
      <c r="X238" s="102"/>
      <c r="Y238" s="118"/>
      <c r="Z238" s="102"/>
      <c r="AA238" s="102"/>
      <c r="AB238" s="102"/>
      <c r="AC238" s="218"/>
    </row>
    <row r="239" spans="1:29" x14ac:dyDescent="0.3">
      <c r="A239" s="115">
        <f t="shared" ref="A239" si="694">$A234+1</f>
        <v>48</v>
      </c>
      <c r="B239" s="186"/>
      <c r="C239" s="201">
        <f>IF(Pipes!$Q239&gt;0,IF(Pipes!$R239&gt;MinDiameter,Pipes!$R239,MinDiameter),0)</f>
        <v>0</v>
      </c>
      <c r="D239" s="187" t="s">
        <v>197</v>
      </c>
      <c r="E239" s="187"/>
      <c r="F239" s="107">
        <f>Pipes!$S239</f>
        <v>0</v>
      </c>
      <c r="G239" s="108">
        <f>Pipes!$W239</f>
        <v>0</v>
      </c>
      <c r="H239" s="187" t="s">
        <v>197</v>
      </c>
      <c r="I239" s="188"/>
      <c r="J239" s="108">
        <f>Pipes!$X239</f>
        <v>0</v>
      </c>
      <c r="K239" s="193">
        <f>INDEX(Tribs!$H$3:$H$102,MATCH($A239,Tribs!$A$3:$A$102,0))</f>
        <v>0</v>
      </c>
      <c r="L239" s="105">
        <f>INDEX(Tribs!$I$3:$I$102,MATCH($A239,Tribs!$A$3:$A$102,0))</f>
        <v>0</v>
      </c>
      <c r="M239" s="105" t="b">
        <f>IF($L239,ROUND($L239-MinCover-($F239/12),2))</f>
        <v>0</v>
      </c>
      <c r="N239" s="202"/>
      <c r="O239" s="129">
        <f t="shared" ref="O239" si="695">MIN($N240:$N243)</f>
        <v>0</v>
      </c>
      <c r="P239" s="203"/>
      <c r="Q239" s="203"/>
      <c r="R239" s="203"/>
      <c r="S239" s="110"/>
      <c r="T239" s="116" t="b">
        <f t="shared" ref="T239" si="696">IF($M239,$M239)</f>
        <v>0</v>
      </c>
      <c r="U239" s="129">
        <f t="shared" ref="U239" si="697">MIN($T239:$T243)</f>
        <v>0</v>
      </c>
      <c r="V239" s="233" t="s">
        <v>197</v>
      </c>
      <c r="W239" s="219"/>
      <c r="X239" s="219" t="s">
        <v>197</v>
      </c>
      <c r="Y239" s="239"/>
      <c r="Z239" s="105">
        <f t="shared" ref="Z239" si="698">IF($V239="YES",$U239,IF($X239&lt;&gt;"YES",$W239,($AC239+$J239*$K239)))</f>
        <v>0</v>
      </c>
      <c r="AA239" s="105">
        <f t="shared" ref="AA239" si="699">ROUND($Z239+($F239/12),2)</f>
        <v>0</v>
      </c>
      <c r="AB239" s="105" t="b">
        <f t="shared" ref="AB239" si="700">IF($L239,($L239-$AA239))</f>
        <v>0</v>
      </c>
      <c r="AC239" s="111">
        <f t="shared" ref="AC239" si="701">IF(AND($V239&lt;&gt;"YES",$X239="YES"),$Y239,ROUND($Z239-($J239*$K239),2))</f>
        <v>0</v>
      </c>
    </row>
    <row r="240" spans="1:29" x14ac:dyDescent="0.3">
      <c r="A240" s="121"/>
      <c r="B240" s="204" t="b">
        <f>IF(Pipes!$B240,Pipes!$B240)</f>
        <v>0</v>
      </c>
      <c r="C240" s="205"/>
      <c r="D240" s="224"/>
      <c r="E240" s="224"/>
      <c r="F240" s="224">
        <f t="shared" ref="F240:F243" si="702">F239</f>
        <v>0</v>
      </c>
      <c r="G240" s="224"/>
      <c r="H240" s="224"/>
      <c r="I240" s="52"/>
      <c r="J240" s="52"/>
      <c r="K240" s="130"/>
      <c r="L240" s="206">
        <f t="shared" ref="L240" si="703">$L239</f>
        <v>0</v>
      </c>
      <c r="M240" s="206" t="b">
        <f t="shared" ref="M240" si="704">M239</f>
        <v>0</v>
      </c>
      <c r="N240" s="240" t="b">
        <f t="shared" ref="N240" si="705">IF($B240,INDEX($AC$4:$AC$499,MATCH($B240,$A$4:$A$499)))</f>
        <v>0</v>
      </c>
      <c r="O240" s="209"/>
      <c r="P240" s="208">
        <f t="shared" ref="P240:P243" si="706">IF($B240,INDEX($F$4:$F$499,MATCH($B240,$A$4:$A$499)),0)</f>
        <v>0</v>
      </c>
      <c r="Q240" s="242" t="b">
        <f t="shared" ref="Q240" si="707">IF($N240,ROUND(($N240+($P240/12)),2))</f>
        <v>0</v>
      </c>
      <c r="R240" s="53" t="b">
        <f t="shared" ref="R240" si="708">IF(AND($L240,$Q240),$L240-$Q240)</f>
        <v>0</v>
      </c>
      <c r="S240" s="241" t="s">
        <v>197</v>
      </c>
      <c r="T240" s="127" t="b">
        <f>IF($N240,IF($F240&gt;$P240,ROUND(($Q240-($F239/12)),2),IF($S240="YES",$N240,$N240-MinDrop)))</f>
        <v>0</v>
      </c>
      <c r="U240" s="243"/>
      <c r="V240" s="245"/>
      <c r="W240" s="245"/>
      <c r="X240" s="54"/>
      <c r="Y240" s="117"/>
      <c r="Z240" s="54"/>
      <c r="AA240" s="54"/>
      <c r="AB240" s="54"/>
      <c r="AC240" s="211"/>
    </row>
    <row r="241" spans="1:29" x14ac:dyDescent="0.3">
      <c r="A241" s="121"/>
      <c r="B241" s="204" t="b">
        <f>IF(Pipes!$B241,Pipes!$B241)</f>
        <v>0</v>
      </c>
      <c r="C241" s="205"/>
      <c r="D241" s="224"/>
      <c r="E241" s="224"/>
      <c r="F241" s="224">
        <f t="shared" si="702"/>
        <v>0</v>
      </c>
      <c r="G241" s="224"/>
      <c r="H241" s="224"/>
      <c r="I241" s="52"/>
      <c r="J241" s="52"/>
      <c r="K241" s="130"/>
      <c r="L241" s="206">
        <f t="shared" si="598"/>
        <v>0</v>
      </c>
      <c r="M241" s="206" t="b">
        <f t="shared" si="599"/>
        <v>0</v>
      </c>
      <c r="N241" s="207" t="b">
        <f t="shared" si="600"/>
        <v>0</v>
      </c>
      <c r="O241" s="209"/>
      <c r="P241" s="208">
        <f t="shared" si="706"/>
        <v>0</v>
      </c>
      <c r="Q241" s="53" t="b">
        <f t="shared" si="602"/>
        <v>0</v>
      </c>
      <c r="R241" s="53" t="b">
        <f t="shared" si="603"/>
        <v>0</v>
      </c>
      <c r="S241" s="241" t="s">
        <v>197</v>
      </c>
      <c r="T241" s="127" t="b">
        <f>IF($N241,IF($F241&gt;$P241,ROUND(($Q241-($F240/12)),2),IF($S241="YES",$N241,$N241-MinDrop)))</f>
        <v>0</v>
      </c>
      <c r="U241" s="210"/>
      <c r="V241" s="54"/>
      <c r="W241" s="54"/>
      <c r="X241" s="54"/>
      <c r="Y241" s="117"/>
      <c r="Z241" s="54"/>
      <c r="AA241" s="54"/>
      <c r="AB241" s="54"/>
      <c r="AC241" s="211"/>
    </row>
    <row r="242" spans="1:29" x14ac:dyDescent="0.3">
      <c r="A242" s="121"/>
      <c r="B242" s="204" t="b">
        <f>IF(Pipes!$B242,Pipes!$B242)</f>
        <v>0</v>
      </c>
      <c r="C242" s="205"/>
      <c r="D242" s="224"/>
      <c r="E242" s="224"/>
      <c r="F242" s="224">
        <f t="shared" si="702"/>
        <v>0</v>
      </c>
      <c r="G242" s="224"/>
      <c r="H242" s="224"/>
      <c r="I242" s="52"/>
      <c r="J242" s="52"/>
      <c r="K242" s="130"/>
      <c r="L242" s="206">
        <f t="shared" si="598"/>
        <v>0</v>
      </c>
      <c r="M242" s="206" t="b">
        <f t="shared" si="599"/>
        <v>0</v>
      </c>
      <c r="N242" s="207" t="b">
        <f t="shared" si="600"/>
        <v>0</v>
      </c>
      <c r="O242" s="209"/>
      <c r="P242" s="208">
        <f t="shared" si="706"/>
        <v>0</v>
      </c>
      <c r="Q242" s="53" t="b">
        <f t="shared" si="602"/>
        <v>0</v>
      </c>
      <c r="R242" s="53" t="b">
        <f t="shared" si="603"/>
        <v>0</v>
      </c>
      <c r="S242" s="241" t="s">
        <v>197</v>
      </c>
      <c r="T242" s="127" t="b">
        <f>IF($N242,IF($F242&gt;$P242,ROUND(($Q242-($F241/12)),2),IF($S242="YES",$N242,$N242-MinDrop)))</f>
        <v>0</v>
      </c>
      <c r="U242" s="210"/>
      <c r="V242" s="54"/>
      <c r="W242" s="54"/>
      <c r="X242" s="54"/>
      <c r="Y242" s="117"/>
      <c r="Z242" s="54"/>
      <c r="AA242" s="54"/>
      <c r="AB242" s="54"/>
      <c r="AC242" s="211"/>
    </row>
    <row r="243" spans="1:29" ht="15" thickBot="1" x14ac:dyDescent="0.35">
      <c r="A243" s="122"/>
      <c r="B243" s="204" t="b">
        <f>IF(Pipes!$B243,Pipes!$B243)</f>
        <v>0</v>
      </c>
      <c r="C243" s="212"/>
      <c r="D243" s="104"/>
      <c r="E243" s="104"/>
      <c r="F243" s="104">
        <f t="shared" si="702"/>
        <v>0</v>
      </c>
      <c r="G243" s="104"/>
      <c r="H243" s="104"/>
      <c r="I243" s="101"/>
      <c r="J243" s="101"/>
      <c r="K243" s="131"/>
      <c r="L243" s="213">
        <f t="shared" si="598"/>
        <v>0</v>
      </c>
      <c r="M243" s="213" t="b">
        <f t="shared" si="599"/>
        <v>0</v>
      </c>
      <c r="N243" s="214" t="b">
        <f t="shared" si="600"/>
        <v>0</v>
      </c>
      <c r="O243" s="216"/>
      <c r="P243" s="215">
        <f t="shared" si="706"/>
        <v>0</v>
      </c>
      <c r="Q243" s="103" t="b">
        <f t="shared" si="602"/>
        <v>0</v>
      </c>
      <c r="R243" s="53" t="b">
        <f t="shared" si="603"/>
        <v>0</v>
      </c>
      <c r="S243" s="241" t="s">
        <v>197</v>
      </c>
      <c r="T243" s="127" t="b">
        <f>IF($N243,IF($F243&gt;$P243,ROUND(($Q243-($F242/12)),2),IF($S243="YES",$N243,$N243-MinDrop)))</f>
        <v>0</v>
      </c>
      <c r="U243" s="217"/>
      <c r="V243" s="102"/>
      <c r="W243" s="102"/>
      <c r="X243" s="102"/>
      <c r="Y243" s="118"/>
      <c r="Z243" s="102"/>
      <c r="AA243" s="102"/>
      <c r="AB243" s="102"/>
      <c r="AC243" s="218"/>
    </row>
    <row r="244" spans="1:29" x14ac:dyDescent="0.3">
      <c r="A244" s="115">
        <f t="shared" ref="A244" si="709">$A239+1</f>
        <v>49</v>
      </c>
      <c r="B244" s="186"/>
      <c r="C244" s="201">
        <f>IF(Pipes!$Q244&gt;0,IF(Pipes!$R244&gt;MinDiameter,Pipes!$R244,MinDiameter),0)</f>
        <v>0</v>
      </c>
      <c r="D244" s="187" t="s">
        <v>197</v>
      </c>
      <c r="E244" s="187"/>
      <c r="F244" s="107">
        <f>Pipes!$S244</f>
        <v>0</v>
      </c>
      <c r="G244" s="108">
        <f>Pipes!$W244</f>
        <v>0</v>
      </c>
      <c r="H244" s="187" t="s">
        <v>197</v>
      </c>
      <c r="I244" s="188"/>
      <c r="J244" s="108">
        <f>Pipes!$X244</f>
        <v>0</v>
      </c>
      <c r="K244" s="193">
        <f>INDEX(Tribs!$H$3:$H$102,MATCH($A244,Tribs!$A$3:$A$102,0))</f>
        <v>0</v>
      </c>
      <c r="L244" s="105">
        <f>INDEX(Tribs!$I$3:$I$102,MATCH($A244,Tribs!$A$3:$A$102,0))</f>
        <v>0</v>
      </c>
      <c r="M244" s="105" t="b">
        <f>IF($L244,ROUND($L244-MinCover-($F244/12),2))</f>
        <v>0</v>
      </c>
      <c r="N244" s="202"/>
      <c r="O244" s="129">
        <f t="shared" ref="O244" si="710">MIN($N245:$N248)</f>
        <v>0</v>
      </c>
      <c r="P244" s="203"/>
      <c r="Q244" s="203"/>
      <c r="R244" s="203"/>
      <c r="S244" s="110"/>
      <c r="T244" s="116" t="b">
        <f t="shared" ref="T244" si="711">IF($M244,$M244)</f>
        <v>0</v>
      </c>
      <c r="U244" s="129">
        <f t="shared" ref="U244" si="712">MIN($T244:$T248)</f>
        <v>0</v>
      </c>
      <c r="V244" s="233" t="s">
        <v>197</v>
      </c>
      <c r="W244" s="219"/>
      <c r="X244" s="219" t="s">
        <v>197</v>
      </c>
      <c r="Y244" s="239"/>
      <c r="Z244" s="105">
        <f t="shared" ref="Z244" si="713">IF($V244="YES",$U244,IF($X244&lt;&gt;"YES",$W244,($AC244+$J244*$K244)))</f>
        <v>0</v>
      </c>
      <c r="AA244" s="105">
        <f t="shared" ref="AA244" si="714">ROUND($Z244+($F244/12),2)</f>
        <v>0</v>
      </c>
      <c r="AB244" s="105" t="b">
        <f t="shared" ref="AB244" si="715">IF($L244,($L244-$AA244))</f>
        <v>0</v>
      </c>
      <c r="AC244" s="111">
        <f t="shared" ref="AC244" si="716">IF(AND($V244&lt;&gt;"YES",$X244="YES"),$Y244,ROUND($Z244-($J244*$K244),2))</f>
        <v>0</v>
      </c>
    </row>
    <row r="245" spans="1:29" x14ac:dyDescent="0.3">
      <c r="A245" s="121"/>
      <c r="B245" s="204" t="b">
        <f>IF(Pipes!$B245,Pipes!$B245)</f>
        <v>0</v>
      </c>
      <c r="C245" s="205"/>
      <c r="D245" s="224"/>
      <c r="E245" s="224"/>
      <c r="F245" s="224">
        <f t="shared" ref="F245:F248" si="717">F244</f>
        <v>0</v>
      </c>
      <c r="G245" s="224"/>
      <c r="H245" s="224"/>
      <c r="I245" s="52"/>
      <c r="J245" s="52"/>
      <c r="K245" s="130"/>
      <c r="L245" s="206">
        <f t="shared" ref="L245" si="718">$L244</f>
        <v>0</v>
      </c>
      <c r="M245" s="206" t="b">
        <f t="shared" ref="M245" si="719">M244</f>
        <v>0</v>
      </c>
      <c r="N245" s="240" t="b">
        <f t="shared" ref="N245" si="720">IF($B245,INDEX($AC$4:$AC$499,MATCH($B245,$A$4:$A$499)))</f>
        <v>0</v>
      </c>
      <c r="O245" s="209"/>
      <c r="P245" s="208">
        <f t="shared" ref="P245:P248" si="721">IF($B245,INDEX($F$4:$F$499,MATCH($B245,$A$4:$A$499)),0)</f>
        <v>0</v>
      </c>
      <c r="Q245" s="242" t="b">
        <f t="shared" ref="Q245" si="722">IF($N245,ROUND(($N245+($P245/12)),2))</f>
        <v>0</v>
      </c>
      <c r="R245" s="53" t="b">
        <f t="shared" ref="R245" si="723">IF(AND($L245,$Q245),$L245-$Q245)</f>
        <v>0</v>
      </c>
      <c r="S245" s="241" t="s">
        <v>197</v>
      </c>
      <c r="T245" s="127" t="b">
        <f>IF($N245,IF($F245&gt;$P245,ROUND(($Q245-($F244/12)),2),IF($S245="YES",$N245,$N245-MinDrop)))</f>
        <v>0</v>
      </c>
      <c r="U245" s="243"/>
      <c r="V245" s="245"/>
      <c r="W245" s="245"/>
      <c r="X245" s="54"/>
      <c r="Y245" s="117"/>
      <c r="Z245" s="54"/>
      <c r="AA245" s="54"/>
      <c r="AB245" s="54"/>
      <c r="AC245" s="211"/>
    </row>
    <row r="246" spans="1:29" x14ac:dyDescent="0.3">
      <c r="A246" s="121"/>
      <c r="B246" s="204" t="b">
        <f>IF(Pipes!$B246,Pipes!$B246)</f>
        <v>0</v>
      </c>
      <c r="C246" s="205"/>
      <c r="D246" s="224"/>
      <c r="E246" s="224"/>
      <c r="F246" s="224">
        <f t="shared" si="717"/>
        <v>0</v>
      </c>
      <c r="G246" s="224"/>
      <c r="H246" s="224"/>
      <c r="I246" s="52"/>
      <c r="J246" s="52"/>
      <c r="K246" s="130"/>
      <c r="L246" s="206">
        <f t="shared" si="598"/>
        <v>0</v>
      </c>
      <c r="M246" s="206" t="b">
        <f t="shared" si="599"/>
        <v>0</v>
      </c>
      <c r="N246" s="207" t="b">
        <f t="shared" si="600"/>
        <v>0</v>
      </c>
      <c r="O246" s="209"/>
      <c r="P246" s="208">
        <f t="shared" si="721"/>
        <v>0</v>
      </c>
      <c r="Q246" s="53" t="b">
        <f t="shared" si="602"/>
        <v>0</v>
      </c>
      <c r="R246" s="53" t="b">
        <f t="shared" si="603"/>
        <v>0</v>
      </c>
      <c r="S246" s="241" t="s">
        <v>197</v>
      </c>
      <c r="T246" s="127" t="b">
        <f>IF($N246,IF($F246&gt;$P246,ROUND(($Q246-($F245/12)),2),IF($S246="YES",$N246,$N246-MinDrop)))</f>
        <v>0</v>
      </c>
      <c r="U246" s="210"/>
      <c r="V246" s="54"/>
      <c r="W246" s="54"/>
      <c r="X246" s="54"/>
      <c r="Y246" s="117"/>
      <c r="Z246" s="54"/>
      <c r="AA246" s="54"/>
      <c r="AB246" s="54"/>
      <c r="AC246" s="211"/>
    </row>
    <row r="247" spans="1:29" x14ac:dyDescent="0.3">
      <c r="A247" s="121"/>
      <c r="B247" s="204" t="b">
        <f>IF(Pipes!$B247,Pipes!$B247)</f>
        <v>0</v>
      </c>
      <c r="C247" s="205"/>
      <c r="D247" s="224"/>
      <c r="E247" s="224"/>
      <c r="F247" s="224">
        <f t="shared" si="717"/>
        <v>0</v>
      </c>
      <c r="G247" s="224"/>
      <c r="H247" s="224"/>
      <c r="I247" s="52"/>
      <c r="J247" s="52"/>
      <c r="K247" s="130"/>
      <c r="L247" s="206">
        <f t="shared" si="598"/>
        <v>0</v>
      </c>
      <c r="M247" s="206" t="b">
        <f t="shared" si="599"/>
        <v>0</v>
      </c>
      <c r="N247" s="207" t="b">
        <f t="shared" si="600"/>
        <v>0</v>
      </c>
      <c r="O247" s="209"/>
      <c r="P247" s="208">
        <f t="shared" si="721"/>
        <v>0</v>
      </c>
      <c r="Q247" s="53" t="b">
        <f t="shared" si="602"/>
        <v>0</v>
      </c>
      <c r="R247" s="53" t="b">
        <f t="shared" si="603"/>
        <v>0</v>
      </c>
      <c r="S247" s="241" t="s">
        <v>197</v>
      </c>
      <c r="T247" s="127" t="b">
        <f>IF($N247,IF($F247&gt;$P247,ROUND(($Q247-($F246/12)),2),IF($S247="YES",$N247,$N247-MinDrop)))</f>
        <v>0</v>
      </c>
      <c r="U247" s="210"/>
      <c r="V247" s="54"/>
      <c r="W247" s="54"/>
      <c r="X247" s="54"/>
      <c r="Y247" s="117"/>
      <c r="Z247" s="54"/>
      <c r="AA247" s="54"/>
      <c r="AB247" s="54"/>
      <c r="AC247" s="211"/>
    </row>
    <row r="248" spans="1:29" ht="15" thickBot="1" x14ac:dyDescent="0.35">
      <c r="A248" s="122"/>
      <c r="B248" s="204" t="b">
        <f>IF(Pipes!$B248,Pipes!$B248)</f>
        <v>0</v>
      </c>
      <c r="C248" s="212"/>
      <c r="D248" s="104"/>
      <c r="E248" s="104"/>
      <c r="F248" s="104">
        <f t="shared" si="717"/>
        <v>0</v>
      </c>
      <c r="G248" s="104"/>
      <c r="H248" s="104"/>
      <c r="I248" s="101"/>
      <c r="J248" s="101"/>
      <c r="K248" s="131"/>
      <c r="L248" s="213">
        <f t="shared" si="598"/>
        <v>0</v>
      </c>
      <c r="M248" s="213" t="b">
        <f t="shared" si="599"/>
        <v>0</v>
      </c>
      <c r="N248" s="214" t="b">
        <f t="shared" si="600"/>
        <v>0</v>
      </c>
      <c r="O248" s="216"/>
      <c r="P248" s="215">
        <f t="shared" si="721"/>
        <v>0</v>
      </c>
      <c r="Q248" s="103" t="b">
        <f t="shared" si="602"/>
        <v>0</v>
      </c>
      <c r="R248" s="53" t="b">
        <f t="shared" si="603"/>
        <v>0</v>
      </c>
      <c r="S248" s="241" t="s">
        <v>197</v>
      </c>
      <c r="T248" s="127" t="b">
        <f>IF($N248,IF($F248&gt;$P248,ROUND(($Q248-($F247/12)),2),IF($S248="YES",$N248,$N248-MinDrop)))</f>
        <v>0</v>
      </c>
      <c r="U248" s="217"/>
      <c r="V248" s="102"/>
      <c r="W248" s="102"/>
      <c r="X248" s="102"/>
      <c r="Y248" s="118"/>
      <c r="Z248" s="102"/>
      <c r="AA248" s="102"/>
      <c r="AB248" s="102"/>
      <c r="AC248" s="218"/>
    </row>
    <row r="249" spans="1:29" x14ac:dyDescent="0.3">
      <c r="A249" s="115">
        <f t="shared" ref="A249" si="724">$A244+1</f>
        <v>50</v>
      </c>
      <c r="B249" s="186"/>
      <c r="C249" s="201">
        <f>IF(Pipes!$Q249&gt;0,IF(Pipes!$R249&gt;MinDiameter,Pipes!$R249,MinDiameter),0)</f>
        <v>0</v>
      </c>
      <c r="D249" s="187" t="s">
        <v>197</v>
      </c>
      <c r="E249" s="187"/>
      <c r="F249" s="107">
        <f>Pipes!$S249</f>
        <v>0</v>
      </c>
      <c r="G249" s="108">
        <f>Pipes!$W249</f>
        <v>0</v>
      </c>
      <c r="H249" s="187" t="s">
        <v>197</v>
      </c>
      <c r="I249" s="188"/>
      <c r="J249" s="108">
        <f>Pipes!$X249</f>
        <v>0</v>
      </c>
      <c r="K249" s="193">
        <f>INDEX(Tribs!$H$3:$H$102,MATCH($A249,Tribs!$A$3:$A$102,0))</f>
        <v>0</v>
      </c>
      <c r="L249" s="105">
        <f>INDEX(Tribs!$I$3:$I$102,MATCH($A249,Tribs!$A$3:$A$102,0))</f>
        <v>0</v>
      </c>
      <c r="M249" s="105" t="b">
        <f>IF($L249,ROUND($L249-MinCover-($F249/12),2))</f>
        <v>0</v>
      </c>
      <c r="N249" s="202"/>
      <c r="O249" s="129">
        <f t="shared" ref="O249" si="725">MIN($N250:$N253)</f>
        <v>0</v>
      </c>
      <c r="P249" s="203"/>
      <c r="Q249" s="203"/>
      <c r="R249" s="203"/>
      <c r="S249" s="110"/>
      <c r="T249" s="116" t="b">
        <f t="shared" ref="T249" si="726">IF($M249,$M249)</f>
        <v>0</v>
      </c>
      <c r="U249" s="129">
        <f t="shared" ref="U249" si="727">MIN($T249:$T253)</f>
        <v>0</v>
      </c>
      <c r="V249" s="233" t="s">
        <v>197</v>
      </c>
      <c r="W249" s="219"/>
      <c r="X249" s="219" t="s">
        <v>197</v>
      </c>
      <c r="Y249" s="239"/>
      <c r="Z249" s="105">
        <f t="shared" ref="Z249" si="728">IF($V249="YES",$U249,IF($X249&lt;&gt;"YES",$W249,($AC249+$J249*$K249)))</f>
        <v>0</v>
      </c>
      <c r="AA249" s="105">
        <f t="shared" ref="AA249" si="729">ROUND($Z249+($F249/12),2)</f>
        <v>0</v>
      </c>
      <c r="AB249" s="105" t="b">
        <f t="shared" ref="AB249" si="730">IF($L249,($L249-$AA249))</f>
        <v>0</v>
      </c>
      <c r="AC249" s="111">
        <f t="shared" ref="AC249" si="731">IF(AND($V249&lt;&gt;"YES",$X249="YES"),$Y249,ROUND($Z249-($J249*$K249),2))</f>
        <v>0</v>
      </c>
    </row>
    <row r="250" spans="1:29" x14ac:dyDescent="0.3">
      <c r="A250" s="121"/>
      <c r="B250" s="204" t="b">
        <f>IF(Pipes!$B250,Pipes!$B250)</f>
        <v>0</v>
      </c>
      <c r="C250" s="205"/>
      <c r="D250" s="224"/>
      <c r="E250" s="224"/>
      <c r="F250" s="224">
        <f t="shared" ref="F250:F253" si="732">F249</f>
        <v>0</v>
      </c>
      <c r="G250" s="224"/>
      <c r="H250" s="224"/>
      <c r="I250" s="52"/>
      <c r="J250" s="52"/>
      <c r="K250" s="130"/>
      <c r="L250" s="206">
        <f t="shared" ref="L250" si="733">$L249</f>
        <v>0</v>
      </c>
      <c r="M250" s="206" t="b">
        <f t="shared" ref="M250" si="734">M249</f>
        <v>0</v>
      </c>
      <c r="N250" s="240" t="b">
        <f t="shared" ref="N250" si="735">IF($B250,INDEX($AC$4:$AC$499,MATCH($B250,$A$4:$A$499)))</f>
        <v>0</v>
      </c>
      <c r="O250" s="209"/>
      <c r="P250" s="208">
        <f t="shared" ref="P250:P253" si="736">IF($B250,INDEX($F$4:$F$499,MATCH($B250,$A$4:$A$499)),0)</f>
        <v>0</v>
      </c>
      <c r="Q250" s="242" t="b">
        <f t="shared" ref="Q250" si="737">IF($N250,ROUND(($N250+($P250/12)),2))</f>
        <v>0</v>
      </c>
      <c r="R250" s="53" t="b">
        <f t="shared" ref="R250" si="738">IF(AND($L250,$Q250),$L250-$Q250)</f>
        <v>0</v>
      </c>
      <c r="S250" s="241" t="s">
        <v>197</v>
      </c>
      <c r="T250" s="127" t="b">
        <f>IF($N250,IF($F250&gt;$P250,ROUND(($Q250-($F249/12)),2),IF($S250="YES",$N250,$N250-MinDrop)))</f>
        <v>0</v>
      </c>
      <c r="U250" s="243"/>
      <c r="V250" s="245"/>
      <c r="W250" s="245"/>
      <c r="X250" s="54"/>
      <c r="Y250" s="117"/>
      <c r="Z250" s="54"/>
      <c r="AA250" s="54"/>
      <c r="AB250" s="54"/>
      <c r="AC250" s="211"/>
    </row>
    <row r="251" spans="1:29" x14ac:dyDescent="0.3">
      <c r="A251" s="121"/>
      <c r="B251" s="204" t="b">
        <f>IF(Pipes!$B251,Pipes!$B251)</f>
        <v>0</v>
      </c>
      <c r="C251" s="205"/>
      <c r="D251" s="224"/>
      <c r="E251" s="224"/>
      <c r="F251" s="224">
        <f t="shared" si="732"/>
        <v>0</v>
      </c>
      <c r="G251" s="224"/>
      <c r="H251" s="224"/>
      <c r="I251" s="52"/>
      <c r="J251" s="52"/>
      <c r="K251" s="130"/>
      <c r="L251" s="206">
        <f t="shared" si="598"/>
        <v>0</v>
      </c>
      <c r="M251" s="206" t="b">
        <f t="shared" si="599"/>
        <v>0</v>
      </c>
      <c r="N251" s="207" t="b">
        <f t="shared" si="600"/>
        <v>0</v>
      </c>
      <c r="O251" s="209"/>
      <c r="P251" s="208">
        <f t="shared" si="736"/>
        <v>0</v>
      </c>
      <c r="Q251" s="53" t="b">
        <f t="shared" si="602"/>
        <v>0</v>
      </c>
      <c r="R251" s="53" t="b">
        <f t="shared" si="603"/>
        <v>0</v>
      </c>
      <c r="S251" s="241" t="s">
        <v>197</v>
      </c>
      <c r="T251" s="127" t="b">
        <f>IF($N251,IF($F251&gt;$P251,ROUND(($Q251-($F250/12)),2),IF($S251="YES",$N251,$N251-MinDrop)))</f>
        <v>0</v>
      </c>
      <c r="U251" s="210"/>
      <c r="V251" s="54"/>
      <c r="W251" s="54"/>
      <c r="X251" s="54"/>
      <c r="Y251" s="117"/>
      <c r="Z251" s="54"/>
      <c r="AA251" s="54"/>
      <c r="AB251" s="54"/>
      <c r="AC251" s="211"/>
    </row>
    <row r="252" spans="1:29" x14ac:dyDescent="0.3">
      <c r="A252" s="121"/>
      <c r="B252" s="204" t="b">
        <f>IF(Pipes!$B252,Pipes!$B252)</f>
        <v>0</v>
      </c>
      <c r="C252" s="205"/>
      <c r="D252" s="224"/>
      <c r="E252" s="224"/>
      <c r="F252" s="224">
        <f t="shared" si="732"/>
        <v>0</v>
      </c>
      <c r="G252" s="224"/>
      <c r="H252" s="224"/>
      <c r="I252" s="52"/>
      <c r="J252" s="52"/>
      <c r="K252" s="130"/>
      <c r="L252" s="206">
        <f t="shared" si="598"/>
        <v>0</v>
      </c>
      <c r="M252" s="206" t="b">
        <f t="shared" si="599"/>
        <v>0</v>
      </c>
      <c r="N252" s="207" t="b">
        <f t="shared" si="600"/>
        <v>0</v>
      </c>
      <c r="O252" s="209"/>
      <c r="P252" s="208">
        <f t="shared" si="736"/>
        <v>0</v>
      </c>
      <c r="Q252" s="53" t="b">
        <f t="shared" si="602"/>
        <v>0</v>
      </c>
      <c r="R252" s="53" t="b">
        <f t="shared" si="603"/>
        <v>0</v>
      </c>
      <c r="S252" s="241" t="s">
        <v>197</v>
      </c>
      <c r="T252" s="127" t="b">
        <f>IF($N252,IF($F252&gt;$P252,ROUND(($Q252-($F251/12)),2),IF($S252="YES",$N252,$N252-MinDrop)))</f>
        <v>0</v>
      </c>
      <c r="U252" s="210"/>
      <c r="V252" s="54"/>
      <c r="W252" s="54"/>
      <c r="X252" s="54"/>
      <c r="Y252" s="117"/>
      <c r="Z252" s="54"/>
      <c r="AA252" s="54"/>
      <c r="AB252" s="54"/>
      <c r="AC252" s="211"/>
    </row>
    <row r="253" spans="1:29" ht="15" thickBot="1" x14ac:dyDescent="0.35">
      <c r="A253" s="122"/>
      <c r="B253" s="204" t="b">
        <f>IF(Pipes!$B253,Pipes!$B253)</f>
        <v>0</v>
      </c>
      <c r="C253" s="212"/>
      <c r="D253" s="104"/>
      <c r="E253" s="104"/>
      <c r="F253" s="104">
        <f t="shared" si="732"/>
        <v>0</v>
      </c>
      <c r="G253" s="104"/>
      <c r="H253" s="104"/>
      <c r="I253" s="101"/>
      <c r="J253" s="101"/>
      <c r="K253" s="131"/>
      <c r="L253" s="213">
        <f t="shared" si="598"/>
        <v>0</v>
      </c>
      <c r="M253" s="213" t="b">
        <f t="shared" si="599"/>
        <v>0</v>
      </c>
      <c r="N253" s="214" t="b">
        <f t="shared" si="600"/>
        <v>0</v>
      </c>
      <c r="O253" s="216"/>
      <c r="P253" s="215">
        <f t="shared" si="736"/>
        <v>0</v>
      </c>
      <c r="Q253" s="103" t="b">
        <f t="shared" si="602"/>
        <v>0</v>
      </c>
      <c r="R253" s="53" t="b">
        <f t="shared" si="603"/>
        <v>0</v>
      </c>
      <c r="S253" s="241" t="s">
        <v>197</v>
      </c>
      <c r="T253" s="127" t="b">
        <f>IF($N253,IF($F253&gt;$P253,ROUND(($Q253-($F252/12)),2),IF($S253="YES",$N253,$N253-MinDrop)))</f>
        <v>0</v>
      </c>
      <c r="U253" s="217"/>
      <c r="V253" s="102"/>
      <c r="W253" s="102"/>
      <c r="X253" s="102"/>
      <c r="Y253" s="118"/>
      <c r="Z253" s="102"/>
      <c r="AA253" s="102"/>
      <c r="AB253" s="102"/>
      <c r="AC253" s="218"/>
    </row>
    <row r="254" spans="1:29" x14ac:dyDescent="0.3">
      <c r="A254" s="115">
        <f t="shared" ref="A254" si="739">$A249+1</f>
        <v>51</v>
      </c>
      <c r="B254" s="186"/>
      <c r="C254" s="201">
        <f>IF(Pipes!$Q254&gt;0,IF(Pipes!$R254&gt;MinDiameter,Pipes!$R254,MinDiameter),0)</f>
        <v>0</v>
      </c>
      <c r="D254" s="187" t="s">
        <v>197</v>
      </c>
      <c r="E254" s="187"/>
      <c r="F254" s="107">
        <f>Pipes!$S254</f>
        <v>0</v>
      </c>
      <c r="G254" s="108">
        <f>Pipes!$W254</f>
        <v>0</v>
      </c>
      <c r="H254" s="187" t="s">
        <v>197</v>
      </c>
      <c r="I254" s="188"/>
      <c r="J254" s="108">
        <f>Pipes!$X254</f>
        <v>0</v>
      </c>
      <c r="K254" s="193">
        <f>INDEX(Tribs!$H$3:$H$102,MATCH($A254,Tribs!$A$3:$A$102,0))</f>
        <v>0</v>
      </c>
      <c r="L254" s="105">
        <f>INDEX(Tribs!$I$3:$I$102,MATCH($A254,Tribs!$A$3:$A$102,0))</f>
        <v>0</v>
      </c>
      <c r="M254" s="105" t="b">
        <f>IF($L254,ROUND($L254-MinCover-($F254/12),2))</f>
        <v>0</v>
      </c>
      <c r="N254" s="202"/>
      <c r="O254" s="129">
        <f t="shared" ref="O254" si="740">MIN($N255:$N258)</f>
        <v>0</v>
      </c>
      <c r="P254" s="203"/>
      <c r="Q254" s="203"/>
      <c r="R254" s="203"/>
      <c r="S254" s="110"/>
      <c r="T254" s="116" t="b">
        <f t="shared" ref="T254" si="741">IF($M254,$M254)</f>
        <v>0</v>
      </c>
      <c r="U254" s="129">
        <f t="shared" ref="U254" si="742">MIN($T254:$T258)</f>
        <v>0</v>
      </c>
      <c r="V254" s="233" t="s">
        <v>197</v>
      </c>
      <c r="W254" s="219"/>
      <c r="X254" s="219" t="s">
        <v>197</v>
      </c>
      <c r="Y254" s="239"/>
      <c r="Z254" s="105">
        <f t="shared" ref="Z254" si="743">IF($V254="YES",$U254,IF($X254&lt;&gt;"YES",$W254,($AC254+$J254*$K254)))</f>
        <v>0</v>
      </c>
      <c r="AA254" s="105">
        <f t="shared" ref="AA254" si="744">ROUND($Z254+($F254/12),2)</f>
        <v>0</v>
      </c>
      <c r="AB254" s="105" t="b">
        <f t="shared" ref="AB254" si="745">IF($L254,($L254-$AA254))</f>
        <v>0</v>
      </c>
      <c r="AC254" s="111">
        <f t="shared" ref="AC254" si="746">IF(AND($V254&lt;&gt;"YES",$X254="YES"),$Y254,ROUND($Z254-($J254*$K254),2))</f>
        <v>0</v>
      </c>
    </row>
    <row r="255" spans="1:29" x14ac:dyDescent="0.3">
      <c r="A255" s="121"/>
      <c r="B255" s="204" t="b">
        <f>IF(Pipes!$B255,Pipes!$B255)</f>
        <v>0</v>
      </c>
      <c r="C255" s="205"/>
      <c r="D255" s="224"/>
      <c r="E255" s="224"/>
      <c r="F255" s="224">
        <f t="shared" ref="F255:F258" si="747">F254</f>
        <v>0</v>
      </c>
      <c r="G255" s="224"/>
      <c r="H255" s="224"/>
      <c r="I255" s="52"/>
      <c r="J255" s="52"/>
      <c r="K255" s="130"/>
      <c r="L255" s="206">
        <f t="shared" ref="L255" si="748">$L254</f>
        <v>0</v>
      </c>
      <c r="M255" s="206" t="b">
        <f t="shared" ref="M255" si="749">M254</f>
        <v>0</v>
      </c>
      <c r="N255" s="240" t="b">
        <f t="shared" ref="N255" si="750">IF($B255,INDEX($AC$4:$AC$499,MATCH($B255,$A$4:$A$499)))</f>
        <v>0</v>
      </c>
      <c r="O255" s="209"/>
      <c r="P255" s="208">
        <f t="shared" ref="P255:P258" si="751">IF($B255,INDEX($F$4:$F$499,MATCH($B255,$A$4:$A$499)),0)</f>
        <v>0</v>
      </c>
      <c r="Q255" s="242" t="b">
        <f t="shared" ref="Q255" si="752">IF($N255,ROUND(($N255+($P255/12)),2))</f>
        <v>0</v>
      </c>
      <c r="R255" s="53" t="b">
        <f t="shared" ref="R255" si="753">IF(AND($L255,$Q255),$L255-$Q255)</f>
        <v>0</v>
      </c>
      <c r="S255" s="241" t="s">
        <v>197</v>
      </c>
      <c r="T255" s="127" t="b">
        <f>IF($N255,IF($F255&gt;$P255,ROUND(($Q255-($F254/12)),2),IF($S255="YES",$N255,$N255-MinDrop)))</f>
        <v>0</v>
      </c>
      <c r="U255" s="243"/>
      <c r="V255" s="245"/>
      <c r="W255" s="245"/>
      <c r="X255" s="54"/>
      <c r="Y255" s="117"/>
      <c r="Z255" s="54"/>
      <c r="AA255" s="54"/>
      <c r="AB255" s="54"/>
      <c r="AC255" s="211"/>
    </row>
    <row r="256" spans="1:29" x14ac:dyDescent="0.3">
      <c r="A256" s="121"/>
      <c r="B256" s="204" t="b">
        <f>IF(Pipes!$B256,Pipes!$B256)</f>
        <v>0</v>
      </c>
      <c r="C256" s="205"/>
      <c r="D256" s="224"/>
      <c r="E256" s="224"/>
      <c r="F256" s="224">
        <f t="shared" si="747"/>
        <v>0</v>
      </c>
      <c r="G256" s="224"/>
      <c r="H256" s="224"/>
      <c r="I256" s="52"/>
      <c r="J256" s="52"/>
      <c r="K256" s="130"/>
      <c r="L256" s="206">
        <f t="shared" si="598"/>
        <v>0</v>
      </c>
      <c r="M256" s="206" t="b">
        <f t="shared" si="599"/>
        <v>0</v>
      </c>
      <c r="N256" s="207" t="b">
        <f t="shared" si="600"/>
        <v>0</v>
      </c>
      <c r="O256" s="209"/>
      <c r="P256" s="208">
        <f t="shared" si="751"/>
        <v>0</v>
      </c>
      <c r="Q256" s="53" t="b">
        <f t="shared" si="602"/>
        <v>0</v>
      </c>
      <c r="R256" s="53" t="b">
        <f t="shared" si="603"/>
        <v>0</v>
      </c>
      <c r="S256" s="241" t="s">
        <v>197</v>
      </c>
      <c r="T256" s="127" t="b">
        <f>IF($N256,IF($F256&gt;$P256,ROUND(($Q256-($F255/12)),2),IF($S256="YES",$N256,$N256-MinDrop)))</f>
        <v>0</v>
      </c>
      <c r="U256" s="210"/>
      <c r="V256" s="54"/>
      <c r="W256" s="54"/>
      <c r="X256" s="54"/>
      <c r="Y256" s="117"/>
      <c r="Z256" s="54"/>
      <c r="AA256" s="54"/>
      <c r="AB256" s="54"/>
      <c r="AC256" s="211"/>
    </row>
    <row r="257" spans="1:29" x14ac:dyDescent="0.3">
      <c r="A257" s="121"/>
      <c r="B257" s="204" t="b">
        <f>IF(Pipes!$B257,Pipes!$B257)</f>
        <v>0</v>
      </c>
      <c r="C257" s="205"/>
      <c r="D257" s="224"/>
      <c r="E257" s="224"/>
      <c r="F257" s="224">
        <f t="shared" si="747"/>
        <v>0</v>
      </c>
      <c r="G257" s="224"/>
      <c r="H257" s="224"/>
      <c r="I257" s="52"/>
      <c r="J257" s="52"/>
      <c r="K257" s="130"/>
      <c r="L257" s="206">
        <f t="shared" si="598"/>
        <v>0</v>
      </c>
      <c r="M257" s="206" t="b">
        <f t="shared" si="599"/>
        <v>0</v>
      </c>
      <c r="N257" s="207" t="b">
        <f t="shared" si="600"/>
        <v>0</v>
      </c>
      <c r="O257" s="209"/>
      <c r="P257" s="208">
        <f t="shared" si="751"/>
        <v>0</v>
      </c>
      <c r="Q257" s="53" t="b">
        <f t="shared" si="602"/>
        <v>0</v>
      </c>
      <c r="R257" s="53" t="b">
        <f t="shared" si="603"/>
        <v>0</v>
      </c>
      <c r="S257" s="241" t="s">
        <v>197</v>
      </c>
      <c r="T257" s="127" t="b">
        <f>IF($N257,IF($F257&gt;$P257,ROUND(($Q257-($F256/12)),2),IF($S257="YES",$N257,$N257-MinDrop)))</f>
        <v>0</v>
      </c>
      <c r="U257" s="210"/>
      <c r="V257" s="54"/>
      <c r="W257" s="54"/>
      <c r="X257" s="54"/>
      <c r="Y257" s="117"/>
      <c r="Z257" s="54"/>
      <c r="AA257" s="54"/>
      <c r="AB257" s="54"/>
      <c r="AC257" s="211"/>
    </row>
    <row r="258" spans="1:29" ht="15" thickBot="1" x14ac:dyDescent="0.35">
      <c r="A258" s="122"/>
      <c r="B258" s="204" t="b">
        <f>IF(Pipes!$B258,Pipes!$B258)</f>
        <v>0</v>
      </c>
      <c r="C258" s="212"/>
      <c r="D258" s="104"/>
      <c r="E258" s="104"/>
      <c r="F258" s="104">
        <f t="shared" si="747"/>
        <v>0</v>
      </c>
      <c r="G258" s="104"/>
      <c r="H258" s="104"/>
      <c r="I258" s="101"/>
      <c r="J258" s="101"/>
      <c r="K258" s="131"/>
      <c r="L258" s="213">
        <f t="shared" si="598"/>
        <v>0</v>
      </c>
      <c r="M258" s="213" t="b">
        <f t="shared" si="599"/>
        <v>0</v>
      </c>
      <c r="N258" s="214" t="b">
        <f t="shared" si="600"/>
        <v>0</v>
      </c>
      <c r="O258" s="216"/>
      <c r="P258" s="215">
        <f t="shared" si="751"/>
        <v>0</v>
      </c>
      <c r="Q258" s="103" t="b">
        <f t="shared" si="602"/>
        <v>0</v>
      </c>
      <c r="R258" s="53" t="b">
        <f t="shared" si="603"/>
        <v>0</v>
      </c>
      <c r="S258" s="241" t="s">
        <v>197</v>
      </c>
      <c r="T258" s="127" t="b">
        <f>IF($N258,IF($F258&gt;$P258,ROUND(($Q258-($F257/12)),2),IF($S258="YES",$N258,$N258-MinDrop)))</f>
        <v>0</v>
      </c>
      <c r="U258" s="217"/>
      <c r="V258" s="102"/>
      <c r="W258" s="102"/>
      <c r="X258" s="102"/>
      <c r="Y258" s="118"/>
      <c r="Z258" s="102"/>
      <c r="AA258" s="102"/>
      <c r="AB258" s="102"/>
      <c r="AC258" s="218"/>
    </row>
    <row r="259" spans="1:29" x14ac:dyDescent="0.3">
      <c r="A259" s="115">
        <f t="shared" ref="A259" si="754">$A254+1</f>
        <v>52</v>
      </c>
      <c r="B259" s="186"/>
      <c r="C259" s="201">
        <f>IF(Pipes!$Q259&gt;0,IF(Pipes!$R259&gt;MinDiameter,Pipes!$R259,MinDiameter),0)</f>
        <v>0</v>
      </c>
      <c r="D259" s="187" t="s">
        <v>197</v>
      </c>
      <c r="E259" s="187"/>
      <c r="F259" s="107">
        <f>Pipes!$S259</f>
        <v>0</v>
      </c>
      <c r="G259" s="108">
        <f>Pipes!$W259</f>
        <v>0</v>
      </c>
      <c r="H259" s="187" t="s">
        <v>197</v>
      </c>
      <c r="I259" s="188"/>
      <c r="J259" s="108">
        <f>Pipes!$X259</f>
        <v>0</v>
      </c>
      <c r="K259" s="193">
        <f>INDEX(Tribs!$H$3:$H$102,MATCH($A259,Tribs!$A$3:$A$102,0))</f>
        <v>0</v>
      </c>
      <c r="L259" s="105">
        <f>INDEX(Tribs!$I$3:$I$102,MATCH($A259,Tribs!$A$3:$A$102,0))</f>
        <v>0</v>
      </c>
      <c r="M259" s="105" t="b">
        <f>IF($L259,ROUND($L259-MinCover-($F259/12),2))</f>
        <v>0</v>
      </c>
      <c r="N259" s="202"/>
      <c r="O259" s="129">
        <f t="shared" ref="O259" si="755">MIN($N260:$N263)</f>
        <v>0</v>
      </c>
      <c r="P259" s="203"/>
      <c r="Q259" s="203"/>
      <c r="R259" s="203"/>
      <c r="S259" s="110"/>
      <c r="T259" s="116" t="b">
        <f t="shared" ref="T259" si="756">IF($M259,$M259)</f>
        <v>0</v>
      </c>
      <c r="U259" s="129">
        <f t="shared" ref="U259" si="757">MIN($T259:$T263)</f>
        <v>0</v>
      </c>
      <c r="V259" s="233" t="s">
        <v>197</v>
      </c>
      <c r="W259" s="219"/>
      <c r="X259" s="219" t="s">
        <v>197</v>
      </c>
      <c r="Y259" s="239"/>
      <c r="Z259" s="105">
        <f t="shared" ref="Z259" si="758">IF($V259="YES",$U259,IF($X259&lt;&gt;"YES",$W259,($AC259+$J259*$K259)))</f>
        <v>0</v>
      </c>
      <c r="AA259" s="105">
        <f t="shared" ref="AA259" si="759">ROUND($Z259+($F259/12),2)</f>
        <v>0</v>
      </c>
      <c r="AB259" s="105" t="b">
        <f t="shared" ref="AB259" si="760">IF($L259,($L259-$AA259))</f>
        <v>0</v>
      </c>
      <c r="AC259" s="111">
        <f t="shared" ref="AC259" si="761">IF(AND($V259&lt;&gt;"YES",$X259="YES"),$Y259,ROUND($Z259-($J259*$K259),2))</f>
        <v>0</v>
      </c>
    </row>
    <row r="260" spans="1:29" x14ac:dyDescent="0.3">
      <c r="A260" s="121"/>
      <c r="B260" s="204" t="b">
        <f>IF(Pipes!$B260,Pipes!$B260)</f>
        <v>0</v>
      </c>
      <c r="C260" s="205"/>
      <c r="D260" s="224"/>
      <c r="E260" s="224"/>
      <c r="F260" s="224">
        <f t="shared" ref="F260:F263" si="762">F259</f>
        <v>0</v>
      </c>
      <c r="G260" s="224"/>
      <c r="H260" s="224"/>
      <c r="I260" s="52"/>
      <c r="J260" s="52"/>
      <c r="K260" s="130"/>
      <c r="L260" s="206">
        <f t="shared" ref="L260" si="763">$L259</f>
        <v>0</v>
      </c>
      <c r="M260" s="206" t="b">
        <f t="shared" ref="M260" si="764">M259</f>
        <v>0</v>
      </c>
      <c r="N260" s="240" t="b">
        <f t="shared" ref="N260" si="765">IF($B260,INDEX($AC$4:$AC$499,MATCH($B260,$A$4:$A$499)))</f>
        <v>0</v>
      </c>
      <c r="O260" s="209"/>
      <c r="P260" s="208">
        <f t="shared" ref="P260:P263" si="766">IF($B260,INDEX($F$4:$F$499,MATCH($B260,$A$4:$A$499)),0)</f>
        <v>0</v>
      </c>
      <c r="Q260" s="242" t="b">
        <f t="shared" ref="Q260" si="767">IF($N260,ROUND(($N260+($P260/12)),2))</f>
        <v>0</v>
      </c>
      <c r="R260" s="53" t="b">
        <f t="shared" ref="R260" si="768">IF(AND($L260,$Q260),$L260-$Q260)</f>
        <v>0</v>
      </c>
      <c r="S260" s="241" t="s">
        <v>197</v>
      </c>
      <c r="T260" s="127" t="b">
        <f>IF($N260,IF($F260&gt;$P260,ROUND(($Q260-($F259/12)),2),IF($S260="YES",$N260,$N260-MinDrop)))</f>
        <v>0</v>
      </c>
      <c r="U260" s="243"/>
      <c r="V260" s="245"/>
      <c r="W260" s="245"/>
      <c r="X260" s="54"/>
      <c r="Y260" s="117"/>
      <c r="Z260" s="54"/>
      <c r="AA260" s="54"/>
      <c r="AB260" s="54"/>
      <c r="AC260" s="211"/>
    </row>
    <row r="261" spans="1:29" x14ac:dyDescent="0.3">
      <c r="A261" s="121"/>
      <c r="B261" s="204" t="b">
        <f>IF(Pipes!$B261,Pipes!$B261)</f>
        <v>0</v>
      </c>
      <c r="C261" s="205"/>
      <c r="D261" s="224"/>
      <c r="E261" s="224"/>
      <c r="F261" s="224">
        <f t="shared" si="762"/>
        <v>0</v>
      </c>
      <c r="G261" s="224"/>
      <c r="H261" s="224"/>
      <c r="I261" s="52"/>
      <c r="J261" s="52"/>
      <c r="K261" s="130"/>
      <c r="L261" s="206">
        <f t="shared" si="598"/>
        <v>0</v>
      </c>
      <c r="M261" s="206" t="b">
        <f t="shared" si="599"/>
        <v>0</v>
      </c>
      <c r="N261" s="207" t="b">
        <f t="shared" si="600"/>
        <v>0</v>
      </c>
      <c r="O261" s="209"/>
      <c r="P261" s="208">
        <f t="shared" si="766"/>
        <v>0</v>
      </c>
      <c r="Q261" s="53" t="b">
        <f t="shared" si="602"/>
        <v>0</v>
      </c>
      <c r="R261" s="53" t="b">
        <f t="shared" si="603"/>
        <v>0</v>
      </c>
      <c r="S261" s="241" t="s">
        <v>197</v>
      </c>
      <c r="T261" s="127" t="b">
        <f>IF($N261,IF($F261&gt;$P261,ROUND(($Q261-($F260/12)),2),IF($S261="YES",$N261,$N261-MinDrop)))</f>
        <v>0</v>
      </c>
      <c r="U261" s="210"/>
      <c r="V261" s="54"/>
      <c r="W261" s="54"/>
      <c r="X261" s="54"/>
      <c r="Y261" s="117"/>
      <c r="Z261" s="54"/>
      <c r="AA261" s="54"/>
      <c r="AB261" s="54"/>
      <c r="AC261" s="211"/>
    </row>
    <row r="262" spans="1:29" x14ac:dyDescent="0.3">
      <c r="A262" s="121"/>
      <c r="B262" s="204" t="b">
        <f>IF(Pipes!$B262,Pipes!$B262)</f>
        <v>0</v>
      </c>
      <c r="C262" s="205"/>
      <c r="D262" s="224"/>
      <c r="E262" s="224"/>
      <c r="F262" s="224">
        <f t="shared" si="762"/>
        <v>0</v>
      </c>
      <c r="G262" s="224"/>
      <c r="H262" s="224"/>
      <c r="I262" s="52"/>
      <c r="J262" s="52"/>
      <c r="K262" s="130"/>
      <c r="L262" s="206">
        <f t="shared" si="598"/>
        <v>0</v>
      </c>
      <c r="M262" s="206" t="b">
        <f t="shared" si="599"/>
        <v>0</v>
      </c>
      <c r="N262" s="207" t="b">
        <f t="shared" si="600"/>
        <v>0</v>
      </c>
      <c r="O262" s="209"/>
      <c r="P262" s="208">
        <f t="shared" si="766"/>
        <v>0</v>
      </c>
      <c r="Q262" s="53" t="b">
        <f t="shared" si="602"/>
        <v>0</v>
      </c>
      <c r="R262" s="53" t="b">
        <f t="shared" si="603"/>
        <v>0</v>
      </c>
      <c r="S262" s="241" t="s">
        <v>197</v>
      </c>
      <c r="T262" s="127" t="b">
        <f>IF($N262,IF($F262&gt;$P262,ROUND(($Q262-($F261/12)),2),IF($S262="YES",$N262,$N262-MinDrop)))</f>
        <v>0</v>
      </c>
      <c r="U262" s="210"/>
      <c r="V262" s="54"/>
      <c r="W262" s="54"/>
      <c r="X262" s="54"/>
      <c r="Y262" s="117"/>
      <c r="Z262" s="54"/>
      <c r="AA262" s="54"/>
      <c r="AB262" s="54"/>
      <c r="AC262" s="211"/>
    </row>
    <row r="263" spans="1:29" ht="15" thickBot="1" x14ac:dyDescent="0.35">
      <c r="A263" s="122"/>
      <c r="B263" s="204" t="b">
        <f>IF(Pipes!$B263,Pipes!$B263)</f>
        <v>0</v>
      </c>
      <c r="C263" s="212"/>
      <c r="D263" s="104"/>
      <c r="E263" s="104"/>
      <c r="F263" s="104">
        <f t="shared" si="762"/>
        <v>0</v>
      </c>
      <c r="G263" s="104"/>
      <c r="H263" s="104"/>
      <c r="I263" s="101"/>
      <c r="J263" s="101"/>
      <c r="K263" s="131"/>
      <c r="L263" s="213">
        <f t="shared" si="598"/>
        <v>0</v>
      </c>
      <c r="M263" s="213" t="b">
        <f t="shared" si="599"/>
        <v>0</v>
      </c>
      <c r="N263" s="214" t="b">
        <f t="shared" si="600"/>
        <v>0</v>
      </c>
      <c r="O263" s="216"/>
      <c r="P263" s="215">
        <f t="shared" si="766"/>
        <v>0</v>
      </c>
      <c r="Q263" s="103" t="b">
        <f t="shared" si="602"/>
        <v>0</v>
      </c>
      <c r="R263" s="53" t="b">
        <f t="shared" si="603"/>
        <v>0</v>
      </c>
      <c r="S263" s="241" t="s">
        <v>197</v>
      </c>
      <c r="T263" s="127" t="b">
        <f>IF($N263,IF($F263&gt;$P263,ROUND(($Q263-($F262/12)),2),IF($S263="YES",$N263,$N263-MinDrop)))</f>
        <v>0</v>
      </c>
      <c r="U263" s="217"/>
      <c r="V263" s="102"/>
      <c r="W263" s="102"/>
      <c r="X263" s="102"/>
      <c r="Y263" s="118"/>
      <c r="Z263" s="102"/>
      <c r="AA263" s="102"/>
      <c r="AB263" s="102"/>
      <c r="AC263" s="218"/>
    </row>
    <row r="264" spans="1:29" x14ac:dyDescent="0.3">
      <c r="A264" s="115">
        <f t="shared" ref="A264" si="769">$A259+1</f>
        <v>53</v>
      </c>
      <c r="B264" s="186"/>
      <c r="C264" s="201">
        <f>IF(Pipes!$Q264&gt;0,IF(Pipes!$R264&gt;MinDiameter,Pipes!$R264,MinDiameter),0)</f>
        <v>0</v>
      </c>
      <c r="D264" s="187" t="s">
        <v>197</v>
      </c>
      <c r="E264" s="187"/>
      <c r="F264" s="107">
        <f>Pipes!$S264</f>
        <v>0</v>
      </c>
      <c r="G264" s="108">
        <f>Pipes!$W264</f>
        <v>0</v>
      </c>
      <c r="H264" s="187" t="s">
        <v>197</v>
      </c>
      <c r="I264" s="188"/>
      <c r="J264" s="108">
        <f>Pipes!$X264</f>
        <v>0</v>
      </c>
      <c r="K264" s="193">
        <f>INDEX(Tribs!$H$3:$H$102,MATCH($A264,Tribs!$A$3:$A$102,0))</f>
        <v>0</v>
      </c>
      <c r="L264" s="105">
        <f>INDEX(Tribs!$I$3:$I$102,MATCH($A264,Tribs!$A$3:$A$102,0))</f>
        <v>0</v>
      </c>
      <c r="M264" s="105" t="b">
        <f>IF($L264,ROUND($L264-MinCover-($F264/12),2))</f>
        <v>0</v>
      </c>
      <c r="N264" s="202"/>
      <c r="O264" s="129">
        <f t="shared" ref="O264" si="770">MIN($N265:$N268)</f>
        <v>0</v>
      </c>
      <c r="P264" s="203"/>
      <c r="Q264" s="203"/>
      <c r="R264" s="203"/>
      <c r="S264" s="110"/>
      <c r="T264" s="116" t="b">
        <f t="shared" ref="T264" si="771">IF($M264,$M264)</f>
        <v>0</v>
      </c>
      <c r="U264" s="129">
        <f t="shared" ref="U264" si="772">MIN($T264:$T268)</f>
        <v>0</v>
      </c>
      <c r="V264" s="233" t="s">
        <v>197</v>
      </c>
      <c r="W264" s="219"/>
      <c r="X264" s="219" t="s">
        <v>197</v>
      </c>
      <c r="Y264" s="239"/>
      <c r="Z264" s="105">
        <f t="shared" ref="Z264" si="773">IF($V264="YES",$U264,IF($X264&lt;&gt;"YES",$W264,($AC264+$J264*$K264)))</f>
        <v>0</v>
      </c>
      <c r="AA264" s="105">
        <f t="shared" ref="AA264" si="774">ROUND($Z264+($F264/12),2)</f>
        <v>0</v>
      </c>
      <c r="AB264" s="105" t="b">
        <f t="shared" ref="AB264" si="775">IF($L264,($L264-$AA264))</f>
        <v>0</v>
      </c>
      <c r="AC264" s="111">
        <f t="shared" ref="AC264" si="776">IF(AND($V264&lt;&gt;"YES",$X264="YES"),$Y264,ROUND($Z264-($J264*$K264),2))</f>
        <v>0</v>
      </c>
    </row>
    <row r="265" spans="1:29" x14ac:dyDescent="0.3">
      <c r="A265" s="121"/>
      <c r="B265" s="204" t="b">
        <f>IF(Pipes!$B265,Pipes!$B265)</f>
        <v>0</v>
      </c>
      <c r="C265" s="205"/>
      <c r="D265" s="224"/>
      <c r="E265" s="224"/>
      <c r="F265" s="224">
        <f t="shared" ref="F265:F268" si="777">F264</f>
        <v>0</v>
      </c>
      <c r="G265" s="224"/>
      <c r="H265" s="224"/>
      <c r="I265" s="52"/>
      <c r="J265" s="52"/>
      <c r="K265" s="130"/>
      <c r="L265" s="206">
        <f t="shared" ref="L265" si="778">$L264</f>
        <v>0</v>
      </c>
      <c r="M265" s="206" t="b">
        <f t="shared" ref="M265" si="779">M264</f>
        <v>0</v>
      </c>
      <c r="N265" s="240" t="b">
        <f t="shared" ref="N265" si="780">IF($B265,INDEX($AC$4:$AC$499,MATCH($B265,$A$4:$A$499)))</f>
        <v>0</v>
      </c>
      <c r="O265" s="209"/>
      <c r="P265" s="208">
        <f t="shared" ref="P265:P268" si="781">IF($B265,INDEX($F$4:$F$499,MATCH($B265,$A$4:$A$499)),0)</f>
        <v>0</v>
      </c>
      <c r="Q265" s="242" t="b">
        <f t="shared" ref="Q265" si="782">IF($N265,ROUND(($N265+($P265/12)),2))</f>
        <v>0</v>
      </c>
      <c r="R265" s="53" t="b">
        <f t="shared" ref="R265" si="783">IF(AND($L265,$Q265),$L265-$Q265)</f>
        <v>0</v>
      </c>
      <c r="S265" s="241" t="s">
        <v>197</v>
      </c>
      <c r="T265" s="127" t="b">
        <f>IF($N265,IF($F265&gt;$P265,ROUND(($Q265-($F264/12)),2),IF($S265="YES",$N265,$N265-MinDrop)))</f>
        <v>0</v>
      </c>
      <c r="U265" s="243"/>
      <c r="V265" s="245"/>
      <c r="W265" s="245"/>
      <c r="X265" s="54"/>
      <c r="Y265" s="117"/>
      <c r="Z265" s="54"/>
      <c r="AA265" s="54"/>
      <c r="AB265" s="54"/>
      <c r="AC265" s="211"/>
    </row>
    <row r="266" spans="1:29" x14ac:dyDescent="0.3">
      <c r="A266" s="121"/>
      <c r="B266" s="204" t="b">
        <f>IF(Pipes!$B266,Pipes!$B266)</f>
        <v>0</v>
      </c>
      <c r="C266" s="205"/>
      <c r="D266" s="224"/>
      <c r="E266" s="224"/>
      <c r="F266" s="224">
        <f t="shared" si="777"/>
        <v>0</v>
      </c>
      <c r="G266" s="224"/>
      <c r="H266" s="224"/>
      <c r="I266" s="52"/>
      <c r="J266" s="52"/>
      <c r="K266" s="130"/>
      <c r="L266" s="206">
        <f t="shared" si="598"/>
        <v>0</v>
      </c>
      <c r="M266" s="206" t="b">
        <f t="shared" si="599"/>
        <v>0</v>
      </c>
      <c r="N266" s="207" t="b">
        <f t="shared" si="600"/>
        <v>0</v>
      </c>
      <c r="O266" s="209"/>
      <c r="P266" s="208">
        <f t="shared" si="781"/>
        <v>0</v>
      </c>
      <c r="Q266" s="53" t="b">
        <f t="shared" si="602"/>
        <v>0</v>
      </c>
      <c r="R266" s="53" t="b">
        <f t="shared" si="603"/>
        <v>0</v>
      </c>
      <c r="S266" s="241" t="s">
        <v>197</v>
      </c>
      <c r="T266" s="127" t="b">
        <f>IF($N266,IF($F266&gt;$P266,ROUND(($Q266-($F265/12)),2),IF($S266="YES",$N266,$N266-MinDrop)))</f>
        <v>0</v>
      </c>
      <c r="U266" s="210"/>
      <c r="V266" s="54"/>
      <c r="W266" s="54"/>
      <c r="X266" s="54"/>
      <c r="Y266" s="117"/>
      <c r="Z266" s="54"/>
      <c r="AA266" s="54"/>
      <c r="AB266" s="54"/>
      <c r="AC266" s="211"/>
    </row>
    <row r="267" spans="1:29" x14ac:dyDescent="0.3">
      <c r="A267" s="121"/>
      <c r="B267" s="204" t="b">
        <f>IF(Pipes!$B267,Pipes!$B267)</f>
        <v>0</v>
      </c>
      <c r="C267" s="205"/>
      <c r="D267" s="224"/>
      <c r="E267" s="224"/>
      <c r="F267" s="224">
        <f t="shared" si="777"/>
        <v>0</v>
      </c>
      <c r="G267" s="224"/>
      <c r="H267" s="224"/>
      <c r="I267" s="52"/>
      <c r="J267" s="52"/>
      <c r="K267" s="130"/>
      <c r="L267" s="206">
        <f t="shared" si="598"/>
        <v>0</v>
      </c>
      <c r="M267" s="206" t="b">
        <f t="shared" si="599"/>
        <v>0</v>
      </c>
      <c r="N267" s="207" t="b">
        <f t="shared" si="600"/>
        <v>0</v>
      </c>
      <c r="O267" s="209"/>
      <c r="P267" s="208">
        <f t="shared" si="781"/>
        <v>0</v>
      </c>
      <c r="Q267" s="53" t="b">
        <f t="shared" si="602"/>
        <v>0</v>
      </c>
      <c r="R267" s="53" t="b">
        <f t="shared" si="603"/>
        <v>0</v>
      </c>
      <c r="S267" s="241" t="s">
        <v>197</v>
      </c>
      <c r="T267" s="127" t="b">
        <f>IF($N267,IF($F267&gt;$P267,ROUND(($Q267-($F266/12)),2),IF($S267="YES",$N267,$N267-MinDrop)))</f>
        <v>0</v>
      </c>
      <c r="U267" s="210"/>
      <c r="V267" s="54"/>
      <c r="W267" s="54"/>
      <c r="X267" s="54"/>
      <c r="Y267" s="117"/>
      <c r="Z267" s="54"/>
      <c r="AA267" s="54"/>
      <c r="AB267" s="54"/>
      <c r="AC267" s="211"/>
    </row>
    <row r="268" spans="1:29" ht="15" thickBot="1" x14ac:dyDescent="0.35">
      <c r="A268" s="122"/>
      <c r="B268" s="204" t="b">
        <f>IF(Pipes!$B268,Pipes!$B268)</f>
        <v>0</v>
      </c>
      <c r="C268" s="212"/>
      <c r="D268" s="104"/>
      <c r="E268" s="104"/>
      <c r="F268" s="104">
        <f t="shared" si="777"/>
        <v>0</v>
      </c>
      <c r="G268" s="104"/>
      <c r="H268" s="104"/>
      <c r="I268" s="101"/>
      <c r="J268" s="101"/>
      <c r="K268" s="131"/>
      <c r="L268" s="213">
        <f t="shared" si="598"/>
        <v>0</v>
      </c>
      <c r="M268" s="213" t="b">
        <f t="shared" si="599"/>
        <v>0</v>
      </c>
      <c r="N268" s="214" t="b">
        <f t="shared" si="600"/>
        <v>0</v>
      </c>
      <c r="O268" s="216"/>
      <c r="P268" s="215">
        <f t="shared" si="781"/>
        <v>0</v>
      </c>
      <c r="Q268" s="103" t="b">
        <f t="shared" si="602"/>
        <v>0</v>
      </c>
      <c r="R268" s="53" t="b">
        <f t="shared" si="603"/>
        <v>0</v>
      </c>
      <c r="S268" s="241" t="s">
        <v>197</v>
      </c>
      <c r="T268" s="127" t="b">
        <f>IF($N268,IF($F268&gt;$P268,ROUND(($Q268-($F267/12)),2),IF($S268="YES",$N268,$N268-MinDrop)))</f>
        <v>0</v>
      </c>
      <c r="U268" s="217"/>
      <c r="V268" s="102"/>
      <c r="W268" s="102"/>
      <c r="X268" s="102"/>
      <c r="Y268" s="118"/>
      <c r="Z268" s="102"/>
      <c r="AA268" s="102"/>
      <c r="AB268" s="102"/>
      <c r="AC268" s="218"/>
    </row>
    <row r="269" spans="1:29" x14ac:dyDescent="0.3">
      <c r="A269" s="115">
        <f t="shared" ref="A269" si="784">$A264+1</f>
        <v>54</v>
      </c>
      <c r="B269" s="186"/>
      <c r="C269" s="201">
        <f>IF(Pipes!$Q269&gt;0,IF(Pipes!$R269&gt;MinDiameter,Pipes!$R269,MinDiameter),0)</f>
        <v>0</v>
      </c>
      <c r="D269" s="187" t="s">
        <v>197</v>
      </c>
      <c r="E269" s="187"/>
      <c r="F269" s="107">
        <f>Pipes!$S269</f>
        <v>0</v>
      </c>
      <c r="G269" s="108">
        <f>Pipes!$W269</f>
        <v>0</v>
      </c>
      <c r="H269" s="187" t="s">
        <v>197</v>
      </c>
      <c r="I269" s="188"/>
      <c r="J269" s="108">
        <f>Pipes!$X269</f>
        <v>0</v>
      </c>
      <c r="K269" s="193">
        <f>INDEX(Tribs!$H$3:$H$102,MATCH($A269,Tribs!$A$3:$A$102,0))</f>
        <v>0</v>
      </c>
      <c r="L269" s="105">
        <f>INDEX(Tribs!$I$3:$I$102,MATCH($A269,Tribs!$A$3:$A$102,0))</f>
        <v>0</v>
      </c>
      <c r="M269" s="105" t="b">
        <f>IF($L269,ROUND($L269-MinCover-($F269/12),2))</f>
        <v>0</v>
      </c>
      <c r="N269" s="202"/>
      <c r="O269" s="129">
        <f t="shared" ref="O269" si="785">MIN($N270:$N273)</f>
        <v>0</v>
      </c>
      <c r="P269" s="203"/>
      <c r="Q269" s="203"/>
      <c r="R269" s="203"/>
      <c r="S269" s="110"/>
      <c r="T269" s="116" t="b">
        <f t="shared" ref="T269" si="786">IF($M269,$M269)</f>
        <v>0</v>
      </c>
      <c r="U269" s="129">
        <f t="shared" ref="U269" si="787">MIN($T269:$T273)</f>
        <v>0</v>
      </c>
      <c r="V269" s="233" t="s">
        <v>197</v>
      </c>
      <c r="W269" s="219"/>
      <c r="X269" s="219" t="s">
        <v>197</v>
      </c>
      <c r="Y269" s="239"/>
      <c r="Z269" s="105">
        <f t="shared" ref="Z269" si="788">IF($V269="YES",$U269,IF($X269&lt;&gt;"YES",$W269,($AC269+$J269*$K269)))</f>
        <v>0</v>
      </c>
      <c r="AA269" s="105">
        <f t="shared" ref="AA269" si="789">ROUND($Z269+($F269/12),2)</f>
        <v>0</v>
      </c>
      <c r="AB269" s="105" t="b">
        <f t="shared" ref="AB269" si="790">IF($L269,($L269-$AA269))</f>
        <v>0</v>
      </c>
      <c r="AC269" s="111">
        <f t="shared" ref="AC269" si="791">IF(AND($V269&lt;&gt;"YES",$X269="YES"),$Y269,ROUND($Z269-($J269*$K269),2))</f>
        <v>0</v>
      </c>
    </row>
    <row r="270" spans="1:29" x14ac:dyDescent="0.3">
      <c r="A270" s="121"/>
      <c r="B270" s="204" t="b">
        <f>IF(Pipes!$B270,Pipes!$B270)</f>
        <v>0</v>
      </c>
      <c r="C270" s="205"/>
      <c r="D270" s="224"/>
      <c r="E270" s="224"/>
      <c r="F270" s="224">
        <f t="shared" ref="F270:F273" si="792">F269</f>
        <v>0</v>
      </c>
      <c r="G270" s="224"/>
      <c r="H270" s="224"/>
      <c r="I270" s="52"/>
      <c r="J270" s="52"/>
      <c r="K270" s="130"/>
      <c r="L270" s="206">
        <f t="shared" ref="L270:L333" si="793">$L269</f>
        <v>0</v>
      </c>
      <c r="M270" s="206" t="b">
        <f t="shared" ref="M270:M333" si="794">M269</f>
        <v>0</v>
      </c>
      <c r="N270" s="240" t="b">
        <f t="shared" ref="N270:N333" si="795">IF($B270,INDEX($AC$4:$AC$499,MATCH($B270,$A$4:$A$499)))</f>
        <v>0</v>
      </c>
      <c r="O270" s="209"/>
      <c r="P270" s="208">
        <f t="shared" ref="P270:P273" si="796">IF($B270,INDEX($F$4:$F$499,MATCH($B270,$A$4:$A$499)),0)</f>
        <v>0</v>
      </c>
      <c r="Q270" s="242" t="b">
        <f t="shared" ref="Q270:Q333" si="797">IF($N270,ROUND(($N270+($P270/12)),2))</f>
        <v>0</v>
      </c>
      <c r="R270" s="53" t="b">
        <f t="shared" ref="R270:R333" si="798">IF(AND($L270,$Q270),$L270-$Q270)</f>
        <v>0</v>
      </c>
      <c r="S270" s="241" t="s">
        <v>197</v>
      </c>
      <c r="T270" s="127" t="b">
        <f>IF($N270,IF($F270&gt;$P270,ROUND(($Q270-($F269/12)),2),IF($S270="YES",$N270,$N270-MinDrop)))</f>
        <v>0</v>
      </c>
      <c r="U270" s="243"/>
      <c r="V270" s="245"/>
      <c r="W270" s="245"/>
      <c r="X270" s="54"/>
      <c r="Y270" s="117"/>
      <c r="Z270" s="54"/>
      <c r="AA270" s="54"/>
      <c r="AB270" s="54"/>
      <c r="AC270" s="211"/>
    </row>
    <row r="271" spans="1:29" x14ac:dyDescent="0.3">
      <c r="A271" s="121"/>
      <c r="B271" s="204" t="b">
        <f>IF(Pipes!$B271,Pipes!$B271)</f>
        <v>0</v>
      </c>
      <c r="C271" s="205"/>
      <c r="D271" s="224"/>
      <c r="E271" s="224"/>
      <c r="F271" s="224">
        <f t="shared" si="792"/>
        <v>0</v>
      </c>
      <c r="G271" s="224"/>
      <c r="H271" s="224"/>
      <c r="I271" s="52"/>
      <c r="J271" s="52"/>
      <c r="K271" s="130"/>
      <c r="L271" s="206">
        <f t="shared" si="793"/>
        <v>0</v>
      </c>
      <c r="M271" s="206" t="b">
        <f t="shared" si="794"/>
        <v>0</v>
      </c>
      <c r="N271" s="207" t="b">
        <f t="shared" si="795"/>
        <v>0</v>
      </c>
      <c r="O271" s="209"/>
      <c r="P271" s="208">
        <f t="shared" si="796"/>
        <v>0</v>
      </c>
      <c r="Q271" s="53" t="b">
        <f t="shared" si="797"/>
        <v>0</v>
      </c>
      <c r="R271" s="53" t="b">
        <f t="shared" si="798"/>
        <v>0</v>
      </c>
      <c r="S271" s="241" t="s">
        <v>197</v>
      </c>
      <c r="T271" s="127" t="b">
        <f>IF($N271,IF($F271&gt;$P271,ROUND(($Q271-($F270/12)),2),IF($S271="YES",$N271,$N271-MinDrop)))</f>
        <v>0</v>
      </c>
      <c r="U271" s="210"/>
      <c r="V271" s="54"/>
      <c r="W271" s="54"/>
      <c r="X271" s="54"/>
      <c r="Y271" s="117"/>
      <c r="Z271" s="54"/>
      <c r="AA271" s="54"/>
      <c r="AB271" s="54"/>
      <c r="AC271" s="211"/>
    </row>
    <row r="272" spans="1:29" x14ac:dyDescent="0.3">
      <c r="A272" s="121"/>
      <c r="B272" s="204" t="b">
        <f>IF(Pipes!$B272,Pipes!$B272)</f>
        <v>0</v>
      </c>
      <c r="C272" s="205"/>
      <c r="D272" s="224"/>
      <c r="E272" s="224"/>
      <c r="F272" s="224">
        <f t="shared" si="792"/>
        <v>0</v>
      </c>
      <c r="G272" s="224"/>
      <c r="H272" s="224"/>
      <c r="I272" s="52"/>
      <c r="J272" s="52"/>
      <c r="K272" s="130"/>
      <c r="L272" s="206">
        <f t="shared" si="793"/>
        <v>0</v>
      </c>
      <c r="M272" s="206" t="b">
        <f t="shared" si="794"/>
        <v>0</v>
      </c>
      <c r="N272" s="207" t="b">
        <f t="shared" si="795"/>
        <v>0</v>
      </c>
      <c r="O272" s="209"/>
      <c r="P272" s="208">
        <f t="shared" si="796"/>
        <v>0</v>
      </c>
      <c r="Q272" s="53" t="b">
        <f t="shared" si="797"/>
        <v>0</v>
      </c>
      <c r="R272" s="53" t="b">
        <f t="shared" si="798"/>
        <v>0</v>
      </c>
      <c r="S272" s="241" t="s">
        <v>197</v>
      </c>
      <c r="T272" s="127" t="b">
        <f>IF($N272,IF($F272&gt;$P272,ROUND(($Q272-($F271/12)),2),IF($S272="YES",$N272,$N272-MinDrop)))</f>
        <v>0</v>
      </c>
      <c r="U272" s="210"/>
      <c r="V272" s="54"/>
      <c r="W272" s="54"/>
      <c r="X272" s="54"/>
      <c r="Y272" s="117"/>
      <c r="Z272" s="54"/>
      <c r="AA272" s="54"/>
      <c r="AB272" s="54"/>
      <c r="AC272" s="211"/>
    </row>
    <row r="273" spans="1:29" ht="15" thickBot="1" x14ac:dyDescent="0.35">
      <c r="A273" s="122"/>
      <c r="B273" s="204" t="b">
        <f>IF(Pipes!$B273,Pipes!$B273)</f>
        <v>0</v>
      </c>
      <c r="C273" s="212"/>
      <c r="D273" s="104"/>
      <c r="E273" s="104"/>
      <c r="F273" s="104">
        <f t="shared" si="792"/>
        <v>0</v>
      </c>
      <c r="G273" s="104"/>
      <c r="H273" s="104"/>
      <c r="I273" s="101"/>
      <c r="J273" s="101"/>
      <c r="K273" s="131"/>
      <c r="L273" s="213">
        <f t="shared" si="793"/>
        <v>0</v>
      </c>
      <c r="M273" s="213" t="b">
        <f t="shared" si="794"/>
        <v>0</v>
      </c>
      <c r="N273" s="214" t="b">
        <f t="shared" si="795"/>
        <v>0</v>
      </c>
      <c r="O273" s="216"/>
      <c r="P273" s="215">
        <f t="shared" si="796"/>
        <v>0</v>
      </c>
      <c r="Q273" s="103" t="b">
        <f t="shared" si="797"/>
        <v>0</v>
      </c>
      <c r="R273" s="53" t="b">
        <f t="shared" si="798"/>
        <v>0</v>
      </c>
      <c r="S273" s="241" t="s">
        <v>197</v>
      </c>
      <c r="T273" s="127" t="b">
        <f>IF($N273,IF($F273&gt;$P273,ROUND(($Q273-($F272/12)),2),IF($S273="YES",$N273,$N273-MinDrop)))</f>
        <v>0</v>
      </c>
      <c r="U273" s="217"/>
      <c r="V273" s="102"/>
      <c r="W273" s="102"/>
      <c r="X273" s="102"/>
      <c r="Y273" s="118"/>
      <c r="Z273" s="102"/>
      <c r="AA273" s="102"/>
      <c r="AB273" s="102"/>
      <c r="AC273" s="218"/>
    </row>
    <row r="274" spans="1:29" x14ac:dyDescent="0.3">
      <c r="A274" s="115">
        <f t="shared" ref="A274" si="799">$A269+1</f>
        <v>55</v>
      </c>
      <c r="B274" s="186"/>
      <c r="C274" s="201">
        <f>IF(Pipes!$Q274&gt;0,IF(Pipes!$R274&gt;MinDiameter,Pipes!$R274,MinDiameter),0)</f>
        <v>0</v>
      </c>
      <c r="D274" s="187" t="s">
        <v>197</v>
      </c>
      <c r="E274" s="187"/>
      <c r="F274" s="107">
        <f>Pipes!$S274</f>
        <v>0</v>
      </c>
      <c r="G274" s="108">
        <f>Pipes!$W274</f>
        <v>0</v>
      </c>
      <c r="H274" s="187" t="s">
        <v>197</v>
      </c>
      <c r="I274" s="188"/>
      <c r="J274" s="108">
        <f>Pipes!$X274</f>
        <v>0</v>
      </c>
      <c r="K274" s="193">
        <f>INDEX(Tribs!$H$3:$H$102,MATCH($A274,Tribs!$A$3:$A$102,0))</f>
        <v>0</v>
      </c>
      <c r="L274" s="105">
        <f>INDEX(Tribs!$I$3:$I$102,MATCH($A274,Tribs!$A$3:$A$102,0))</f>
        <v>0</v>
      </c>
      <c r="M274" s="105" t="b">
        <f>IF($L274,ROUND($L274-MinCover-($F274/12),2))</f>
        <v>0</v>
      </c>
      <c r="N274" s="202"/>
      <c r="O274" s="129">
        <f t="shared" ref="O274" si="800">MIN($N275:$N278)</f>
        <v>0</v>
      </c>
      <c r="P274" s="203"/>
      <c r="Q274" s="203"/>
      <c r="R274" s="203"/>
      <c r="S274" s="110"/>
      <c r="T274" s="116" t="b">
        <f t="shared" ref="T274" si="801">IF($M274,$M274)</f>
        <v>0</v>
      </c>
      <c r="U274" s="129">
        <f t="shared" ref="U274" si="802">MIN($T274:$T278)</f>
        <v>0</v>
      </c>
      <c r="V274" s="233" t="s">
        <v>197</v>
      </c>
      <c r="W274" s="219"/>
      <c r="X274" s="219" t="s">
        <v>197</v>
      </c>
      <c r="Y274" s="239"/>
      <c r="Z274" s="105">
        <f t="shared" ref="Z274" si="803">IF($V274="YES",$U274,IF($X274&lt;&gt;"YES",$W274,($AC274+$J274*$K274)))</f>
        <v>0</v>
      </c>
      <c r="AA274" s="105">
        <f t="shared" ref="AA274" si="804">ROUND($Z274+($F274/12),2)</f>
        <v>0</v>
      </c>
      <c r="AB274" s="105" t="b">
        <f t="shared" ref="AB274" si="805">IF($L274,($L274-$AA274))</f>
        <v>0</v>
      </c>
      <c r="AC274" s="111">
        <f t="shared" ref="AC274" si="806">IF(AND($V274&lt;&gt;"YES",$X274="YES"),$Y274,ROUND($Z274-($J274*$K274),2))</f>
        <v>0</v>
      </c>
    </row>
    <row r="275" spans="1:29" x14ac:dyDescent="0.3">
      <c r="A275" s="121"/>
      <c r="B275" s="204" t="b">
        <f>IF(Pipes!$B275,Pipes!$B275)</f>
        <v>0</v>
      </c>
      <c r="C275" s="205"/>
      <c r="D275" s="224"/>
      <c r="E275" s="224"/>
      <c r="F275" s="224">
        <f t="shared" ref="F275:F278" si="807">F274</f>
        <v>0</v>
      </c>
      <c r="G275" s="224"/>
      <c r="H275" s="224"/>
      <c r="I275" s="52"/>
      <c r="J275" s="52"/>
      <c r="K275" s="130"/>
      <c r="L275" s="206">
        <f t="shared" ref="L275" si="808">$L274</f>
        <v>0</v>
      </c>
      <c r="M275" s="206" t="b">
        <f t="shared" ref="M275" si="809">M274</f>
        <v>0</v>
      </c>
      <c r="N275" s="240" t="b">
        <f t="shared" ref="N275" si="810">IF($B275,INDEX($AC$4:$AC$499,MATCH($B275,$A$4:$A$499)))</f>
        <v>0</v>
      </c>
      <c r="O275" s="209"/>
      <c r="P275" s="208">
        <f t="shared" ref="P275:P278" si="811">IF($B275,INDEX($F$4:$F$499,MATCH($B275,$A$4:$A$499)),0)</f>
        <v>0</v>
      </c>
      <c r="Q275" s="242" t="b">
        <f t="shared" ref="Q275" si="812">IF($N275,ROUND(($N275+($P275/12)),2))</f>
        <v>0</v>
      </c>
      <c r="R275" s="53" t="b">
        <f t="shared" ref="R275" si="813">IF(AND($L275,$Q275),$L275-$Q275)</f>
        <v>0</v>
      </c>
      <c r="S275" s="241" t="s">
        <v>197</v>
      </c>
      <c r="T275" s="127" t="b">
        <f>IF($N275,IF($F275&gt;$P275,ROUND(($Q275-($F274/12)),2),IF($S275="YES",$N275,$N275-MinDrop)))</f>
        <v>0</v>
      </c>
      <c r="U275" s="243"/>
      <c r="V275" s="245"/>
      <c r="W275" s="245"/>
      <c r="X275" s="54"/>
      <c r="Y275" s="117"/>
      <c r="Z275" s="54"/>
      <c r="AA275" s="54"/>
      <c r="AB275" s="54"/>
      <c r="AC275" s="211"/>
    </row>
    <row r="276" spans="1:29" x14ac:dyDescent="0.3">
      <c r="A276" s="121"/>
      <c r="B276" s="204" t="b">
        <f>IF(Pipes!$B276,Pipes!$B276)</f>
        <v>0</v>
      </c>
      <c r="C276" s="205"/>
      <c r="D276" s="224"/>
      <c r="E276" s="224"/>
      <c r="F276" s="224">
        <f t="shared" si="807"/>
        <v>0</v>
      </c>
      <c r="G276" s="224"/>
      <c r="H276" s="224"/>
      <c r="I276" s="52"/>
      <c r="J276" s="52"/>
      <c r="K276" s="130"/>
      <c r="L276" s="206">
        <f t="shared" si="793"/>
        <v>0</v>
      </c>
      <c r="M276" s="206" t="b">
        <f t="shared" si="794"/>
        <v>0</v>
      </c>
      <c r="N276" s="207" t="b">
        <f t="shared" si="795"/>
        <v>0</v>
      </c>
      <c r="O276" s="209"/>
      <c r="P276" s="208">
        <f t="shared" si="811"/>
        <v>0</v>
      </c>
      <c r="Q276" s="53" t="b">
        <f t="shared" si="797"/>
        <v>0</v>
      </c>
      <c r="R276" s="53" t="b">
        <f t="shared" si="798"/>
        <v>0</v>
      </c>
      <c r="S276" s="241" t="s">
        <v>197</v>
      </c>
      <c r="T276" s="127" t="b">
        <f>IF($N276,IF($F276&gt;$P276,ROUND(($Q276-($F275/12)),2),IF($S276="YES",$N276,$N276-MinDrop)))</f>
        <v>0</v>
      </c>
      <c r="U276" s="210"/>
      <c r="V276" s="54"/>
      <c r="W276" s="54"/>
      <c r="X276" s="54"/>
      <c r="Y276" s="117"/>
      <c r="Z276" s="54"/>
      <c r="AA276" s="54"/>
      <c r="AB276" s="54"/>
      <c r="AC276" s="211"/>
    </row>
    <row r="277" spans="1:29" x14ac:dyDescent="0.3">
      <c r="A277" s="121"/>
      <c r="B277" s="204" t="b">
        <f>IF(Pipes!$B277,Pipes!$B277)</f>
        <v>0</v>
      </c>
      <c r="C277" s="205"/>
      <c r="D277" s="224"/>
      <c r="E277" s="224"/>
      <c r="F277" s="224">
        <f t="shared" si="807"/>
        <v>0</v>
      </c>
      <c r="G277" s="224"/>
      <c r="H277" s="224"/>
      <c r="I277" s="52"/>
      <c r="J277" s="52"/>
      <c r="K277" s="130"/>
      <c r="L277" s="206">
        <f t="shared" si="793"/>
        <v>0</v>
      </c>
      <c r="M277" s="206" t="b">
        <f t="shared" si="794"/>
        <v>0</v>
      </c>
      <c r="N277" s="207" t="b">
        <f t="shared" si="795"/>
        <v>0</v>
      </c>
      <c r="O277" s="209"/>
      <c r="P277" s="208">
        <f t="shared" si="811"/>
        <v>0</v>
      </c>
      <c r="Q277" s="53" t="b">
        <f t="shared" si="797"/>
        <v>0</v>
      </c>
      <c r="R277" s="53" t="b">
        <f t="shared" si="798"/>
        <v>0</v>
      </c>
      <c r="S277" s="241" t="s">
        <v>197</v>
      </c>
      <c r="T277" s="127" t="b">
        <f>IF($N277,IF($F277&gt;$P277,ROUND(($Q277-($F276/12)),2),IF($S277="YES",$N277,$N277-MinDrop)))</f>
        <v>0</v>
      </c>
      <c r="U277" s="210"/>
      <c r="V277" s="54"/>
      <c r="W277" s="54"/>
      <c r="X277" s="54"/>
      <c r="Y277" s="117"/>
      <c r="Z277" s="54"/>
      <c r="AA277" s="54"/>
      <c r="AB277" s="54"/>
      <c r="AC277" s="211"/>
    </row>
    <row r="278" spans="1:29" ht="15" thickBot="1" x14ac:dyDescent="0.35">
      <c r="A278" s="122"/>
      <c r="B278" s="204" t="b">
        <f>IF(Pipes!$B278,Pipes!$B278)</f>
        <v>0</v>
      </c>
      <c r="C278" s="212"/>
      <c r="D278" s="104"/>
      <c r="E278" s="104"/>
      <c r="F278" s="104">
        <f t="shared" si="807"/>
        <v>0</v>
      </c>
      <c r="G278" s="104"/>
      <c r="H278" s="104"/>
      <c r="I278" s="101"/>
      <c r="J278" s="101"/>
      <c r="K278" s="131"/>
      <c r="L278" s="213">
        <f t="shared" si="793"/>
        <v>0</v>
      </c>
      <c r="M278" s="213" t="b">
        <f t="shared" si="794"/>
        <v>0</v>
      </c>
      <c r="N278" s="214" t="b">
        <f t="shared" si="795"/>
        <v>0</v>
      </c>
      <c r="O278" s="216"/>
      <c r="P278" s="215">
        <f t="shared" si="811"/>
        <v>0</v>
      </c>
      <c r="Q278" s="103" t="b">
        <f t="shared" si="797"/>
        <v>0</v>
      </c>
      <c r="R278" s="53" t="b">
        <f t="shared" si="798"/>
        <v>0</v>
      </c>
      <c r="S278" s="241" t="s">
        <v>197</v>
      </c>
      <c r="T278" s="127" t="b">
        <f>IF($N278,IF($F278&gt;$P278,ROUND(($Q278-($F277/12)),2),IF($S278="YES",$N278,$N278-MinDrop)))</f>
        <v>0</v>
      </c>
      <c r="U278" s="217"/>
      <c r="V278" s="102"/>
      <c r="W278" s="102"/>
      <c r="X278" s="102"/>
      <c r="Y278" s="118"/>
      <c r="Z278" s="102"/>
      <c r="AA278" s="102"/>
      <c r="AB278" s="102"/>
      <c r="AC278" s="218"/>
    </row>
    <row r="279" spans="1:29" x14ac:dyDescent="0.3">
      <c r="A279" s="115">
        <f t="shared" ref="A279" si="814">$A274+1</f>
        <v>56</v>
      </c>
      <c r="B279" s="186"/>
      <c r="C279" s="201">
        <f>IF(Pipes!$Q279&gt;0,IF(Pipes!$R279&gt;MinDiameter,Pipes!$R279,MinDiameter),0)</f>
        <v>0</v>
      </c>
      <c r="D279" s="187" t="s">
        <v>197</v>
      </c>
      <c r="E279" s="187"/>
      <c r="F279" s="107">
        <f>Pipes!$S279</f>
        <v>0</v>
      </c>
      <c r="G279" s="108">
        <f>Pipes!$W279</f>
        <v>0</v>
      </c>
      <c r="H279" s="187" t="s">
        <v>197</v>
      </c>
      <c r="I279" s="188"/>
      <c r="J279" s="108">
        <f>Pipes!$X279</f>
        <v>0</v>
      </c>
      <c r="K279" s="193">
        <f>INDEX(Tribs!$H$3:$H$102,MATCH($A279,Tribs!$A$3:$A$102,0))</f>
        <v>0</v>
      </c>
      <c r="L279" s="105">
        <f>INDEX(Tribs!$I$3:$I$102,MATCH($A279,Tribs!$A$3:$A$102,0))</f>
        <v>0</v>
      </c>
      <c r="M279" s="105" t="b">
        <f>IF($L279,ROUND($L279-MinCover-($F279/12),2))</f>
        <v>0</v>
      </c>
      <c r="N279" s="202"/>
      <c r="O279" s="129">
        <f t="shared" ref="O279" si="815">MIN($N280:$N283)</f>
        <v>0</v>
      </c>
      <c r="P279" s="203"/>
      <c r="Q279" s="203"/>
      <c r="R279" s="203"/>
      <c r="S279" s="110"/>
      <c r="T279" s="116" t="b">
        <f t="shared" ref="T279" si="816">IF($M279,$M279)</f>
        <v>0</v>
      </c>
      <c r="U279" s="129">
        <f t="shared" ref="U279" si="817">MIN($T279:$T283)</f>
        <v>0</v>
      </c>
      <c r="V279" s="233" t="s">
        <v>197</v>
      </c>
      <c r="W279" s="219"/>
      <c r="X279" s="219" t="s">
        <v>197</v>
      </c>
      <c r="Y279" s="239"/>
      <c r="Z279" s="105">
        <f t="shared" ref="Z279" si="818">IF($V279="YES",$U279,IF($X279&lt;&gt;"YES",$W279,($AC279+$J279*$K279)))</f>
        <v>0</v>
      </c>
      <c r="AA279" s="105">
        <f t="shared" ref="AA279" si="819">ROUND($Z279+($F279/12),2)</f>
        <v>0</v>
      </c>
      <c r="AB279" s="105" t="b">
        <f t="shared" ref="AB279" si="820">IF($L279,($L279-$AA279))</f>
        <v>0</v>
      </c>
      <c r="AC279" s="111">
        <f t="shared" ref="AC279" si="821">IF(AND($V279&lt;&gt;"YES",$X279="YES"),$Y279,ROUND($Z279-($J279*$K279),2))</f>
        <v>0</v>
      </c>
    </row>
    <row r="280" spans="1:29" x14ac:dyDescent="0.3">
      <c r="A280" s="121"/>
      <c r="B280" s="204" t="b">
        <f>IF(Pipes!$B280,Pipes!$B280)</f>
        <v>0</v>
      </c>
      <c r="C280" s="205"/>
      <c r="D280" s="224"/>
      <c r="E280" s="224"/>
      <c r="F280" s="224">
        <f t="shared" ref="F280:F283" si="822">F279</f>
        <v>0</v>
      </c>
      <c r="G280" s="224"/>
      <c r="H280" s="224"/>
      <c r="I280" s="52"/>
      <c r="J280" s="52"/>
      <c r="K280" s="130"/>
      <c r="L280" s="206">
        <f t="shared" ref="L280" si="823">$L279</f>
        <v>0</v>
      </c>
      <c r="M280" s="206" t="b">
        <f t="shared" ref="M280" si="824">M279</f>
        <v>0</v>
      </c>
      <c r="N280" s="240" t="b">
        <f t="shared" ref="N280" si="825">IF($B280,INDEX($AC$4:$AC$499,MATCH($B280,$A$4:$A$499)))</f>
        <v>0</v>
      </c>
      <c r="O280" s="209"/>
      <c r="P280" s="208">
        <f t="shared" ref="P280:P283" si="826">IF($B280,INDEX($F$4:$F$499,MATCH($B280,$A$4:$A$499)),0)</f>
        <v>0</v>
      </c>
      <c r="Q280" s="242" t="b">
        <f t="shared" ref="Q280" si="827">IF($N280,ROUND(($N280+($P280/12)),2))</f>
        <v>0</v>
      </c>
      <c r="R280" s="53" t="b">
        <f t="shared" ref="R280" si="828">IF(AND($L280,$Q280),$L280-$Q280)</f>
        <v>0</v>
      </c>
      <c r="S280" s="241" t="s">
        <v>197</v>
      </c>
      <c r="T280" s="127" t="b">
        <f>IF($N280,IF($F280&gt;$P280,ROUND(($Q280-($F279/12)),2),IF($S280="YES",$N280,$N280-MinDrop)))</f>
        <v>0</v>
      </c>
      <c r="U280" s="243"/>
      <c r="V280" s="245"/>
      <c r="W280" s="245"/>
      <c r="X280" s="54"/>
      <c r="Y280" s="117"/>
      <c r="Z280" s="54"/>
      <c r="AA280" s="54"/>
      <c r="AB280" s="54"/>
      <c r="AC280" s="211"/>
    </row>
    <row r="281" spans="1:29" x14ac:dyDescent="0.3">
      <c r="A281" s="121"/>
      <c r="B281" s="204" t="b">
        <f>IF(Pipes!$B281,Pipes!$B281)</f>
        <v>0</v>
      </c>
      <c r="C281" s="205"/>
      <c r="D281" s="224"/>
      <c r="E281" s="224"/>
      <c r="F281" s="224">
        <f t="shared" si="822"/>
        <v>0</v>
      </c>
      <c r="G281" s="224"/>
      <c r="H281" s="224"/>
      <c r="I281" s="52"/>
      <c r="J281" s="52"/>
      <c r="K281" s="130"/>
      <c r="L281" s="206">
        <f t="shared" si="793"/>
        <v>0</v>
      </c>
      <c r="M281" s="206" t="b">
        <f t="shared" si="794"/>
        <v>0</v>
      </c>
      <c r="N281" s="207" t="b">
        <f t="shared" si="795"/>
        <v>0</v>
      </c>
      <c r="O281" s="209"/>
      <c r="P281" s="208">
        <f t="shared" si="826"/>
        <v>0</v>
      </c>
      <c r="Q281" s="53" t="b">
        <f t="shared" si="797"/>
        <v>0</v>
      </c>
      <c r="R281" s="53" t="b">
        <f t="shared" si="798"/>
        <v>0</v>
      </c>
      <c r="S281" s="241" t="s">
        <v>197</v>
      </c>
      <c r="T281" s="127" t="b">
        <f>IF($N281,IF($F281&gt;$P281,ROUND(($Q281-($F280/12)),2),IF($S281="YES",$N281,$N281-MinDrop)))</f>
        <v>0</v>
      </c>
      <c r="U281" s="210"/>
      <c r="V281" s="54"/>
      <c r="W281" s="54"/>
      <c r="X281" s="54"/>
      <c r="Y281" s="117"/>
      <c r="Z281" s="54"/>
      <c r="AA281" s="54"/>
      <c r="AB281" s="54"/>
      <c r="AC281" s="211"/>
    </row>
    <row r="282" spans="1:29" x14ac:dyDescent="0.3">
      <c r="A282" s="121"/>
      <c r="B282" s="204" t="b">
        <f>IF(Pipes!$B282,Pipes!$B282)</f>
        <v>0</v>
      </c>
      <c r="C282" s="205"/>
      <c r="D282" s="224"/>
      <c r="E282" s="224"/>
      <c r="F282" s="224">
        <f t="shared" si="822"/>
        <v>0</v>
      </c>
      <c r="G282" s="224"/>
      <c r="H282" s="224"/>
      <c r="I282" s="52"/>
      <c r="J282" s="52"/>
      <c r="K282" s="130"/>
      <c r="L282" s="206">
        <f t="shared" si="793"/>
        <v>0</v>
      </c>
      <c r="M282" s="206" t="b">
        <f t="shared" si="794"/>
        <v>0</v>
      </c>
      <c r="N282" s="207" t="b">
        <f t="shared" si="795"/>
        <v>0</v>
      </c>
      <c r="O282" s="209"/>
      <c r="P282" s="208">
        <f t="shared" si="826"/>
        <v>0</v>
      </c>
      <c r="Q282" s="53" t="b">
        <f t="shared" si="797"/>
        <v>0</v>
      </c>
      <c r="R282" s="53" t="b">
        <f t="shared" si="798"/>
        <v>0</v>
      </c>
      <c r="S282" s="241" t="s">
        <v>197</v>
      </c>
      <c r="T282" s="127" t="b">
        <f>IF($N282,IF($F282&gt;$P282,ROUND(($Q282-($F281/12)),2),IF($S282="YES",$N282,$N282-MinDrop)))</f>
        <v>0</v>
      </c>
      <c r="U282" s="210"/>
      <c r="V282" s="54"/>
      <c r="W282" s="54"/>
      <c r="X282" s="54"/>
      <c r="Y282" s="117"/>
      <c r="Z282" s="54"/>
      <c r="AA282" s="54"/>
      <c r="AB282" s="54"/>
      <c r="AC282" s="211"/>
    </row>
    <row r="283" spans="1:29" ht="15" thickBot="1" x14ac:dyDescent="0.35">
      <c r="A283" s="122"/>
      <c r="B283" s="204" t="b">
        <f>IF(Pipes!$B283,Pipes!$B283)</f>
        <v>0</v>
      </c>
      <c r="C283" s="212"/>
      <c r="D283" s="104"/>
      <c r="E283" s="104"/>
      <c r="F283" s="104">
        <f t="shared" si="822"/>
        <v>0</v>
      </c>
      <c r="G283" s="104"/>
      <c r="H283" s="104"/>
      <c r="I283" s="101"/>
      <c r="J283" s="101"/>
      <c r="K283" s="131"/>
      <c r="L283" s="213">
        <f t="shared" si="793"/>
        <v>0</v>
      </c>
      <c r="M283" s="213" t="b">
        <f t="shared" si="794"/>
        <v>0</v>
      </c>
      <c r="N283" s="214" t="b">
        <f t="shared" si="795"/>
        <v>0</v>
      </c>
      <c r="O283" s="216"/>
      <c r="P283" s="215">
        <f t="shared" si="826"/>
        <v>0</v>
      </c>
      <c r="Q283" s="103" t="b">
        <f t="shared" si="797"/>
        <v>0</v>
      </c>
      <c r="R283" s="53" t="b">
        <f t="shared" si="798"/>
        <v>0</v>
      </c>
      <c r="S283" s="241" t="s">
        <v>197</v>
      </c>
      <c r="T283" s="127" t="b">
        <f>IF($N283,IF($F283&gt;$P283,ROUND(($Q283-($F282/12)),2),IF($S283="YES",$N283,$N283-MinDrop)))</f>
        <v>0</v>
      </c>
      <c r="U283" s="217"/>
      <c r="V283" s="102"/>
      <c r="W283" s="102"/>
      <c r="X283" s="102"/>
      <c r="Y283" s="118"/>
      <c r="Z283" s="102"/>
      <c r="AA283" s="102"/>
      <c r="AB283" s="102"/>
      <c r="AC283" s="218"/>
    </row>
    <row r="284" spans="1:29" x14ac:dyDescent="0.3">
      <c r="A284" s="115">
        <f t="shared" ref="A284" si="829">$A279+1</f>
        <v>57</v>
      </c>
      <c r="B284" s="186"/>
      <c r="C284" s="201">
        <f>IF(Pipes!$Q284&gt;0,IF(Pipes!$R284&gt;MinDiameter,Pipes!$R284,MinDiameter),0)</f>
        <v>0</v>
      </c>
      <c r="D284" s="187" t="s">
        <v>197</v>
      </c>
      <c r="E284" s="187"/>
      <c r="F284" s="107">
        <f>Pipes!$S284</f>
        <v>0</v>
      </c>
      <c r="G284" s="108">
        <f>Pipes!$W284</f>
        <v>0</v>
      </c>
      <c r="H284" s="187" t="s">
        <v>197</v>
      </c>
      <c r="I284" s="188"/>
      <c r="J284" s="108">
        <f>Pipes!$X284</f>
        <v>0</v>
      </c>
      <c r="K284" s="193">
        <f>INDEX(Tribs!$H$3:$H$102,MATCH($A284,Tribs!$A$3:$A$102,0))</f>
        <v>0</v>
      </c>
      <c r="L284" s="105">
        <f>INDEX(Tribs!$I$3:$I$102,MATCH($A284,Tribs!$A$3:$A$102,0))</f>
        <v>0</v>
      </c>
      <c r="M284" s="105" t="b">
        <f>IF($L284,ROUND($L284-MinCover-($F284/12),2))</f>
        <v>0</v>
      </c>
      <c r="N284" s="202"/>
      <c r="O284" s="129">
        <f t="shared" ref="O284" si="830">MIN($N285:$N288)</f>
        <v>0</v>
      </c>
      <c r="P284" s="203"/>
      <c r="Q284" s="203"/>
      <c r="R284" s="203"/>
      <c r="S284" s="110"/>
      <c r="T284" s="116" t="b">
        <f t="shared" ref="T284" si="831">IF($M284,$M284)</f>
        <v>0</v>
      </c>
      <c r="U284" s="129">
        <f t="shared" ref="U284" si="832">MIN($T284:$T288)</f>
        <v>0</v>
      </c>
      <c r="V284" s="233" t="s">
        <v>197</v>
      </c>
      <c r="W284" s="219"/>
      <c r="X284" s="219" t="s">
        <v>197</v>
      </c>
      <c r="Y284" s="239"/>
      <c r="Z284" s="105">
        <f t="shared" ref="Z284" si="833">IF($V284="YES",$U284,IF($X284&lt;&gt;"YES",$W284,($AC284+$J284*$K284)))</f>
        <v>0</v>
      </c>
      <c r="AA284" s="105">
        <f t="shared" ref="AA284" si="834">ROUND($Z284+($F284/12),2)</f>
        <v>0</v>
      </c>
      <c r="AB284" s="105" t="b">
        <f t="shared" ref="AB284" si="835">IF($L284,($L284-$AA284))</f>
        <v>0</v>
      </c>
      <c r="AC284" s="111">
        <f t="shared" ref="AC284" si="836">IF(AND($V284&lt;&gt;"YES",$X284="YES"),$Y284,ROUND($Z284-($J284*$K284),2))</f>
        <v>0</v>
      </c>
    </row>
    <row r="285" spans="1:29" x14ac:dyDescent="0.3">
      <c r="A285" s="121"/>
      <c r="B285" s="204" t="b">
        <f>IF(Pipes!$B285,Pipes!$B285)</f>
        <v>0</v>
      </c>
      <c r="C285" s="205"/>
      <c r="D285" s="224"/>
      <c r="E285" s="224"/>
      <c r="F285" s="224">
        <f t="shared" ref="F285:F288" si="837">F284</f>
        <v>0</v>
      </c>
      <c r="G285" s="224"/>
      <c r="H285" s="224"/>
      <c r="I285" s="52"/>
      <c r="J285" s="52"/>
      <c r="K285" s="130"/>
      <c r="L285" s="206">
        <f t="shared" ref="L285" si="838">$L284</f>
        <v>0</v>
      </c>
      <c r="M285" s="206" t="b">
        <f t="shared" ref="M285" si="839">M284</f>
        <v>0</v>
      </c>
      <c r="N285" s="240" t="b">
        <f t="shared" ref="N285" si="840">IF($B285,INDEX($AC$4:$AC$499,MATCH($B285,$A$4:$A$499)))</f>
        <v>0</v>
      </c>
      <c r="O285" s="209"/>
      <c r="P285" s="208">
        <f t="shared" ref="P285:P288" si="841">IF($B285,INDEX($F$4:$F$499,MATCH($B285,$A$4:$A$499)),0)</f>
        <v>0</v>
      </c>
      <c r="Q285" s="242" t="b">
        <f t="shared" ref="Q285" si="842">IF($N285,ROUND(($N285+($P285/12)),2))</f>
        <v>0</v>
      </c>
      <c r="R285" s="53" t="b">
        <f t="shared" ref="R285" si="843">IF(AND($L285,$Q285),$L285-$Q285)</f>
        <v>0</v>
      </c>
      <c r="S285" s="241" t="s">
        <v>197</v>
      </c>
      <c r="T285" s="127" t="b">
        <f>IF($N285,IF($F285&gt;$P285,ROUND(($Q285-($F284/12)),2),IF($S285="YES",$N285,$N285-MinDrop)))</f>
        <v>0</v>
      </c>
      <c r="U285" s="243"/>
      <c r="V285" s="245"/>
      <c r="W285" s="245"/>
      <c r="X285" s="54"/>
      <c r="Y285" s="117"/>
      <c r="Z285" s="54"/>
      <c r="AA285" s="54"/>
      <c r="AB285" s="54"/>
      <c r="AC285" s="211"/>
    </row>
    <row r="286" spans="1:29" x14ac:dyDescent="0.3">
      <c r="A286" s="121"/>
      <c r="B286" s="204" t="b">
        <f>IF(Pipes!$B286,Pipes!$B286)</f>
        <v>0</v>
      </c>
      <c r="C286" s="205"/>
      <c r="D286" s="224"/>
      <c r="E286" s="224"/>
      <c r="F286" s="224">
        <f t="shared" si="837"/>
        <v>0</v>
      </c>
      <c r="G286" s="224"/>
      <c r="H286" s="224"/>
      <c r="I286" s="52"/>
      <c r="J286" s="52"/>
      <c r="K286" s="130"/>
      <c r="L286" s="206">
        <f t="shared" si="793"/>
        <v>0</v>
      </c>
      <c r="M286" s="206" t="b">
        <f t="shared" si="794"/>
        <v>0</v>
      </c>
      <c r="N286" s="207" t="b">
        <f t="shared" si="795"/>
        <v>0</v>
      </c>
      <c r="O286" s="209"/>
      <c r="P286" s="208">
        <f t="shared" si="841"/>
        <v>0</v>
      </c>
      <c r="Q286" s="53" t="b">
        <f t="shared" si="797"/>
        <v>0</v>
      </c>
      <c r="R286" s="53" t="b">
        <f t="shared" si="798"/>
        <v>0</v>
      </c>
      <c r="S286" s="241" t="s">
        <v>197</v>
      </c>
      <c r="T286" s="127" t="b">
        <f>IF($N286,IF($F286&gt;$P286,ROUND(($Q286-($F285/12)),2),IF($S286="YES",$N286,$N286-MinDrop)))</f>
        <v>0</v>
      </c>
      <c r="U286" s="210"/>
      <c r="V286" s="54"/>
      <c r="W286" s="54"/>
      <c r="X286" s="54"/>
      <c r="Y286" s="117"/>
      <c r="Z286" s="54"/>
      <c r="AA286" s="54"/>
      <c r="AB286" s="54"/>
      <c r="AC286" s="211"/>
    </row>
    <row r="287" spans="1:29" x14ac:dyDescent="0.3">
      <c r="A287" s="121"/>
      <c r="B287" s="204" t="b">
        <f>IF(Pipes!$B287,Pipes!$B287)</f>
        <v>0</v>
      </c>
      <c r="C287" s="205"/>
      <c r="D287" s="224"/>
      <c r="E287" s="224"/>
      <c r="F287" s="224">
        <f t="shared" si="837"/>
        <v>0</v>
      </c>
      <c r="G287" s="224"/>
      <c r="H287" s="224"/>
      <c r="I287" s="52"/>
      <c r="J287" s="52"/>
      <c r="K287" s="130"/>
      <c r="L287" s="206">
        <f t="shared" si="793"/>
        <v>0</v>
      </c>
      <c r="M287" s="206" t="b">
        <f t="shared" si="794"/>
        <v>0</v>
      </c>
      <c r="N287" s="207" t="b">
        <f t="shared" si="795"/>
        <v>0</v>
      </c>
      <c r="O287" s="209"/>
      <c r="P287" s="208">
        <f t="shared" si="841"/>
        <v>0</v>
      </c>
      <c r="Q287" s="53" t="b">
        <f t="shared" si="797"/>
        <v>0</v>
      </c>
      <c r="R287" s="53" t="b">
        <f t="shared" si="798"/>
        <v>0</v>
      </c>
      <c r="S287" s="241" t="s">
        <v>197</v>
      </c>
      <c r="T287" s="127" t="b">
        <f>IF($N287,IF($F287&gt;$P287,ROUND(($Q287-($F286/12)),2),IF($S287="YES",$N287,$N287-MinDrop)))</f>
        <v>0</v>
      </c>
      <c r="U287" s="210"/>
      <c r="V287" s="54"/>
      <c r="W287" s="54"/>
      <c r="X287" s="54"/>
      <c r="Y287" s="117"/>
      <c r="Z287" s="54"/>
      <c r="AA287" s="54"/>
      <c r="AB287" s="54"/>
      <c r="AC287" s="211"/>
    </row>
    <row r="288" spans="1:29" ht="15" thickBot="1" x14ac:dyDescent="0.35">
      <c r="A288" s="122"/>
      <c r="B288" s="204" t="b">
        <f>IF(Pipes!$B288,Pipes!$B288)</f>
        <v>0</v>
      </c>
      <c r="C288" s="212"/>
      <c r="D288" s="104"/>
      <c r="E288" s="104"/>
      <c r="F288" s="104">
        <f t="shared" si="837"/>
        <v>0</v>
      </c>
      <c r="G288" s="104"/>
      <c r="H288" s="104"/>
      <c r="I288" s="101"/>
      <c r="J288" s="101"/>
      <c r="K288" s="131"/>
      <c r="L288" s="213">
        <f t="shared" si="793"/>
        <v>0</v>
      </c>
      <c r="M288" s="213" t="b">
        <f t="shared" si="794"/>
        <v>0</v>
      </c>
      <c r="N288" s="214" t="b">
        <f t="shared" si="795"/>
        <v>0</v>
      </c>
      <c r="O288" s="216"/>
      <c r="P288" s="215">
        <f t="shared" si="841"/>
        <v>0</v>
      </c>
      <c r="Q288" s="103" t="b">
        <f t="shared" si="797"/>
        <v>0</v>
      </c>
      <c r="R288" s="53" t="b">
        <f t="shared" si="798"/>
        <v>0</v>
      </c>
      <c r="S288" s="241" t="s">
        <v>197</v>
      </c>
      <c r="T288" s="127" t="b">
        <f>IF($N288,IF($F288&gt;$P288,ROUND(($Q288-($F287/12)),2),IF($S288="YES",$N288,$N288-MinDrop)))</f>
        <v>0</v>
      </c>
      <c r="U288" s="217"/>
      <c r="V288" s="102"/>
      <c r="W288" s="102"/>
      <c r="X288" s="102"/>
      <c r="Y288" s="118"/>
      <c r="Z288" s="102"/>
      <c r="AA288" s="102"/>
      <c r="AB288" s="102"/>
      <c r="AC288" s="218"/>
    </row>
    <row r="289" spans="1:29" x14ac:dyDescent="0.3">
      <c r="A289" s="115">
        <f t="shared" ref="A289" si="844">$A284+1</f>
        <v>58</v>
      </c>
      <c r="B289" s="186"/>
      <c r="C289" s="201">
        <f>IF(Pipes!$Q289&gt;0,IF(Pipes!$R289&gt;MinDiameter,Pipes!$R289,MinDiameter),0)</f>
        <v>0</v>
      </c>
      <c r="D289" s="187" t="s">
        <v>197</v>
      </c>
      <c r="E289" s="187"/>
      <c r="F289" s="107">
        <f>Pipes!$S289</f>
        <v>0</v>
      </c>
      <c r="G289" s="108">
        <f>Pipes!$W289</f>
        <v>0</v>
      </c>
      <c r="H289" s="187" t="s">
        <v>197</v>
      </c>
      <c r="I289" s="188"/>
      <c r="J289" s="108">
        <f>Pipes!$X289</f>
        <v>0</v>
      </c>
      <c r="K289" s="193">
        <f>INDEX(Tribs!$H$3:$H$102,MATCH($A289,Tribs!$A$3:$A$102,0))</f>
        <v>0</v>
      </c>
      <c r="L289" s="105">
        <f>INDEX(Tribs!$I$3:$I$102,MATCH($A289,Tribs!$A$3:$A$102,0))</f>
        <v>0</v>
      </c>
      <c r="M289" s="105" t="b">
        <f>IF($L289,ROUND($L289-MinCover-($F289/12),2))</f>
        <v>0</v>
      </c>
      <c r="N289" s="202"/>
      <c r="O289" s="129">
        <f t="shared" ref="O289" si="845">MIN($N290:$N293)</f>
        <v>0</v>
      </c>
      <c r="P289" s="203"/>
      <c r="Q289" s="203"/>
      <c r="R289" s="203"/>
      <c r="S289" s="110"/>
      <c r="T289" s="116" t="b">
        <f t="shared" ref="T289" si="846">IF($M289,$M289)</f>
        <v>0</v>
      </c>
      <c r="U289" s="129">
        <f t="shared" ref="U289" si="847">MIN($T289:$T293)</f>
        <v>0</v>
      </c>
      <c r="V289" s="233" t="s">
        <v>197</v>
      </c>
      <c r="W289" s="219"/>
      <c r="X289" s="219" t="s">
        <v>197</v>
      </c>
      <c r="Y289" s="239"/>
      <c r="Z289" s="105">
        <f t="shared" ref="Z289" si="848">IF($V289="YES",$U289,IF($X289&lt;&gt;"YES",$W289,($AC289+$J289*$K289)))</f>
        <v>0</v>
      </c>
      <c r="AA289" s="105">
        <f t="shared" ref="AA289" si="849">ROUND($Z289+($F289/12),2)</f>
        <v>0</v>
      </c>
      <c r="AB289" s="105" t="b">
        <f t="shared" ref="AB289" si="850">IF($L289,($L289-$AA289))</f>
        <v>0</v>
      </c>
      <c r="AC289" s="111">
        <f t="shared" ref="AC289" si="851">IF(AND($V289&lt;&gt;"YES",$X289="YES"),$Y289,ROUND($Z289-($J289*$K289),2))</f>
        <v>0</v>
      </c>
    </row>
    <row r="290" spans="1:29" x14ac:dyDescent="0.3">
      <c r="A290" s="121"/>
      <c r="B290" s="204" t="b">
        <f>IF(Pipes!$B290,Pipes!$B290)</f>
        <v>0</v>
      </c>
      <c r="C290" s="205"/>
      <c r="D290" s="224"/>
      <c r="E290" s="224"/>
      <c r="F290" s="224">
        <f t="shared" ref="F290:F293" si="852">F289</f>
        <v>0</v>
      </c>
      <c r="G290" s="224"/>
      <c r="H290" s="224"/>
      <c r="I290" s="52"/>
      <c r="J290" s="52"/>
      <c r="K290" s="130"/>
      <c r="L290" s="206">
        <f t="shared" ref="L290" si="853">$L289</f>
        <v>0</v>
      </c>
      <c r="M290" s="206" t="b">
        <f t="shared" ref="M290" si="854">M289</f>
        <v>0</v>
      </c>
      <c r="N290" s="240" t="b">
        <f t="shared" ref="N290" si="855">IF($B290,INDEX($AC$4:$AC$499,MATCH($B290,$A$4:$A$499)))</f>
        <v>0</v>
      </c>
      <c r="O290" s="209"/>
      <c r="P290" s="208">
        <f t="shared" ref="P290:P293" si="856">IF($B290,INDEX($F$4:$F$499,MATCH($B290,$A$4:$A$499)),0)</f>
        <v>0</v>
      </c>
      <c r="Q290" s="242" t="b">
        <f t="shared" ref="Q290" si="857">IF($N290,ROUND(($N290+($P290/12)),2))</f>
        <v>0</v>
      </c>
      <c r="R290" s="53" t="b">
        <f t="shared" ref="R290" si="858">IF(AND($L290,$Q290),$L290-$Q290)</f>
        <v>0</v>
      </c>
      <c r="S290" s="241" t="s">
        <v>197</v>
      </c>
      <c r="T290" s="127" t="b">
        <f>IF($N290,IF($F290&gt;$P290,ROUND(($Q290-($F289/12)),2),IF($S290="YES",$N290,$N290-MinDrop)))</f>
        <v>0</v>
      </c>
      <c r="U290" s="243"/>
      <c r="V290" s="245"/>
      <c r="W290" s="245"/>
      <c r="X290" s="54"/>
      <c r="Y290" s="117"/>
      <c r="Z290" s="54"/>
      <c r="AA290" s="54"/>
      <c r="AB290" s="54"/>
      <c r="AC290" s="211"/>
    </row>
    <row r="291" spans="1:29" x14ac:dyDescent="0.3">
      <c r="A291" s="121"/>
      <c r="B291" s="204" t="b">
        <f>IF(Pipes!$B291,Pipes!$B291)</f>
        <v>0</v>
      </c>
      <c r="C291" s="205"/>
      <c r="D291" s="224"/>
      <c r="E291" s="224"/>
      <c r="F291" s="224">
        <f t="shared" si="852"/>
        <v>0</v>
      </c>
      <c r="G291" s="224"/>
      <c r="H291" s="224"/>
      <c r="I291" s="52"/>
      <c r="J291" s="52"/>
      <c r="K291" s="130"/>
      <c r="L291" s="206">
        <f t="shared" si="793"/>
        <v>0</v>
      </c>
      <c r="M291" s="206" t="b">
        <f t="shared" si="794"/>
        <v>0</v>
      </c>
      <c r="N291" s="207" t="b">
        <f t="shared" si="795"/>
        <v>0</v>
      </c>
      <c r="O291" s="209"/>
      <c r="P291" s="208">
        <f t="shared" si="856"/>
        <v>0</v>
      </c>
      <c r="Q291" s="53" t="b">
        <f t="shared" si="797"/>
        <v>0</v>
      </c>
      <c r="R291" s="53" t="b">
        <f t="shared" si="798"/>
        <v>0</v>
      </c>
      <c r="S291" s="241" t="s">
        <v>197</v>
      </c>
      <c r="T291" s="127" t="b">
        <f>IF($N291,IF($F291&gt;$P291,ROUND(($Q291-($F290/12)),2),IF($S291="YES",$N291,$N291-MinDrop)))</f>
        <v>0</v>
      </c>
      <c r="U291" s="210"/>
      <c r="V291" s="54"/>
      <c r="W291" s="54"/>
      <c r="X291" s="54"/>
      <c r="Y291" s="117"/>
      <c r="Z291" s="54"/>
      <c r="AA291" s="54"/>
      <c r="AB291" s="54"/>
      <c r="AC291" s="211"/>
    </row>
    <row r="292" spans="1:29" x14ac:dyDescent="0.3">
      <c r="A292" s="121"/>
      <c r="B292" s="204" t="b">
        <f>IF(Pipes!$B292,Pipes!$B292)</f>
        <v>0</v>
      </c>
      <c r="C292" s="205"/>
      <c r="D292" s="224"/>
      <c r="E292" s="224"/>
      <c r="F292" s="224">
        <f t="shared" si="852"/>
        <v>0</v>
      </c>
      <c r="G292" s="224"/>
      <c r="H292" s="224"/>
      <c r="I292" s="52"/>
      <c r="J292" s="52"/>
      <c r="K292" s="130"/>
      <c r="L292" s="206">
        <f t="shared" si="793"/>
        <v>0</v>
      </c>
      <c r="M292" s="206" t="b">
        <f t="shared" si="794"/>
        <v>0</v>
      </c>
      <c r="N292" s="207" t="b">
        <f t="shared" si="795"/>
        <v>0</v>
      </c>
      <c r="O292" s="209"/>
      <c r="P292" s="208">
        <f t="shared" si="856"/>
        <v>0</v>
      </c>
      <c r="Q292" s="53" t="b">
        <f t="shared" si="797"/>
        <v>0</v>
      </c>
      <c r="R292" s="53" t="b">
        <f t="shared" si="798"/>
        <v>0</v>
      </c>
      <c r="S292" s="241" t="s">
        <v>197</v>
      </c>
      <c r="T292" s="127" t="b">
        <f>IF($N292,IF($F292&gt;$P292,ROUND(($Q292-($F291/12)),2),IF($S292="YES",$N292,$N292-MinDrop)))</f>
        <v>0</v>
      </c>
      <c r="U292" s="210"/>
      <c r="V292" s="54"/>
      <c r="W292" s="54"/>
      <c r="X292" s="54"/>
      <c r="Y292" s="117"/>
      <c r="Z292" s="54"/>
      <c r="AA292" s="54"/>
      <c r="AB292" s="54"/>
      <c r="AC292" s="211"/>
    </row>
    <row r="293" spans="1:29" ht="15" thickBot="1" x14ac:dyDescent="0.35">
      <c r="A293" s="122"/>
      <c r="B293" s="204" t="b">
        <f>IF(Pipes!$B293,Pipes!$B293)</f>
        <v>0</v>
      </c>
      <c r="C293" s="212"/>
      <c r="D293" s="104"/>
      <c r="E293" s="104"/>
      <c r="F293" s="104">
        <f t="shared" si="852"/>
        <v>0</v>
      </c>
      <c r="G293" s="104"/>
      <c r="H293" s="104"/>
      <c r="I293" s="101"/>
      <c r="J293" s="101"/>
      <c r="K293" s="131"/>
      <c r="L293" s="213">
        <f t="shared" si="793"/>
        <v>0</v>
      </c>
      <c r="M293" s="213" t="b">
        <f t="shared" si="794"/>
        <v>0</v>
      </c>
      <c r="N293" s="214" t="b">
        <f t="shared" si="795"/>
        <v>0</v>
      </c>
      <c r="O293" s="216"/>
      <c r="P293" s="215">
        <f t="shared" si="856"/>
        <v>0</v>
      </c>
      <c r="Q293" s="103" t="b">
        <f t="shared" si="797"/>
        <v>0</v>
      </c>
      <c r="R293" s="53" t="b">
        <f t="shared" si="798"/>
        <v>0</v>
      </c>
      <c r="S293" s="241" t="s">
        <v>197</v>
      </c>
      <c r="T293" s="127" t="b">
        <f>IF($N293,IF($F293&gt;$P293,ROUND(($Q293-($F292/12)),2),IF($S293="YES",$N293,$N293-MinDrop)))</f>
        <v>0</v>
      </c>
      <c r="U293" s="217"/>
      <c r="V293" s="102"/>
      <c r="W293" s="102"/>
      <c r="X293" s="102"/>
      <c r="Y293" s="118"/>
      <c r="Z293" s="102"/>
      <c r="AA293" s="102"/>
      <c r="AB293" s="102"/>
      <c r="AC293" s="218"/>
    </row>
    <row r="294" spans="1:29" x14ac:dyDescent="0.3">
      <c r="A294" s="115">
        <f t="shared" ref="A294" si="859">$A289+1</f>
        <v>59</v>
      </c>
      <c r="B294" s="186"/>
      <c r="C294" s="201">
        <f>IF(Pipes!$Q294&gt;0,IF(Pipes!$R294&gt;MinDiameter,Pipes!$R294,MinDiameter),0)</f>
        <v>0</v>
      </c>
      <c r="D294" s="187" t="s">
        <v>197</v>
      </c>
      <c r="E294" s="187"/>
      <c r="F294" s="107">
        <f>Pipes!$S294</f>
        <v>0</v>
      </c>
      <c r="G294" s="108">
        <f>Pipes!$W294</f>
        <v>0</v>
      </c>
      <c r="H294" s="187" t="s">
        <v>197</v>
      </c>
      <c r="I294" s="188"/>
      <c r="J294" s="108">
        <f>Pipes!$X294</f>
        <v>0</v>
      </c>
      <c r="K294" s="193">
        <f>INDEX(Tribs!$H$3:$H$102,MATCH($A294,Tribs!$A$3:$A$102,0))</f>
        <v>0</v>
      </c>
      <c r="L294" s="105">
        <f>INDEX(Tribs!$I$3:$I$102,MATCH($A294,Tribs!$A$3:$A$102,0))</f>
        <v>0</v>
      </c>
      <c r="M294" s="105" t="b">
        <f>IF($L294,ROUND($L294-MinCover-($F294/12),2))</f>
        <v>0</v>
      </c>
      <c r="N294" s="202"/>
      <c r="O294" s="129">
        <f t="shared" ref="O294" si="860">MIN($N295:$N298)</f>
        <v>0</v>
      </c>
      <c r="P294" s="203"/>
      <c r="Q294" s="203"/>
      <c r="R294" s="203"/>
      <c r="S294" s="110"/>
      <c r="T294" s="116" t="b">
        <f t="shared" ref="T294" si="861">IF($M294,$M294)</f>
        <v>0</v>
      </c>
      <c r="U294" s="129">
        <f t="shared" ref="U294" si="862">MIN($T294:$T298)</f>
        <v>0</v>
      </c>
      <c r="V294" s="233" t="s">
        <v>197</v>
      </c>
      <c r="W294" s="219"/>
      <c r="X294" s="219" t="s">
        <v>197</v>
      </c>
      <c r="Y294" s="239"/>
      <c r="Z294" s="105">
        <f t="shared" ref="Z294" si="863">IF($V294="YES",$U294,IF($X294&lt;&gt;"YES",$W294,($AC294+$J294*$K294)))</f>
        <v>0</v>
      </c>
      <c r="AA294" s="105">
        <f t="shared" ref="AA294" si="864">ROUND($Z294+($F294/12),2)</f>
        <v>0</v>
      </c>
      <c r="AB294" s="105" t="b">
        <f t="shared" ref="AB294" si="865">IF($L294,($L294-$AA294))</f>
        <v>0</v>
      </c>
      <c r="AC294" s="111">
        <f t="shared" ref="AC294" si="866">IF(AND($V294&lt;&gt;"YES",$X294="YES"),$Y294,ROUND($Z294-($J294*$K294),2))</f>
        <v>0</v>
      </c>
    </row>
    <row r="295" spans="1:29" x14ac:dyDescent="0.3">
      <c r="A295" s="121"/>
      <c r="B295" s="204" t="b">
        <f>IF(Pipes!$B295,Pipes!$B295)</f>
        <v>0</v>
      </c>
      <c r="C295" s="205"/>
      <c r="D295" s="224"/>
      <c r="E295" s="224"/>
      <c r="F295" s="224">
        <f t="shared" ref="F295:F298" si="867">F294</f>
        <v>0</v>
      </c>
      <c r="G295" s="224"/>
      <c r="H295" s="224"/>
      <c r="I295" s="52"/>
      <c r="J295" s="52"/>
      <c r="K295" s="130"/>
      <c r="L295" s="206">
        <f t="shared" ref="L295" si="868">$L294</f>
        <v>0</v>
      </c>
      <c r="M295" s="206" t="b">
        <f t="shared" ref="M295" si="869">M294</f>
        <v>0</v>
      </c>
      <c r="N295" s="240" t="b">
        <f t="shared" ref="N295" si="870">IF($B295,INDEX($AC$4:$AC$499,MATCH($B295,$A$4:$A$499)))</f>
        <v>0</v>
      </c>
      <c r="O295" s="209"/>
      <c r="P295" s="208">
        <f t="shared" ref="P295:P298" si="871">IF($B295,INDEX($F$4:$F$499,MATCH($B295,$A$4:$A$499)),0)</f>
        <v>0</v>
      </c>
      <c r="Q295" s="242" t="b">
        <f t="shared" ref="Q295" si="872">IF($N295,ROUND(($N295+($P295/12)),2))</f>
        <v>0</v>
      </c>
      <c r="R295" s="53" t="b">
        <f t="shared" ref="R295" si="873">IF(AND($L295,$Q295),$L295-$Q295)</f>
        <v>0</v>
      </c>
      <c r="S295" s="241" t="s">
        <v>197</v>
      </c>
      <c r="T295" s="127" t="b">
        <f>IF($N295,IF($F295&gt;$P295,ROUND(($Q295-($F294/12)),2),IF($S295="YES",$N295,$N295-MinDrop)))</f>
        <v>0</v>
      </c>
      <c r="U295" s="243"/>
      <c r="V295" s="245"/>
      <c r="W295" s="245"/>
      <c r="X295" s="54"/>
      <c r="Y295" s="117"/>
      <c r="Z295" s="54"/>
      <c r="AA295" s="54"/>
      <c r="AB295" s="54"/>
      <c r="AC295" s="211"/>
    </row>
    <row r="296" spans="1:29" x14ac:dyDescent="0.3">
      <c r="A296" s="121"/>
      <c r="B296" s="204" t="b">
        <f>IF(Pipes!$B296,Pipes!$B296)</f>
        <v>0</v>
      </c>
      <c r="C296" s="205"/>
      <c r="D296" s="224"/>
      <c r="E296" s="224"/>
      <c r="F296" s="224">
        <f t="shared" si="867"/>
        <v>0</v>
      </c>
      <c r="G296" s="224"/>
      <c r="H296" s="224"/>
      <c r="I296" s="52"/>
      <c r="J296" s="52"/>
      <c r="K296" s="130"/>
      <c r="L296" s="206">
        <f t="shared" si="793"/>
        <v>0</v>
      </c>
      <c r="M296" s="206" t="b">
        <f t="shared" si="794"/>
        <v>0</v>
      </c>
      <c r="N296" s="207" t="b">
        <f t="shared" si="795"/>
        <v>0</v>
      </c>
      <c r="O296" s="209"/>
      <c r="P296" s="208">
        <f t="shared" si="871"/>
        <v>0</v>
      </c>
      <c r="Q296" s="53" t="b">
        <f t="shared" si="797"/>
        <v>0</v>
      </c>
      <c r="R296" s="53" t="b">
        <f t="shared" si="798"/>
        <v>0</v>
      </c>
      <c r="S296" s="241" t="s">
        <v>197</v>
      </c>
      <c r="T296" s="127" t="b">
        <f>IF($N296,IF($F296&gt;$P296,ROUND(($Q296-($F295/12)),2),IF($S296="YES",$N296,$N296-MinDrop)))</f>
        <v>0</v>
      </c>
      <c r="U296" s="210"/>
      <c r="V296" s="54"/>
      <c r="W296" s="54"/>
      <c r="X296" s="54"/>
      <c r="Y296" s="117"/>
      <c r="Z296" s="54"/>
      <c r="AA296" s="54"/>
      <c r="AB296" s="54"/>
      <c r="AC296" s="211"/>
    </row>
    <row r="297" spans="1:29" x14ac:dyDescent="0.3">
      <c r="A297" s="121"/>
      <c r="B297" s="204" t="b">
        <f>IF(Pipes!$B297,Pipes!$B297)</f>
        <v>0</v>
      </c>
      <c r="C297" s="205"/>
      <c r="D297" s="224"/>
      <c r="E297" s="224"/>
      <c r="F297" s="224">
        <f t="shared" si="867"/>
        <v>0</v>
      </c>
      <c r="G297" s="224"/>
      <c r="H297" s="224"/>
      <c r="I297" s="52"/>
      <c r="J297" s="52"/>
      <c r="K297" s="130"/>
      <c r="L297" s="206">
        <f t="shared" si="793"/>
        <v>0</v>
      </c>
      <c r="M297" s="206" t="b">
        <f t="shared" si="794"/>
        <v>0</v>
      </c>
      <c r="N297" s="207" t="b">
        <f t="shared" si="795"/>
        <v>0</v>
      </c>
      <c r="O297" s="209"/>
      <c r="P297" s="208">
        <f t="shared" si="871"/>
        <v>0</v>
      </c>
      <c r="Q297" s="53" t="b">
        <f t="shared" si="797"/>
        <v>0</v>
      </c>
      <c r="R297" s="53" t="b">
        <f t="shared" si="798"/>
        <v>0</v>
      </c>
      <c r="S297" s="241" t="s">
        <v>197</v>
      </c>
      <c r="T297" s="127" t="b">
        <f>IF($N297,IF($F297&gt;$P297,ROUND(($Q297-($F296/12)),2),IF($S297="YES",$N297,$N297-MinDrop)))</f>
        <v>0</v>
      </c>
      <c r="U297" s="210"/>
      <c r="V297" s="54"/>
      <c r="W297" s="54"/>
      <c r="X297" s="54"/>
      <c r="Y297" s="117"/>
      <c r="Z297" s="54"/>
      <c r="AA297" s="54"/>
      <c r="AB297" s="54"/>
      <c r="AC297" s="211"/>
    </row>
    <row r="298" spans="1:29" ht="15" thickBot="1" x14ac:dyDescent="0.35">
      <c r="A298" s="122"/>
      <c r="B298" s="204" t="b">
        <f>IF(Pipes!$B298,Pipes!$B298)</f>
        <v>0</v>
      </c>
      <c r="C298" s="212"/>
      <c r="D298" s="104"/>
      <c r="E298" s="104"/>
      <c r="F298" s="104">
        <f t="shared" si="867"/>
        <v>0</v>
      </c>
      <c r="G298" s="104"/>
      <c r="H298" s="104"/>
      <c r="I298" s="101"/>
      <c r="J298" s="101"/>
      <c r="K298" s="131"/>
      <c r="L298" s="213">
        <f t="shared" si="793"/>
        <v>0</v>
      </c>
      <c r="M298" s="213" t="b">
        <f t="shared" si="794"/>
        <v>0</v>
      </c>
      <c r="N298" s="214" t="b">
        <f t="shared" si="795"/>
        <v>0</v>
      </c>
      <c r="O298" s="216"/>
      <c r="P298" s="215">
        <f t="shared" si="871"/>
        <v>0</v>
      </c>
      <c r="Q298" s="103" t="b">
        <f t="shared" si="797"/>
        <v>0</v>
      </c>
      <c r="R298" s="53" t="b">
        <f t="shared" si="798"/>
        <v>0</v>
      </c>
      <c r="S298" s="241" t="s">
        <v>197</v>
      </c>
      <c r="T298" s="127" t="b">
        <f>IF($N298,IF($F298&gt;$P298,ROUND(($Q298-($F297/12)),2),IF($S298="YES",$N298,$N298-MinDrop)))</f>
        <v>0</v>
      </c>
      <c r="U298" s="217"/>
      <c r="V298" s="102"/>
      <c r="W298" s="102"/>
      <c r="X298" s="102"/>
      <c r="Y298" s="118"/>
      <c r="Z298" s="102"/>
      <c r="AA298" s="102"/>
      <c r="AB298" s="102"/>
      <c r="AC298" s="218"/>
    </row>
    <row r="299" spans="1:29" x14ac:dyDescent="0.3">
      <c r="A299" s="115">
        <f t="shared" ref="A299" si="874">$A294+1</f>
        <v>60</v>
      </c>
      <c r="B299" s="186"/>
      <c r="C299" s="201">
        <f>IF(Pipes!$Q299&gt;0,IF(Pipes!$R299&gt;MinDiameter,Pipes!$R299,MinDiameter),0)</f>
        <v>0</v>
      </c>
      <c r="D299" s="187" t="s">
        <v>197</v>
      </c>
      <c r="E299" s="187"/>
      <c r="F299" s="107">
        <f>Pipes!$S299</f>
        <v>0</v>
      </c>
      <c r="G299" s="108">
        <f>Pipes!$W299</f>
        <v>0</v>
      </c>
      <c r="H299" s="187" t="s">
        <v>197</v>
      </c>
      <c r="I299" s="188"/>
      <c r="J299" s="108">
        <f>Pipes!$X299</f>
        <v>0</v>
      </c>
      <c r="K299" s="193">
        <f>INDEX(Tribs!$H$3:$H$102,MATCH($A299,Tribs!$A$3:$A$102,0))</f>
        <v>0</v>
      </c>
      <c r="L299" s="105">
        <f>INDEX(Tribs!$I$3:$I$102,MATCH($A299,Tribs!$A$3:$A$102,0))</f>
        <v>0</v>
      </c>
      <c r="M299" s="105" t="b">
        <f>IF($L299,ROUND($L299-MinCover-($F299/12),2))</f>
        <v>0</v>
      </c>
      <c r="N299" s="202"/>
      <c r="O299" s="129">
        <f t="shared" ref="O299" si="875">MIN($N300:$N303)</f>
        <v>0</v>
      </c>
      <c r="P299" s="203"/>
      <c r="Q299" s="203"/>
      <c r="R299" s="203"/>
      <c r="S299" s="110"/>
      <c r="T299" s="116" t="b">
        <f t="shared" ref="T299" si="876">IF($M299,$M299)</f>
        <v>0</v>
      </c>
      <c r="U299" s="129">
        <f t="shared" ref="U299" si="877">MIN($T299:$T303)</f>
        <v>0</v>
      </c>
      <c r="V299" s="233" t="s">
        <v>197</v>
      </c>
      <c r="W299" s="219"/>
      <c r="X299" s="219" t="s">
        <v>197</v>
      </c>
      <c r="Y299" s="239"/>
      <c r="Z299" s="105">
        <f t="shared" ref="Z299" si="878">IF($V299="YES",$U299,IF($X299&lt;&gt;"YES",$W299,($AC299+$J299*$K299)))</f>
        <v>0</v>
      </c>
      <c r="AA299" s="105">
        <f t="shared" ref="AA299" si="879">ROUND($Z299+($F299/12),2)</f>
        <v>0</v>
      </c>
      <c r="AB299" s="105" t="b">
        <f t="shared" ref="AB299" si="880">IF($L299,($L299-$AA299))</f>
        <v>0</v>
      </c>
      <c r="AC299" s="111">
        <f t="shared" ref="AC299" si="881">IF(AND($V299&lt;&gt;"YES",$X299="YES"),$Y299,ROUND($Z299-($J299*$K299),2))</f>
        <v>0</v>
      </c>
    </row>
    <row r="300" spans="1:29" x14ac:dyDescent="0.3">
      <c r="A300" s="121"/>
      <c r="B300" s="204" t="b">
        <f>IF(Pipes!$B300,Pipes!$B300)</f>
        <v>0</v>
      </c>
      <c r="C300" s="205"/>
      <c r="D300" s="224"/>
      <c r="E300" s="224"/>
      <c r="F300" s="224">
        <f t="shared" ref="F300:F303" si="882">F299</f>
        <v>0</v>
      </c>
      <c r="G300" s="224"/>
      <c r="H300" s="224"/>
      <c r="I300" s="52"/>
      <c r="J300" s="52"/>
      <c r="K300" s="130"/>
      <c r="L300" s="206">
        <f t="shared" ref="L300" si="883">$L299</f>
        <v>0</v>
      </c>
      <c r="M300" s="206" t="b">
        <f t="shared" ref="M300" si="884">M299</f>
        <v>0</v>
      </c>
      <c r="N300" s="240" t="b">
        <f t="shared" ref="N300" si="885">IF($B300,INDEX($AC$4:$AC$499,MATCH($B300,$A$4:$A$499)))</f>
        <v>0</v>
      </c>
      <c r="O300" s="209"/>
      <c r="P300" s="208">
        <f t="shared" ref="P300:P303" si="886">IF($B300,INDEX($F$4:$F$499,MATCH($B300,$A$4:$A$499)),0)</f>
        <v>0</v>
      </c>
      <c r="Q300" s="242" t="b">
        <f t="shared" ref="Q300" si="887">IF($N300,ROUND(($N300+($P300/12)),2))</f>
        <v>0</v>
      </c>
      <c r="R300" s="53" t="b">
        <f t="shared" ref="R300" si="888">IF(AND($L300,$Q300),$L300-$Q300)</f>
        <v>0</v>
      </c>
      <c r="S300" s="241" t="s">
        <v>197</v>
      </c>
      <c r="T300" s="127" t="b">
        <f>IF($N300,IF($F300&gt;$P300,ROUND(($Q300-($F299/12)),2),IF($S300="YES",$N300,$N300-MinDrop)))</f>
        <v>0</v>
      </c>
      <c r="U300" s="243"/>
      <c r="V300" s="245"/>
      <c r="W300" s="245"/>
      <c r="X300" s="54"/>
      <c r="Y300" s="117"/>
      <c r="Z300" s="54"/>
      <c r="AA300" s="54"/>
      <c r="AB300" s="54"/>
      <c r="AC300" s="211"/>
    </row>
    <row r="301" spans="1:29" x14ac:dyDescent="0.3">
      <c r="A301" s="121"/>
      <c r="B301" s="204" t="b">
        <f>IF(Pipes!$B301,Pipes!$B301)</f>
        <v>0</v>
      </c>
      <c r="C301" s="205"/>
      <c r="D301" s="224"/>
      <c r="E301" s="224"/>
      <c r="F301" s="224">
        <f t="shared" si="882"/>
        <v>0</v>
      </c>
      <c r="G301" s="224"/>
      <c r="H301" s="224"/>
      <c r="I301" s="52"/>
      <c r="J301" s="52"/>
      <c r="K301" s="130"/>
      <c r="L301" s="206">
        <f t="shared" si="793"/>
        <v>0</v>
      </c>
      <c r="M301" s="206" t="b">
        <f t="shared" si="794"/>
        <v>0</v>
      </c>
      <c r="N301" s="207" t="b">
        <f t="shared" si="795"/>
        <v>0</v>
      </c>
      <c r="O301" s="209"/>
      <c r="P301" s="208">
        <f t="shared" si="886"/>
        <v>0</v>
      </c>
      <c r="Q301" s="53" t="b">
        <f t="shared" si="797"/>
        <v>0</v>
      </c>
      <c r="R301" s="53" t="b">
        <f t="shared" si="798"/>
        <v>0</v>
      </c>
      <c r="S301" s="241" t="s">
        <v>197</v>
      </c>
      <c r="T301" s="127" t="b">
        <f>IF($N301,IF($F301&gt;$P301,ROUND(($Q301-($F300/12)),2),IF($S301="YES",$N301,$N301-MinDrop)))</f>
        <v>0</v>
      </c>
      <c r="U301" s="210"/>
      <c r="V301" s="54"/>
      <c r="W301" s="54"/>
      <c r="X301" s="54"/>
      <c r="Y301" s="117"/>
      <c r="Z301" s="54"/>
      <c r="AA301" s="54"/>
      <c r="AB301" s="54"/>
      <c r="AC301" s="211"/>
    </row>
    <row r="302" spans="1:29" x14ac:dyDescent="0.3">
      <c r="A302" s="121"/>
      <c r="B302" s="204" t="b">
        <f>IF(Pipes!$B302,Pipes!$B302)</f>
        <v>0</v>
      </c>
      <c r="C302" s="205"/>
      <c r="D302" s="224"/>
      <c r="E302" s="224"/>
      <c r="F302" s="224">
        <f t="shared" si="882"/>
        <v>0</v>
      </c>
      <c r="G302" s="224"/>
      <c r="H302" s="224"/>
      <c r="I302" s="52"/>
      <c r="J302" s="52"/>
      <c r="K302" s="130"/>
      <c r="L302" s="206">
        <f t="shared" si="793"/>
        <v>0</v>
      </c>
      <c r="M302" s="206" t="b">
        <f t="shared" si="794"/>
        <v>0</v>
      </c>
      <c r="N302" s="207" t="b">
        <f t="shared" si="795"/>
        <v>0</v>
      </c>
      <c r="O302" s="209"/>
      <c r="P302" s="208">
        <f t="shared" si="886"/>
        <v>0</v>
      </c>
      <c r="Q302" s="53" t="b">
        <f t="shared" si="797"/>
        <v>0</v>
      </c>
      <c r="R302" s="53" t="b">
        <f t="shared" si="798"/>
        <v>0</v>
      </c>
      <c r="S302" s="241" t="s">
        <v>197</v>
      </c>
      <c r="T302" s="127" t="b">
        <f>IF($N302,IF($F302&gt;$P302,ROUND(($Q302-($F301/12)),2),IF($S302="YES",$N302,$N302-MinDrop)))</f>
        <v>0</v>
      </c>
      <c r="U302" s="210"/>
      <c r="V302" s="54"/>
      <c r="W302" s="54"/>
      <c r="X302" s="54"/>
      <c r="Y302" s="117"/>
      <c r="Z302" s="54"/>
      <c r="AA302" s="54"/>
      <c r="AB302" s="54"/>
      <c r="AC302" s="211"/>
    </row>
    <row r="303" spans="1:29" ht="15" thickBot="1" x14ac:dyDescent="0.35">
      <c r="A303" s="122"/>
      <c r="B303" s="204" t="b">
        <f>IF(Pipes!$B303,Pipes!$B303)</f>
        <v>0</v>
      </c>
      <c r="C303" s="212"/>
      <c r="D303" s="104"/>
      <c r="E303" s="104"/>
      <c r="F303" s="104">
        <f t="shared" si="882"/>
        <v>0</v>
      </c>
      <c r="G303" s="104"/>
      <c r="H303" s="104"/>
      <c r="I303" s="101"/>
      <c r="J303" s="101"/>
      <c r="K303" s="131"/>
      <c r="L303" s="213">
        <f t="shared" si="793"/>
        <v>0</v>
      </c>
      <c r="M303" s="213" t="b">
        <f t="shared" si="794"/>
        <v>0</v>
      </c>
      <c r="N303" s="214" t="b">
        <f t="shared" si="795"/>
        <v>0</v>
      </c>
      <c r="O303" s="216"/>
      <c r="P303" s="215">
        <f t="shared" si="886"/>
        <v>0</v>
      </c>
      <c r="Q303" s="103" t="b">
        <f t="shared" si="797"/>
        <v>0</v>
      </c>
      <c r="R303" s="53" t="b">
        <f t="shared" si="798"/>
        <v>0</v>
      </c>
      <c r="S303" s="241" t="s">
        <v>197</v>
      </c>
      <c r="T303" s="127" t="b">
        <f>IF($N303,IF($F303&gt;$P303,ROUND(($Q303-($F302/12)),2),IF($S303="YES",$N303,$N303-MinDrop)))</f>
        <v>0</v>
      </c>
      <c r="U303" s="217"/>
      <c r="V303" s="102"/>
      <c r="W303" s="102"/>
      <c r="X303" s="102"/>
      <c r="Y303" s="118"/>
      <c r="Z303" s="102"/>
      <c r="AA303" s="102"/>
      <c r="AB303" s="102"/>
      <c r="AC303" s="218"/>
    </row>
    <row r="304" spans="1:29" x14ac:dyDescent="0.3">
      <c r="A304" s="115">
        <f t="shared" ref="A304" si="889">$A299+1</f>
        <v>61</v>
      </c>
      <c r="B304" s="186"/>
      <c r="C304" s="201">
        <f>IF(Pipes!$Q304&gt;0,IF(Pipes!$R304&gt;MinDiameter,Pipes!$R304,MinDiameter),0)</f>
        <v>0</v>
      </c>
      <c r="D304" s="187" t="s">
        <v>197</v>
      </c>
      <c r="E304" s="187"/>
      <c r="F304" s="107">
        <f>Pipes!$S304</f>
        <v>0</v>
      </c>
      <c r="G304" s="108">
        <f>Pipes!$W304</f>
        <v>0</v>
      </c>
      <c r="H304" s="187" t="s">
        <v>197</v>
      </c>
      <c r="I304" s="188"/>
      <c r="J304" s="108">
        <f>Pipes!$X304</f>
        <v>0</v>
      </c>
      <c r="K304" s="193">
        <f>INDEX(Tribs!$H$3:$H$102,MATCH($A304,Tribs!$A$3:$A$102,0))</f>
        <v>0</v>
      </c>
      <c r="L304" s="105">
        <f>INDEX(Tribs!$I$3:$I$102,MATCH($A304,Tribs!$A$3:$A$102,0))</f>
        <v>0</v>
      </c>
      <c r="M304" s="105" t="b">
        <f>IF($L304,ROUND($L304-MinCover-($F304/12),2))</f>
        <v>0</v>
      </c>
      <c r="N304" s="202"/>
      <c r="O304" s="129">
        <f t="shared" ref="O304" si="890">MIN($N305:$N308)</f>
        <v>0</v>
      </c>
      <c r="P304" s="203"/>
      <c r="Q304" s="203"/>
      <c r="R304" s="203"/>
      <c r="S304" s="110"/>
      <c r="T304" s="116" t="b">
        <f t="shared" ref="T304" si="891">IF($M304,$M304)</f>
        <v>0</v>
      </c>
      <c r="U304" s="129">
        <f t="shared" ref="U304" si="892">MIN($T304:$T308)</f>
        <v>0</v>
      </c>
      <c r="V304" s="233" t="s">
        <v>197</v>
      </c>
      <c r="W304" s="219"/>
      <c r="X304" s="219" t="s">
        <v>197</v>
      </c>
      <c r="Y304" s="239"/>
      <c r="Z304" s="105">
        <f t="shared" ref="Z304" si="893">IF($V304="YES",$U304,IF($X304&lt;&gt;"YES",$W304,($AC304+$J304*$K304)))</f>
        <v>0</v>
      </c>
      <c r="AA304" s="105">
        <f t="shared" ref="AA304" si="894">ROUND($Z304+($F304/12),2)</f>
        <v>0</v>
      </c>
      <c r="AB304" s="105" t="b">
        <f t="shared" ref="AB304" si="895">IF($L304,($L304-$AA304))</f>
        <v>0</v>
      </c>
      <c r="AC304" s="111">
        <f t="shared" ref="AC304" si="896">IF(AND($V304&lt;&gt;"YES",$X304="YES"),$Y304,ROUND($Z304-($J304*$K304),2))</f>
        <v>0</v>
      </c>
    </row>
    <row r="305" spans="1:29" x14ac:dyDescent="0.3">
      <c r="A305" s="121"/>
      <c r="B305" s="204" t="b">
        <f>IF(Pipes!$B305,Pipes!$B305)</f>
        <v>0</v>
      </c>
      <c r="C305" s="205"/>
      <c r="D305" s="224"/>
      <c r="E305" s="224"/>
      <c r="F305" s="224">
        <f t="shared" ref="F305:F308" si="897">F304</f>
        <v>0</v>
      </c>
      <c r="G305" s="224"/>
      <c r="H305" s="224"/>
      <c r="I305" s="52"/>
      <c r="J305" s="52"/>
      <c r="K305" s="130"/>
      <c r="L305" s="206">
        <f t="shared" ref="L305" si="898">$L304</f>
        <v>0</v>
      </c>
      <c r="M305" s="206" t="b">
        <f t="shared" ref="M305" si="899">M304</f>
        <v>0</v>
      </c>
      <c r="N305" s="240" t="b">
        <f t="shared" ref="N305" si="900">IF($B305,INDEX($AC$4:$AC$499,MATCH($B305,$A$4:$A$499)))</f>
        <v>0</v>
      </c>
      <c r="O305" s="209"/>
      <c r="P305" s="208">
        <f t="shared" ref="P305:P308" si="901">IF($B305,INDEX($F$4:$F$499,MATCH($B305,$A$4:$A$499)),0)</f>
        <v>0</v>
      </c>
      <c r="Q305" s="242" t="b">
        <f t="shared" ref="Q305" si="902">IF($N305,ROUND(($N305+($P305/12)),2))</f>
        <v>0</v>
      </c>
      <c r="R305" s="53" t="b">
        <f t="shared" ref="R305" si="903">IF(AND($L305,$Q305),$L305-$Q305)</f>
        <v>0</v>
      </c>
      <c r="S305" s="241" t="s">
        <v>197</v>
      </c>
      <c r="T305" s="127" t="b">
        <f>IF($N305,IF($F305&gt;$P305,ROUND(($Q305-($F304/12)),2),IF($S305="YES",$N305,$N305-MinDrop)))</f>
        <v>0</v>
      </c>
      <c r="U305" s="243"/>
      <c r="V305" s="245"/>
      <c r="W305" s="245"/>
      <c r="X305" s="54"/>
      <c r="Y305" s="117"/>
      <c r="Z305" s="54"/>
      <c r="AA305" s="54"/>
      <c r="AB305" s="54"/>
      <c r="AC305" s="211"/>
    </row>
    <row r="306" spans="1:29" x14ac:dyDescent="0.3">
      <c r="A306" s="121"/>
      <c r="B306" s="204" t="b">
        <f>IF(Pipes!$B306,Pipes!$B306)</f>
        <v>0</v>
      </c>
      <c r="C306" s="205"/>
      <c r="D306" s="224"/>
      <c r="E306" s="224"/>
      <c r="F306" s="224">
        <f t="shared" si="897"/>
        <v>0</v>
      </c>
      <c r="G306" s="224"/>
      <c r="H306" s="224"/>
      <c r="I306" s="52"/>
      <c r="J306" s="52"/>
      <c r="K306" s="130"/>
      <c r="L306" s="206">
        <f t="shared" si="793"/>
        <v>0</v>
      </c>
      <c r="M306" s="206" t="b">
        <f t="shared" si="794"/>
        <v>0</v>
      </c>
      <c r="N306" s="207" t="b">
        <f t="shared" si="795"/>
        <v>0</v>
      </c>
      <c r="O306" s="209"/>
      <c r="P306" s="208">
        <f t="shared" si="901"/>
        <v>0</v>
      </c>
      <c r="Q306" s="53" t="b">
        <f t="shared" si="797"/>
        <v>0</v>
      </c>
      <c r="R306" s="53" t="b">
        <f t="shared" si="798"/>
        <v>0</v>
      </c>
      <c r="S306" s="241" t="s">
        <v>197</v>
      </c>
      <c r="T306" s="127" t="b">
        <f>IF($N306,IF($F306&gt;$P306,ROUND(($Q306-($F305/12)),2),IF($S306="YES",$N306,$N306-MinDrop)))</f>
        <v>0</v>
      </c>
      <c r="U306" s="210"/>
      <c r="V306" s="54"/>
      <c r="W306" s="54"/>
      <c r="X306" s="54"/>
      <c r="Y306" s="117"/>
      <c r="Z306" s="54"/>
      <c r="AA306" s="54"/>
      <c r="AB306" s="54"/>
      <c r="AC306" s="211"/>
    </row>
    <row r="307" spans="1:29" x14ac:dyDescent="0.3">
      <c r="A307" s="121"/>
      <c r="B307" s="204" t="b">
        <f>IF(Pipes!$B307,Pipes!$B307)</f>
        <v>0</v>
      </c>
      <c r="C307" s="205"/>
      <c r="D307" s="224"/>
      <c r="E307" s="224"/>
      <c r="F307" s="224">
        <f t="shared" si="897"/>
        <v>0</v>
      </c>
      <c r="G307" s="224"/>
      <c r="H307" s="224"/>
      <c r="I307" s="52"/>
      <c r="J307" s="52"/>
      <c r="K307" s="130"/>
      <c r="L307" s="206">
        <f t="shared" si="793"/>
        <v>0</v>
      </c>
      <c r="M307" s="206" t="b">
        <f t="shared" si="794"/>
        <v>0</v>
      </c>
      <c r="N307" s="207" t="b">
        <f t="shared" si="795"/>
        <v>0</v>
      </c>
      <c r="O307" s="209"/>
      <c r="P307" s="208">
        <f t="shared" si="901"/>
        <v>0</v>
      </c>
      <c r="Q307" s="53" t="b">
        <f t="shared" si="797"/>
        <v>0</v>
      </c>
      <c r="R307" s="53" t="b">
        <f t="shared" si="798"/>
        <v>0</v>
      </c>
      <c r="S307" s="241" t="s">
        <v>197</v>
      </c>
      <c r="T307" s="127" t="b">
        <f>IF($N307,IF($F307&gt;$P307,ROUND(($Q307-($F306/12)),2),IF($S307="YES",$N307,$N307-MinDrop)))</f>
        <v>0</v>
      </c>
      <c r="U307" s="210"/>
      <c r="V307" s="54"/>
      <c r="W307" s="54"/>
      <c r="X307" s="54"/>
      <c r="Y307" s="117"/>
      <c r="Z307" s="54"/>
      <c r="AA307" s="54"/>
      <c r="AB307" s="54"/>
      <c r="AC307" s="211"/>
    </row>
    <row r="308" spans="1:29" ht="15" thickBot="1" x14ac:dyDescent="0.35">
      <c r="A308" s="122"/>
      <c r="B308" s="204" t="b">
        <f>IF(Pipes!$B308,Pipes!$B308)</f>
        <v>0</v>
      </c>
      <c r="C308" s="212"/>
      <c r="D308" s="104"/>
      <c r="E308" s="104"/>
      <c r="F308" s="104">
        <f t="shared" si="897"/>
        <v>0</v>
      </c>
      <c r="G308" s="104"/>
      <c r="H308" s="104"/>
      <c r="I308" s="101"/>
      <c r="J308" s="101"/>
      <c r="K308" s="131"/>
      <c r="L308" s="213">
        <f t="shared" si="793"/>
        <v>0</v>
      </c>
      <c r="M308" s="213" t="b">
        <f t="shared" si="794"/>
        <v>0</v>
      </c>
      <c r="N308" s="214" t="b">
        <f t="shared" si="795"/>
        <v>0</v>
      </c>
      <c r="O308" s="216"/>
      <c r="P308" s="215">
        <f t="shared" si="901"/>
        <v>0</v>
      </c>
      <c r="Q308" s="103" t="b">
        <f t="shared" si="797"/>
        <v>0</v>
      </c>
      <c r="R308" s="53" t="b">
        <f t="shared" si="798"/>
        <v>0</v>
      </c>
      <c r="S308" s="241" t="s">
        <v>197</v>
      </c>
      <c r="T308" s="127" t="b">
        <f>IF($N308,IF($F308&gt;$P308,ROUND(($Q308-($F307/12)),2),IF($S308="YES",$N308,$N308-MinDrop)))</f>
        <v>0</v>
      </c>
      <c r="U308" s="217"/>
      <c r="V308" s="102"/>
      <c r="W308" s="102"/>
      <c r="X308" s="102"/>
      <c r="Y308" s="118"/>
      <c r="Z308" s="102"/>
      <c r="AA308" s="102"/>
      <c r="AB308" s="102"/>
      <c r="AC308" s="218"/>
    </row>
    <row r="309" spans="1:29" x14ac:dyDescent="0.3">
      <c r="A309" s="115">
        <f t="shared" ref="A309" si="904">$A304+1</f>
        <v>62</v>
      </c>
      <c r="B309" s="186"/>
      <c r="C309" s="201">
        <f>IF(Pipes!$Q309&gt;0,IF(Pipes!$R309&gt;MinDiameter,Pipes!$R309,MinDiameter),0)</f>
        <v>0</v>
      </c>
      <c r="D309" s="187" t="s">
        <v>197</v>
      </c>
      <c r="E309" s="187"/>
      <c r="F309" s="107">
        <f>Pipes!$S309</f>
        <v>0</v>
      </c>
      <c r="G309" s="108">
        <f>Pipes!$W309</f>
        <v>0</v>
      </c>
      <c r="H309" s="187" t="s">
        <v>197</v>
      </c>
      <c r="I309" s="188"/>
      <c r="J309" s="108">
        <f>Pipes!$X309</f>
        <v>0</v>
      </c>
      <c r="K309" s="193">
        <f>INDEX(Tribs!$H$3:$H$102,MATCH($A309,Tribs!$A$3:$A$102,0))</f>
        <v>0</v>
      </c>
      <c r="L309" s="105">
        <f>INDEX(Tribs!$I$3:$I$102,MATCH($A309,Tribs!$A$3:$A$102,0))</f>
        <v>0</v>
      </c>
      <c r="M309" s="105" t="b">
        <f>IF($L309,ROUND($L309-MinCover-($F309/12),2))</f>
        <v>0</v>
      </c>
      <c r="N309" s="202"/>
      <c r="O309" s="129">
        <f t="shared" ref="O309" si="905">MIN($N310:$N313)</f>
        <v>0</v>
      </c>
      <c r="P309" s="203"/>
      <c r="Q309" s="203"/>
      <c r="R309" s="203"/>
      <c r="S309" s="110"/>
      <c r="T309" s="116" t="b">
        <f t="shared" ref="T309" si="906">IF($M309,$M309)</f>
        <v>0</v>
      </c>
      <c r="U309" s="129">
        <f t="shared" ref="U309" si="907">MIN($T309:$T313)</f>
        <v>0</v>
      </c>
      <c r="V309" s="233" t="s">
        <v>197</v>
      </c>
      <c r="W309" s="219"/>
      <c r="X309" s="219" t="s">
        <v>197</v>
      </c>
      <c r="Y309" s="239"/>
      <c r="Z309" s="105">
        <f t="shared" ref="Z309" si="908">IF($V309="YES",$U309,IF($X309&lt;&gt;"YES",$W309,($AC309+$J309*$K309)))</f>
        <v>0</v>
      </c>
      <c r="AA309" s="105">
        <f t="shared" ref="AA309" si="909">ROUND($Z309+($F309/12),2)</f>
        <v>0</v>
      </c>
      <c r="AB309" s="105" t="b">
        <f t="shared" ref="AB309" si="910">IF($L309,($L309-$AA309))</f>
        <v>0</v>
      </c>
      <c r="AC309" s="111">
        <f t="shared" ref="AC309" si="911">IF(AND($V309&lt;&gt;"YES",$X309="YES"),$Y309,ROUND($Z309-($J309*$K309),2))</f>
        <v>0</v>
      </c>
    </row>
    <row r="310" spans="1:29" x14ac:dyDescent="0.3">
      <c r="A310" s="121"/>
      <c r="B310" s="204" t="b">
        <f>IF(Pipes!$B310,Pipes!$B310)</f>
        <v>0</v>
      </c>
      <c r="C310" s="205"/>
      <c r="D310" s="224"/>
      <c r="E310" s="224"/>
      <c r="F310" s="224">
        <f t="shared" ref="F310:F313" si="912">F309</f>
        <v>0</v>
      </c>
      <c r="G310" s="224"/>
      <c r="H310" s="224"/>
      <c r="I310" s="52"/>
      <c r="J310" s="52"/>
      <c r="K310" s="130"/>
      <c r="L310" s="206">
        <f t="shared" ref="L310" si="913">$L309</f>
        <v>0</v>
      </c>
      <c r="M310" s="206" t="b">
        <f t="shared" ref="M310" si="914">M309</f>
        <v>0</v>
      </c>
      <c r="N310" s="240" t="b">
        <f t="shared" ref="N310" si="915">IF($B310,INDEX($AC$4:$AC$499,MATCH($B310,$A$4:$A$499)))</f>
        <v>0</v>
      </c>
      <c r="O310" s="209"/>
      <c r="P310" s="208">
        <f t="shared" ref="P310:P313" si="916">IF($B310,INDEX($F$4:$F$499,MATCH($B310,$A$4:$A$499)),0)</f>
        <v>0</v>
      </c>
      <c r="Q310" s="242" t="b">
        <f t="shared" ref="Q310" si="917">IF($N310,ROUND(($N310+($P310/12)),2))</f>
        <v>0</v>
      </c>
      <c r="R310" s="53" t="b">
        <f t="shared" ref="R310" si="918">IF(AND($L310,$Q310),$L310-$Q310)</f>
        <v>0</v>
      </c>
      <c r="S310" s="241" t="s">
        <v>197</v>
      </c>
      <c r="T310" s="127" t="b">
        <f>IF($N310,IF($F310&gt;$P310,ROUND(($Q310-($F309/12)),2),IF($S310="YES",$N310,$N310-MinDrop)))</f>
        <v>0</v>
      </c>
      <c r="U310" s="243"/>
      <c r="V310" s="245"/>
      <c r="W310" s="245"/>
      <c r="X310" s="54"/>
      <c r="Y310" s="117"/>
      <c r="Z310" s="54"/>
      <c r="AA310" s="54"/>
      <c r="AB310" s="54"/>
      <c r="AC310" s="211"/>
    </row>
    <row r="311" spans="1:29" x14ac:dyDescent="0.3">
      <c r="A311" s="121"/>
      <c r="B311" s="204" t="b">
        <f>IF(Pipes!$B311,Pipes!$B311)</f>
        <v>0</v>
      </c>
      <c r="C311" s="205"/>
      <c r="D311" s="224"/>
      <c r="E311" s="224"/>
      <c r="F311" s="224">
        <f t="shared" si="912"/>
        <v>0</v>
      </c>
      <c r="G311" s="224"/>
      <c r="H311" s="224"/>
      <c r="I311" s="52"/>
      <c r="J311" s="52"/>
      <c r="K311" s="130"/>
      <c r="L311" s="206">
        <f t="shared" si="793"/>
        <v>0</v>
      </c>
      <c r="M311" s="206" t="b">
        <f t="shared" si="794"/>
        <v>0</v>
      </c>
      <c r="N311" s="207" t="b">
        <f t="shared" si="795"/>
        <v>0</v>
      </c>
      <c r="O311" s="209"/>
      <c r="P311" s="208">
        <f t="shared" si="916"/>
        <v>0</v>
      </c>
      <c r="Q311" s="53" t="b">
        <f t="shared" si="797"/>
        <v>0</v>
      </c>
      <c r="R311" s="53" t="b">
        <f t="shared" si="798"/>
        <v>0</v>
      </c>
      <c r="S311" s="241" t="s">
        <v>197</v>
      </c>
      <c r="T311" s="127" t="b">
        <f>IF($N311,IF($F311&gt;$P311,ROUND(($Q311-($F310/12)),2),IF($S311="YES",$N311,$N311-MinDrop)))</f>
        <v>0</v>
      </c>
      <c r="U311" s="210"/>
      <c r="V311" s="54"/>
      <c r="W311" s="54"/>
      <c r="X311" s="54"/>
      <c r="Y311" s="117"/>
      <c r="Z311" s="54"/>
      <c r="AA311" s="54"/>
      <c r="AB311" s="54"/>
      <c r="AC311" s="211"/>
    </row>
    <row r="312" spans="1:29" x14ac:dyDescent="0.3">
      <c r="A312" s="121"/>
      <c r="B312" s="204" t="b">
        <f>IF(Pipes!$B312,Pipes!$B312)</f>
        <v>0</v>
      </c>
      <c r="C312" s="205"/>
      <c r="D312" s="224"/>
      <c r="E312" s="224"/>
      <c r="F312" s="224">
        <f t="shared" si="912"/>
        <v>0</v>
      </c>
      <c r="G312" s="224"/>
      <c r="H312" s="224"/>
      <c r="I312" s="52"/>
      <c r="J312" s="52"/>
      <c r="K312" s="130"/>
      <c r="L312" s="206">
        <f t="shared" si="793"/>
        <v>0</v>
      </c>
      <c r="M312" s="206" t="b">
        <f t="shared" si="794"/>
        <v>0</v>
      </c>
      <c r="N312" s="207" t="b">
        <f t="shared" si="795"/>
        <v>0</v>
      </c>
      <c r="O312" s="209"/>
      <c r="P312" s="208">
        <f t="shared" si="916"/>
        <v>0</v>
      </c>
      <c r="Q312" s="53" t="b">
        <f t="shared" si="797"/>
        <v>0</v>
      </c>
      <c r="R312" s="53" t="b">
        <f t="shared" si="798"/>
        <v>0</v>
      </c>
      <c r="S312" s="241" t="s">
        <v>197</v>
      </c>
      <c r="T312" s="127" t="b">
        <f>IF($N312,IF($F312&gt;$P312,ROUND(($Q312-($F311/12)),2),IF($S312="YES",$N312,$N312-MinDrop)))</f>
        <v>0</v>
      </c>
      <c r="U312" s="210"/>
      <c r="V312" s="54"/>
      <c r="W312" s="54"/>
      <c r="X312" s="54"/>
      <c r="Y312" s="117"/>
      <c r="Z312" s="54"/>
      <c r="AA312" s="54"/>
      <c r="AB312" s="54"/>
      <c r="AC312" s="211"/>
    </row>
    <row r="313" spans="1:29" ht="15" thickBot="1" x14ac:dyDescent="0.35">
      <c r="A313" s="122"/>
      <c r="B313" s="204" t="b">
        <f>IF(Pipes!$B313,Pipes!$B313)</f>
        <v>0</v>
      </c>
      <c r="C313" s="212"/>
      <c r="D313" s="104"/>
      <c r="E313" s="104"/>
      <c r="F313" s="104">
        <f t="shared" si="912"/>
        <v>0</v>
      </c>
      <c r="G313" s="104"/>
      <c r="H313" s="104"/>
      <c r="I313" s="101"/>
      <c r="J313" s="101"/>
      <c r="K313" s="131"/>
      <c r="L313" s="213">
        <f t="shared" si="793"/>
        <v>0</v>
      </c>
      <c r="M313" s="213" t="b">
        <f t="shared" si="794"/>
        <v>0</v>
      </c>
      <c r="N313" s="214" t="b">
        <f t="shared" si="795"/>
        <v>0</v>
      </c>
      <c r="O313" s="216"/>
      <c r="P313" s="215">
        <f t="shared" si="916"/>
        <v>0</v>
      </c>
      <c r="Q313" s="103" t="b">
        <f t="shared" si="797"/>
        <v>0</v>
      </c>
      <c r="R313" s="53" t="b">
        <f t="shared" si="798"/>
        <v>0</v>
      </c>
      <c r="S313" s="241" t="s">
        <v>197</v>
      </c>
      <c r="T313" s="127" t="b">
        <f>IF($N313,IF($F313&gt;$P313,ROUND(($Q313-($F312/12)),2),IF($S313="YES",$N313,$N313-MinDrop)))</f>
        <v>0</v>
      </c>
      <c r="U313" s="217"/>
      <c r="V313" s="102"/>
      <c r="W313" s="102"/>
      <c r="X313" s="102"/>
      <c r="Y313" s="118"/>
      <c r="Z313" s="102"/>
      <c r="AA313" s="102"/>
      <c r="AB313" s="102"/>
      <c r="AC313" s="218"/>
    </row>
    <row r="314" spans="1:29" x14ac:dyDescent="0.3">
      <c r="A314" s="115">
        <f t="shared" ref="A314" si="919">$A309+1</f>
        <v>63</v>
      </c>
      <c r="B314" s="186"/>
      <c r="C314" s="201">
        <f>IF(Pipes!$Q314&gt;0,IF(Pipes!$R314&gt;MinDiameter,Pipes!$R314,MinDiameter),0)</f>
        <v>0</v>
      </c>
      <c r="D314" s="187" t="s">
        <v>197</v>
      </c>
      <c r="E314" s="187"/>
      <c r="F314" s="107">
        <f>Pipes!$S314</f>
        <v>0</v>
      </c>
      <c r="G314" s="108">
        <f>Pipes!$W314</f>
        <v>0</v>
      </c>
      <c r="H314" s="187" t="s">
        <v>197</v>
      </c>
      <c r="I314" s="188"/>
      <c r="J314" s="108">
        <f>Pipes!$X314</f>
        <v>0</v>
      </c>
      <c r="K314" s="193">
        <f>INDEX(Tribs!$H$3:$H$102,MATCH($A314,Tribs!$A$3:$A$102,0))</f>
        <v>0</v>
      </c>
      <c r="L314" s="105">
        <f>INDEX(Tribs!$I$3:$I$102,MATCH($A314,Tribs!$A$3:$A$102,0))</f>
        <v>0</v>
      </c>
      <c r="M314" s="105" t="b">
        <f>IF($L314,ROUND($L314-MinCover-($F314/12),2))</f>
        <v>0</v>
      </c>
      <c r="N314" s="202"/>
      <c r="O314" s="129">
        <f t="shared" ref="O314" si="920">MIN($N315:$N318)</f>
        <v>0</v>
      </c>
      <c r="P314" s="203"/>
      <c r="Q314" s="203"/>
      <c r="R314" s="203"/>
      <c r="S314" s="110"/>
      <c r="T314" s="116" t="b">
        <f t="shared" ref="T314" si="921">IF($M314,$M314)</f>
        <v>0</v>
      </c>
      <c r="U314" s="129">
        <f t="shared" ref="U314" si="922">MIN($T314:$T318)</f>
        <v>0</v>
      </c>
      <c r="V314" s="233" t="s">
        <v>197</v>
      </c>
      <c r="W314" s="219"/>
      <c r="X314" s="219" t="s">
        <v>197</v>
      </c>
      <c r="Y314" s="239"/>
      <c r="Z314" s="105">
        <f t="shared" ref="Z314" si="923">IF($V314="YES",$U314,IF($X314&lt;&gt;"YES",$W314,($AC314+$J314*$K314)))</f>
        <v>0</v>
      </c>
      <c r="AA314" s="105">
        <f t="shared" ref="AA314" si="924">ROUND($Z314+($F314/12),2)</f>
        <v>0</v>
      </c>
      <c r="AB314" s="105" t="b">
        <f t="shared" ref="AB314" si="925">IF($L314,($L314-$AA314))</f>
        <v>0</v>
      </c>
      <c r="AC314" s="111">
        <f t="shared" ref="AC314" si="926">IF(AND($V314&lt;&gt;"YES",$X314="YES"),$Y314,ROUND($Z314-($J314*$K314),2))</f>
        <v>0</v>
      </c>
    </row>
    <row r="315" spans="1:29" x14ac:dyDescent="0.3">
      <c r="A315" s="121"/>
      <c r="B315" s="204" t="b">
        <f>IF(Pipes!$B315,Pipes!$B315)</f>
        <v>0</v>
      </c>
      <c r="C315" s="205"/>
      <c r="D315" s="224"/>
      <c r="E315" s="224"/>
      <c r="F315" s="224">
        <f t="shared" ref="F315:F318" si="927">F314</f>
        <v>0</v>
      </c>
      <c r="G315" s="224"/>
      <c r="H315" s="224"/>
      <c r="I315" s="52"/>
      <c r="J315" s="52"/>
      <c r="K315" s="130"/>
      <c r="L315" s="206">
        <f t="shared" ref="L315" si="928">$L314</f>
        <v>0</v>
      </c>
      <c r="M315" s="206" t="b">
        <f t="shared" ref="M315" si="929">M314</f>
        <v>0</v>
      </c>
      <c r="N315" s="240" t="b">
        <f t="shared" ref="N315" si="930">IF($B315,INDEX($AC$4:$AC$499,MATCH($B315,$A$4:$A$499)))</f>
        <v>0</v>
      </c>
      <c r="O315" s="209"/>
      <c r="P315" s="208">
        <f t="shared" ref="P315:P318" si="931">IF($B315,INDEX($F$4:$F$499,MATCH($B315,$A$4:$A$499)),0)</f>
        <v>0</v>
      </c>
      <c r="Q315" s="242" t="b">
        <f t="shared" ref="Q315" si="932">IF($N315,ROUND(($N315+($P315/12)),2))</f>
        <v>0</v>
      </c>
      <c r="R315" s="53" t="b">
        <f t="shared" ref="R315" si="933">IF(AND($L315,$Q315),$L315-$Q315)</f>
        <v>0</v>
      </c>
      <c r="S315" s="241" t="s">
        <v>197</v>
      </c>
      <c r="T315" s="127" t="b">
        <f>IF($N315,IF($F315&gt;$P315,ROUND(($Q315-($F314/12)),2),IF($S315="YES",$N315,$N315-MinDrop)))</f>
        <v>0</v>
      </c>
      <c r="U315" s="243"/>
      <c r="V315" s="245"/>
      <c r="W315" s="245"/>
      <c r="X315" s="54"/>
      <c r="Y315" s="117"/>
      <c r="Z315" s="54"/>
      <c r="AA315" s="54"/>
      <c r="AB315" s="54"/>
      <c r="AC315" s="211"/>
    </row>
    <row r="316" spans="1:29" x14ac:dyDescent="0.3">
      <c r="A316" s="121"/>
      <c r="B316" s="204" t="b">
        <f>IF(Pipes!$B316,Pipes!$B316)</f>
        <v>0</v>
      </c>
      <c r="C316" s="205"/>
      <c r="D316" s="224"/>
      <c r="E316" s="224"/>
      <c r="F316" s="224">
        <f t="shared" si="927"/>
        <v>0</v>
      </c>
      <c r="G316" s="224"/>
      <c r="H316" s="224"/>
      <c r="I316" s="52"/>
      <c r="J316" s="52"/>
      <c r="K316" s="130"/>
      <c r="L316" s="206">
        <f t="shared" si="793"/>
        <v>0</v>
      </c>
      <c r="M316" s="206" t="b">
        <f t="shared" si="794"/>
        <v>0</v>
      </c>
      <c r="N316" s="207" t="b">
        <f t="shared" si="795"/>
        <v>0</v>
      </c>
      <c r="O316" s="209"/>
      <c r="P316" s="208">
        <f t="shared" si="931"/>
        <v>0</v>
      </c>
      <c r="Q316" s="53" t="b">
        <f t="shared" si="797"/>
        <v>0</v>
      </c>
      <c r="R316" s="53" t="b">
        <f t="shared" si="798"/>
        <v>0</v>
      </c>
      <c r="S316" s="241" t="s">
        <v>197</v>
      </c>
      <c r="T316" s="127" t="b">
        <f>IF($N316,IF($F316&gt;$P316,ROUND(($Q316-($F315/12)),2),IF($S316="YES",$N316,$N316-MinDrop)))</f>
        <v>0</v>
      </c>
      <c r="U316" s="210"/>
      <c r="V316" s="54"/>
      <c r="W316" s="54"/>
      <c r="X316" s="54"/>
      <c r="Y316" s="117"/>
      <c r="Z316" s="54"/>
      <c r="AA316" s="54"/>
      <c r="AB316" s="54"/>
      <c r="AC316" s="211"/>
    </row>
    <row r="317" spans="1:29" x14ac:dyDescent="0.3">
      <c r="A317" s="121"/>
      <c r="B317" s="204" t="b">
        <f>IF(Pipes!$B317,Pipes!$B317)</f>
        <v>0</v>
      </c>
      <c r="C317" s="205"/>
      <c r="D317" s="224"/>
      <c r="E317" s="224"/>
      <c r="F317" s="224">
        <f t="shared" si="927"/>
        <v>0</v>
      </c>
      <c r="G317" s="224"/>
      <c r="H317" s="224"/>
      <c r="I317" s="52"/>
      <c r="J317" s="52"/>
      <c r="K317" s="130"/>
      <c r="L317" s="206">
        <f t="shared" si="793"/>
        <v>0</v>
      </c>
      <c r="M317" s="206" t="b">
        <f t="shared" si="794"/>
        <v>0</v>
      </c>
      <c r="N317" s="207" t="b">
        <f t="shared" si="795"/>
        <v>0</v>
      </c>
      <c r="O317" s="209"/>
      <c r="P317" s="208">
        <f t="shared" si="931"/>
        <v>0</v>
      </c>
      <c r="Q317" s="53" t="b">
        <f t="shared" si="797"/>
        <v>0</v>
      </c>
      <c r="R317" s="53" t="b">
        <f t="shared" si="798"/>
        <v>0</v>
      </c>
      <c r="S317" s="241" t="s">
        <v>197</v>
      </c>
      <c r="T317" s="127" t="b">
        <f>IF($N317,IF($F317&gt;$P317,ROUND(($Q317-($F316/12)),2),IF($S317="YES",$N317,$N317-MinDrop)))</f>
        <v>0</v>
      </c>
      <c r="U317" s="210"/>
      <c r="V317" s="54"/>
      <c r="W317" s="54"/>
      <c r="X317" s="54"/>
      <c r="Y317" s="117"/>
      <c r="Z317" s="54"/>
      <c r="AA317" s="54"/>
      <c r="AB317" s="54"/>
      <c r="AC317" s="211"/>
    </row>
    <row r="318" spans="1:29" ht="15" thickBot="1" x14ac:dyDescent="0.35">
      <c r="A318" s="122"/>
      <c r="B318" s="204" t="b">
        <f>IF(Pipes!$B318,Pipes!$B318)</f>
        <v>0</v>
      </c>
      <c r="C318" s="212"/>
      <c r="D318" s="104"/>
      <c r="E318" s="104"/>
      <c r="F318" s="104">
        <f t="shared" si="927"/>
        <v>0</v>
      </c>
      <c r="G318" s="104"/>
      <c r="H318" s="104"/>
      <c r="I318" s="101"/>
      <c r="J318" s="101"/>
      <c r="K318" s="131"/>
      <c r="L318" s="213">
        <f t="shared" si="793"/>
        <v>0</v>
      </c>
      <c r="M318" s="213" t="b">
        <f t="shared" si="794"/>
        <v>0</v>
      </c>
      <c r="N318" s="214" t="b">
        <f t="shared" si="795"/>
        <v>0</v>
      </c>
      <c r="O318" s="216"/>
      <c r="P318" s="215">
        <f t="shared" si="931"/>
        <v>0</v>
      </c>
      <c r="Q318" s="103" t="b">
        <f t="shared" si="797"/>
        <v>0</v>
      </c>
      <c r="R318" s="53" t="b">
        <f t="shared" si="798"/>
        <v>0</v>
      </c>
      <c r="S318" s="241" t="s">
        <v>197</v>
      </c>
      <c r="T318" s="127" t="b">
        <f>IF($N318,IF($F318&gt;$P318,ROUND(($Q318-($F317/12)),2),IF($S318="YES",$N318,$N318-MinDrop)))</f>
        <v>0</v>
      </c>
      <c r="U318" s="217"/>
      <c r="V318" s="102"/>
      <c r="W318" s="102"/>
      <c r="X318" s="102"/>
      <c r="Y318" s="118"/>
      <c r="Z318" s="102"/>
      <c r="AA318" s="102"/>
      <c r="AB318" s="102"/>
      <c r="AC318" s="218"/>
    </row>
    <row r="319" spans="1:29" x14ac:dyDescent="0.3">
      <c r="A319" s="115">
        <f t="shared" ref="A319" si="934">$A314+1</f>
        <v>64</v>
      </c>
      <c r="B319" s="186"/>
      <c r="C319" s="201">
        <f>IF(Pipes!$Q319&gt;0,IF(Pipes!$R319&gt;MinDiameter,Pipes!$R319,MinDiameter),0)</f>
        <v>0</v>
      </c>
      <c r="D319" s="187" t="s">
        <v>197</v>
      </c>
      <c r="E319" s="187"/>
      <c r="F319" s="107">
        <f>Pipes!$S319</f>
        <v>0</v>
      </c>
      <c r="G319" s="108">
        <f>Pipes!$W319</f>
        <v>0</v>
      </c>
      <c r="H319" s="187" t="s">
        <v>197</v>
      </c>
      <c r="I319" s="188"/>
      <c r="J319" s="108">
        <f>Pipes!$X319</f>
        <v>0</v>
      </c>
      <c r="K319" s="193">
        <f>INDEX(Tribs!$H$3:$H$102,MATCH($A319,Tribs!$A$3:$A$102,0))</f>
        <v>0</v>
      </c>
      <c r="L319" s="105">
        <f>INDEX(Tribs!$I$3:$I$102,MATCH($A319,Tribs!$A$3:$A$102,0))</f>
        <v>0</v>
      </c>
      <c r="M319" s="105" t="b">
        <f>IF($L319,ROUND($L319-MinCover-($F319/12),2))</f>
        <v>0</v>
      </c>
      <c r="N319" s="202"/>
      <c r="O319" s="129">
        <f t="shared" ref="O319" si="935">MIN($N320:$N323)</f>
        <v>0</v>
      </c>
      <c r="P319" s="203"/>
      <c r="Q319" s="203"/>
      <c r="R319" s="203"/>
      <c r="S319" s="110"/>
      <c r="T319" s="116" t="b">
        <f t="shared" ref="T319" si="936">IF($M319,$M319)</f>
        <v>0</v>
      </c>
      <c r="U319" s="129">
        <f t="shared" ref="U319" si="937">MIN($T319:$T323)</f>
        <v>0</v>
      </c>
      <c r="V319" s="233" t="s">
        <v>197</v>
      </c>
      <c r="W319" s="219"/>
      <c r="X319" s="219" t="s">
        <v>197</v>
      </c>
      <c r="Y319" s="239"/>
      <c r="Z319" s="105">
        <f t="shared" ref="Z319" si="938">IF($V319="YES",$U319,IF($X319&lt;&gt;"YES",$W319,($AC319+$J319*$K319)))</f>
        <v>0</v>
      </c>
      <c r="AA319" s="105">
        <f t="shared" ref="AA319" si="939">ROUND($Z319+($F319/12),2)</f>
        <v>0</v>
      </c>
      <c r="AB319" s="105" t="b">
        <f t="shared" ref="AB319" si="940">IF($L319,($L319-$AA319))</f>
        <v>0</v>
      </c>
      <c r="AC319" s="111">
        <f t="shared" ref="AC319" si="941">IF(AND($V319&lt;&gt;"YES",$X319="YES"),$Y319,ROUND($Z319-($J319*$K319),2))</f>
        <v>0</v>
      </c>
    </row>
    <row r="320" spans="1:29" x14ac:dyDescent="0.3">
      <c r="A320" s="121"/>
      <c r="B320" s="204" t="b">
        <f>IF(Pipes!$B320,Pipes!$B320)</f>
        <v>0</v>
      </c>
      <c r="C320" s="205"/>
      <c r="D320" s="224"/>
      <c r="E320" s="224"/>
      <c r="F320" s="224">
        <f t="shared" ref="F320:F323" si="942">F319</f>
        <v>0</v>
      </c>
      <c r="G320" s="224"/>
      <c r="H320" s="224"/>
      <c r="I320" s="52"/>
      <c r="J320" s="52"/>
      <c r="K320" s="130"/>
      <c r="L320" s="206">
        <f t="shared" ref="L320" si="943">$L319</f>
        <v>0</v>
      </c>
      <c r="M320" s="206" t="b">
        <f t="shared" ref="M320" si="944">M319</f>
        <v>0</v>
      </c>
      <c r="N320" s="240" t="b">
        <f t="shared" ref="N320" si="945">IF($B320,INDEX($AC$4:$AC$499,MATCH($B320,$A$4:$A$499)))</f>
        <v>0</v>
      </c>
      <c r="O320" s="209"/>
      <c r="P320" s="208">
        <f t="shared" ref="P320:P323" si="946">IF($B320,INDEX($F$4:$F$499,MATCH($B320,$A$4:$A$499)),0)</f>
        <v>0</v>
      </c>
      <c r="Q320" s="242" t="b">
        <f t="shared" ref="Q320" si="947">IF($N320,ROUND(($N320+($P320/12)),2))</f>
        <v>0</v>
      </c>
      <c r="R320" s="53" t="b">
        <f t="shared" ref="R320" si="948">IF(AND($L320,$Q320),$L320-$Q320)</f>
        <v>0</v>
      </c>
      <c r="S320" s="241" t="s">
        <v>197</v>
      </c>
      <c r="T320" s="127" t="b">
        <f>IF($N320,IF($F320&gt;$P320,ROUND(($Q320-($F319/12)),2),IF($S320="YES",$N320,$N320-MinDrop)))</f>
        <v>0</v>
      </c>
      <c r="U320" s="243"/>
      <c r="V320" s="245"/>
      <c r="W320" s="245"/>
      <c r="X320" s="54"/>
      <c r="Y320" s="117"/>
      <c r="Z320" s="54"/>
      <c r="AA320" s="54"/>
      <c r="AB320" s="54"/>
      <c r="AC320" s="211"/>
    </row>
    <row r="321" spans="1:29" x14ac:dyDescent="0.3">
      <c r="A321" s="121"/>
      <c r="B321" s="204" t="b">
        <f>IF(Pipes!$B321,Pipes!$B321)</f>
        <v>0</v>
      </c>
      <c r="C321" s="205"/>
      <c r="D321" s="224"/>
      <c r="E321" s="224"/>
      <c r="F321" s="224">
        <f t="shared" si="942"/>
        <v>0</v>
      </c>
      <c r="G321" s="224"/>
      <c r="H321" s="224"/>
      <c r="I321" s="52"/>
      <c r="J321" s="52"/>
      <c r="K321" s="130"/>
      <c r="L321" s="206">
        <f t="shared" si="793"/>
        <v>0</v>
      </c>
      <c r="M321" s="206" t="b">
        <f t="shared" si="794"/>
        <v>0</v>
      </c>
      <c r="N321" s="207" t="b">
        <f t="shared" si="795"/>
        <v>0</v>
      </c>
      <c r="O321" s="209"/>
      <c r="P321" s="208">
        <f t="shared" si="946"/>
        <v>0</v>
      </c>
      <c r="Q321" s="53" t="b">
        <f t="shared" si="797"/>
        <v>0</v>
      </c>
      <c r="R321" s="53" t="b">
        <f t="shared" si="798"/>
        <v>0</v>
      </c>
      <c r="S321" s="241" t="s">
        <v>197</v>
      </c>
      <c r="T321" s="127" t="b">
        <f>IF($N321,IF($F321&gt;$P321,ROUND(($Q321-($F320/12)),2),IF($S321="YES",$N321,$N321-MinDrop)))</f>
        <v>0</v>
      </c>
      <c r="U321" s="210"/>
      <c r="V321" s="54"/>
      <c r="W321" s="54"/>
      <c r="X321" s="54"/>
      <c r="Y321" s="117"/>
      <c r="Z321" s="54"/>
      <c r="AA321" s="54"/>
      <c r="AB321" s="54"/>
      <c r="AC321" s="211"/>
    </row>
    <row r="322" spans="1:29" x14ac:dyDescent="0.3">
      <c r="A322" s="121"/>
      <c r="B322" s="204" t="b">
        <f>IF(Pipes!$B322,Pipes!$B322)</f>
        <v>0</v>
      </c>
      <c r="C322" s="205"/>
      <c r="D322" s="224"/>
      <c r="E322" s="224"/>
      <c r="F322" s="224">
        <f t="shared" si="942"/>
        <v>0</v>
      </c>
      <c r="G322" s="224"/>
      <c r="H322" s="224"/>
      <c r="I322" s="52"/>
      <c r="J322" s="52"/>
      <c r="K322" s="130"/>
      <c r="L322" s="206">
        <f t="shared" si="793"/>
        <v>0</v>
      </c>
      <c r="M322" s="206" t="b">
        <f t="shared" si="794"/>
        <v>0</v>
      </c>
      <c r="N322" s="207" t="b">
        <f t="shared" si="795"/>
        <v>0</v>
      </c>
      <c r="O322" s="209"/>
      <c r="P322" s="208">
        <f t="shared" si="946"/>
        <v>0</v>
      </c>
      <c r="Q322" s="53" t="b">
        <f t="shared" si="797"/>
        <v>0</v>
      </c>
      <c r="R322" s="53" t="b">
        <f t="shared" si="798"/>
        <v>0</v>
      </c>
      <c r="S322" s="241" t="s">
        <v>197</v>
      </c>
      <c r="T322" s="127" t="b">
        <f>IF($N322,IF($F322&gt;$P322,ROUND(($Q322-($F321/12)),2),IF($S322="YES",$N322,$N322-MinDrop)))</f>
        <v>0</v>
      </c>
      <c r="U322" s="210"/>
      <c r="V322" s="54"/>
      <c r="W322" s="54"/>
      <c r="X322" s="54"/>
      <c r="Y322" s="117"/>
      <c r="Z322" s="54"/>
      <c r="AA322" s="54"/>
      <c r="AB322" s="54"/>
      <c r="AC322" s="211"/>
    </row>
    <row r="323" spans="1:29" ht="15" thickBot="1" x14ac:dyDescent="0.35">
      <c r="A323" s="122"/>
      <c r="B323" s="204" t="b">
        <f>IF(Pipes!$B323,Pipes!$B323)</f>
        <v>0</v>
      </c>
      <c r="C323" s="212"/>
      <c r="D323" s="104"/>
      <c r="E323" s="104"/>
      <c r="F323" s="104">
        <f t="shared" si="942"/>
        <v>0</v>
      </c>
      <c r="G323" s="104"/>
      <c r="H323" s="104"/>
      <c r="I323" s="101"/>
      <c r="J323" s="101"/>
      <c r="K323" s="131"/>
      <c r="L323" s="213">
        <f t="shared" si="793"/>
        <v>0</v>
      </c>
      <c r="M323" s="213" t="b">
        <f t="shared" si="794"/>
        <v>0</v>
      </c>
      <c r="N323" s="214" t="b">
        <f t="shared" si="795"/>
        <v>0</v>
      </c>
      <c r="O323" s="216"/>
      <c r="P323" s="215">
        <f t="shared" si="946"/>
        <v>0</v>
      </c>
      <c r="Q323" s="103" t="b">
        <f t="shared" si="797"/>
        <v>0</v>
      </c>
      <c r="R323" s="53" t="b">
        <f t="shared" si="798"/>
        <v>0</v>
      </c>
      <c r="S323" s="241" t="s">
        <v>197</v>
      </c>
      <c r="T323" s="127" t="b">
        <f>IF($N323,IF($F323&gt;$P323,ROUND(($Q323-($F322/12)),2),IF($S323="YES",$N323,$N323-MinDrop)))</f>
        <v>0</v>
      </c>
      <c r="U323" s="217"/>
      <c r="V323" s="102"/>
      <c r="W323" s="102"/>
      <c r="X323" s="102"/>
      <c r="Y323" s="118"/>
      <c r="Z323" s="102"/>
      <c r="AA323" s="102"/>
      <c r="AB323" s="102"/>
      <c r="AC323" s="218"/>
    </row>
    <row r="324" spans="1:29" x14ac:dyDescent="0.3">
      <c r="A324" s="115">
        <f t="shared" ref="A324" si="949">$A319+1</f>
        <v>65</v>
      </c>
      <c r="B324" s="186"/>
      <c r="C324" s="201">
        <f>IF(Pipes!$Q324&gt;0,IF(Pipes!$R324&gt;MinDiameter,Pipes!$R324,MinDiameter),0)</f>
        <v>0</v>
      </c>
      <c r="D324" s="187" t="s">
        <v>197</v>
      </c>
      <c r="E324" s="187"/>
      <c r="F324" s="107">
        <f>Pipes!$S324</f>
        <v>0</v>
      </c>
      <c r="G324" s="108">
        <f>Pipes!$W324</f>
        <v>0</v>
      </c>
      <c r="H324" s="187" t="s">
        <v>197</v>
      </c>
      <c r="I324" s="188"/>
      <c r="J324" s="108">
        <f>Pipes!$X324</f>
        <v>0</v>
      </c>
      <c r="K324" s="193">
        <f>INDEX(Tribs!$H$3:$H$102,MATCH($A324,Tribs!$A$3:$A$102,0))</f>
        <v>0</v>
      </c>
      <c r="L324" s="105">
        <f>INDEX(Tribs!$I$3:$I$102,MATCH($A324,Tribs!$A$3:$A$102,0))</f>
        <v>0</v>
      </c>
      <c r="M324" s="105" t="b">
        <f>IF($L324,ROUND($L324-MinCover-($F324/12),2))</f>
        <v>0</v>
      </c>
      <c r="N324" s="202"/>
      <c r="O324" s="129">
        <f t="shared" ref="O324" si="950">MIN($N325:$N328)</f>
        <v>0</v>
      </c>
      <c r="P324" s="203"/>
      <c r="Q324" s="203"/>
      <c r="R324" s="203"/>
      <c r="S324" s="110"/>
      <c r="T324" s="116" t="b">
        <f t="shared" ref="T324" si="951">IF($M324,$M324)</f>
        <v>0</v>
      </c>
      <c r="U324" s="129">
        <f t="shared" ref="U324" si="952">MIN($T324:$T328)</f>
        <v>0</v>
      </c>
      <c r="V324" s="233" t="s">
        <v>197</v>
      </c>
      <c r="W324" s="219"/>
      <c r="X324" s="219" t="s">
        <v>197</v>
      </c>
      <c r="Y324" s="239"/>
      <c r="Z324" s="105">
        <f t="shared" ref="Z324" si="953">IF($V324="YES",$U324,IF($X324&lt;&gt;"YES",$W324,($AC324+$J324*$K324)))</f>
        <v>0</v>
      </c>
      <c r="AA324" s="105">
        <f t="shared" ref="AA324" si="954">ROUND($Z324+($F324/12),2)</f>
        <v>0</v>
      </c>
      <c r="AB324" s="105" t="b">
        <f t="shared" ref="AB324" si="955">IF($L324,($L324-$AA324))</f>
        <v>0</v>
      </c>
      <c r="AC324" s="111">
        <f t="shared" ref="AC324" si="956">IF(AND($V324&lt;&gt;"YES",$X324="YES"),$Y324,ROUND($Z324-($J324*$K324),2))</f>
        <v>0</v>
      </c>
    </row>
    <row r="325" spans="1:29" x14ac:dyDescent="0.3">
      <c r="A325" s="121"/>
      <c r="B325" s="204" t="b">
        <f>IF(Pipes!$B325,Pipes!$B325)</f>
        <v>0</v>
      </c>
      <c r="C325" s="205"/>
      <c r="D325" s="224"/>
      <c r="E325" s="224"/>
      <c r="F325" s="224">
        <f t="shared" ref="F325:F328" si="957">F324</f>
        <v>0</v>
      </c>
      <c r="G325" s="224"/>
      <c r="H325" s="224"/>
      <c r="I325" s="52"/>
      <c r="J325" s="52"/>
      <c r="K325" s="130"/>
      <c r="L325" s="206">
        <f t="shared" ref="L325" si="958">$L324</f>
        <v>0</v>
      </c>
      <c r="M325" s="206" t="b">
        <f t="shared" ref="M325" si="959">M324</f>
        <v>0</v>
      </c>
      <c r="N325" s="240" t="b">
        <f t="shared" ref="N325" si="960">IF($B325,INDEX($AC$4:$AC$499,MATCH($B325,$A$4:$A$499)))</f>
        <v>0</v>
      </c>
      <c r="O325" s="209"/>
      <c r="P325" s="208">
        <f t="shared" ref="P325:P328" si="961">IF($B325,INDEX($F$4:$F$499,MATCH($B325,$A$4:$A$499)),0)</f>
        <v>0</v>
      </c>
      <c r="Q325" s="242" t="b">
        <f t="shared" ref="Q325" si="962">IF($N325,ROUND(($N325+($P325/12)),2))</f>
        <v>0</v>
      </c>
      <c r="R325" s="53" t="b">
        <f t="shared" ref="R325" si="963">IF(AND($L325,$Q325),$L325-$Q325)</f>
        <v>0</v>
      </c>
      <c r="S325" s="241" t="s">
        <v>197</v>
      </c>
      <c r="T325" s="127" t="b">
        <f>IF($N325,IF($F325&gt;$P325,ROUND(($Q325-($F324/12)),2),IF($S325="YES",$N325,$N325-MinDrop)))</f>
        <v>0</v>
      </c>
      <c r="U325" s="243"/>
      <c r="V325" s="245"/>
      <c r="W325" s="245"/>
      <c r="X325" s="54"/>
      <c r="Y325" s="117"/>
      <c r="Z325" s="54"/>
      <c r="AA325" s="54"/>
      <c r="AB325" s="54"/>
      <c r="AC325" s="211"/>
    </row>
    <row r="326" spans="1:29" x14ac:dyDescent="0.3">
      <c r="A326" s="121"/>
      <c r="B326" s="204" t="b">
        <f>IF(Pipes!$B326,Pipes!$B326)</f>
        <v>0</v>
      </c>
      <c r="C326" s="205"/>
      <c r="D326" s="224"/>
      <c r="E326" s="224"/>
      <c r="F326" s="224">
        <f t="shared" si="957"/>
        <v>0</v>
      </c>
      <c r="G326" s="224"/>
      <c r="H326" s="224"/>
      <c r="I326" s="52"/>
      <c r="J326" s="52"/>
      <c r="K326" s="130"/>
      <c r="L326" s="206">
        <f t="shared" si="793"/>
        <v>0</v>
      </c>
      <c r="M326" s="206" t="b">
        <f t="shared" si="794"/>
        <v>0</v>
      </c>
      <c r="N326" s="207" t="b">
        <f t="shared" si="795"/>
        <v>0</v>
      </c>
      <c r="O326" s="209"/>
      <c r="P326" s="208">
        <f t="shared" si="961"/>
        <v>0</v>
      </c>
      <c r="Q326" s="53" t="b">
        <f t="shared" si="797"/>
        <v>0</v>
      </c>
      <c r="R326" s="53" t="b">
        <f t="shared" si="798"/>
        <v>0</v>
      </c>
      <c r="S326" s="241" t="s">
        <v>197</v>
      </c>
      <c r="T326" s="127" t="b">
        <f>IF($N326,IF($F326&gt;$P326,ROUND(($Q326-($F325/12)),2),IF($S326="YES",$N326,$N326-MinDrop)))</f>
        <v>0</v>
      </c>
      <c r="U326" s="210"/>
      <c r="V326" s="54"/>
      <c r="W326" s="54"/>
      <c r="X326" s="54"/>
      <c r="Y326" s="117"/>
      <c r="Z326" s="54"/>
      <c r="AA326" s="54"/>
      <c r="AB326" s="54"/>
      <c r="AC326" s="211"/>
    </row>
    <row r="327" spans="1:29" x14ac:dyDescent="0.3">
      <c r="A327" s="121"/>
      <c r="B327" s="204" t="b">
        <f>IF(Pipes!$B327,Pipes!$B327)</f>
        <v>0</v>
      </c>
      <c r="C327" s="205"/>
      <c r="D327" s="224"/>
      <c r="E327" s="224"/>
      <c r="F327" s="224">
        <f t="shared" si="957"/>
        <v>0</v>
      </c>
      <c r="G327" s="224"/>
      <c r="H327" s="224"/>
      <c r="I327" s="52"/>
      <c r="J327" s="52"/>
      <c r="K327" s="130"/>
      <c r="L327" s="206">
        <f t="shared" si="793"/>
        <v>0</v>
      </c>
      <c r="M327" s="206" t="b">
        <f t="shared" si="794"/>
        <v>0</v>
      </c>
      <c r="N327" s="207" t="b">
        <f t="shared" si="795"/>
        <v>0</v>
      </c>
      <c r="O327" s="209"/>
      <c r="P327" s="208">
        <f t="shared" si="961"/>
        <v>0</v>
      </c>
      <c r="Q327" s="53" t="b">
        <f t="shared" si="797"/>
        <v>0</v>
      </c>
      <c r="R327" s="53" t="b">
        <f t="shared" si="798"/>
        <v>0</v>
      </c>
      <c r="S327" s="241" t="s">
        <v>197</v>
      </c>
      <c r="T327" s="127" t="b">
        <f>IF($N327,IF($F327&gt;$P327,ROUND(($Q327-($F326/12)),2),IF($S327="YES",$N327,$N327-MinDrop)))</f>
        <v>0</v>
      </c>
      <c r="U327" s="210"/>
      <c r="V327" s="54"/>
      <c r="W327" s="54"/>
      <c r="X327" s="54"/>
      <c r="Y327" s="117"/>
      <c r="Z327" s="54"/>
      <c r="AA327" s="54"/>
      <c r="AB327" s="54"/>
      <c r="AC327" s="211"/>
    </row>
    <row r="328" spans="1:29" ht="15" thickBot="1" x14ac:dyDescent="0.35">
      <c r="A328" s="122"/>
      <c r="B328" s="204" t="b">
        <f>IF(Pipes!$B328,Pipes!$B328)</f>
        <v>0</v>
      </c>
      <c r="C328" s="212"/>
      <c r="D328" s="104"/>
      <c r="E328" s="104"/>
      <c r="F328" s="104">
        <f t="shared" si="957"/>
        <v>0</v>
      </c>
      <c r="G328" s="104"/>
      <c r="H328" s="104"/>
      <c r="I328" s="101"/>
      <c r="J328" s="101"/>
      <c r="K328" s="131"/>
      <c r="L328" s="213">
        <f t="shared" si="793"/>
        <v>0</v>
      </c>
      <c r="M328" s="213" t="b">
        <f t="shared" si="794"/>
        <v>0</v>
      </c>
      <c r="N328" s="214" t="b">
        <f t="shared" si="795"/>
        <v>0</v>
      </c>
      <c r="O328" s="216"/>
      <c r="P328" s="215">
        <f t="shared" si="961"/>
        <v>0</v>
      </c>
      <c r="Q328" s="103" t="b">
        <f t="shared" si="797"/>
        <v>0</v>
      </c>
      <c r="R328" s="53" t="b">
        <f t="shared" si="798"/>
        <v>0</v>
      </c>
      <c r="S328" s="241" t="s">
        <v>197</v>
      </c>
      <c r="T328" s="127" t="b">
        <f>IF($N328,IF($F328&gt;$P328,ROUND(($Q328-($F327/12)),2),IF($S328="YES",$N328,$N328-MinDrop)))</f>
        <v>0</v>
      </c>
      <c r="U328" s="217"/>
      <c r="V328" s="102"/>
      <c r="W328" s="102"/>
      <c r="X328" s="102"/>
      <c r="Y328" s="118"/>
      <c r="Z328" s="102"/>
      <c r="AA328" s="102"/>
      <c r="AB328" s="102"/>
      <c r="AC328" s="218"/>
    </row>
    <row r="329" spans="1:29" x14ac:dyDescent="0.3">
      <c r="A329" s="115">
        <f t="shared" ref="A329" si="964">$A324+1</f>
        <v>66</v>
      </c>
      <c r="B329" s="186"/>
      <c r="C329" s="201">
        <f>IF(Pipes!$Q329&gt;0,IF(Pipes!$R329&gt;MinDiameter,Pipes!$R329,MinDiameter),0)</f>
        <v>0</v>
      </c>
      <c r="D329" s="187" t="s">
        <v>197</v>
      </c>
      <c r="E329" s="187"/>
      <c r="F329" s="107">
        <f>Pipes!$S329</f>
        <v>0</v>
      </c>
      <c r="G329" s="108">
        <f>Pipes!$W329</f>
        <v>0</v>
      </c>
      <c r="H329" s="187" t="s">
        <v>197</v>
      </c>
      <c r="I329" s="188"/>
      <c r="J329" s="108">
        <f>Pipes!$X329</f>
        <v>0</v>
      </c>
      <c r="K329" s="193">
        <f>INDEX(Tribs!$H$3:$H$102,MATCH($A329,Tribs!$A$3:$A$102,0))</f>
        <v>0</v>
      </c>
      <c r="L329" s="105">
        <f>INDEX(Tribs!$I$3:$I$102,MATCH($A329,Tribs!$A$3:$A$102,0))</f>
        <v>0</v>
      </c>
      <c r="M329" s="105" t="b">
        <f>IF($L329,ROUND($L329-MinCover-($F329/12),2))</f>
        <v>0</v>
      </c>
      <c r="N329" s="202"/>
      <c r="O329" s="129">
        <f t="shared" ref="O329" si="965">MIN($N330:$N333)</f>
        <v>0</v>
      </c>
      <c r="P329" s="203"/>
      <c r="Q329" s="203"/>
      <c r="R329" s="203"/>
      <c r="S329" s="110"/>
      <c r="T329" s="116" t="b">
        <f t="shared" ref="T329" si="966">IF($M329,$M329)</f>
        <v>0</v>
      </c>
      <c r="U329" s="129">
        <f t="shared" ref="U329" si="967">MIN($T329:$T333)</f>
        <v>0</v>
      </c>
      <c r="V329" s="233" t="s">
        <v>197</v>
      </c>
      <c r="W329" s="219"/>
      <c r="X329" s="219" t="s">
        <v>197</v>
      </c>
      <c r="Y329" s="239"/>
      <c r="Z329" s="105">
        <f t="shared" ref="Z329" si="968">IF($V329="YES",$U329,IF($X329&lt;&gt;"YES",$W329,($AC329+$J329*$K329)))</f>
        <v>0</v>
      </c>
      <c r="AA329" s="105">
        <f t="shared" ref="AA329" si="969">ROUND($Z329+($F329/12),2)</f>
        <v>0</v>
      </c>
      <c r="AB329" s="105" t="b">
        <f t="shared" ref="AB329" si="970">IF($L329,($L329-$AA329))</f>
        <v>0</v>
      </c>
      <c r="AC329" s="111">
        <f t="shared" ref="AC329" si="971">IF(AND($V329&lt;&gt;"YES",$X329="YES"),$Y329,ROUND($Z329-($J329*$K329),2))</f>
        <v>0</v>
      </c>
    </row>
    <row r="330" spans="1:29" x14ac:dyDescent="0.3">
      <c r="A330" s="121"/>
      <c r="B330" s="204" t="b">
        <f>IF(Pipes!$B330,Pipes!$B330)</f>
        <v>0</v>
      </c>
      <c r="C330" s="205"/>
      <c r="D330" s="224"/>
      <c r="E330" s="224"/>
      <c r="F330" s="224">
        <f t="shared" ref="F330:F333" si="972">F329</f>
        <v>0</v>
      </c>
      <c r="G330" s="224"/>
      <c r="H330" s="224"/>
      <c r="I330" s="52"/>
      <c r="J330" s="52"/>
      <c r="K330" s="130"/>
      <c r="L330" s="206">
        <f t="shared" ref="L330" si="973">$L329</f>
        <v>0</v>
      </c>
      <c r="M330" s="206" t="b">
        <f t="shared" ref="M330" si="974">M329</f>
        <v>0</v>
      </c>
      <c r="N330" s="240" t="b">
        <f t="shared" ref="N330" si="975">IF($B330,INDEX($AC$4:$AC$499,MATCH($B330,$A$4:$A$499)))</f>
        <v>0</v>
      </c>
      <c r="O330" s="209"/>
      <c r="P330" s="208">
        <f t="shared" ref="P330:P333" si="976">IF($B330,INDEX($F$4:$F$499,MATCH($B330,$A$4:$A$499)),0)</f>
        <v>0</v>
      </c>
      <c r="Q330" s="242" t="b">
        <f t="shared" ref="Q330" si="977">IF($N330,ROUND(($N330+($P330/12)),2))</f>
        <v>0</v>
      </c>
      <c r="R330" s="53" t="b">
        <f t="shared" ref="R330" si="978">IF(AND($L330,$Q330),$L330-$Q330)</f>
        <v>0</v>
      </c>
      <c r="S330" s="241" t="s">
        <v>197</v>
      </c>
      <c r="T330" s="127" t="b">
        <f>IF($N330,IF($F330&gt;$P330,ROUND(($Q330-($F329/12)),2),IF($S330="YES",$N330,$N330-MinDrop)))</f>
        <v>0</v>
      </c>
      <c r="U330" s="243"/>
      <c r="V330" s="245"/>
      <c r="W330" s="245"/>
      <c r="X330" s="54"/>
      <c r="Y330" s="117"/>
      <c r="Z330" s="54"/>
      <c r="AA330" s="54"/>
      <c r="AB330" s="54"/>
      <c r="AC330" s="211"/>
    </row>
    <row r="331" spans="1:29" x14ac:dyDescent="0.3">
      <c r="A331" s="121"/>
      <c r="B331" s="204" t="b">
        <f>IF(Pipes!$B331,Pipes!$B331)</f>
        <v>0</v>
      </c>
      <c r="C331" s="205"/>
      <c r="D331" s="224"/>
      <c r="E331" s="224"/>
      <c r="F331" s="224">
        <f t="shared" si="972"/>
        <v>0</v>
      </c>
      <c r="G331" s="224"/>
      <c r="H331" s="224"/>
      <c r="I331" s="52"/>
      <c r="J331" s="52"/>
      <c r="K331" s="130"/>
      <c r="L331" s="206">
        <f t="shared" si="793"/>
        <v>0</v>
      </c>
      <c r="M331" s="206" t="b">
        <f t="shared" si="794"/>
        <v>0</v>
      </c>
      <c r="N331" s="207" t="b">
        <f t="shared" si="795"/>
        <v>0</v>
      </c>
      <c r="O331" s="209"/>
      <c r="P331" s="208">
        <f t="shared" si="976"/>
        <v>0</v>
      </c>
      <c r="Q331" s="53" t="b">
        <f t="shared" si="797"/>
        <v>0</v>
      </c>
      <c r="R331" s="53" t="b">
        <f t="shared" si="798"/>
        <v>0</v>
      </c>
      <c r="S331" s="241" t="s">
        <v>197</v>
      </c>
      <c r="T331" s="127" t="b">
        <f>IF($N331,IF($F331&gt;$P331,ROUND(($Q331-($F330/12)),2),IF($S331="YES",$N331,$N331-MinDrop)))</f>
        <v>0</v>
      </c>
      <c r="U331" s="210"/>
      <c r="V331" s="54"/>
      <c r="W331" s="54"/>
      <c r="X331" s="54"/>
      <c r="Y331" s="117"/>
      <c r="Z331" s="54"/>
      <c r="AA331" s="54"/>
      <c r="AB331" s="54"/>
      <c r="AC331" s="211"/>
    </row>
    <row r="332" spans="1:29" x14ac:dyDescent="0.3">
      <c r="A332" s="121"/>
      <c r="B332" s="204" t="b">
        <f>IF(Pipes!$B332,Pipes!$B332)</f>
        <v>0</v>
      </c>
      <c r="C332" s="205"/>
      <c r="D332" s="224"/>
      <c r="E332" s="224"/>
      <c r="F332" s="224">
        <f t="shared" si="972"/>
        <v>0</v>
      </c>
      <c r="G332" s="224"/>
      <c r="H332" s="224"/>
      <c r="I332" s="52"/>
      <c r="J332" s="52"/>
      <c r="K332" s="130"/>
      <c r="L332" s="206">
        <f t="shared" si="793"/>
        <v>0</v>
      </c>
      <c r="M332" s="206" t="b">
        <f t="shared" si="794"/>
        <v>0</v>
      </c>
      <c r="N332" s="207" t="b">
        <f t="shared" si="795"/>
        <v>0</v>
      </c>
      <c r="O332" s="209"/>
      <c r="P332" s="208">
        <f t="shared" si="976"/>
        <v>0</v>
      </c>
      <c r="Q332" s="53" t="b">
        <f t="shared" si="797"/>
        <v>0</v>
      </c>
      <c r="R332" s="53" t="b">
        <f t="shared" si="798"/>
        <v>0</v>
      </c>
      <c r="S332" s="241" t="s">
        <v>197</v>
      </c>
      <c r="T332" s="127" t="b">
        <f>IF($N332,IF($F332&gt;$P332,ROUND(($Q332-($F331/12)),2),IF($S332="YES",$N332,$N332-MinDrop)))</f>
        <v>0</v>
      </c>
      <c r="U332" s="210"/>
      <c r="V332" s="54"/>
      <c r="W332" s="54"/>
      <c r="X332" s="54"/>
      <c r="Y332" s="117"/>
      <c r="Z332" s="54"/>
      <c r="AA332" s="54"/>
      <c r="AB332" s="54"/>
      <c r="AC332" s="211"/>
    </row>
    <row r="333" spans="1:29" ht="15" thickBot="1" x14ac:dyDescent="0.35">
      <c r="A333" s="122"/>
      <c r="B333" s="204" t="b">
        <f>IF(Pipes!$B333,Pipes!$B333)</f>
        <v>0</v>
      </c>
      <c r="C333" s="212"/>
      <c r="D333" s="104"/>
      <c r="E333" s="104"/>
      <c r="F333" s="104">
        <f t="shared" si="972"/>
        <v>0</v>
      </c>
      <c r="G333" s="104"/>
      <c r="H333" s="104"/>
      <c r="I333" s="101"/>
      <c r="J333" s="101"/>
      <c r="K333" s="131"/>
      <c r="L333" s="213">
        <f t="shared" si="793"/>
        <v>0</v>
      </c>
      <c r="M333" s="213" t="b">
        <f t="shared" si="794"/>
        <v>0</v>
      </c>
      <c r="N333" s="214" t="b">
        <f t="shared" si="795"/>
        <v>0</v>
      </c>
      <c r="O333" s="216"/>
      <c r="P333" s="215">
        <f t="shared" si="976"/>
        <v>0</v>
      </c>
      <c r="Q333" s="103" t="b">
        <f t="shared" si="797"/>
        <v>0</v>
      </c>
      <c r="R333" s="53" t="b">
        <f t="shared" si="798"/>
        <v>0</v>
      </c>
      <c r="S333" s="241" t="s">
        <v>197</v>
      </c>
      <c r="T333" s="127" t="b">
        <f>IF($N333,IF($F333&gt;$P333,ROUND(($Q333-($F332/12)),2),IF($S333="YES",$N333,$N333-MinDrop)))</f>
        <v>0</v>
      </c>
      <c r="U333" s="217"/>
      <c r="V333" s="102"/>
      <c r="W333" s="102"/>
      <c r="X333" s="102"/>
      <c r="Y333" s="118"/>
      <c r="Z333" s="102"/>
      <c r="AA333" s="102"/>
      <c r="AB333" s="102"/>
      <c r="AC333" s="218"/>
    </row>
    <row r="334" spans="1:29" x14ac:dyDescent="0.3">
      <c r="A334" s="115">
        <f t="shared" ref="A334" si="979">$A329+1</f>
        <v>67</v>
      </c>
      <c r="B334" s="186"/>
      <c r="C334" s="201">
        <f>IF(Pipes!$Q334&gt;0,IF(Pipes!$R334&gt;MinDiameter,Pipes!$R334,MinDiameter),0)</f>
        <v>0</v>
      </c>
      <c r="D334" s="187" t="s">
        <v>197</v>
      </c>
      <c r="E334" s="187"/>
      <c r="F334" s="107">
        <f>Pipes!$S334</f>
        <v>0</v>
      </c>
      <c r="G334" s="108">
        <f>Pipes!$W334</f>
        <v>0</v>
      </c>
      <c r="H334" s="187" t="s">
        <v>197</v>
      </c>
      <c r="I334" s="188"/>
      <c r="J334" s="108">
        <f>Pipes!$X334</f>
        <v>0</v>
      </c>
      <c r="K334" s="193">
        <f>INDEX(Tribs!$H$3:$H$102,MATCH($A334,Tribs!$A$3:$A$102,0))</f>
        <v>0</v>
      </c>
      <c r="L334" s="105">
        <f>INDEX(Tribs!$I$3:$I$102,MATCH($A334,Tribs!$A$3:$A$102,0))</f>
        <v>0</v>
      </c>
      <c r="M334" s="105" t="b">
        <f>IF($L334,ROUND($L334-MinCover-($F334/12),2))</f>
        <v>0</v>
      </c>
      <c r="N334" s="202"/>
      <c r="O334" s="129">
        <f t="shared" ref="O334" si="980">MIN($N335:$N338)</f>
        <v>0</v>
      </c>
      <c r="P334" s="203"/>
      <c r="Q334" s="203"/>
      <c r="R334" s="203"/>
      <c r="S334" s="110"/>
      <c r="T334" s="116" t="b">
        <f t="shared" ref="T334" si="981">IF($M334,$M334)</f>
        <v>0</v>
      </c>
      <c r="U334" s="129">
        <f t="shared" ref="U334" si="982">MIN($T334:$T338)</f>
        <v>0</v>
      </c>
      <c r="V334" s="233" t="s">
        <v>197</v>
      </c>
      <c r="W334" s="219"/>
      <c r="X334" s="219" t="s">
        <v>197</v>
      </c>
      <c r="Y334" s="239"/>
      <c r="Z334" s="105">
        <f t="shared" ref="Z334" si="983">IF($V334="YES",$U334,IF($X334&lt;&gt;"YES",$W334,($AC334+$J334*$K334)))</f>
        <v>0</v>
      </c>
      <c r="AA334" s="105">
        <f t="shared" ref="AA334" si="984">ROUND($Z334+($F334/12),2)</f>
        <v>0</v>
      </c>
      <c r="AB334" s="105" t="b">
        <f t="shared" ref="AB334" si="985">IF($L334,($L334-$AA334))</f>
        <v>0</v>
      </c>
      <c r="AC334" s="111">
        <f t="shared" ref="AC334" si="986">IF(AND($V334&lt;&gt;"YES",$X334="YES"),$Y334,ROUND($Z334-($J334*$K334),2))</f>
        <v>0</v>
      </c>
    </row>
    <row r="335" spans="1:29" x14ac:dyDescent="0.3">
      <c r="A335" s="121"/>
      <c r="B335" s="204" t="b">
        <f>IF(Pipes!$B335,Pipes!$B335)</f>
        <v>0</v>
      </c>
      <c r="C335" s="205"/>
      <c r="D335" s="224"/>
      <c r="E335" s="224"/>
      <c r="F335" s="224">
        <f t="shared" ref="F335:F338" si="987">F334</f>
        <v>0</v>
      </c>
      <c r="G335" s="224"/>
      <c r="H335" s="224"/>
      <c r="I335" s="52"/>
      <c r="J335" s="52"/>
      <c r="K335" s="130"/>
      <c r="L335" s="206">
        <f t="shared" ref="L335:L398" si="988">$L334</f>
        <v>0</v>
      </c>
      <c r="M335" s="206" t="b">
        <f t="shared" ref="M335:M398" si="989">M334</f>
        <v>0</v>
      </c>
      <c r="N335" s="240" t="b">
        <f t="shared" ref="N335:N398" si="990">IF($B335,INDEX($AC$4:$AC$499,MATCH($B335,$A$4:$A$499)))</f>
        <v>0</v>
      </c>
      <c r="O335" s="209"/>
      <c r="P335" s="208">
        <f t="shared" ref="P335:P338" si="991">IF($B335,INDEX($F$4:$F$499,MATCH($B335,$A$4:$A$499)),0)</f>
        <v>0</v>
      </c>
      <c r="Q335" s="242" t="b">
        <f t="shared" ref="Q335:Q398" si="992">IF($N335,ROUND(($N335+($P335/12)),2))</f>
        <v>0</v>
      </c>
      <c r="R335" s="53" t="b">
        <f t="shared" ref="R335:R398" si="993">IF(AND($L335,$Q335),$L335-$Q335)</f>
        <v>0</v>
      </c>
      <c r="S335" s="241" t="s">
        <v>197</v>
      </c>
      <c r="T335" s="127" t="b">
        <f>IF($N335,IF($F335&gt;$P335,ROUND(($Q335-($F334/12)),2),IF($S335="YES",$N335,$N335-MinDrop)))</f>
        <v>0</v>
      </c>
      <c r="U335" s="243"/>
      <c r="V335" s="245"/>
      <c r="W335" s="245"/>
      <c r="X335" s="54"/>
      <c r="Y335" s="117"/>
      <c r="Z335" s="54"/>
      <c r="AA335" s="54"/>
      <c r="AB335" s="54"/>
      <c r="AC335" s="211"/>
    </row>
    <row r="336" spans="1:29" x14ac:dyDescent="0.3">
      <c r="A336" s="121"/>
      <c r="B336" s="204" t="b">
        <f>IF(Pipes!$B336,Pipes!$B336)</f>
        <v>0</v>
      </c>
      <c r="C336" s="205"/>
      <c r="D336" s="224"/>
      <c r="E336" s="224"/>
      <c r="F336" s="224">
        <f t="shared" si="987"/>
        <v>0</v>
      </c>
      <c r="G336" s="224"/>
      <c r="H336" s="224"/>
      <c r="I336" s="52"/>
      <c r="J336" s="52"/>
      <c r="K336" s="130"/>
      <c r="L336" s="206">
        <f t="shared" si="988"/>
        <v>0</v>
      </c>
      <c r="M336" s="206" t="b">
        <f t="shared" si="989"/>
        <v>0</v>
      </c>
      <c r="N336" s="207" t="b">
        <f t="shared" si="990"/>
        <v>0</v>
      </c>
      <c r="O336" s="209"/>
      <c r="P336" s="208">
        <f t="shared" si="991"/>
        <v>0</v>
      </c>
      <c r="Q336" s="53" t="b">
        <f t="shared" si="992"/>
        <v>0</v>
      </c>
      <c r="R336" s="53" t="b">
        <f t="shared" si="993"/>
        <v>0</v>
      </c>
      <c r="S336" s="241" t="s">
        <v>197</v>
      </c>
      <c r="T336" s="127" t="b">
        <f>IF($N336,IF($F336&gt;$P336,ROUND(($Q336-($F335/12)),2),IF($S336="YES",$N336,$N336-MinDrop)))</f>
        <v>0</v>
      </c>
      <c r="U336" s="210"/>
      <c r="V336" s="54"/>
      <c r="W336" s="54"/>
      <c r="X336" s="54"/>
      <c r="Y336" s="117"/>
      <c r="Z336" s="54"/>
      <c r="AA336" s="54"/>
      <c r="AB336" s="54"/>
      <c r="AC336" s="211"/>
    </row>
    <row r="337" spans="1:29" x14ac:dyDescent="0.3">
      <c r="A337" s="121"/>
      <c r="B337" s="204" t="b">
        <f>IF(Pipes!$B337,Pipes!$B337)</f>
        <v>0</v>
      </c>
      <c r="C337" s="205"/>
      <c r="D337" s="224"/>
      <c r="E337" s="224"/>
      <c r="F337" s="224">
        <f t="shared" si="987"/>
        <v>0</v>
      </c>
      <c r="G337" s="224"/>
      <c r="H337" s="224"/>
      <c r="I337" s="52"/>
      <c r="J337" s="52"/>
      <c r="K337" s="130"/>
      <c r="L337" s="206">
        <f t="shared" si="988"/>
        <v>0</v>
      </c>
      <c r="M337" s="206" t="b">
        <f t="shared" si="989"/>
        <v>0</v>
      </c>
      <c r="N337" s="207" t="b">
        <f t="shared" si="990"/>
        <v>0</v>
      </c>
      <c r="O337" s="209"/>
      <c r="P337" s="208">
        <f t="shared" si="991"/>
        <v>0</v>
      </c>
      <c r="Q337" s="53" t="b">
        <f t="shared" si="992"/>
        <v>0</v>
      </c>
      <c r="R337" s="53" t="b">
        <f t="shared" si="993"/>
        <v>0</v>
      </c>
      <c r="S337" s="241" t="s">
        <v>197</v>
      </c>
      <c r="T337" s="127" t="b">
        <f>IF($N337,IF($F337&gt;$P337,ROUND(($Q337-($F336/12)),2),IF($S337="YES",$N337,$N337-MinDrop)))</f>
        <v>0</v>
      </c>
      <c r="U337" s="210"/>
      <c r="V337" s="54"/>
      <c r="W337" s="54"/>
      <c r="X337" s="54"/>
      <c r="Y337" s="117"/>
      <c r="Z337" s="54"/>
      <c r="AA337" s="54"/>
      <c r="AB337" s="54"/>
      <c r="AC337" s="211"/>
    </row>
    <row r="338" spans="1:29" ht="15" thickBot="1" x14ac:dyDescent="0.35">
      <c r="A338" s="122"/>
      <c r="B338" s="204" t="b">
        <f>IF(Pipes!$B338,Pipes!$B338)</f>
        <v>0</v>
      </c>
      <c r="C338" s="212"/>
      <c r="D338" s="104"/>
      <c r="E338" s="104"/>
      <c r="F338" s="104">
        <f t="shared" si="987"/>
        <v>0</v>
      </c>
      <c r="G338" s="104"/>
      <c r="H338" s="104"/>
      <c r="I338" s="101"/>
      <c r="J338" s="101"/>
      <c r="K338" s="131"/>
      <c r="L338" s="213">
        <f t="shared" si="988"/>
        <v>0</v>
      </c>
      <c r="M338" s="213" t="b">
        <f t="shared" si="989"/>
        <v>0</v>
      </c>
      <c r="N338" s="214" t="b">
        <f t="shared" si="990"/>
        <v>0</v>
      </c>
      <c r="O338" s="216"/>
      <c r="P338" s="215">
        <f t="shared" si="991"/>
        <v>0</v>
      </c>
      <c r="Q338" s="103" t="b">
        <f t="shared" si="992"/>
        <v>0</v>
      </c>
      <c r="R338" s="53" t="b">
        <f t="shared" si="993"/>
        <v>0</v>
      </c>
      <c r="S338" s="241" t="s">
        <v>197</v>
      </c>
      <c r="T338" s="127" t="b">
        <f>IF($N338,IF($F338&gt;$P338,ROUND(($Q338-($F337/12)),2),IF($S338="YES",$N338,$N338-MinDrop)))</f>
        <v>0</v>
      </c>
      <c r="U338" s="217"/>
      <c r="V338" s="102"/>
      <c r="W338" s="102"/>
      <c r="X338" s="102"/>
      <c r="Y338" s="118"/>
      <c r="Z338" s="102"/>
      <c r="AA338" s="102"/>
      <c r="AB338" s="102"/>
      <c r="AC338" s="218"/>
    </row>
    <row r="339" spans="1:29" x14ac:dyDescent="0.3">
      <c r="A339" s="115">
        <f t="shared" ref="A339" si="994">$A334+1</f>
        <v>68</v>
      </c>
      <c r="B339" s="186"/>
      <c r="C339" s="201">
        <f>IF(Pipes!$Q339&gt;0,IF(Pipes!$R339&gt;MinDiameter,Pipes!$R339,MinDiameter),0)</f>
        <v>0</v>
      </c>
      <c r="D339" s="187" t="s">
        <v>197</v>
      </c>
      <c r="E339" s="187"/>
      <c r="F339" s="107">
        <f>Pipes!$S339</f>
        <v>0</v>
      </c>
      <c r="G339" s="108">
        <f>Pipes!$W339</f>
        <v>0</v>
      </c>
      <c r="H339" s="187" t="s">
        <v>197</v>
      </c>
      <c r="I339" s="188"/>
      <c r="J339" s="108">
        <f>Pipes!$X339</f>
        <v>0</v>
      </c>
      <c r="K339" s="193">
        <f>INDEX(Tribs!$H$3:$H$102,MATCH($A339,Tribs!$A$3:$A$102,0))</f>
        <v>0</v>
      </c>
      <c r="L339" s="105">
        <f>INDEX(Tribs!$I$3:$I$102,MATCH($A339,Tribs!$A$3:$A$102,0))</f>
        <v>0</v>
      </c>
      <c r="M339" s="105" t="b">
        <f>IF($L339,ROUND($L339-MinCover-($F339/12),2))</f>
        <v>0</v>
      </c>
      <c r="N339" s="202"/>
      <c r="O339" s="129">
        <f t="shared" ref="O339" si="995">MIN($N340:$N343)</f>
        <v>0</v>
      </c>
      <c r="P339" s="203"/>
      <c r="Q339" s="203"/>
      <c r="R339" s="203"/>
      <c r="S339" s="110"/>
      <c r="T339" s="116" t="b">
        <f t="shared" ref="T339" si="996">IF($M339,$M339)</f>
        <v>0</v>
      </c>
      <c r="U339" s="129">
        <f t="shared" ref="U339" si="997">MIN($T339:$T343)</f>
        <v>0</v>
      </c>
      <c r="V339" s="233" t="s">
        <v>197</v>
      </c>
      <c r="W339" s="219"/>
      <c r="X339" s="219" t="s">
        <v>197</v>
      </c>
      <c r="Y339" s="239"/>
      <c r="Z339" s="105">
        <f t="shared" ref="Z339" si="998">IF($V339="YES",$U339,IF($X339&lt;&gt;"YES",$W339,($AC339+$J339*$K339)))</f>
        <v>0</v>
      </c>
      <c r="AA339" s="105">
        <f t="shared" ref="AA339" si="999">ROUND($Z339+($F339/12),2)</f>
        <v>0</v>
      </c>
      <c r="AB339" s="105" t="b">
        <f t="shared" ref="AB339" si="1000">IF($L339,($L339-$AA339))</f>
        <v>0</v>
      </c>
      <c r="AC339" s="111">
        <f t="shared" ref="AC339" si="1001">IF(AND($V339&lt;&gt;"YES",$X339="YES"),$Y339,ROUND($Z339-($J339*$K339),2))</f>
        <v>0</v>
      </c>
    </row>
    <row r="340" spans="1:29" x14ac:dyDescent="0.3">
      <c r="A340" s="121"/>
      <c r="B340" s="204" t="b">
        <f>IF(Pipes!$B340,Pipes!$B340)</f>
        <v>0</v>
      </c>
      <c r="C340" s="205"/>
      <c r="D340" s="224"/>
      <c r="E340" s="224"/>
      <c r="F340" s="224">
        <f t="shared" ref="F340:F343" si="1002">F339</f>
        <v>0</v>
      </c>
      <c r="G340" s="224"/>
      <c r="H340" s="224"/>
      <c r="I340" s="52"/>
      <c r="J340" s="52"/>
      <c r="K340" s="130"/>
      <c r="L340" s="206">
        <f t="shared" ref="L340" si="1003">$L339</f>
        <v>0</v>
      </c>
      <c r="M340" s="206" t="b">
        <f t="shared" ref="M340" si="1004">M339</f>
        <v>0</v>
      </c>
      <c r="N340" s="240" t="b">
        <f t="shared" ref="N340" si="1005">IF($B340,INDEX($AC$4:$AC$499,MATCH($B340,$A$4:$A$499)))</f>
        <v>0</v>
      </c>
      <c r="O340" s="209"/>
      <c r="P340" s="208">
        <f t="shared" ref="P340:P343" si="1006">IF($B340,INDEX($F$4:$F$499,MATCH($B340,$A$4:$A$499)),0)</f>
        <v>0</v>
      </c>
      <c r="Q340" s="242" t="b">
        <f t="shared" ref="Q340" si="1007">IF($N340,ROUND(($N340+($P340/12)),2))</f>
        <v>0</v>
      </c>
      <c r="R340" s="53" t="b">
        <f t="shared" ref="R340" si="1008">IF(AND($L340,$Q340),$L340-$Q340)</f>
        <v>0</v>
      </c>
      <c r="S340" s="241" t="s">
        <v>197</v>
      </c>
      <c r="T340" s="127" t="b">
        <f>IF($N340,IF($F340&gt;$P340,ROUND(($Q340-($F339/12)),2),IF($S340="YES",$N340,$N340-MinDrop)))</f>
        <v>0</v>
      </c>
      <c r="U340" s="243"/>
      <c r="V340" s="245"/>
      <c r="W340" s="245"/>
      <c r="X340" s="54"/>
      <c r="Y340" s="117"/>
      <c r="Z340" s="54"/>
      <c r="AA340" s="54"/>
      <c r="AB340" s="54"/>
      <c r="AC340" s="211"/>
    </row>
    <row r="341" spans="1:29" x14ac:dyDescent="0.3">
      <c r="A341" s="121"/>
      <c r="B341" s="204" t="b">
        <f>IF(Pipes!$B341,Pipes!$B341)</f>
        <v>0</v>
      </c>
      <c r="C341" s="205"/>
      <c r="D341" s="224"/>
      <c r="E341" s="224"/>
      <c r="F341" s="224">
        <f t="shared" si="1002"/>
        <v>0</v>
      </c>
      <c r="G341" s="224"/>
      <c r="H341" s="224"/>
      <c r="I341" s="52"/>
      <c r="J341" s="52"/>
      <c r="K341" s="130"/>
      <c r="L341" s="206">
        <f t="shared" si="988"/>
        <v>0</v>
      </c>
      <c r="M341" s="206" t="b">
        <f t="shared" si="989"/>
        <v>0</v>
      </c>
      <c r="N341" s="207" t="b">
        <f t="shared" si="990"/>
        <v>0</v>
      </c>
      <c r="O341" s="209"/>
      <c r="P341" s="208">
        <f t="shared" si="1006"/>
        <v>0</v>
      </c>
      <c r="Q341" s="53" t="b">
        <f t="shared" si="992"/>
        <v>0</v>
      </c>
      <c r="R341" s="53" t="b">
        <f t="shared" si="993"/>
        <v>0</v>
      </c>
      <c r="S341" s="241" t="s">
        <v>197</v>
      </c>
      <c r="T341" s="127" t="b">
        <f>IF($N341,IF($F341&gt;$P341,ROUND(($Q341-($F340/12)),2),IF($S341="YES",$N341,$N341-MinDrop)))</f>
        <v>0</v>
      </c>
      <c r="U341" s="210"/>
      <c r="V341" s="54"/>
      <c r="W341" s="54"/>
      <c r="X341" s="54"/>
      <c r="Y341" s="117"/>
      <c r="Z341" s="54"/>
      <c r="AA341" s="54"/>
      <c r="AB341" s="54"/>
      <c r="AC341" s="211"/>
    </row>
    <row r="342" spans="1:29" x14ac:dyDescent="0.3">
      <c r="A342" s="121"/>
      <c r="B342" s="204" t="b">
        <f>IF(Pipes!$B342,Pipes!$B342)</f>
        <v>0</v>
      </c>
      <c r="C342" s="205"/>
      <c r="D342" s="224"/>
      <c r="E342" s="224"/>
      <c r="F342" s="224">
        <f t="shared" si="1002"/>
        <v>0</v>
      </c>
      <c r="G342" s="224"/>
      <c r="H342" s="224"/>
      <c r="I342" s="52"/>
      <c r="J342" s="52"/>
      <c r="K342" s="130"/>
      <c r="L342" s="206">
        <f t="shared" si="988"/>
        <v>0</v>
      </c>
      <c r="M342" s="206" t="b">
        <f t="shared" si="989"/>
        <v>0</v>
      </c>
      <c r="N342" s="207" t="b">
        <f t="shared" si="990"/>
        <v>0</v>
      </c>
      <c r="O342" s="209"/>
      <c r="P342" s="208">
        <f t="shared" si="1006"/>
        <v>0</v>
      </c>
      <c r="Q342" s="53" t="b">
        <f t="shared" si="992"/>
        <v>0</v>
      </c>
      <c r="R342" s="53" t="b">
        <f t="shared" si="993"/>
        <v>0</v>
      </c>
      <c r="S342" s="241" t="s">
        <v>197</v>
      </c>
      <c r="T342" s="127" t="b">
        <f>IF($N342,IF($F342&gt;$P342,ROUND(($Q342-($F341/12)),2),IF($S342="YES",$N342,$N342-MinDrop)))</f>
        <v>0</v>
      </c>
      <c r="U342" s="210"/>
      <c r="V342" s="54"/>
      <c r="W342" s="54"/>
      <c r="X342" s="54"/>
      <c r="Y342" s="117"/>
      <c r="Z342" s="54"/>
      <c r="AA342" s="54"/>
      <c r="AB342" s="54"/>
      <c r="AC342" s="211"/>
    </row>
    <row r="343" spans="1:29" ht="15" thickBot="1" x14ac:dyDescent="0.35">
      <c r="A343" s="122"/>
      <c r="B343" s="204" t="b">
        <f>IF(Pipes!$B343,Pipes!$B343)</f>
        <v>0</v>
      </c>
      <c r="C343" s="212"/>
      <c r="D343" s="104"/>
      <c r="E343" s="104"/>
      <c r="F343" s="104">
        <f t="shared" si="1002"/>
        <v>0</v>
      </c>
      <c r="G343" s="104"/>
      <c r="H343" s="104"/>
      <c r="I343" s="101"/>
      <c r="J343" s="101"/>
      <c r="K343" s="131"/>
      <c r="L343" s="213">
        <f t="shared" si="988"/>
        <v>0</v>
      </c>
      <c r="M343" s="213" t="b">
        <f t="shared" si="989"/>
        <v>0</v>
      </c>
      <c r="N343" s="214" t="b">
        <f t="shared" si="990"/>
        <v>0</v>
      </c>
      <c r="O343" s="216"/>
      <c r="P343" s="215">
        <f t="shared" si="1006"/>
        <v>0</v>
      </c>
      <c r="Q343" s="103" t="b">
        <f t="shared" si="992"/>
        <v>0</v>
      </c>
      <c r="R343" s="53" t="b">
        <f t="shared" si="993"/>
        <v>0</v>
      </c>
      <c r="S343" s="241" t="s">
        <v>197</v>
      </c>
      <c r="T343" s="127" t="b">
        <f>IF($N343,IF($F343&gt;$P343,ROUND(($Q343-($F342/12)),2),IF($S343="YES",$N343,$N343-MinDrop)))</f>
        <v>0</v>
      </c>
      <c r="U343" s="217"/>
      <c r="V343" s="102"/>
      <c r="W343" s="102"/>
      <c r="X343" s="102"/>
      <c r="Y343" s="118"/>
      <c r="Z343" s="102"/>
      <c r="AA343" s="102"/>
      <c r="AB343" s="102"/>
      <c r="AC343" s="218"/>
    </row>
    <row r="344" spans="1:29" x14ac:dyDescent="0.3">
      <c r="A344" s="115">
        <f t="shared" ref="A344" si="1009">$A339+1</f>
        <v>69</v>
      </c>
      <c r="B344" s="186"/>
      <c r="C344" s="201">
        <f>IF(Pipes!$Q344&gt;0,IF(Pipes!$R344&gt;MinDiameter,Pipes!$R344,MinDiameter),0)</f>
        <v>0</v>
      </c>
      <c r="D344" s="187" t="s">
        <v>197</v>
      </c>
      <c r="E344" s="187"/>
      <c r="F344" s="107">
        <f>Pipes!$S344</f>
        <v>0</v>
      </c>
      <c r="G344" s="108">
        <f>Pipes!$W344</f>
        <v>0</v>
      </c>
      <c r="H344" s="187" t="s">
        <v>197</v>
      </c>
      <c r="I344" s="188"/>
      <c r="J344" s="108">
        <f>Pipes!$X344</f>
        <v>0</v>
      </c>
      <c r="K344" s="193">
        <f>INDEX(Tribs!$H$3:$H$102,MATCH($A344,Tribs!$A$3:$A$102,0))</f>
        <v>0</v>
      </c>
      <c r="L344" s="105">
        <f>INDEX(Tribs!$I$3:$I$102,MATCH($A344,Tribs!$A$3:$A$102,0))</f>
        <v>0</v>
      </c>
      <c r="M344" s="105" t="b">
        <f>IF($L344,ROUND($L344-MinCover-($F344/12),2))</f>
        <v>0</v>
      </c>
      <c r="N344" s="202"/>
      <c r="O344" s="129">
        <f t="shared" ref="O344" si="1010">MIN($N345:$N348)</f>
        <v>0</v>
      </c>
      <c r="P344" s="203"/>
      <c r="Q344" s="203"/>
      <c r="R344" s="203"/>
      <c r="S344" s="110"/>
      <c r="T344" s="116" t="b">
        <f t="shared" ref="T344" si="1011">IF($M344,$M344)</f>
        <v>0</v>
      </c>
      <c r="U344" s="129">
        <f t="shared" ref="U344" si="1012">MIN($T344:$T348)</f>
        <v>0</v>
      </c>
      <c r="V344" s="233" t="s">
        <v>197</v>
      </c>
      <c r="W344" s="219"/>
      <c r="X344" s="219" t="s">
        <v>197</v>
      </c>
      <c r="Y344" s="239"/>
      <c r="Z344" s="105">
        <f t="shared" ref="Z344" si="1013">IF($V344="YES",$U344,IF($X344&lt;&gt;"YES",$W344,($AC344+$J344*$K344)))</f>
        <v>0</v>
      </c>
      <c r="AA344" s="105">
        <f t="shared" ref="AA344" si="1014">ROUND($Z344+($F344/12),2)</f>
        <v>0</v>
      </c>
      <c r="AB344" s="105" t="b">
        <f t="shared" ref="AB344" si="1015">IF($L344,($L344-$AA344))</f>
        <v>0</v>
      </c>
      <c r="AC344" s="111">
        <f t="shared" ref="AC344" si="1016">IF(AND($V344&lt;&gt;"YES",$X344="YES"),$Y344,ROUND($Z344-($J344*$K344),2))</f>
        <v>0</v>
      </c>
    </row>
    <row r="345" spans="1:29" x14ac:dyDescent="0.3">
      <c r="A345" s="121"/>
      <c r="B345" s="204" t="b">
        <f>IF(Pipes!$B345,Pipes!$B345)</f>
        <v>0</v>
      </c>
      <c r="C345" s="205"/>
      <c r="D345" s="224"/>
      <c r="E345" s="224"/>
      <c r="F345" s="224">
        <f t="shared" ref="F345:F348" si="1017">F344</f>
        <v>0</v>
      </c>
      <c r="G345" s="224"/>
      <c r="H345" s="224"/>
      <c r="I345" s="52"/>
      <c r="J345" s="52"/>
      <c r="K345" s="130"/>
      <c r="L345" s="206">
        <f t="shared" ref="L345" si="1018">$L344</f>
        <v>0</v>
      </c>
      <c r="M345" s="206" t="b">
        <f t="shared" ref="M345" si="1019">M344</f>
        <v>0</v>
      </c>
      <c r="N345" s="240" t="b">
        <f t="shared" ref="N345" si="1020">IF($B345,INDEX($AC$4:$AC$499,MATCH($B345,$A$4:$A$499)))</f>
        <v>0</v>
      </c>
      <c r="O345" s="209"/>
      <c r="P345" s="208">
        <f t="shared" ref="P345:P348" si="1021">IF($B345,INDEX($F$4:$F$499,MATCH($B345,$A$4:$A$499)),0)</f>
        <v>0</v>
      </c>
      <c r="Q345" s="242" t="b">
        <f t="shared" ref="Q345" si="1022">IF($N345,ROUND(($N345+($P345/12)),2))</f>
        <v>0</v>
      </c>
      <c r="R345" s="53" t="b">
        <f t="shared" ref="R345" si="1023">IF(AND($L345,$Q345),$L345-$Q345)</f>
        <v>0</v>
      </c>
      <c r="S345" s="241" t="s">
        <v>197</v>
      </c>
      <c r="T345" s="127" t="b">
        <f>IF($N345,IF($F345&gt;$P345,ROUND(($Q345-($F344/12)),2),IF($S345="YES",$N345,$N345-MinDrop)))</f>
        <v>0</v>
      </c>
      <c r="U345" s="243"/>
      <c r="V345" s="245"/>
      <c r="W345" s="245"/>
      <c r="X345" s="54"/>
      <c r="Y345" s="117"/>
      <c r="Z345" s="54"/>
      <c r="AA345" s="54"/>
      <c r="AB345" s="54"/>
      <c r="AC345" s="211"/>
    </row>
    <row r="346" spans="1:29" x14ac:dyDescent="0.3">
      <c r="A346" s="121"/>
      <c r="B346" s="204" t="b">
        <f>IF(Pipes!$B346,Pipes!$B346)</f>
        <v>0</v>
      </c>
      <c r="C346" s="205"/>
      <c r="D346" s="224"/>
      <c r="E346" s="224"/>
      <c r="F346" s="224">
        <f t="shared" si="1017"/>
        <v>0</v>
      </c>
      <c r="G346" s="224"/>
      <c r="H346" s="224"/>
      <c r="I346" s="52"/>
      <c r="J346" s="52"/>
      <c r="K346" s="130"/>
      <c r="L346" s="206">
        <f t="shared" si="988"/>
        <v>0</v>
      </c>
      <c r="M346" s="206" t="b">
        <f t="shared" si="989"/>
        <v>0</v>
      </c>
      <c r="N346" s="207" t="b">
        <f t="shared" si="990"/>
        <v>0</v>
      </c>
      <c r="O346" s="209"/>
      <c r="P346" s="208">
        <f t="shared" si="1021"/>
        <v>0</v>
      </c>
      <c r="Q346" s="53" t="b">
        <f t="shared" si="992"/>
        <v>0</v>
      </c>
      <c r="R346" s="53" t="b">
        <f t="shared" si="993"/>
        <v>0</v>
      </c>
      <c r="S346" s="241" t="s">
        <v>197</v>
      </c>
      <c r="T346" s="127" t="b">
        <f>IF($N346,IF($F346&gt;$P346,ROUND(($Q346-($F345/12)),2),IF($S346="YES",$N346,$N346-MinDrop)))</f>
        <v>0</v>
      </c>
      <c r="U346" s="210"/>
      <c r="V346" s="54"/>
      <c r="W346" s="54"/>
      <c r="X346" s="54"/>
      <c r="Y346" s="117"/>
      <c r="Z346" s="54"/>
      <c r="AA346" s="54"/>
      <c r="AB346" s="54"/>
      <c r="AC346" s="211"/>
    </row>
    <row r="347" spans="1:29" x14ac:dyDescent="0.3">
      <c r="A347" s="121"/>
      <c r="B347" s="204" t="b">
        <f>IF(Pipes!$B347,Pipes!$B347)</f>
        <v>0</v>
      </c>
      <c r="C347" s="205"/>
      <c r="D347" s="224"/>
      <c r="E347" s="224"/>
      <c r="F347" s="224">
        <f t="shared" si="1017"/>
        <v>0</v>
      </c>
      <c r="G347" s="224"/>
      <c r="H347" s="224"/>
      <c r="I347" s="52"/>
      <c r="J347" s="52"/>
      <c r="K347" s="130"/>
      <c r="L347" s="206">
        <f t="shared" si="988"/>
        <v>0</v>
      </c>
      <c r="M347" s="206" t="b">
        <f t="shared" si="989"/>
        <v>0</v>
      </c>
      <c r="N347" s="207" t="b">
        <f t="shared" si="990"/>
        <v>0</v>
      </c>
      <c r="O347" s="209"/>
      <c r="P347" s="208">
        <f t="shared" si="1021"/>
        <v>0</v>
      </c>
      <c r="Q347" s="53" t="b">
        <f t="shared" si="992"/>
        <v>0</v>
      </c>
      <c r="R347" s="53" t="b">
        <f t="shared" si="993"/>
        <v>0</v>
      </c>
      <c r="S347" s="241" t="s">
        <v>197</v>
      </c>
      <c r="T347" s="127" t="b">
        <f>IF($N347,IF($F347&gt;$P347,ROUND(($Q347-($F346/12)),2),IF($S347="YES",$N347,$N347-MinDrop)))</f>
        <v>0</v>
      </c>
      <c r="U347" s="210"/>
      <c r="V347" s="54"/>
      <c r="W347" s="54"/>
      <c r="X347" s="54"/>
      <c r="Y347" s="117"/>
      <c r="Z347" s="54"/>
      <c r="AA347" s="54"/>
      <c r="AB347" s="54"/>
      <c r="AC347" s="211"/>
    </row>
    <row r="348" spans="1:29" ht="15" thickBot="1" x14ac:dyDescent="0.35">
      <c r="A348" s="122"/>
      <c r="B348" s="204" t="b">
        <f>IF(Pipes!$B348,Pipes!$B348)</f>
        <v>0</v>
      </c>
      <c r="C348" s="212"/>
      <c r="D348" s="104"/>
      <c r="E348" s="104"/>
      <c r="F348" s="104">
        <f t="shared" si="1017"/>
        <v>0</v>
      </c>
      <c r="G348" s="104"/>
      <c r="H348" s="104"/>
      <c r="I348" s="101"/>
      <c r="J348" s="101"/>
      <c r="K348" s="131"/>
      <c r="L348" s="213">
        <f t="shared" si="988"/>
        <v>0</v>
      </c>
      <c r="M348" s="213" t="b">
        <f t="shared" si="989"/>
        <v>0</v>
      </c>
      <c r="N348" s="214" t="b">
        <f t="shared" si="990"/>
        <v>0</v>
      </c>
      <c r="O348" s="216"/>
      <c r="P348" s="215">
        <f t="shared" si="1021"/>
        <v>0</v>
      </c>
      <c r="Q348" s="103" t="b">
        <f t="shared" si="992"/>
        <v>0</v>
      </c>
      <c r="R348" s="53" t="b">
        <f t="shared" si="993"/>
        <v>0</v>
      </c>
      <c r="S348" s="241" t="s">
        <v>197</v>
      </c>
      <c r="T348" s="127" t="b">
        <f>IF($N348,IF($F348&gt;$P348,ROUND(($Q348-($F347/12)),2),IF($S348="YES",$N348,$N348-MinDrop)))</f>
        <v>0</v>
      </c>
      <c r="U348" s="217"/>
      <c r="V348" s="102"/>
      <c r="W348" s="102"/>
      <c r="X348" s="102"/>
      <c r="Y348" s="118"/>
      <c r="Z348" s="102"/>
      <c r="AA348" s="102"/>
      <c r="AB348" s="102"/>
      <c r="AC348" s="218"/>
    </row>
    <row r="349" spans="1:29" x14ac:dyDescent="0.3">
      <c r="A349" s="115">
        <f t="shared" ref="A349" si="1024">$A344+1</f>
        <v>70</v>
      </c>
      <c r="B349" s="186"/>
      <c r="C349" s="201">
        <f>IF(Pipes!$Q349&gt;0,IF(Pipes!$R349&gt;MinDiameter,Pipes!$R349,MinDiameter),0)</f>
        <v>0</v>
      </c>
      <c r="D349" s="187" t="s">
        <v>197</v>
      </c>
      <c r="E349" s="187"/>
      <c r="F349" s="107">
        <f>Pipes!$S349</f>
        <v>0</v>
      </c>
      <c r="G349" s="108">
        <f>Pipes!$W349</f>
        <v>0</v>
      </c>
      <c r="H349" s="187" t="s">
        <v>197</v>
      </c>
      <c r="I349" s="188"/>
      <c r="J349" s="108">
        <f>Pipes!$X349</f>
        <v>0</v>
      </c>
      <c r="K349" s="193">
        <f>INDEX(Tribs!$H$3:$H$102,MATCH($A349,Tribs!$A$3:$A$102,0))</f>
        <v>0</v>
      </c>
      <c r="L349" s="105">
        <f>INDEX(Tribs!$I$3:$I$102,MATCH($A349,Tribs!$A$3:$A$102,0))</f>
        <v>0</v>
      </c>
      <c r="M349" s="105" t="b">
        <f>IF($L349,ROUND($L349-MinCover-($F349/12),2))</f>
        <v>0</v>
      </c>
      <c r="N349" s="202"/>
      <c r="O349" s="129">
        <f t="shared" ref="O349" si="1025">MIN($N350:$N353)</f>
        <v>0</v>
      </c>
      <c r="P349" s="203"/>
      <c r="Q349" s="203"/>
      <c r="R349" s="203"/>
      <c r="S349" s="110"/>
      <c r="T349" s="116" t="b">
        <f t="shared" ref="T349" si="1026">IF($M349,$M349)</f>
        <v>0</v>
      </c>
      <c r="U349" s="129">
        <f t="shared" ref="U349" si="1027">MIN($T349:$T353)</f>
        <v>0</v>
      </c>
      <c r="V349" s="233" t="s">
        <v>197</v>
      </c>
      <c r="W349" s="219"/>
      <c r="X349" s="219" t="s">
        <v>197</v>
      </c>
      <c r="Y349" s="239"/>
      <c r="Z349" s="105">
        <f t="shared" ref="Z349" si="1028">IF($V349="YES",$U349,IF($X349&lt;&gt;"YES",$W349,($AC349+$J349*$K349)))</f>
        <v>0</v>
      </c>
      <c r="AA349" s="105">
        <f t="shared" ref="AA349" si="1029">ROUND($Z349+($F349/12),2)</f>
        <v>0</v>
      </c>
      <c r="AB349" s="105" t="b">
        <f t="shared" ref="AB349" si="1030">IF($L349,($L349-$AA349))</f>
        <v>0</v>
      </c>
      <c r="AC349" s="111">
        <f t="shared" ref="AC349" si="1031">IF(AND($V349&lt;&gt;"YES",$X349="YES"),$Y349,ROUND($Z349-($J349*$K349),2))</f>
        <v>0</v>
      </c>
    </row>
    <row r="350" spans="1:29" x14ac:dyDescent="0.3">
      <c r="A350" s="121"/>
      <c r="B350" s="204" t="b">
        <f>IF(Pipes!$B350,Pipes!$B350)</f>
        <v>0</v>
      </c>
      <c r="C350" s="205"/>
      <c r="D350" s="224"/>
      <c r="E350" s="224"/>
      <c r="F350" s="224">
        <f t="shared" ref="F350:F353" si="1032">F349</f>
        <v>0</v>
      </c>
      <c r="G350" s="224"/>
      <c r="H350" s="224"/>
      <c r="I350" s="52"/>
      <c r="J350" s="52"/>
      <c r="K350" s="130"/>
      <c r="L350" s="206">
        <f t="shared" ref="L350" si="1033">$L349</f>
        <v>0</v>
      </c>
      <c r="M350" s="206" t="b">
        <f t="shared" ref="M350" si="1034">M349</f>
        <v>0</v>
      </c>
      <c r="N350" s="240" t="b">
        <f t="shared" ref="N350" si="1035">IF($B350,INDEX($AC$4:$AC$499,MATCH($B350,$A$4:$A$499)))</f>
        <v>0</v>
      </c>
      <c r="O350" s="209"/>
      <c r="P350" s="208">
        <f t="shared" ref="P350:P353" si="1036">IF($B350,INDEX($F$4:$F$499,MATCH($B350,$A$4:$A$499)),0)</f>
        <v>0</v>
      </c>
      <c r="Q350" s="242" t="b">
        <f t="shared" ref="Q350" si="1037">IF($N350,ROUND(($N350+($P350/12)),2))</f>
        <v>0</v>
      </c>
      <c r="R350" s="53" t="b">
        <f t="shared" ref="R350" si="1038">IF(AND($L350,$Q350),$L350-$Q350)</f>
        <v>0</v>
      </c>
      <c r="S350" s="241" t="s">
        <v>197</v>
      </c>
      <c r="T350" s="127" t="b">
        <f>IF($N350,IF($F350&gt;$P350,ROUND(($Q350-($F349/12)),2),IF($S350="YES",$N350,$N350-MinDrop)))</f>
        <v>0</v>
      </c>
      <c r="U350" s="243"/>
      <c r="V350" s="245"/>
      <c r="W350" s="245"/>
      <c r="X350" s="54"/>
      <c r="Y350" s="117"/>
      <c r="Z350" s="54"/>
      <c r="AA350" s="54"/>
      <c r="AB350" s="54"/>
      <c r="AC350" s="211"/>
    </row>
    <row r="351" spans="1:29" x14ac:dyDescent="0.3">
      <c r="A351" s="121"/>
      <c r="B351" s="204" t="b">
        <f>IF(Pipes!$B351,Pipes!$B351)</f>
        <v>0</v>
      </c>
      <c r="C351" s="205"/>
      <c r="D351" s="224"/>
      <c r="E351" s="224"/>
      <c r="F351" s="224">
        <f t="shared" si="1032"/>
        <v>0</v>
      </c>
      <c r="G351" s="224"/>
      <c r="H351" s="224"/>
      <c r="I351" s="52"/>
      <c r="J351" s="52"/>
      <c r="K351" s="130"/>
      <c r="L351" s="206">
        <f t="shared" si="988"/>
        <v>0</v>
      </c>
      <c r="M351" s="206" t="b">
        <f t="shared" si="989"/>
        <v>0</v>
      </c>
      <c r="N351" s="207" t="b">
        <f t="shared" si="990"/>
        <v>0</v>
      </c>
      <c r="O351" s="209"/>
      <c r="P351" s="208">
        <f t="shared" si="1036"/>
        <v>0</v>
      </c>
      <c r="Q351" s="53" t="b">
        <f t="shared" si="992"/>
        <v>0</v>
      </c>
      <c r="R351" s="53" t="b">
        <f t="shared" si="993"/>
        <v>0</v>
      </c>
      <c r="S351" s="241" t="s">
        <v>197</v>
      </c>
      <c r="T351" s="127" t="b">
        <f>IF($N351,IF($F351&gt;$P351,ROUND(($Q351-($F350/12)),2),IF($S351="YES",$N351,$N351-MinDrop)))</f>
        <v>0</v>
      </c>
      <c r="U351" s="210"/>
      <c r="V351" s="54"/>
      <c r="W351" s="54"/>
      <c r="X351" s="54"/>
      <c r="Y351" s="117"/>
      <c r="Z351" s="54"/>
      <c r="AA351" s="54"/>
      <c r="AB351" s="54"/>
      <c r="AC351" s="211"/>
    </row>
    <row r="352" spans="1:29" x14ac:dyDescent="0.3">
      <c r="A352" s="121"/>
      <c r="B352" s="204" t="b">
        <f>IF(Pipes!$B352,Pipes!$B352)</f>
        <v>0</v>
      </c>
      <c r="C352" s="205"/>
      <c r="D352" s="224"/>
      <c r="E352" s="224"/>
      <c r="F352" s="224">
        <f t="shared" si="1032"/>
        <v>0</v>
      </c>
      <c r="G352" s="224"/>
      <c r="H352" s="224"/>
      <c r="I352" s="52"/>
      <c r="J352" s="52"/>
      <c r="K352" s="130"/>
      <c r="L352" s="206">
        <f t="shared" si="988"/>
        <v>0</v>
      </c>
      <c r="M352" s="206" t="b">
        <f t="shared" si="989"/>
        <v>0</v>
      </c>
      <c r="N352" s="207" t="b">
        <f t="shared" si="990"/>
        <v>0</v>
      </c>
      <c r="O352" s="209"/>
      <c r="P352" s="208">
        <f t="shared" si="1036"/>
        <v>0</v>
      </c>
      <c r="Q352" s="53" t="b">
        <f t="shared" si="992"/>
        <v>0</v>
      </c>
      <c r="R352" s="53" t="b">
        <f t="shared" si="993"/>
        <v>0</v>
      </c>
      <c r="S352" s="241" t="s">
        <v>197</v>
      </c>
      <c r="T352" s="127" t="b">
        <f>IF($N352,IF($F352&gt;$P352,ROUND(($Q352-($F351/12)),2),IF($S352="YES",$N352,$N352-MinDrop)))</f>
        <v>0</v>
      </c>
      <c r="U352" s="210"/>
      <c r="V352" s="54"/>
      <c r="W352" s="54"/>
      <c r="X352" s="54"/>
      <c r="Y352" s="117"/>
      <c r="Z352" s="54"/>
      <c r="AA352" s="54"/>
      <c r="AB352" s="54"/>
      <c r="AC352" s="211"/>
    </row>
    <row r="353" spans="1:29" ht="15" thickBot="1" x14ac:dyDescent="0.35">
      <c r="A353" s="122"/>
      <c r="B353" s="204" t="b">
        <f>IF(Pipes!$B353,Pipes!$B353)</f>
        <v>0</v>
      </c>
      <c r="C353" s="212"/>
      <c r="D353" s="104"/>
      <c r="E353" s="104"/>
      <c r="F353" s="104">
        <f t="shared" si="1032"/>
        <v>0</v>
      </c>
      <c r="G353" s="104"/>
      <c r="H353" s="104"/>
      <c r="I353" s="101"/>
      <c r="J353" s="101"/>
      <c r="K353" s="131"/>
      <c r="L353" s="213">
        <f t="shared" si="988"/>
        <v>0</v>
      </c>
      <c r="M353" s="213" t="b">
        <f t="shared" si="989"/>
        <v>0</v>
      </c>
      <c r="N353" s="214" t="b">
        <f t="shared" si="990"/>
        <v>0</v>
      </c>
      <c r="O353" s="216"/>
      <c r="P353" s="215">
        <f t="shared" si="1036"/>
        <v>0</v>
      </c>
      <c r="Q353" s="103" t="b">
        <f t="shared" si="992"/>
        <v>0</v>
      </c>
      <c r="R353" s="53" t="b">
        <f t="shared" si="993"/>
        <v>0</v>
      </c>
      <c r="S353" s="241" t="s">
        <v>197</v>
      </c>
      <c r="T353" s="127" t="b">
        <f>IF($N353,IF($F353&gt;$P353,ROUND(($Q353-($F352/12)),2),IF($S353="YES",$N353,$N353-MinDrop)))</f>
        <v>0</v>
      </c>
      <c r="U353" s="217"/>
      <c r="V353" s="102"/>
      <c r="W353" s="102"/>
      <c r="X353" s="102"/>
      <c r="Y353" s="118"/>
      <c r="Z353" s="102"/>
      <c r="AA353" s="102"/>
      <c r="AB353" s="102"/>
      <c r="AC353" s="218"/>
    </row>
    <row r="354" spans="1:29" x14ac:dyDescent="0.3">
      <c r="A354" s="115">
        <f t="shared" ref="A354" si="1039">$A349+1</f>
        <v>71</v>
      </c>
      <c r="B354" s="186"/>
      <c r="C354" s="201">
        <f>IF(Pipes!$Q354&gt;0,IF(Pipes!$R354&gt;MinDiameter,Pipes!$R354,MinDiameter),0)</f>
        <v>0</v>
      </c>
      <c r="D354" s="187" t="s">
        <v>197</v>
      </c>
      <c r="E354" s="187"/>
      <c r="F354" s="107">
        <f>Pipes!$S354</f>
        <v>0</v>
      </c>
      <c r="G354" s="108">
        <f>Pipes!$W354</f>
        <v>0</v>
      </c>
      <c r="H354" s="187" t="s">
        <v>197</v>
      </c>
      <c r="I354" s="188"/>
      <c r="J354" s="108">
        <f>Pipes!$X354</f>
        <v>0</v>
      </c>
      <c r="K354" s="193">
        <f>INDEX(Tribs!$H$3:$H$102,MATCH($A354,Tribs!$A$3:$A$102,0))</f>
        <v>0</v>
      </c>
      <c r="L354" s="105">
        <f>INDEX(Tribs!$I$3:$I$102,MATCH($A354,Tribs!$A$3:$A$102,0))</f>
        <v>0</v>
      </c>
      <c r="M354" s="105" t="b">
        <f>IF($L354,ROUND($L354-MinCover-($F354/12),2))</f>
        <v>0</v>
      </c>
      <c r="N354" s="202"/>
      <c r="O354" s="129">
        <f t="shared" ref="O354" si="1040">MIN($N355:$N358)</f>
        <v>0</v>
      </c>
      <c r="P354" s="203"/>
      <c r="Q354" s="203"/>
      <c r="R354" s="203"/>
      <c r="S354" s="110"/>
      <c r="T354" s="116" t="b">
        <f t="shared" ref="T354" si="1041">IF($M354,$M354)</f>
        <v>0</v>
      </c>
      <c r="U354" s="129">
        <f t="shared" ref="U354" si="1042">MIN($T354:$T358)</f>
        <v>0</v>
      </c>
      <c r="V354" s="233" t="s">
        <v>197</v>
      </c>
      <c r="W354" s="219"/>
      <c r="X354" s="219" t="s">
        <v>197</v>
      </c>
      <c r="Y354" s="239"/>
      <c r="Z354" s="105">
        <f t="shared" ref="Z354" si="1043">IF($V354="YES",$U354,IF($X354&lt;&gt;"YES",$W354,($AC354+$J354*$K354)))</f>
        <v>0</v>
      </c>
      <c r="AA354" s="105">
        <f t="shared" ref="AA354" si="1044">ROUND($Z354+($F354/12),2)</f>
        <v>0</v>
      </c>
      <c r="AB354" s="105" t="b">
        <f t="shared" ref="AB354" si="1045">IF($L354,($L354-$AA354))</f>
        <v>0</v>
      </c>
      <c r="AC354" s="111">
        <f t="shared" ref="AC354" si="1046">IF(AND($V354&lt;&gt;"YES",$X354="YES"),$Y354,ROUND($Z354-($J354*$K354),2))</f>
        <v>0</v>
      </c>
    </row>
    <row r="355" spans="1:29" x14ac:dyDescent="0.3">
      <c r="A355" s="121"/>
      <c r="B355" s="204" t="b">
        <f>IF(Pipes!$B355,Pipes!$B355)</f>
        <v>0</v>
      </c>
      <c r="C355" s="205"/>
      <c r="D355" s="224"/>
      <c r="E355" s="224"/>
      <c r="F355" s="224">
        <f t="shared" ref="F355:F358" si="1047">F354</f>
        <v>0</v>
      </c>
      <c r="G355" s="224"/>
      <c r="H355" s="224"/>
      <c r="I355" s="52"/>
      <c r="J355" s="52"/>
      <c r="K355" s="130"/>
      <c r="L355" s="206">
        <f t="shared" ref="L355" si="1048">$L354</f>
        <v>0</v>
      </c>
      <c r="M355" s="206" t="b">
        <f t="shared" ref="M355" si="1049">M354</f>
        <v>0</v>
      </c>
      <c r="N355" s="240" t="b">
        <f t="shared" ref="N355" si="1050">IF($B355,INDEX($AC$4:$AC$499,MATCH($B355,$A$4:$A$499)))</f>
        <v>0</v>
      </c>
      <c r="O355" s="209"/>
      <c r="P355" s="208">
        <f t="shared" ref="P355:P358" si="1051">IF($B355,INDEX($F$4:$F$499,MATCH($B355,$A$4:$A$499)),0)</f>
        <v>0</v>
      </c>
      <c r="Q355" s="242" t="b">
        <f t="shared" ref="Q355" si="1052">IF($N355,ROUND(($N355+($P355/12)),2))</f>
        <v>0</v>
      </c>
      <c r="R355" s="53" t="b">
        <f t="shared" ref="R355" si="1053">IF(AND($L355,$Q355),$L355-$Q355)</f>
        <v>0</v>
      </c>
      <c r="S355" s="241" t="s">
        <v>197</v>
      </c>
      <c r="T355" s="127" t="b">
        <f>IF($N355,IF($F355&gt;$P355,ROUND(($Q355-($F354/12)),2),IF($S355="YES",$N355,$N355-MinDrop)))</f>
        <v>0</v>
      </c>
      <c r="U355" s="243"/>
      <c r="V355" s="245"/>
      <c r="W355" s="245"/>
      <c r="X355" s="54"/>
      <c r="Y355" s="117"/>
      <c r="Z355" s="54"/>
      <c r="AA355" s="54"/>
      <c r="AB355" s="54"/>
      <c r="AC355" s="211"/>
    </row>
    <row r="356" spans="1:29" x14ac:dyDescent="0.3">
      <c r="A356" s="121"/>
      <c r="B356" s="204" t="b">
        <f>IF(Pipes!$B356,Pipes!$B356)</f>
        <v>0</v>
      </c>
      <c r="C356" s="205"/>
      <c r="D356" s="224"/>
      <c r="E356" s="224"/>
      <c r="F356" s="224">
        <f t="shared" si="1047"/>
        <v>0</v>
      </c>
      <c r="G356" s="224"/>
      <c r="H356" s="224"/>
      <c r="I356" s="52"/>
      <c r="J356" s="52"/>
      <c r="K356" s="130"/>
      <c r="L356" s="206">
        <f t="shared" si="988"/>
        <v>0</v>
      </c>
      <c r="M356" s="206" t="b">
        <f t="shared" si="989"/>
        <v>0</v>
      </c>
      <c r="N356" s="207" t="b">
        <f t="shared" si="990"/>
        <v>0</v>
      </c>
      <c r="O356" s="209"/>
      <c r="P356" s="208">
        <f t="shared" si="1051"/>
        <v>0</v>
      </c>
      <c r="Q356" s="53" t="b">
        <f t="shared" si="992"/>
        <v>0</v>
      </c>
      <c r="R356" s="53" t="b">
        <f t="shared" si="993"/>
        <v>0</v>
      </c>
      <c r="S356" s="241" t="s">
        <v>197</v>
      </c>
      <c r="T356" s="127" t="b">
        <f>IF($N356,IF($F356&gt;$P356,ROUND(($Q356-($F355/12)),2),IF($S356="YES",$N356,$N356-MinDrop)))</f>
        <v>0</v>
      </c>
      <c r="U356" s="210"/>
      <c r="V356" s="54"/>
      <c r="W356" s="54"/>
      <c r="X356" s="54"/>
      <c r="Y356" s="117"/>
      <c r="Z356" s="54"/>
      <c r="AA356" s="54"/>
      <c r="AB356" s="54"/>
      <c r="AC356" s="211"/>
    </row>
    <row r="357" spans="1:29" x14ac:dyDescent="0.3">
      <c r="A357" s="121"/>
      <c r="B357" s="204" t="b">
        <f>IF(Pipes!$B357,Pipes!$B357)</f>
        <v>0</v>
      </c>
      <c r="C357" s="205"/>
      <c r="D357" s="224"/>
      <c r="E357" s="224"/>
      <c r="F357" s="224">
        <f t="shared" si="1047"/>
        <v>0</v>
      </c>
      <c r="G357" s="224"/>
      <c r="H357" s="224"/>
      <c r="I357" s="52"/>
      <c r="J357" s="52"/>
      <c r="K357" s="130"/>
      <c r="L357" s="206">
        <f t="shared" si="988"/>
        <v>0</v>
      </c>
      <c r="M357" s="206" t="b">
        <f t="shared" si="989"/>
        <v>0</v>
      </c>
      <c r="N357" s="207" t="b">
        <f t="shared" si="990"/>
        <v>0</v>
      </c>
      <c r="O357" s="209"/>
      <c r="P357" s="208">
        <f t="shared" si="1051"/>
        <v>0</v>
      </c>
      <c r="Q357" s="53" t="b">
        <f t="shared" si="992"/>
        <v>0</v>
      </c>
      <c r="R357" s="53" t="b">
        <f t="shared" si="993"/>
        <v>0</v>
      </c>
      <c r="S357" s="241" t="s">
        <v>197</v>
      </c>
      <c r="T357" s="127" t="b">
        <f>IF($N357,IF($F357&gt;$P357,ROUND(($Q357-($F356/12)),2),IF($S357="YES",$N357,$N357-MinDrop)))</f>
        <v>0</v>
      </c>
      <c r="U357" s="210"/>
      <c r="V357" s="54"/>
      <c r="W357" s="54"/>
      <c r="X357" s="54"/>
      <c r="Y357" s="117"/>
      <c r="Z357" s="54"/>
      <c r="AA357" s="54"/>
      <c r="AB357" s="54"/>
      <c r="AC357" s="211"/>
    </row>
    <row r="358" spans="1:29" ht="15" thickBot="1" x14ac:dyDescent="0.35">
      <c r="A358" s="122"/>
      <c r="B358" s="204" t="b">
        <f>IF(Pipes!$B358,Pipes!$B358)</f>
        <v>0</v>
      </c>
      <c r="C358" s="212"/>
      <c r="D358" s="104"/>
      <c r="E358" s="104"/>
      <c r="F358" s="104">
        <f t="shared" si="1047"/>
        <v>0</v>
      </c>
      <c r="G358" s="104"/>
      <c r="H358" s="104"/>
      <c r="I358" s="101"/>
      <c r="J358" s="101"/>
      <c r="K358" s="131"/>
      <c r="L358" s="213">
        <f t="shared" si="988"/>
        <v>0</v>
      </c>
      <c r="M358" s="213" t="b">
        <f t="shared" si="989"/>
        <v>0</v>
      </c>
      <c r="N358" s="214" t="b">
        <f t="shared" si="990"/>
        <v>0</v>
      </c>
      <c r="O358" s="216"/>
      <c r="P358" s="215">
        <f t="shared" si="1051"/>
        <v>0</v>
      </c>
      <c r="Q358" s="103" t="b">
        <f t="shared" si="992"/>
        <v>0</v>
      </c>
      <c r="R358" s="53" t="b">
        <f t="shared" si="993"/>
        <v>0</v>
      </c>
      <c r="S358" s="241" t="s">
        <v>197</v>
      </c>
      <c r="T358" s="127" t="b">
        <f>IF($N358,IF($F358&gt;$P358,ROUND(($Q358-($F357/12)),2),IF($S358="YES",$N358,$N358-MinDrop)))</f>
        <v>0</v>
      </c>
      <c r="U358" s="217"/>
      <c r="V358" s="102"/>
      <c r="W358" s="102"/>
      <c r="X358" s="102"/>
      <c r="Y358" s="118"/>
      <c r="Z358" s="102"/>
      <c r="AA358" s="102"/>
      <c r="AB358" s="102"/>
      <c r="AC358" s="218"/>
    </row>
    <row r="359" spans="1:29" x14ac:dyDescent="0.3">
      <c r="A359" s="115">
        <f t="shared" ref="A359" si="1054">$A354+1</f>
        <v>72</v>
      </c>
      <c r="B359" s="186"/>
      <c r="C359" s="201">
        <f>IF(Pipes!$Q359&gt;0,IF(Pipes!$R359&gt;MinDiameter,Pipes!$R359,MinDiameter),0)</f>
        <v>0</v>
      </c>
      <c r="D359" s="187" t="s">
        <v>197</v>
      </c>
      <c r="E359" s="187"/>
      <c r="F359" s="107">
        <f>Pipes!$S359</f>
        <v>0</v>
      </c>
      <c r="G359" s="108">
        <f>Pipes!$W359</f>
        <v>0</v>
      </c>
      <c r="H359" s="187" t="s">
        <v>197</v>
      </c>
      <c r="I359" s="188"/>
      <c r="J359" s="108">
        <f>Pipes!$X359</f>
        <v>0</v>
      </c>
      <c r="K359" s="193">
        <f>INDEX(Tribs!$H$3:$H$102,MATCH($A359,Tribs!$A$3:$A$102,0))</f>
        <v>0</v>
      </c>
      <c r="L359" s="105">
        <f>INDEX(Tribs!$I$3:$I$102,MATCH($A359,Tribs!$A$3:$A$102,0))</f>
        <v>0</v>
      </c>
      <c r="M359" s="105" t="b">
        <f>IF($L359,ROUND($L359-MinCover-($F359/12),2))</f>
        <v>0</v>
      </c>
      <c r="N359" s="202"/>
      <c r="O359" s="129">
        <f t="shared" ref="O359" si="1055">MIN($N360:$N363)</f>
        <v>0</v>
      </c>
      <c r="P359" s="203"/>
      <c r="Q359" s="203"/>
      <c r="R359" s="203"/>
      <c r="S359" s="110"/>
      <c r="T359" s="116" t="b">
        <f t="shared" ref="T359" si="1056">IF($M359,$M359)</f>
        <v>0</v>
      </c>
      <c r="U359" s="129">
        <f t="shared" ref="U359" si="1057">MIN($T359:$T363)</f>
        <v>0</v>
      </c>
      <c r="V359" s="233" t="s">
        <v>197</v>
      </c>
      <c r="W359" s="219"/>
      <c r="X359" s="219" t="s">
        <v>197</v>
      </c>
      <c r="Y359" s="239"/>
      <c r="Z359" s="105">
        <f t="shared" ref="Z359" si="1058">IF($V359="YES",$U359,IF($X359&lt;&gt;"YES",$W359,($AC359+$J359*$K359)))</f>
        <v>0</v>
      </c>
      <c r="AA359" s="105">
        <f t="shared" ref="AA359" si="1059">ROUND($Z359+($F359/12),2)</f>
        <v>0</v>
      </c>
      <c r="AB359" s="105" t="b">
        <f t="shared" ref="AB359" si="1060">IF($L359,($L359-$AA359))</f>
        <v>0</v>
      </c>
      <c r="AC359" s="111">
        <f t="shared" ref="AC359" si="1061">IF(AND($V359&lt;&gt;"YES",$X359="YES"),$Y359,ROUND($Z359-($J359*$K359),2))</f>
        <v>0</v>
      </c>
    </row>
    <row r="360" spans="1:29" x14ac:dyDescent="0.3">
      <c r="A360" s="121"/>
      <c r="B360" s="204" t="b">
        <f>IF(Pipes!$B360,Pipes!$B360)</f>
        <v>0</v>
      </c>
      <c r="C360" s="205"/>
      <c r="D360" s="224"/>
      <c r="E360" s="224"/>
      <c r="F360" s="224">
        <f t="shared" ref="F360:F363" si="1062">F359</f>
        <v>0</v>
      </c>
      <c r="G360" s="224"/>
      <c r="H360" s="224"/>
      <c r="I360" s="52"/>
      <c r="J360" s="52"/>
      <c r="K360" s="130"/>
      <c r="L360" s="206">
        <f t="shared" ref="L360" si="1063">$L359</f>
        <v>0</v>
      </c>
      <c r="M360" s="206" t="b">
        <f t="shared" ref="M360" si="1064">M359</f>
        <v>0</v>
      </c>
      <c r="N360" s="240" t="b">
        <f t="shared" ref="N360" si="1065">IF($B360,INDEX($AC$4:$AC$499,MATCH($B360,$A$4:$A$499)))</f>
        <v>0</v>
      </c>
      <c r="O360" s="209"/>
      <c r="P360" s="208">
        <f t="shared" ref="P360:P363" si="1066">IF($B360,INDEX($F$4:$F$499,MATCH($B360,$A$4:$A$499)),0)</f>
        <v>0</v>
      </c>
      <c r="Q360" s="242" t="b">
        <f t="shared" ref="Q360" si="1067">IF($N360,ROUND(($N360+($P360/12)),2))</f>
        <v>0</v>
      </c>
      <c r="R360" s="53" t="b">
        <f t="shared" ref="R360" si="1068">IF(AND($L360,$Q360),$L360-$Q360)</f>
        <v>0</v>
      </c>
      <c r="S360" s="241" t="s">
        <v>197</v>
      </c>
      <c r="T360" s="127" t="b">
        <f>IF($N360,IF($F360&gt;$P360,ROUND(($Q360-($F359/12)),2),IF($S360="YES",$N360,$N360-MinDrop)))</f>
        <v>0</v>
      </c>
      <c r="U360" s="243"/>
      <c r="V360" s="245"/>
      <c r="W360" s="245"/>
      <c r="X360" s="54"/>
      <c r="Y360" s="117"/>
      <c r="Z360" s="54"/>
      <c r="AA360" s="54"/>
      <c r="AB360" s="54"/>
      <c r="AC360" s="211"/>
    </row>
    <row r="361" spans="1:29" x14ac:dyDescent="0.3">
      <c r="A361" s="121"/>
      <c r="B361" s="204" t="b">
        <f>IF(Pipes!$B361,Pipes!$B361)</f>
        <v>0</v>
      </c>
      <c r="C361" s="205"/>
      <c r="D361" s="224"/>
      <c r="E361" s="224"/>
      <c r="F361" s="224">
        <f t="shared" si="1062"/>
        <v>0</v>
      </c>
      <c r="G361" s="224"/>
      <c r="H361" s="224"/>
      <c r="I361" s="52"/>
      <c r="J361" s="52"/>
      <c r="K361" s="130"/>
      <c r="L361" s="206">
        <f t="shared" si="988"/>
        <v>0</v>
      </c>
      <c r="M361" s="206" t="b">
        <f t="shared" si="989"/>
        <v>0</v>
      </c>
      <c r="N361" s="207" t="b">
        <f t="shared" si="990"/>
        <v>0</v>
      </c>
      <c r="O361" s="209"/>
      <c r="P361" s="208">
        <f t="shared" si="1066"/>
        <v>0</v>
      </c>
      <c r="Q361" s="53" t="b">
        <f t="shared" si="992"/>
        <v>0</v>
      </c>
      <c r="R361" s="53" t="b">
        <f t="shared" si="993"/>
        <v>0</v>
      </c>
      <c r="S361" s="241" t="s">
        <v>197</v>
      </c>
      <c r="T361" s="127" t="b">
        <f>IF($N361,IF($F361&gt;$P361,ROUND(($Q361-($F360/12)),2),IF($S361="YES",$N361,$N361-MinDrop)))</f>
        <v>0</v>
      </c>
      <c r="U361" s="210"/>
      <c r="V361" s="54"/>
      <c r="W361" s="54"/>
      <c r="X361" s="54"/>
      <c r="Y361" s="117"/>
      <c r="Z361" s="54"/>
      <c r="AA361" s="54"/>
      <c r="AB361" s="54"/>
      <c r="AC361" s="211"/>
    </row>
    <row r="362" spans="1:29" x14ac:dyDescent="0.3">
      <c r="A362" s="121"/>
      <c r="B362" s="204" t="b">
        <f>IF(Pipes!$B362,Pipes!$B362)</f>
        <v>0</v>
      </c>
      <c r="C362" s="205"/>
      <c r="D362" s="224"/>
      <c r="E362" s="224"/>
      <c r="F362" s="224">
        <f t="shared" si="1062"/>
        <v>0</v>
      </c>
      <c r="G362" s="224"/>
      <c r="H362" s="224"/>
      <c r="I362" s="52"/>
      <c r="J362" s="52"/>
      <c r="K362" s="130"/>
      <c r="L362" s="206">
        <f t="shared" si="988"/>
        <v>0</v>
      </c>
      <c r="M362" s="206" t="b">
        <f t="shared" si="989"/>
        <v>0</v>
      </c>
      <c r="N362" s="207" t="b">
        <f t="shared" si="990"/>
        <v>0</v>
      </c>
      <c r="O362" s="209"/>
      <c r="P362" s="208">
        <f t="shared" si="1066"/>
        <v>0</v>
      </c>
      <c r="Q362" s="53" t="b">
        <f t="shared" si="992"/>
        <v>0</v>
      </c>
      <c r="R362" s="53" t="b">
        <f t="shared" si="993"/>
        <v>0</v>
      </c>
      <c r="S362" s="241" t="s">
        <v>197</v>
      </c>
      <c r="T362" s="127" t="b">
        <f>IF($N362,IF($F362&gt;$P362,ROUND(($Q362-($F361/12)),2),IF($S362="YES",$N362,$N362-MinDrop)))</f>
        <v>0</v>
      </c>
      <c r="U362" s="210"/>
      <c r="V362" s="54"/>
      <c r="W362" s="54"/>
      <c r="X362" s="54"/>
      <c r="Y362" s="117"/>
      <c r="Z362" s="54"/>
      <c r="AA362" s="54"/>
      <c r="AB362" s="54"/>
      <c r="AC362" s="211"/>
    </row>
    <row r="363" spans="1:29" ht="15" thickBot="1" x14ac:dyDescent="0.35">
      <c r="A363" s="122"/>
      <c r="B363" s="204" t="b">
        <f>IF(Pipes!$B363,Pipes!$B363)</f>
        <v>0</v>
      </c>
      <c r="C363" s="212"/>
      <c r="D363" s="104"/>
      <c r="E363" s="104"/>
      <c r="F363" s="104">
        <f t="shared" si="1062"/>
        <v>0</v>
      </c>
      <c r="G363" s="104"/>
      <c r="H363" s="104"/>
      <c r="I363" s="101"/>
      <c r="J363" s="101"/>
      <c r="K363" s="131"/>
      <c r="L363" s="213">
        <f t="shared" si="988"/>
        <v>0</v>
      </c>
      <c r="M363" s="213" t="b">
        <f t="shared" si="989"/>
        <v>0</v>
      </c>
      <c r="N363" s="214" t="b">
        <f t="shared" si="990"/>
        <v>0</v>
      </c>
      <c r="O363" s="216"/>
      <c r="P363" s="215">
        <f t="shared" si="1066"/>
        <v>0</v>
      </c>
      <c r="Q363" s="103" t="b">
        <f t="shared" si="992"/>
        <v>0</v>
      </c>
      <c r="R363" s="53" t="b">
        <f t="shared" si="993"/>
        <v>0</v>
      </c>
      <c r="S363" s="241" t="s">
        <v>197</v>
      </c>
      <c r="T363" s="127" t="b">
        <f>IF($N363,IF($F363&gt;$P363,ROUND(($Q363-($F362/12)),2),IF($S363="YES",$N363,$N363-MinDrop)))</f>
        <v>0</v>
      </c>
      <c r="U363" s="217"/>
      <c r="V363" s="102"/>
      <c r="W363" s="102"/>
      <c r="X363" s="102"/>
      <c r="Y363" s="118"/>
      <c r="Z363" s="102"/>
      <c r="AA363" s="102"/>
      <c r="AB363" s="102"/>
      <c r="AC363" s="218"/>
    </row>
    <row r="364" spans="1:29" x14ac:dyDescent="0.3">
      <c r="A364" s="115">
        <f t="shared" ref="A364" si="1069">$A359+1</f>
        <v>73</v>
      </c>
      <c r="B364" s="186"/>
      <c r="C364" s="201">
        <f>IF(Pipes!$Q364&gt;0,IF(Pipes!$R364&gt;MinDiameter,Pipes!$R364,MinDiameter),0)</f>
        <v>0</v>
      </c>
      <c r="D364" s="187" t="s">
        <v>197</v>
      </c>
      <c r="E364" s="187"/>
      <c r="F364" s="107">
        <f>Pipes!$S364</f>
        <v>0</v>
      </c>
      <c r="G364" s="108">
        <f>Pipes!$W364</f>
        <v>0</v>
      </c>
      <c r="H364" s="187" t="s">
        <v>197</v>
      </c>
      <c r="I364" s="188"/>
      <c r="J364" s="108">
        <f>Pipes!$X364</f>
        <v>0</v>
      </c>
      <c r="K364" s="193">
        <f>INDEX(Tribs!$H$3:$H$102,MATCH($A364,Tribs!$A$3:$A$102,0))</f>
        <v>0</v>
      </c>
      <c r="L364" s="105">
        <f>INDEX(Tribs!$I$3:$I$102,MATCH($A364,Tribs!$A$3:$A$102,0))</f>
        <v>0</v>
      </c>
      <c r="M364" s="105" t="b">
        <f>IF($L364,ROUND($L364-MinCover-($F364/12),2))</f>
        <v>0</v>
      </c>
      <c r="N364" s="202"/>
      <c r="O364" s="129">
        <f t="shared" ref="O364" si="1070">MIN($N365:$N368)</f>
        <v>0</v>
      </c>
      <c r="P364" s="203"/>
      <c r="Q364" s="203"/>
      <c r="R364" s="203"/>
      <c r="S364" s="110"/>
      <c r="T364" s="116" t="b">
        <f t="shared" ref="T364" si="1071">IF($M364,$M364)</f>
        <v>0</v>
      </c>
      <c r="U364" s="129">
        <f t="shared" ref="U364" si="1072">MIN($T364:$T368)</f>
        <v>0</v>
      </c>
      <c r="V364" s="233" t="s">
        <v>197</v>
      </c>
      <c r="W364" s="219"/>
      <c r="X364" s="219" t="s">
        <v>197</v>
      </c>
      <c r="Y364" s="239"/>
      <c r="Z364" s="105">
        <f t="shared" ref="Z364" si="1073">IF($V364="YES",$U364,IF($X364&lt;&gt;"YES",$W364,($AC364+$J364*$K364)))</f>
        <v>0</v>
      </c>
      <c r="AA364" s="105">
        <f t="shared" ref="AA364" si="1074">ROUND($Z364+($F364/12),2)</f>
        <v>0</v>
      </c>
      <c r="AB364" s="105" t="b">
        <f t="shared" ref="AB364" si="1075">IF($L364,($L364-$AA364))</f>
        <v>0</v>
      </c>
      <c r="AC364" s="111">
        <f t="shared" ref="AC364" si="1076">IF(AND($V364&lt;&gt;"YES",$X364="YES"),$Y364,ROUND($Z364-($J364*$K364),2))</f>
        <v>0</v>
      </c>
    </row>
    <row r="365" spans="1:29" x14ac:dyDescent="0.3">
      <c r="A365" s="121"/>
      <c r="B365" s="204" t="b">
        <f>IF(Pipes!$B365,Pipes!$B365)</f>
        <v>0</v>
      </c>
      <c r="C365" s="205"/>
      <c r="D365" s="224"/>
      <c r="E365" s="224"/>
      <c r="F365" s="224">
        <f t="shared" ref="F365:F368" si="1077">F364</f>
        <v>0</v>
      </c>
      <c r="G365" s="224"/>
      <c r="H365" s="224"/>
      <c r="I365" s="52"/>
      <c r="J365" s="52"/>
      <c r="K365" s="130"/>
      <c r="L365" s="206">
        <f t="shared" ref="L365" si="1078">$L364</f>
        <v>0</v>
      </c>
      <c r="M365" s="206" t="b">
        <f t="shared" ref="M365" si="1079">M364</f>
        <v>0</v>
      </c>
      <c r="N365" s="240" t="b">
        <f t="shared" ref="N365" si="1080">IF($B365,INDEX($AC$4:$AC$499,MATCH($B365,$A$4:$A$499)))</f>
        <v>0</v>
      </c>
      <c r="O365" s="209"/>
      <c r="P365" s="208">
        <f t="shared" ref="P365:P368" si="1081">IF($B365,INDEX($F$4:$F$499,MATCH($B365,$A$4:$A$499)),0)</f>
        <v>0</v>
      </c>
      <c r="Q365" s="242" t="b">
        <f t="shared" ref="Q365" si="1082">IF($N365,ROUND(($N365+($P365/12)),2))</f>
        <v>0</v>
      </c>
      <c r="R365" s="53" t="b">
        <f t="shared" ref="R365" si="1083">IF(AND($L365,$Q365),$L365-$Q365)</f>
        <v>0</v>
      </c>
      <c r="S365" s="241" t="s">
        <v>197</v>
      </c>
      <c r="T365" s="127" t="b">
        <f>IF($N365,IF($F365&gt;$P365,ROUND(($Q365-($F364/12)),2),IF($S365="YES",$N365,$N365-MinDrop)))</f>
        <v>0</v>
      </c>
      <c r="U365" s="243"/>
      <c r="V365" s="245"/>
      <c r="W365" s="245"/>
      <c r="X365" s="54"/>
      <c r="Y365" s="117"/>
      <c r="Z365" s="54"/>
      <c r="AA365" s="54"/>
      <c r="AB365" s="54"/>
      <c r="AC365" s="211"/>
    </row>
    <row r="366" spans="1:29" x14ac:dyDescent="0.3">
      <c r="A366" s="121"/>
      <c r="B366" s="204" t="b">
        <f>IF(Pipes!$B366,Pipes!$B366)</f>
        <v>0</v>
      </c>
      <c r="C366" s="205"/>
      <c r="D366" s="224"/>
      <c r="E366" s="224"/>
      <c r="F366" s="224">
        <f t="shared" si="1077"/>
        <v>0</v>
      </c>
      <c r="G366" s="224"/>
      <c r="H366" s="224"/>
      <c r="I366" s="52"/>
      <c r="J366" s="52"/>
      <c r="K366" s="130"/>
      <c r="L366" s="206">
        <f t="shared" si="988"/>
        <v>0</v>
      </c>
      <c r="M366" s="206" t="b">
        <f t="shared" si="989"/>
        <v>0</v>
      </c>
      <c r="N366" s="207" t="b">
        <f t="shared" si="990"/>
        <v>0</v>
      </c>
      <c r="O366" s="209"/>
      <c r="P366" s="208">
        <f t="shared" si="1081"/>
        <v>0</v>
      </c>
      <c r="Q366" s="53" t="b">
        <f t="shared" si="992"/>
        <v>0</v>
      </c>
      <c r="R366" s="53" t="b">
        <f t="shared" si="993"/>
        <v>0</v>
      </c>
      <c r="S366" s="241" t="s">
        <v>197</v>
      </c>
      <c r="T366" s="127" t="b">
        <f>IF($N366,IF($F366&gt;$P366,ROUND(($Q366-($F365/12)),2),IF($S366="YES",$N366,$N366-MinDrop)))</f>
        <v>0</v>
      </c>
      <c r="U366" s="210"/>
      <c r="V366" s="54"/>
      <c r="W366" s="54"/>
      <c r="X366" s="54"/>
      <c r="Y366" s="117"/>
      <c r="Z366" s="54"/>
      <c r="AA366" s="54"/>
      <c r="AB366" s="54"/>
      <c r="AC366" s="211"/>
    </row>
    <row r="367" spans="1:29" x14ac:dyDescent="0.3">
      <c r="A367" s="121"/>
      <c r="B367" s="204" t="b">
        <f>IF(Pipes!$B367,Pipes!$B367)</f>
        <v>0</v>
      </c>
      <c r="C367" s="205"/>
      <c r="D367" s="224"/>
      <c r="E367" s="224"/>
      <c r="F367" s="224">
        <f t="shared" si="1077"/>
        <v>0</v>
      </c>
      <c r="G367" s="224"/>
      <c r="H367" s="224"/>
      <c r="I367" s="52"/>
      <c r="J367" s="52"/>
      <c r="K367" s="130"/>
      <c r="L367" s="206">
        <f t="shared" si="988"/>
        <v>0</v>
      </c>
      <c r="M367" s="206" t="b">
        <f t="shared" si="989"/>
        <v>0</v>
      </c>
      <c r="N367" s="207" t="b">
        <f t="shared" si="990"/>
        <v>0</v>
      </c>
      <c r="O367" s="209"/>
      <c r="P367" s="208">
        <f t="shared" si="1081"/>
        <v>0</v>
      </c>
      <c r="Q367" s="53" t="b">
        <f t="shared" si="992"/>
        <v>0</v>
      </c>
      <c r="R367" s="53" t="b">
        <f t="shared" si="993"/>
        <v>0</v>
      </c>
      <c r="S367" s="241" t="s">
        <v>197</v>
      </c>
      <c r="T367" s="127" t="b">
        <f>IF($N367,IF($F367&gt;$P367,ROUND(($Q367-($F366/12)),2),IF($S367="YES",$N367,$N367-MinDrop)))</f>
        <v>0</v>
      </c>
      <c r="U367" s="210"/>
      <c r="V367" s="54"/>
      <c r="W367" s="54"/>
      <c r="X367" s="54"/>
      <c r="Y367" s="117"/>
      <c r="Z367" s="54"/>
      <c r="AA367" s="54"/>
      <c r="AB367" s="54"/>
      <c r="AC367" s="211"/>
    </row>
    <row r="368" spans="1:29" ht="15" thickBot="1" x14ac:dyDescent="0.35">
      <c r="A368" s="122"/>
      <c r="B368" s="204" t="b">
        <f>IF(Pipes!$B368,Pipes!$B368)</f>
        <v>0</v>
      </c>
      <c r="C368" s="212"/>
      <c r="D368" s="104"/>
      <c r="E368" s="104"/>
      <c r="F368" s="104">
        <f t="shared" si="1077"/>
        <v>0</v>
      </c>
      <c r="G368" s="104"/>
      <c r="H368" s="104"/>
      <c r="I368" s="101"/>
      <c r="J368" s="101"/>
      <c r="K368" s="131"/>
      <c r="L368" s="213">
        <f t="shared" si="988"/>
        <v>0</v>
      </c>
      <c r="M368" s="213" t="b">
        <f t="shared" si="989"/>
        <v>0</v>
      </c>
      <c r="N368" s="214" t="b">
        <f t="shared" si="990"/>
        <v>0</v>
      </c>
      <c r="O368" s="216"/>
      <c r="P368" s="215">
        <f t="shared" si="1081"/>
        <v>0</v>
      </c>
      <c r="Q368" s="103" t="b">
        <f t="shared" si="992"/>
        <v>0</v>
      </c>
      <c r="R368" s="53" t="b">
        <f t="shared" si="993"/>
        <v>0</v>
      </c>
      <c r="S368" s="241" t="s">
        <v>197</v>
      </c>
      <c r="T368" s="127" t="b">
        <f>IF($N368,IF($F368&gt;$P368,ROUND(($Q368-($F367/12)),2),IF($S368="YES",$N368,$N368-MinDrop)))</f>
        <v>0</v>
      </c>
      <c r="U368" s="217"/>
      <c r="V368" s="102"/>
      <c r="W368" s="102"/>
      <c r="X368" s="102"/>
      <c r="Y368" s="118"/>
      <c r="Z368" s="102"/>
      <c r="AA368" s="102"/>
      <c r="AB368" s="102"/>
      <c r="AC368" s="218"/>
    </row>
    <row r="369" spans="1:29" x14ac:dyDescent="0.3">
      <c r="A369" s="115">
        <f t="shared" ref="A369" si="1084">$A364+1</f>
        <v>74</v>
      </c>
      <c r="B369" s="186"/>
      <c r="C369" s="201">
        <f>IF(Pipes!$Q369&gt;0,IF(Pipes!$R369&gt;MinDiameter,Pipes!$R369,MinDiameter),0)</f>
        <v>0</v>
      </c>
      <c r="D369" s="187" t="s">
        <v>197</v>
      </c>
      <c r="E369" s="187"/>
      <c r="F369" s="107">
        <f>Pipes!$S369</f>
        <v>0</v>
      </c>
      <c r="G369" s="108">
        <f>Pipes!$W369</f>
        <v>0</v>
      </c>
      <c r="H369" s="187" t="s">
        <v>197</v>
      </c>
      <c r="I369" s="188"/>
      <c r="J369" s="108">
        <f>Pipes!$X369</f>
        <v>0</v>
      </c>
      <c r="K369" s="193">
        <f>INDEX(Tribs!$H$3:$H$102,MATCH($A369,Tribs!$A$3:$A$102,0))</f>
        <v>0</v>
      </c>
      <c r="L369" s="105">
        <f>INDEX(Tribs!$I$3:$I$102,MATCH($A369,Tribs!$A$3:$A$102,0))</f>
        <v>0</v>
      </c>
      <c r="M369" s="105" t="b">
        <f>IF($L369,ROUND($L369-MinCover-($F369/12),2))</f>
        <v>0</v>
      </c>
      <c r="N369" s="202"/>
      <c r="O369" s="129">
        <f t="shared" ref="O369" si="1085">MIN($N370:$N373)</f>
        <v>0</v>
      </c>
      <c r="P369" s="203"/>
      <c r="Q369" s="203"/>
      <c r="R369" s="203"/>
      <c r="S369" s="110"/>
      <c r="T369" s="116" t="b">
        <f t="shared" ref="T369" si="1086">IF($M369,$M369)</f>
        <v>0</v>
      </c>
      <c r="U369" s="129">
        <f t="shared" ref="U369" si="1087">MIN($T369:$T373)</f>
        <v>0</v>
      </c>
      <c r="V369" s="233" t="s">
        <v>197</v>
      </c>
      <c r="W369" s="219"/>
      <c r="X369" s="219" t="s">
        <v>197</v>
      </c>
      <c r="Y369" s="239"/>
      <c r="Z369" s="105">
        <f t="shared" ref="Z369" si="1088">IF($V369="YES",$U369,IF($X369&lt;&gt;"YES",$W369,($AC369+$J369*$K369)))</f>
        <v>0</v>
      </c>
      <c r="AA369" s="105">
        <f t="shared" ref="AA369" si="1089">ROUND($Z369+($F369/12),2)</f>
        <v>0</v>
      </c>
      <c r="AB369" s="105" t="b">
        <f t="shared" ref="AB369" si="1090">IF($L369,($L369-$AA369))</f>
        <v>0</v>
      </c>
      <c r="AC369" s="111">
        <f t="shared" ref="AC369" si="1091">IF(AND($V369&lt;&gt;"YES",$X369="YES"),$Y369,ROUND($Z369-($J369*$K369),2))</f>
        <v>0</v>
      </c>
    </row>
    <row r="370" spans="1:29" x14ac:dyDescent="0.3">
      <c r="A370" s="121"/>
      <c r="B370" s="204" t="b">
        <f>IF(Pipes!$B370,Pipes!$B370)</f>
        <v>0</v>
      </c>
      <c r="C370" s="205"/>
      <c r="D370" s="224"/>
      <c r="E370" s="224"/>
      <c r="F370" s="224">
        <f t="shared" ref="F370:F373" si="1092">F369</f>
        <v>0</v>
      </c>
      <c r="G370" s="224"/>
      <c r="H370" s="224"/>
      <c r="I370" s="52"/>
      <c r="J370" s="52"/>
      <c r="K370" s="130"/>
      <c r="L370" s="206">
        <f t="shared" ref="L370" si="1093">$L369</f>
        <v>0</v>
      </c>
      <c r="M370" s="206" t="b">
        <f t="shared" ref="M370" si="1094">M369</f>
        <v>0</v>
      </c>
      <c r="N370" s="240" t="b">
        <f t="shared" ref="N370" si="1095">IF($B370,INDEX($AC$4:$AC$499,MATCH($B370,$A$4:$A$499)))</f>
        <v>0</v>
      </c>
      <c r="O370" s="209"/>
      <c r="P370" s="208">
        <f t="shared" ref="P370:P373" si="1096">IF($B370,INDEX($F$4:$F$499,MATCH($B370,$A$4:$A$499)),0)</f>
        <v>0</v>
      </c>
      <c r="Q370" s="242" t="b">
        <f t="shared" ref="Q370" si="1097">IF($N370,ROUND(($N370+($P370/12)),2))</f>
        <v>0</v>
      </c>
      <c r="R370" s="53" t="b">
        <f t="shared" ref="R370" si="1098">IF(AND($L370,$Q370),$L370-$Q370)</f>
        <v>0</v>
      </c>
      <c r="S370" s="241" t="s">
        <v>197</v>
      </c>
      <c r="T370" s="127" t="b">
        <f>IF($N370,IF($F370&gt;$P370,ROUND(($Q370-($F369/12)),2),IF($S370="YES",$N370,$N370-MinDrop)))</f>
        <v>0</v>
      </c>
      <c r="U370" s="243"/>
      <c r="V370" s="245"/>
      <c r="W370" s="245"/>
      <c r="X370" s="54"/>
      <c r="Y370" s="117"/>
      <c r="Z370" s="54"/>
      <c r="AA370" s="54"/>
      <c r="AB370" s="54"/>
      <c r="AC370" s="211"/>
    </row>
    <row r="371" spans="1:29" x14ac:dyDescent="0.3">
      <c r="A371" s="121"/>
      <c r="B371" s="204" t="b">
        <f>IF(Pipes!$B371,Pipes!$B371)</f>
        <v>0</v>
      </c>
      <c r="C371" s="205"/>
      <c r="D371" s="224"/>
      <c r="E371" s="224"/>
      <c r="F371" s="224">
        <f t="shared" si="1092"/>
        <v>0</v>
      </c>
      <c r="G371" s="224"/>
      <c r="H371" s="224"/>
      <c r="I371" s="52"/>
      <c r="J371" s="52"/>
      <c r="K371" s="130"/>
      <c r="L371" s="206">
        <f t="shared" si="988"/>
        <v>0</v>
      </c>
      <c r="M371" s="206" t="b">
        <f t="shared" si="989"/>
        <v>0</v>
      </c>
      <c r="N371" s="207" t="b">
        <f t="shared" si="990"/>
        <v>0</v>
      </c>
      <c r="O371" s="209"/>
      <c r="P371" s="208">
        <f t="shared" si="1096"/>
        <v>0</v>
      </c>
      <c r="Q371" s="53" t="b">
        <f t="shared" si="992"/>
        <v>0</v>
      </c>
      <c r="R371" s="53" t="b">
        <f t="shared" si="993"/>
        <v>0</v>
      </c>
      <c r="S371" s="241" t="s">
        <v>197</v>
      </c>
      <c r="T371" s="127" t="b">
        <f>IF($N371,IF($F371&gt;$P371,ROUND(($Q371-($F370/12)),2),IF($S371="YES",$N371,$N371-MinDrop)))</f>
        <v>0</v>
      </c>
      <c r="U371" s="210"/>
      <c r="V371" s="54"/>
      <c r="W371" s="54"/>
      <c r="X371" s="54"/>
      <c r="Y371" s="117"/>
      <c r="Z371" s="54"/>
      <c r="AA371" s="54"/>
      <c r="AB371" s="54"/>
      <c r="AC371" s="211"/>
    </row>
    <row r="372" spans="1:29" x14ac:dyDescent="0.3">
      <c r="A372" s="121"/>
      <c r="B372" s="204" t="b">
        <f>IF(Pipes!$B372,Pipes!$B372)</f>
        <v>0</v>
      </c>
      <c r="C372" s="205"/>
      <c r="D372" s="224"/>
      <c r="E372" s="224"/>
      <c r="F372" s="224">
        <f t="shared" si="1092"/>
        <v>0</v>
      </c>
      <c r="G372" s="224"/>
      <c r="H372" s="224"/>
      <c r="I372" s="52"/>
      <c r="J372" s="52"/>
      <c r="K372" s="130"/>
      <c r="L372" s="206">
        <f t="shared" si="988"/>
        <v>0</v>
      </c>
      <c r="M372" s="206" t="b">
        <f t="shared" si="989"/>
        <v>0</v>
      </c>
      <c r="N372" s="207" t="b">
        <f t="shared" si="990"/>
        <v>0</v>
      </c>
      <c r="O372" s="209"/>
      <c r="P372" s="208">
        <f t="shared" si="1096"/>
        <v>0</v>
      </c>
      <c r="Q372" s="53" t="b">
        <f t="shared" si="992"/>
        <v>0</v>
      </c>
      <c r="R372" s="53" t="b">
        <f t="shared" si="993"/>
        <v>0</v>
      </c>
      <c r="S372" s="241" t="s">
        <v>197</v>
      </c>
      <c r="T372" s="127" t="b">
        <f>IF($N372,IF($F372&gt;$P372,ROUND(($Q372-($F371/12)),2),IF($S372="YES",$N372,$N372-MinDrop)))</f>
        <v>0</v>
      </c>
      <c r="U372" s="210"/>
      <c r="V372" s="54"/>
      <c r="W372" s="54"/>
      <c r="X372" s="54"/>
      <c r="Y372" s="117"/>
      <c r="Z372" s="54"/>
      <c r="AA372" s="54"/>
      <c r="AB372" s="54"/>
      <c r="AC372" s="211"/>
    </row>
    <row r="373" spans="1:29" ht="15" thickBot="1" x14ac:dyDescent="0.35">
      <c r="A373" s="122"/>
      <c r="B373" s="204" t="b">
        <f>IF(Pipes!$B373,Pipes!$B373)</f>
        <v>0</v>
      </c>
      <c r="C373" s="212"/>
      <c r="D373" s="104"/>
      <c r="E373" s="104"/>
      <c r="F373" s="104">
        <f t="shared" si="1092"/>
        <v>0</v>
      </c>
      <c r="G373" s="104"/>
      <c r="H373" s="104"/>
      <c r="I373" s="101"/>
      <c r="J373" s="101"/>
      <c r="K373" s="131"/>
      <c r="L373" s="213">
        <f t="shared" si="988"/>
        <v>0</v>
      </c>
      <c r="M373" s="213" t="b">
        <f t="shared" si="989"/>
        <v>0</v>
      </c>
      <c r="N373" s="214" t="b">
        <f t="shared" si="990"/>
        <v>0</v>
      </c>
      <c r="O373" s="216"/>
      <c r="P373" s="215">
        <f t="shared" si="1096"/>
        <v>0</v>
      </c>
      <c r="Q373" s="103" t="b">
        <f t="shared" si="992"/>
        <v>0</v>
      </c>
      <c r="R373" s="53" t="b">
        <f t="shared" si="993"/>
        <v>0</v>
      </c>
      <c r="S373" s="241" t="s">
        <v>197</v>
      </c>
      <c r="T373" s="127" t="b">
        <f>IF($N373,IF($F373&gt;$P373,ROUND(($Q373-($F372/12)),2),IF($S373="YES",$N373,$N373-MinDrop)))</f>
        <v>0</v>
      </c>
      <c r="U373" s="217"/>
      <c r="V373" s="102"/>
      <c r="W373" s="102"/>
      <c r="X373" s="102"/>
      <c r="Y373" s="118"/>
      <c r="Z373" s="102"/>
      <c r="AA373" s="102"/>
      <c r="AB373" s="102"/>
      <c r="AC373" s="218"/>
    </row>
    <row r="374" spans="1:29" x14ac:dyDescent="0.3">
      <c r="A374" s="115">
        <f t="shared" ref="A374" si="1099">$A369+1</f>
        <v>75</v>
      </c>
      <c r="B374" s="186"/>
      <c r="C374" s="201">
        <f>IF(Pipes!$Q374&gt;0,IF(Pipes!$R374&gt;MinDiameter,Pipes!$R374,MinDiameter),0)</f>
        <v>0</v>
      </c>
      <c r="D374" s="187" t="s">
        <v>197</v>
      </c>
      <c r="E374" s="187"/>
      <c r="F374" s="107">
        <f>Pipes!$S374</f>
        <v>0</v>
      </c>
      <c r="G374" s="108">
        <f>Pipes!$W374</f>
        <v>0</v>
      </c>
      <c r="H374" s="187" t="s">
        <v>197</v>
      </c>
      <c r="I374" s="188"/>
      <c r="J374" s="108">
        <f>Pipes!$X374</f>
        <v>0</v>
      </c>
      <c r="K374" s="193">
        <f>INDEX(Tribs!$H$3:$H$102,MATCH($A374,Tribs!$A$3:$A$102,0))</f>
        <v>0</v>
      </c>
      <c r="L374" s="105">
        <f>INDEX(Tribs!$I$3:$I$102,MATCH($A374,Tribs!$A$3:$A$102,0))</f>
        <v>0</v>
      </c>
      <c r="M374" s="105" t="b">
        <f>IF($L374,ROUND($L374-MinCover-($F374/12),2))</f>
        <v>0</v>
      </c>
      <c r="N374" s="202"/>
      <c r="O374" s="129">
        <f t="shared" ref="O374" si="1100">MIN($N375:$N378)</f>
        <v>0</v>
      </c>
      <c r="P374" s="203"/>
      <c r="Q374" s="203"/>
      <c r="R374" s="203"/>
      <c r="S374" s="110"/>
      <c r="T374" s="116" t="b">
        <f t="shared" ref="T374" si="1101">IF($M374,$M374)</f>
        <v>0</v>
      </c>
      <c r="U374" s="129">
        <f t="shared" ref="U374" si="1102">MIN($T374:$T378)</f>
        <v>0</v>
      </c>
      <c r="V374" s="233" t="s">
        <v>197</v>
      </c>
      <c r="W374" s="219"/>
      <c r="X374" s="219" t="s">
        <v>197</v>
      </c>
      <c r="Y374" s="239"/>
      <c r="Z374" s="105">
        <f t="shared" ref="Z374" si="1103">IF($V374="YES",$U374,IF($X374&lt;&gt;"YES",$W374,($AC374+$J374*$K374)))</f>
        <v>0</v>
      </c>
      <c r="AA374" s="105">
        <f t="shared" ref="AA374" si="1104">ROUND($Z374+($F374/12),2)</f>
        <v>0</v>
      </c>
      <c r="AB374" s="105" t="b">
        <f t="shared" ref="AB374" si="1105">IF($L374,($L374-$AA374))</f>
        <v>0</v>
      </c>
      <c r="AC374" s="111">
        <f t="shared" ref="AC374" si="1106">IF(AND($V374&lt;&gt;"YES",$X374="YES"),$Y374,ROUND($Z374-($J374*$K374),2))</f>
        <v>0</v>
      </c>
    </row>
    <row r="375" spans="1:29" x14ac:dyDescent="0.3">
      <c r="A375" s="121"/>
      <c r="B375" s="204" t="b">
        <f>IF(Pipes!$B375,Pipes!$B375)</f>
        <v>0</v>
      </c>
      <c r="C375" s="205"/>
      <c r="D375" s="224"/>
      <c r="E375" s="224"/>
      <c r="F375" s="224">
        <f t="shared" ref="F375:F378" si="1107">F374</f>
        <v>0</v>
      </c>
      <c r="G375" s="224"/>
      <c r="H375" s="224"/>
      <c r="I375" s="52"/>
      <c r="J375" s="52"/>
      <c r="K375" s="130"/>
      <c r="L375" s="206">
        <f t="shared" ref="L375" si="1108">$L374</f>
        <v>0</v>
      </c>
      <c r="M375" s="206" t="b">
        <f t="shared" ref="M375" si="1109">M374</f>
        <v>0</v>
      </c>
      <c r="N375" s="240" t="b">
        <f t="shared" ref="N375" si="1110">IF($B375,INDEX($AC$4:$AC$499,MATCH($B375,$A$4:$A$499)))</f>
        <v>0</v>
      </c>
      <c r="O375" s="209"/>
      <c r="P375" s="208">
        <f t="shared" ref="P375:P378" si="1111">IF($B375,INDEX($F$4:$F$499,MATCH($B375,$A$4:$A$499)),0)</f>
        <v>0</v>
      </c>
      <c r="Q375" s="242" t="b">
        <f t="shared" ref="Q375" si="1112">IF($N375,ROUND(($N375+($P375/12)),2))</f>
        <v>0</v>
      </c>
      <c r="R375" s="53" t="b">
        <f t="shared" ref="R375" si="1113">IF(AND($L375,$Q375),$L375-$Q375)</f>
        <v>0</v>
      </c>
      <c r="S375" s="241" t="s">
        <v>197</v>
      </c>
      <c r="T375" s="127" t="b">
        <f>IF($N375,IF($F375&gt;$P375,ROUND(($Q375-($F374/12)),2),IF($S375="YES",$N375,$N375-MinDrop)))</f>
        <v>0</v>
      </c>
      <c r="U375" s="243"/>
      <c r="V375" s="245"/>
      <c r="W375" s="245"/>
      <c r="X375" s="54"/>
      <c r="Y375" s="117"/>
      <c r="Z375" s="54"/>
      <c r="AA375" s="54"/>
      <c r="AB375" s="54"/>
      <c r="AC375" s="211"/>
    </row>
    <row r="376" spans="1:29" x14ac:dyDescent="0.3">
      <c r="A376" s="121"/>
      <c r="B376" s="204" t="b">
        <f>IF(Pipes!$B376,Pipes!$B376)</f>
        <v>0</v>
      </c>
      <c r="C376" s="205"/>
      <c r="D376" s="224"/>
      <c r="E376" s="224"/>
      <c r="F376" s="224">
        <f t="shared" si="1107"/>
        <v>0</v>
      </c>
      <c r="G376" s="224"/>
      <c r="H376" s="224"/>
      <c r="I376" s="52"/>
      <c r="J376" s="52"/>
      <c r="K376" s="130"/>
      <c r="L376" s="206">
        <f t="shared" si="988"/>
        <v>0</v>
      </c>
      <c r="M376" s="206" t="b">
        <f t="shared" si="989"/>
        <v>0</v>
      </c>
      <c r="N376" s="207" t="b">
        <f t="shared" si="990"/>
        <v>0</v>
      </c>
      <c r="O376" s="209"/>
      <c r="P376" s="208">
        <f t="shared" si="1111"/>
        <v>0</v>
      </c>
      <c r="Q376" s="53" t="b">
        <f t="shared" si="992"/>
        <v>0</v>
      </c>
      <c r="R376" s="53" t="b">
        <f t="shared" si="993"/>
        <v>0</v>
      </c>
      <c r="S376" s="241" t="s">
        <v>197</v>
      </c>
      <c r="T376" s="127" t="b">
        <f>IF($N376,IF($F376&gt;$P376,ROUND(($Q376-($F375/12)),2),IF($S376="YES",$N376,$N376-MinDrop)))</f>
        <v>0</v>
      </c>
      <c r="U376" s="210"/>
      <c r="V376" s="54"/>
      <c r="W376" s="54"/>
      <c r="X376" s="54"/>
      <c r="Y376" s="117"/>
      <c r="Z376" s="54"/>
      <c r="AA376" s="54"/>
      <c r="AB376" s="54"/>
      <c r="AC376" s="211"/>
    </row>
    <row r="377" spans="1:29" x14ac:dyDescent="0.3">
      <c r="A377" s="121"/>
      <c r="B377" s="204" t="b">
        <f>IF(Pipes!$B377,Pipes!$B377)</f>
        <v>0</v>
      </c>
      <c r="C377" s="205"/>
      <c r="D377" s="224"/>
      <c r="E377" s="224"/>
      <c r="F377" s="224">
        <f t="shared" si="1107"/>
        <v>0</v>
      </c>
      <c r="G377" s="224"/>
      <c r="H377" s="224"/>
      <c r="I377" s="52"/>
      <c r="J377" s="52"/>
      <c r="K377" s="130"/>
      <c r="L377" s="206">
        <f t="shared" si="988"/>
        <v>0</v>
      </c>
      <c r="M377" s="206" t="b">
        <f t="shared" si="989"/>
        <v>0</v>
      </c>
      <c r="N377" s="207" t="b">
        <f t="shared" si="990"/>
        <v>0</v>
      </c>
      <c r="O377" s="209"/>
      <c r="P377" s="208">
        <f t="shared" si="1111"/>
        <v>0</v>
      </c>
      <c r="Q377" s="53" t="b">
        <f t="shared" si="992"/>
        <v>0</v>
      </c>
      <c r="R377" s="53" t="b">
        <f t="shared" si="993"/>
        <v>0</v>
      </c>
      <c r="S377" s="241" t="s">
        <v>197</v>
      </c>
      <c r="T377" s="127" t="b">
        <f>IF($N377,IF($F377&gt;$P377,ROUND(($Q377-($F376/12)),2),IF($S377="YES",$N377,$N377-MinDrop)))</f>
        <v>0</v>
      </c>
      <c r="U377" s="210"/>
      <c r="V377" s="54"/>
      <c r="W377" s="54"/>
      <c r="X377" s="54"/>
      <c r="Y377" s="117"/>
      <c r="Z377" s="54"/>
      <c r="AA377" s="54"/>
      <c r="AB377" s="54"/>
      <c r="AC377" s="211"/>
    </row>
    <row r="378" spans="1:29" ht="15" thickBot="1" x14ac:dyDescent="0.35">
      <c r="A378" s="122"/>
      <c r="B378" s="204" t="b">
        <f>IF(Pipes!$B378,Pipes!$B378)</f>
        <v>0</v>
      </c>
      <c r="C378" s="212"/>
      <c r="D378" s="104"/>
      <c r="E378" s="104"/>
      <c r="F378" s="104">
        <f t="shared" si="1107"/>
        <v>0</v>
      </c>
      <c r="G378" s="104"/>
      <c r="H378" s="104"/>
      <c r="I378" s="101"/>
      <c r="J378" s="101"/>
      <c r="K378" s="131"/>
      <c r="L378" s="213">
        <f t="shared" si="988"/>
        <v>0</v>
      </c>
      <c r="M378" s="213" t="b">
        <f t="shared" si="989"/>
        <v>0</v>
      </c>
      <c r="N378" s="214" t="b">
        <f t="shared" si="990"/>
        <v>0</v>
      </c>
      <c r="O378" s="216"/>
      <c r="P378" s="215">
        <f t="shared" si="1111"/>
        <v>0</v>
      </c>
      <c r="Q378" s="103" t="b">
        <f t="shared" si="992"/>
        <v>0</v>
      </c>
      <c r="R378" s="53" t="b">
        <f t="shared" si="993"/>
        <v>0</v>
      </c>
      <c r="S378" s="241" t="s">
        <v>197</v>
      </c>
      <c r="T378" s="127" t="b">
        <f>IF($N378,IF($F378&gt;$P378,ROUND(($Q378-($F377/12)),2),IF($S378="YES",$N378,$N378-MinDrop)))</f>
        <v>0</v>
      </c>
      <c r="U378" s="217"/>
      <c r="V378" s="102"/>
      <c r="W378" s="102"/>
      <c r="X378" s="102"/>
      <c r="Y378" s="118"/>
      <c r="Z378" s="102"/>
      <c r="AA378" s="102"/>
      <c r="AB378" s="102"/>
      <c r="AC378" s="218"/>
    </row>
    <row r="379" spans="1:29" x14ac:dyDescent="0.3">
      <c r="A379" s="115">
        <f t="shared" ref="A379" si="1114">$A374+1</f>
        <v>76</v>
      </c>
      <c r="B379" s="186"/>
      <c r="C379" s="201">
        <f>IF(Pipes!$Q379&gt;0,IF(Pipes!$R379&gt;MinDiameter,Pipes!$R379,MinDiameter),0)</f>
        <v>0</v>
      </c>
      <c r="D379" s="187" t="s">
        <v>197</v>
      </c>
      <c r="E379" s="187"/>
      <c r="F379" s="107">
        <f>Pipes!$S379</f>
        <v>0</v>
      </c>
      <c r="G379" s="108">
        <f>Pipes!$W379</f>
        <v>0</v>
      </c>
      <c r="H379" s="187" t="s">
        <v>197</v>
      </c>
      <c r="I379" s="188"/>
      <c r="J379" s="108">
        <f>Pipes!$X379</f>
        <v>0</v>
      </c>
      <c r="K379" s="193">
        <f>INDEX(Tribs!$H$3:$H$102,MATCH($A379,Tribs!$A$3:$A$102,0))</f>
        <v>0</v>
      </c>
      <c r="L379" s="105">
        <f>INDEX(Tribs!$I$3:$I$102,MATCH($A379,Tribs!$A$3:$A$102,0))</f>
        <v>0</v>
      </c>
      <c r="M379" s="105" t="b">
        <f>IF($L379,ROUND($L379-MinCover-($F379/12),2))</f>
        <v>0</v>
      </c>
      <c r="N379" s="202"/>
      <c r="O379" s="129">
        <f t="shared" ref="O379" si="1115">MIN($N380:$N383)</f>
        <v>0</v>
      </c>
      <c r="P379" s="203"/>
      <c r="Q379" s="203"/>
      <c r="R379" s="203"/>
      <c r="S379" s="110"/>
      <c r="T379" s="116" t="b">
        <f t="shared" ref="T379" si="1116">IF($M379,$M379)</f>
        <v>0</v>
      </c>
      <c r="U379" s="129">
        <f t="shared" ref="U379" si="1117">MIN($T379:$T383)</f>
        <v>0</v>
      </c>
      <c r="V379" s="233" t="s">
        <v>197</v>
      </c>
      <c r="W379" s="219"/>
      <c r="X379" s="219" t="s">
        <v>197</v>
      </c>
      <c r="Y379" s="239"/>
      <c r="Z379" s="105">
        <f t="shared" ref="Z379" si="1118">IF($V379="YES",$U379,IF($X379&lt;&gt;"YES",$W379,($AC379+$J379*$K379)))</f>
        <v>0</v>
      </c>
      <c r="AA379" s="105">
        <f t="shared" ref="AA379" si="1119">ROUND($Z379+($F379/12),2)</f>
        <v>0</v>
      </c>
      <c r="AB379" s="105" t="b">
        <f t="shared" ref="AB379" si="1120">IF($L379,($L379-$AA379))</f>
        <v>0</v>
      </c>
      <c r="AC379" s="111">
        <f t="shared" ref="AC379" si="1121">IF(AND($V379&lt;&gt;"YES",$X379="YES"),$Y379,ROUND($Z379-($J379*$K379),2))</f>
        <v>0</v>
      </c>
    </row>
    <row r="380" spans="1:29" x14ac:dyDescent="0.3">
      <c r="A380" s="121"/>
      <c r="B380" s="204" t="b">
        <f>IF(Pipes!$B380,Pipes!$B380)</f>
        <v>0</v>
      </c>
      <c r="C380" s="205"/>
      <c r="D380" s="224"/>
      <c r="E380" s="224"/>
      <c r="F380" s="224">
        <f t="shared" ref="F380:F383" si="1122">F379</f>
        <v>0</v>
      </c>
      <c r="G380" s="224"/>
      <c r="H380" s="224"/>
      <c r="I380" s="52"/>
      <c r="J380" s="52"/>
      <c r="K380" s="130"/>
      <c r="L380" s="206">
        <f t="shared" ref="L380" si="1123">$L379</f>
        <v>0</v>
      </c>
      <c r="M380" s="206" t="b">
        <f t="shared" ref="M380" si="1124">M379</f>
        <v>0</v>
      </c>
      <c r="N380" s="240" t="b">
        <f t="shared" ref="N380" si="1125">IF($B380,INDEX($AC$4:$AC$499,MATCH($B380,$A$4:$A$499)))</f>
        <v>0</v>
      </c>
      <c r="O380" s="209"/>
      <c r="P380" s="208">
        <f t="shared" ref="P380:P383" si="1126">IF($B380,INDEX($F$4:$F$499,MATCH($B380,$A$4:$A$499)),0)</f>
        <v>0</v>
      </c>
      <c r="Q380" s="242" t="b">
        <f t="shared" ref="Q380" si="1127">IF($N380,ROUND(($N380+($P380/12)),2))</f>
        <v>0</v>
      </c>
      <c r="R380" s="53" t="b">
        <f t="shared" ref="R380" si="1128">IF(AND($L380,$Q380),$L380-$Q380)</f>
        <v>0</v>
      </c>
      <c r="S380" s="241" t="s">
        <v>197</v>
      </c>
      <c r="T380" s="127" t="b">
        <f>IF($N380,IF($F380&gt;$P380,ROUND(($Q380-($F379/12)),2),IF($S380="YES",$N380,$N380-MinDrop)))</f>
        <v>0</v>
      </c>
      <c r="U380" s="243"/>
      <c r="V380" s="245"/>
      <c r="W380" s="245"/>
      <c r="X380" s="54"/>
      <c r="Y380" s="117"/>
      <c r="Z380" s="54"/>
      <c r="AA380" s="54"/>
      <c r="AB380" s="54"/>
      <c r="AC380" s="211"/>
    </row>
    <row r="381" spans="1:29" x14ac:dyDescent="0.3">
      <c r="A381" s="121"/>
      <c r="B381" s="204" t="b">
        <f>IF(Pipes!$B381,Pipes!$B381)</f>
        <v>0</v>
      </c>
      <c r="C381" s="205"/>
      <c r="D381" s="224"/>
      <c r="E381" s="224"/>
      <c r="F381" s="224">
        <f t="shared" si="1122"/>
        <v>0</v>
      </c>
      <c r="G381" s="224"/>
      <c r="H381" s="224"/>
      <c r="I381" s="52"/>
      <c r="J381" s="52"/>
      <c r="K381" s="130"/>
      <c r="L381" s="206">
        <f t="shared" si="988"/>
        <v>0</v>
      </c>
      <c r="M381" s="206" t="b">
        <f t="shared" si="989"/>
        <v>0</v>
      </c>
      <c r="N381" s="207" t="b">
        <f t="shared" si="990"/>
        <v>0</v>
      </c>
      <c r="O381" s="209"/>
      <c r="P381" s="208">
        <f t="shared" si="1126"/>
        <v>0</v>
      </c>
      <c r="Q381" s="53" t="b">
        <f t="shared" si="992"/>
        <v>0</v>
      </c>
      <c r="R381" s="53" t="b">
        <f t="shared" si="993"/>
        <v>0</v>
      </c>
      <c r="S381" s="241" t="s">
        <v>197</v>
      </c>
      <c r="T381" s="127" t="b">
        <f>IF($N381,IF($F381&gt;$P381,ROUND(($Q381-($F380/12)),2),IF($S381="YES",$N381,$N381-MinDrop)))</f>
        <v>0</v>
      </c>
      <c r="U381" s="210"/>
      <c r="V381" s="54"/>
      <c r="W381" s="54"/>
      <c r="X381" s="54"/>
      <c r="Y381" s="117"/>
      <c r="Z381" s="54"/>
      <c r="AA381" s="54"/>
      <c r="AB381" s="54"/>
      <c r="AC381" s="211"/>
    </row>
    <row r="382" spans="1:29" x14ac:dyDescent="0.3">
      <c r="A382" s="121"/>
      <c r="B382" s="204" t="b">
        <f>IF(Pipes!$B382,Pipes!$B382)</f>
        <v>0</v>
      </c>
      <c r="C382" s="205"/>
      <c r="D382" s="224"/>
      <c r="E382" s="224"/>
      <c r="F382" s="224">
        <f t="shared" si="1122"/>
        <v>0</v>
      </c>
      <c r="G382" s="224"/>
      <c r="H382" s="224"/>
      <c r="I382" s="52"/>
      <c r="J382" s="52"/>
      <c r="K382" s="130"/>
      <c r="L382" s="206">
        <f t="shared" si="988"/>
        <v>0</v>
      </c>
      <c r="M382" s="206" t="b">
        <f t="shared" si="989"/>
        <v>0</v>
      </c>
      <c r="N382" s="207" t="b">
        <f t="shared" si="990"/>
        <v>0</v>
      </c>
      <c r="O382" s="209"/>
      <c r="P382" s="208">
        <f t="shared" si="1126"/>
        <v>0</v>
      </c>
      <c r="Q382" s="53" t="b">
        <f t="shared" si="992"/>
        <v>0</v>
      </c>
      <c r="R382" s="53" t="b">
        <f t="shared" si="993"/>
        <v>0</v>
      </c>
      <c r="S382" s="241" t="s">
        <v>197</v>
      </c>
      <c r="T382" s="127" t="b">
        <f>IF($N382,IF($F382&gt;$P382,ROUND(($Q382-($F381/12)),2),IF($S382="YES",$N382,$N382-MinDrop)))</f>
        <v>0</v>
      </c>
      <c r="U382" s="210"/>
      <c r="V382" s="54"/>
      <c r="W382" s="54"/>
      <c r="X382" s="54"/>
      <c r="Y382" s="117"/>
      <c r="Z382" s="54"/>
      <c r="AA382" s="54"/>
      <c r="AB382" s="54"/>
      <c r="AC382" s="211"/>
    </row>
    <row r="383" spans="1:29" ht="15" thickBot="1" x14ac:dyDescent="0.35">
      <c r="A383" s="122"/>
      <c r="B383" s="204" t="b">
        <f>IF(Pipes!$B383,Pipes!$B383)</f>
        <v>0</v>
      </c>
      <c r="C383" s="212"/>
      <c r="D383" s="104"/>
      <c r="E383" s="104"/>
      <c r="F383" s="104">
        <f t="shared" si="1122"/>
        <v>0</v>
      </c>
      <c r="G383" s="104"/>
      <c r="H383" s="104"/>
      <c r="I383" s="101"/>
      <c r="J383" s="101"/>
      <c r="K383" s="131"/>
      <c r="L383" s="213">
        <f t="shared" si="988"/>
        <v>0</v>
      </c>
      <c r="M383" s="213" t="b">
        <f t="shared" si="989"/>
        <v>0</v>
      </c>
      <c r="N383" s="214" t="b">
        <f t="shared" si="990"/>
        <v>0</v>
      </c>
      <c r="O383" s="216"/>
      <c r="P383" s="215">
        <f t="shared" si="1126"/>
        <v>0</v>
      </c>
      <c r="Q383" s="103" t="b">
        <f t="shared" si="992"/>
        <v>0</v>
      </c>
      <c r="R383" s="53" t="b">
        <f t="shared" si="993"/>
        <v>0</v>
      </c>
      <c r="S383" s="241" t="s">
        <v>197</v>
      </c>
      <c r="T383" s="127" t="b">
        <f>IF($N383,IF($F383&gt;$P383,ROUND(($Q383-($F382/12)),2),IF($S383="YES",$N383,$N383-MinDrop)))</f>
        <v>0</v>
      </c>
      <c r="U383" s="217"/>
      <c r="V383" s="102"/>
      <c r="W383" s="102"/>
      <c r="X383" s="102"/>
      <c r="Y383" s="118"/>
      <c r="Z383" s="102"/>
      <c r="AA383" s="102"/>
      <c r="AB383" s="102"/>
      <c r="AC383" s="218"/>
    </row>
    <row r="384" spans="1:29" x14ac:dyDescent="0.3">
      <c r="A384" s="115">
        <f t="shared" ref="A384" si="1129">$A379+1</f>
        <v>77</v>
      </c>
      <c r="B384" s="186"/>
      <c r="C384" s="201">
        <f>IF(Pipes!$Q384&gt;0,IF(Pipes!$R384&gt;MinDiameter,Pipes!$R384,MinDiameter),0)</f>
        <v>0</v>
      </c>
      <c r="D384" s="187" t="s">
        <v>197</v>
      </c>
      <c r="E384" s="187"/>
      <c r="F384" s="107">
        <f>Pipes!$S384</f>
        <v>0</v>
      </c>
      <c r="G384" s="108">
        <f>Pipes!$W384</f>
        <v>0</v>
      </c>
      <c r="H384" s="187" t="s">
        <v>197</v>
      </c>
      <c r="I384" s="188"/>
      <c r="J384" s="108">
        <f>Pipes!$X384</f>
        <v>0</v>
      </c>
      <c r="K384" s="193">
        <f>INDEX(Tribs!$H$3:$H$102,MATCH($A384,Tribs!$A$3:$A$102,0))</f>
        <v>0</v>
      </c>
      <c r="L384" s="105">
        <f>INDEX(Tribs!$I$3:$I$102,MATCH($A384,Tribs!$A$3:$A$102,0))</f>
        <v>0</v>
      </c>
      <c r="M384" s="105" t="b">
        <f>IF($L384,ROUND($L384-MinCover-($F384/12),2))</f>
        <v>0</v>
      </c>
      <c r="N384" s="202"/>
      <c r="O384" s="129">
        <f t="shared" ref="O384" si="1130">MIN($N385:$N388)</f>
        <v>0</v>
      </c>
      <c r="P384" s="203"/>
      <c r="Q384" s="203"/>
      <c r="R384" s="203"/>
      <c r="S384" s="110"/>
      <c r="T384" s="116" t="b">
        <f t="shared" ref="T384" si="1131">IF($M384,$M384)</f>
        <v>0</v>
      </c>
      <c r="U384" s="129">
        <f t="shared" ref="U384" si="1132">MIN($T384:$T388)</f>
        <v>0</v>
      </c>
      <c r="V384" s="233" t="s">
        <v>197</v>
      </c>
      <c r="W384" s="219"/>
      <c r="X384" s="219" t="s">
        <v>197</v>
      </c>
      <c r="Y384" s="239"/>
      <c r="Z384" s="105">
        <f t="shared" ref="Z384" si="1133">IF($V384="YES",$U384,IF($X384&lt;&gt;"YES",$W384,($AC384+$J384*$K384)))</f>
        <v>0</v>
      </c>
      <c r="AA384" s="105">
        <f t="shared" ref="AA384" si="1134">ROUND($Z384+($F384/12),2)</f>
        <v>0</v>
      </c>
      <c r="AB384" s="105" t="b">
        <f t="shared" ref="AB384" si="1135">IF($L384,($L384-$AA384))</f>
        <v>0</v>
      </c>
      <c r="AC384" s="111">
        <f t="shared" ref="AC384" si="1136">IF(AND($V384&lt;&gt;"YES",$X384="YES"),$Y384,ROUND($Z384-($J384*$K384),2))</f>
        <v>0</v>
      </c>
    </row>
    <row r="385" spans="1:29" x14ac:dyDescent="0.3">
      <c r="A385" s="121"/>
      <c r="B385" s="204" t="b">
        <f>IF(Pipes!$B385,Pipes!$B385)</f>
        <v>0</v>
      </c>
      <c r="C385" s="205"/>
      <c r="D385" s="224"/>
      <c r="E385" s="224"/>
      <c r="F385" s="224">
        <f t="shared" ref="F385:F388" si="1137">F384</f>
        <v>0</v>
      </c>
      <c r="G385" s="224"/>
      <c r="H385" s="224"/>
      <c r="I385" s="52"/>
      <c r="J385" s="52"/>
      <c r="K385" s="130"/>
      <c r="L385" s="206">
        <f t="shared" ref="L385" si="1138">$L384</f>
        <v>0</v>
      </c>
      <c r="M385" s="206" t="b">
        <f t="shared" ref="M385" si="1139">M384</f>
        <v>0</v>
      </c>
      <c r="N385" s="240" t="b">
        <f t="shared" ref="N385" si="1140">IF($B385,INDEX($AC$4:$AC$499,MATCH($B385,$A$4:$A$499)))</f>
        <v>0</v>
      </c>
      <c r="O385" s="209"/>
      <c r="P385" s="208">
        <f t="shared" ref="P385:P388" si="1141">IF($B385,INDEX($F$4:$F$499,MATCH($B385,$A$4:$A$499)),0)</f>
        <v>0</v>
      </c>
      <c r="Q385" s="242" t="b">
        <f t="shared" ref="Q385" si="1142">IF($N385,ROUND(($N385+($P385/12)),2))</f>
        <v>0</v>
      </c>
      <c r="R385" s="53" t="b">
        <f t="shared" ref="R385" si="1143">IF(AND($L385,$Q385),$L385-$Q385)</f>
        <v>0</v>
      </c>
      <c r="S385" s="241" t="s">
        <v>197</v>
      </c>
      <c r="T385" s="127" t="b">
        <f>IF($N385,IF($F385&gt;$P385,ROUND(($Q385-($F384/12)),2),IF($S385="YES",$N385,$N385-MinDrop)))</f>
        <v>0</v>
      </c>
      <c r="U385" s="243"/>
      <c r="V385" s="245"/>
      <c r="W385" s="245"/>
      <c r="X385" s="54"/>
      <c r="Y385" s="117"/>
      <c r="Z385" s="54"/>
      <c r="AA385" s="54"/>
      <c r="AB385" s="54"/>
      <c r="AC385" s="211"/>
    </row>
    <row r="386" spans="1:29" x14ac:dyDescent="0.3">
      <c r="A386" s="121"/>
      <c r="B386" s="204" t="b">
        <f>IF(Pipes!$B386,Pipes!$B386)</f>
        <v>0</v>
      </c>
      <c r="C386" s="205"/>
      <c r="D386" s="224"/>
      <c r="E386" s="224"/>
      <c r="F386" s="224">
        <f t="shared" si="1137"/>
        <v>0</v>
      </c>
      <c r="G386" s="224"/>
      <c r="H386" s="224"/>
      <c r="I386" s="52"/>
      <c r="J386" s="52"/>
      <c r="K386" s="130"/>
      <c r="L386" s="206">
        <f t="shared" si="988"/>
        <v>0</v>
      </c>
      <c r="M386" s="206" t="b">
        <f t="shared" si="989"/>
        <v>0</v>
      </c>
      <c r="N386" s="207" t="b">
        <f t="shared" si="990"/>
        <v>0</v>
      </c>
      <c r="O386" s="209"/>
      <c r="P386" s="208">
        <f t="shared" si="1141"/>
        <v>0</v>
      </c>
      <c r="Q386" s="53" t="b">
        <f t="shared" si="992"/>
        <v>0</v>
      </c>
      <c r="R386" s="53" t="b">
        <f t="shared" si="993"/>
        <v>0</v>
      </c>
      <c r="S386" s="241" t="s">
        <v>197</v>
      </c>
      <c r="T386" s="127" t="b">
        <f>IF($N386,IF($F386&gt;$P386,ROUND(($Q386-($F385/12)),2),IF($S386="YES",$N386,$N386-MinDrop)))</f>
        <v>0</v>
      </c>
      <c r="U386" s="210"/>
      <c r="V386" s="54"/>
      <c r="W386" s="54"/>
      <c r="X386" s="54"/>
      <c r="Y386" s="117"/>
      <c r="Z386" s="54"/>
      <c r="AA386" s="54"/>
      <c r="AB386" s="54"/>
      <c r="AC386" s="211"/>
    </row>
    <row r="387" spans="1:29" x14ac:dyDescent="0.3">
      <c r="A387" s="121"/>
      <c r="B387" s="204" t="b">
        <f>IF(Pipes!$B387,Pipes!$B387)</f>
        <v>0</v>
      </c>
      <c r="C387" s="205"/>
      <c r="D387" s="224"/>
      <c r="E387" s="224"/>
      <c r="F387" s="224">
        <f t="shared" si="1137"/>
        <v>0</v>
      </c>
      <c r="G387" s="224"/>
      <c r="H387" s="224"/>
      <c r="I387" s="52"/>
      <c r="J387" s="52"/>
      <c r="K387" s="130"/>
      <c r="L387" s="206">
        <f t="shared" si="988"/>
        <v>0</v>
      </c>
      <c r="M387" s="206" t="b">
        <f t="shared" si="989"/>
        <v>0</v>
      </c>
      <c r="N387" s="207" t="b">
        <f t="shared" si="990"/>
        <v>0</v>
      </c>
      <c r="O387" s="209"/>
      <c r="P387" s="208">
        <f t="shared" si="1141"/>
        <v>0</v>
      </c>
      <c r="Q387" s="53" t="b">
        <f t="shared" si="992"/>
        <v>0</v>
      </c>
      <c r="R387" s="53" t="b">
        <f t="shared" si="993"/>
        <v>0</v>
      </c>
      <c r="S387" s="241" t="s">
        <v>197</v>
      </c>
      <c r="T387" s="127" t="b">
        <f>IF($N387,IF($F387&gt;$P387,ROUND(($Q387-($F386/12)),2),IF($S387="YES",$N387,$N387-MinDrop)))</f>
        <v>0</v>
      </c>
      <c r="U387" s="210"/>
      <c r="V387" s="54"/>
      <c r="W387" s="54"/>
      <c r="X387" s="54"/>
      <c r="Y387" s="117"/>
      <c r="Z387" s="54"/>
      <c r="AA387" s="54"/>
      <c r="AB387" s="54"/>
      <c r="AC387" s="211"/>
    </row>
    <row r="388" spans="1:29" ht="15" thickBot="1" x14ac:dyDescent="0.35">
      <c r="A388" s="122"/>
      <c r="B388" s="204" t="b">
        <f>IF(Pipes!$B388,Pipes!$B388)</f>
        <v>0</v>
      </c>
      <c r="C388" s="212"/>
      <c r="D388" s="104"/>
      <c r="E388" s="104"/>
      <c r="F388" s="104">
        <f t="shared" si="1137"/>
        <v>0</v>
      </c>
      <c r="G388" s="104"/>
      <c r="H388" s="104"/>
      <c r="I388" s="101"/>
      <c r="J388" s="101"/>
      <c r="K388" s="131"/>
      <c r="L388" s="213">
        <f t="shared" si="988"/>
        <v>0</v>
      </c>
      <c r="M388" s="213" t="b">
        <f t="shared" si="989"/>
        <v>0</v>
      </c>
      <c r="N388" s="214" t="b">
        <f t="shared" si="990"/>
        <v>0</v>
      </c>
      <c r="O388" s="216"/>
      <c r="P388" s="215">
        <f t="shared" si="1141"/>
        <v>0</v>
      </c>
      <c r="Q388" s="103" t="b">
        <f t="shared" si="992"/>
        <v>0</v>
      </c>
      <c r="R388" s="53" t="b">
        <f t="shared" si="993"/>
        <v>0</v>
      </c>
      <c r="S388" s="241" t="s">
        <v>197</v>
      </c>
      <c r="T388" s="127" t="b">
        <f>IF($N388,IF($F388&gt;$P388,ROUND(($Q388-($F387/12)),2),IF($S388="YES",$N388,$N388-MinDrop)))</f>
        <v>0</v>
      </c>
      <c r="U388" s="217"/>
      <c r="V388" s="102"/>
      <c r="W388" s="102"/>
      <c r="X388" s="102"/>
      <c r="Y388" s="118"/>
      <c r="Z388" s="102"/>
      <c r="AA388" s="102"/>
      <c r="AB388" s="102"/>
      <c r="AC388" s="218"/>
    </row>
    <row r="389" spans="1:29" x14ac:dyDescent="0.3">
      <c r="A389" s="115">
        <f t="shared" ref="A389" si="1144">$A384+1</f>
        <v>78</v>
      </c>
      <c r="B389" s="186"/>
      <c r="C389" s="201">
        <f>IF(Pipes!$Q389&gt;0,IF(Pipes!$R389&gt;MinDiameter,Pipes!$R389,MinDiameter),0)</f>
        <v>0</v>
      </c>
      <c r="D389" s="187" t="s">
        <v>197</v>
      </c>
      <c r="E389" s="187"/>
      <c r="F389" s="107">
        <f>Pipes!$S389</f>
        <v>0</v>
      </c>
      <c r="G389" s="108">
        <f>Pipes!$W389</f>
        <v>0</v>
      </c>
      <c r="H389" s="187" t="s">
        <v>197</v>
      </c>
      <c r="I389" s="188"/>
      <c r="J389" s="108">
        <f>Pipes!$X389</f>
        <v>0</v>
      </c>
      <c r="K389" s="193">
        <f>INDEX(Tribs!$H$3:$H$102,MATCH($A389,Tribs!$A$3:$A$102,0))</f>
        <v>0</v>
      </c>
      <c r="L389" s="105">
        <f>INDEX(Tribs!$I$3:$I$102,MATCH($A389,Tribs!$A$3:$A$102,0))</f>
        <v>0</v>
      </c>
      <c r="M389" s="105" t="b">
        <f>IF($L389,ROUND($L389-MinCover-($F389/12),2))</f>
        <v>0</v>
      </c>
      <c r="N389" s="202"/>
      <c r="O389" s="129">
        <f t="shared" ref="O389" si="1145">MIN($N390:$N393)</f>
        <v>0</v>
      </c>
      <c r="P389" s="203"/>
      <c r="Q389" s="203"/>
      <c r="R389" s="203"/>
      <c r="S389" s="110"/>
      <c r="T389" s="116" t="b">
        <f t="shared" ref="T389" si="1146">IF($M389,$M389)</f>
        <v>0</v>
      </c>
      <c r="U389" s="129">
        <f t="shared" ref="U389" si="1147">MIN($T389:$T393)</f>
        <v>0</v>
      </c>
      <c r="V389" s="233" t="s">
        <v>197</v>
      </c>
      <c r="W389" s="219"/>
      <c r="X389" s="219" t="s">
        <v>197</v>
      </c>
      <c r="Y389" s="239"/>
      <c r="Z389" s="105">
        <f t="shared" ref="Z389" si="1148">IF($V389="YES",$U389,IF($X389&lt;&gt;"YES",$W389,($AC389+$J389*$K389)))</f>
        <v>0</v>
      </c>
      <c r="AA389" s="105">
        <f t="shared" ref="AA389" si="1149">ROUND($Z389+($F389/12),2)</f>
        <v>0</v>
      </c>
      <c r="AB389" s="105" t="b">
        <f t="shared" ref="AB389" si="1150">IF($L389,($L389-$AA389))</f>
        <v>0</v>
      </c>
      <c r="AC389" s="111">
        <f t="shared" ref="AC389" si="1151">IF(AND($V389&lt;&gt;"YES",$X389="YES"),$Y389,ROUND($Z389-($J389*$K389),2))</f>
        <v>0</v>
      </c>
    </row>
    <row r="390" spans="1:29" x14ac:dyDescent="0.3">
      <c r="A390" s="121"/>
      <c r="B390" s="204" t="b">
        <f>IF(Pipes!$B390,Pipes!$B390)</f>
        <v>0</v>
      </c>
      <c r="C390" s="205"/>
      <c r="D390" s="224"/>
      <c r="E390" s="224"/>
      <c r="F390" s="224">
        <f t="shared" ref="F390:F393" si="1152">F389</f>
        <v>0</v>
      </c>
      <c r="G390" s="224"/>
      <c r="H390" s="224"/>
      <c r="I390" s="52"/>
      <c r="J390" s="52"/>
      <c r="K390" s="130"/>
      <c r="L390" s="206">
        <f t="shared" ref="L390" si="1153">$L389</f>
        <v>0</v>
      </c>
      <c r="M390" s="206" t="b">
        <f t="shared" ref="M390" si="1154">M389</f>
        <v>0</v>
      </c>
      <c r="N390" s="240" t="b">
        <f t="shared" ref="N390" si="1155">IF($B390,INDEX($AC$4:$AC$499,MATCH($B390,$A$4:$A$499)))</f>
        <v>0</v>
      </c>
      <c r="O390" s="209"/>
      <c r="P390" s="208">
        <f t="shared" ref="P390:P393" si="1156">IF($B390,INDEX($F$4:$F$499,MATCH($B390,$A$4:$A$499)),0)</f>
        <v>0</v>
      </c>
      <c r="Q390" s="242" t="b">
        <f t="shared" ref="Q390" si="1157">IF($N390,ROUND(($N390+($P390/12)),2))</f>
        <v>0</v>
      </c>
      <c r="R390" s="53" t="b">
        <f t="shared" ref="R390" si="1158">IF(AND($L390,$Q390),$L390-$Q390)</f>
        <v>0</v>
      </c>
      <c r="S390" s="241" t="s">
        <v>197</v>
      </c>
      <c r="T390" s="127" t="b">
        <f>IF($N390,IF($F390&gt;$P390,ROUND(($Q390-($F389/12)),2),IF($S390="YES",$N390,$N390-MinDrop)))</f>
        <v>0</v>
      </c>
      <c r="U390" s="243"/>
      <c r="V390" s="245"/>
      <c r="W390" s="245"/>
      <c r="X390" s="54"/>
      <c r="Y390" s="117"/>
      <c r="Z390" s="54"/>
      <c r="AA390" s="54"/>
      <c r="AB390" s="54"/>
      <c r="AC390" s="211"/>
    </row>
    <row r="391" spans="1:29" x14ac:dyDescent="0.3">
      <c r="A391" s="121"/>
      <c r="B391" s="204" t="b">
        <f>IF(Pipes!$B391,Pipes!$B391)</f>
        <v>0</v>
      </c>
      <c r="C391" s="205"/>
      <c r="D391" s="224"/>
      <c r="E391" s="224"/>
      <c r="F391" s="224">
        <f t="shared" si="1152"/>
        <v>0</v>
      </c>
      <c r="G391" s="224"/>
      <c r="H391" s="224"/>
      <c r="I391" s="52"/>
      <c r="J391" s="52"/>
      <c r="K391" s="130"/>
      <c r="L391" s="206">
        <f t="shared" si="988"/>
        <v>0</v>
      </c>
      <c r="M391" s="206" t="b">
        <f t="shared" si="989"/>
        <v>0</v>
      </c>
      <c r="N391" s="207" t="b">
        <f t="shared" si="990"/>
        <v>0</v>
      </c>
      <c r="O391" s="209"/>
      <c r="P391" s="208">
        <f t="shared" si="1156"/>
        <v>0</v>
      </c>
      <c r="Q391" s="53" t="b">
        <f t="shared" si="992"/>
        <v>0</v>
      </c>
      <c r="R391" s="53" t="b">
        <f t="shared" si="993"/>
        <v>0</v>
      </c>
      <c r="S391" s="241" t="s">
        <v>197</v>
      </c>
      <c r="T391" s="127" t="b">
        <f>IF($N391,IF($F391&gt;$P391,ROUND(($Q391-($F390/12)),2),IF($S391="YES",$N391,$N391-MinDrop)))</f>
        <v>0</v>
      </c>
      <c r="U391" s="210"/>
      <c r="V391" s="54"/>
      <c r="W391" s="54"/>
      <c r="X391" s="54"/>
      <c r="Y391" s="117"/>
      <c r="Z391" s="54"/>
      <c r="AA391" s="54"/>
      <c r="AB391" s="54"/>
      <c r="AC391" s="211"/>
    </row>
    <row r="392" spans="1:29" x14ac:dyDescent="0.3">
      <c r="A392" s="121"/>
      <c r="B392" s="204" t="b">
        <f>IF(Pipes!$B392,Pipes!$B392)</f>
        <v>0</v>
      </c>
      <c r="C392" s="205"/>
      <c r="D392" s="224"/>
      <c r="E392" s="224"/>
      <c r="F392" s="224">
        <f t="shared" si="1152"/>
        <v>0</v>
      </c>
      <c r="G392" s="224"/>
      <c r="H392" s="224"/>
      <c r="I392" s="52"/>
      <c r="J392" s="52"/>
      <c r="K392" s="130"/>
      <c r="L392" s="206">
        <f t="shared" si="988"/>
        <v>0</v>
      </c>
      <c r="M392" s="206" t="b">
        <f t="shared" si="989"/>
        <v>0</v>
      </c>
      <c r="N392" s="207" t="b">
        <f t="shared" si="990"/>
        <v>0</v>
      </c>
      <c r="O392" s="209"/>
      <c r="P392" s="208">
        <f t="shared" si="1156"/>
        <v>0</v>
      </c>
      <c r="Q392" s="53" t="b">
        <f t="shared" si="992"/>
        <v>0</v>
      </c>
      <c r="R392" s="53" t="b">
        <f t="shared" si="993"/>
        <v>0</v>
      </c>
      <c r="S392" s="241" t="s">
        <v>197</v>
      </c>
      <c r="T392" s="127" t="b">
        <f>IF($N392,IF($F392&gt;$P392,ROUND(($Q392-($F391/12)),2),IF($S392="YES",$N392,$N392-MinDrop)))</f>
        <v>0</v>
      </c>
      <c r="U392" s="210"/>
      <c r="V392" s="54"/>
      <c r="W392" s="54"/>
      <c r="X392" s="54"/>
      <c r="Y392" s="117"/>
      <c r="Z392" s="54"/>
      <c r="AA392" s="54"/>
      <c r="AB392" s="54"/>
      <c r="AC392" s="211"/>
    </row>
    <row r="393" spans="1:29" ht="15" thickBot="1" x14ac:dyDescent="0.35">
      <c r="A393" s="122"/>
      <c r="B393" s="204" t="b">
        <f>IF(Pipes!$B393,Pipes!$B393)</f>
        <v>0</v>
      </c>
      <c r="C393" s="212"/>
      <c r="D393" s="104"/>
      <c r="E393" s="104"/>
      <c r="F393" s="104">
        <f t="shared" si="1152"/>
        <v>0</v>
      </c>
      <c r="G393" s="104"/>
      <c r="H393" s="104"/>
      <c r="I393" s="101"/>
      <c r="J393" s="101"/>
      <c r="K393" s="131"/>
      <c r="L393" s="213">
        <f t="shared" si="988"/>
        <v>0</v>
      </c>
      <c r="M393" s="213" t="b">
        <f t="shared" si="989"/>
        <v>0</v>
      </c>
      <c r="N393" s="214" t="b">
        <f t="shared" si="990"/>
        <v>0</v>
      </c>
      <c r="O393" s="216"/>
      <c r="P393" s="215">
        <f t="shared" si="1156"/>
        <v>0</v>
      </c>
      <c r="Q393" s="103" t="b">
        <f t="shared" si="992"/>
        <v>0</v>
      </c>
      <c r="R393" s="53" t="b">
        <f t="shared" si="993"/>
        <v>0</v>
      </c>
      <c r="S393" s="241" t="s">
        <v>197</v>
      </c>
      <c r="T393" s="127" t="b">
        <f>IF($N393,IF($F393&gt;$P393,ROUND(($Q393-($F392/12)),2),IF($S393="YES",$N393,$N393-MinDrop)))</f>
        <v>0</v>
      </c>
      <c r="U393" s="217"/>
      <c r="V393" s="102"/>
      <c r="W393" s="102"/>
      <c r="X393" s="102"/>
      <c r="Y393" s="118"/>
      <c r="Z393" s="102"/>
      <c r="AA393" s="102"/>
      <c r="AB393" s="102"/>
      <c r="AC393" s="218"/>
    </row>
    <row r="394" spans="1:29" x14ac:dyDescent="0.3">
      <c r="A394" s="115">
        <f t="shared" ref="A394" si="1159">$A389+1</f>
        <v>79</v>
      </c>
      <c r="B394" s="186"/>
      <c r="C394" s="201">
        <f>IF(Pipes!$Q394&gt;0,IF(Pipes!$R394&gt;MinDiameter,Pipes!$R394,MinDiameter),0)</f>
        <v>0</v>
      </c>
      <c r="D394" s="187" t="s">
        <v>197</v>
      </c>
      <c r="E394" s="187"/>
      <c r="F394" s="107">
        <f>Pipes!$S394</f>
        <v>0</v>
      </c>
      <c r="G394" s="108">
        <f>Pipes!$W394</f>
        <v>0</v>
      </c>
      <c r="H394" s="187" t="s">
        <v>197</v>
      </c>
      <c r="I394" s="188"/>
      <c r="J394" s="108">
        <f>Pipes!$X394</f>
        <v>0</v>
      </c>
      <c r="K394" s="193">
        <f>INDEX(Tribs!$H$3:$H$102,MATCH($A394,Tribs!$A$3:$A$102,0))</f>
        <v>0</v>
      </c>
      <c r="L394" s="105">
        <f>INDEX(Tribs!$I$3:$I$102,MATCH($A394,Tribs!$A$3:$A$102,0))</f>
        <v>0</v>
      </c>
      <c r="M394" s="105" t="b">
        <f>IF($L394,ROUND($L394-MinCover-($F394/12),2))</f>
        <v>0</v>
      </c>
      <c r="N394" s="202"/>
      <c r="O394" s="129">
        <f t="shared" ref="O394" si="1160">MIN($N395:$N398)</f>
        <v>0</v>
      </c>
      <c r="P394" s="203"/>
      <c r="Q394" s="203"/>
      <c r="R394" s="203"/>
      <c r="S394" s="110"/>
      <c r="T394" s="116" t="b">
        <f t="shared" ref="T394" si="1161">IF($M394,$M394)</f>
        <v>0</v>
      </c>
      <c r="U394" s="129">
        <f t="shared" ref="U394" si="1162">MIN($T394:$T398)</f>
        <v>0</v>
      </c>
      <c r="V394" s="233" t="s">
        <v>197</v>
      </c>
      <c r="W394" s="219"/>
      <c r="X394" s="219" t="s">
        <v>197</v>
      </c>
      <c r="Y394" s="239"/>
      <c r="Z394" s="105">
        <f t="shared" ref="Z394" si="1163">IF($V394="YES",$U394,IF($X394&lt;&gt;"YES",$W394,($AC394+$J394*$K394)))</f>
        <v>0</v>
      </c>
      <c r="AA394" s="105">
        <f t="shared" ref="AA394" si="1164">ROUND($Z394+($F394/12),2)</f>
        <v>0</v>
      </c>
      <c r="AB394" s="105" t="b">
        <f t="shared" ref="AB394" si="1165">IF($L394,($L394-$AA394))</f>
        <v>0</v>
      </c>
      <c r="AC394" s="111">
        <f t="shared" ref="AC394" si="1166">IF(AND($V394&lt;&gt;"YES",$X394="YES"),$Y394,ROUND($Z394-($J394*$K394),2))</f>
        <v>0</v>
      </c>
    </row>
    <row r="395" spans="1:29" x14ac:dyDescent="0.3">
      <c r="A395" s="121"/>
      <c r="B395" s="204" t="b">
        <f>IF(Pipes!$B395,Pipes!$B395)</f>
        <v>0</v>
      </c>
      <c r="C395" s="205"/>
      <c r="D395" s="224"/>
      <c r="E395" s="224"/>
      <c r="F395" s="224">
        <f t="shared" ref="F395:F398" si="1167">F394</f>
        <v>0</v>
      </c>
      <c r="G395" s="224"/>
      <c r="H395" s="224"/>
      <c r="I395" s="52"/>
      <c r="J395" s="52"/>
      <c r="K395" s="130"/>
      <c r="L395" s="206">
        <f t="shared" ref="L395" si="1168">$L394</f>
        <v>0</v>
      </c>
      <c r="M395" s="206" t="b">
        <f t="shared" ref="M395" si="1169">M394</f>
        <v>0</v>
      </c>
      <c r="N395" s="240" t="b">
        <f t="shared" ref="N395" si="1170">IF($B395,INDEX($AC$4:$AC$499,MATCH($B395,$A$4:$A$499)))</f>
        <v>0</v>
      </c>
      <c r="O395" s="209"/>
      <c r="P395" s="208">
        <f t="shared" ref="P395:P398" si="1171">IF($B395,INDEX($F$4:$F$499,MATCH($B395,$A$4:$A$499)),0)</f>
        <v>0</v>
      </c>
      <c r="Q395" s="242" t="b">
        <f t="shared" ref="Q395" si="1172">IF($N395,ROUND(($N395+($P395/12)),2))</f>
        <v>0</v>
      </c>
      <c r="R395" s="53" t="b">
        <f t="shared" ref="R395" si="1173">IF(AND($L395,$Q395),$L395-$Q395)</f>
        <v>0</v>
      </c>
      <c r="S395" s="241" t="s">
        <v>197</v>
      </c>
      <c r="T395" s="127" t="b">
        <f>IF($N395,IF($F395&gt;$P395,ROUND(($Q395-($F394/12)),2),IF($S395="YES",$N395,$N395-MinDrop)))</f>
        <v>0</v>
      </c>
      <c r="U395" s="243"/>
      <c r="V395" s="245"/>
      <c r="W395" s="245"/>
      <c r="X395" s="54"/>
      <c r="Y395" s="117"/>
      <c r="Z395" s="54"/>
      <c r="AA395" s="54"/>
      <c r="AB395" s="54"/>
      <c r="AC395" s="211"/>
    </row>
    <row r="396" spans="1:29" x14ac:dyDescent="0.3">
      <c r="A396" s="121"/>
      <c r="B396" s="204" t="b">
        <f>IF(Pipes!$B396,Pipes!$B396)</f>
        <v>0</v>
      </c>
      <c r="C396" s="205"/>
      <c r="D396" s="224"/>
      <c r="E396" s="224"/>
      <c r="F396" s="224">
        <f t="shared" si="1167"/>
        <v>0</v>
      </c>
      <c r="G396" s="224"/>
      <c r="H396" s="224"/>
      <c r="I396" s="52"/>
      <c r="J396" s="52"/>
      <c r="K396" s="130"/>
      <c r="L396" s="206">
        <f t="shared" si="988"/>
        <v>0</v>
      </c>
      <c r="M396" s="206" t="b">
        <f t="shared" si="989"/>
        <v>0</v>
      </c>
      <c r="N396" s="207" t="b">
        <f t="shared" si="990"/>
        <v>0</v>
      </c>
      <c r="O396" s="209"/>
      <c r="P396" s="208">
        <f t="shared" si="1171"/>
        <v>0</v>
      </c>
      <c r="Q396" s="53" t="b">
        <f t="shared" si="992"/>
        <v>0</v>
      </c>
      <c r="R396" s="53" t="b">
        <f t="shared" si="993"/>
        <v>0</v>
      </c>
      <c r="S396" s="241" t="s">
        <v>197</v>
      </c>
      <c r="T396" s="127" t="b">
        <f>IF($N396,IF($F396&gt;$P396,ROUND(($Q396-($F395/12)),2),IF($S396="YES",$N396,$N396-MinDrop)))</f>
        <v>0</v>
      </c>
      <c r="U396" s="210"/>
      <c r="V396" s="54"/>
      <c r="W396" s="54"/>
      <c r="X396" s="54"/>
      <c r="Y396" s="117"/>
      <c r="Z396" s="54"/>
      <c r="AA396" s="54"/>
      <c r="AB396" s="54"/>
      <c r="AC396" s="211"/>
    </row>
    <row r="397" spans="1:29" x14ac:dyDescent="0.3">
      <c r="A397" s="121"/>
      <c r="B397" s="204" t="b">
        <f>IF(Pipes!$B397,Pipes!$B397)</f>
        <v>0</v>
      </c>
      <c r="C397" s="205"/>
      <c r="D397" s="224"/>
      <c r="E397" s="224"/>
      <c r="F397" s="224">
        <f t="shared" si="1167"/>
        <v>0</v>
      </c>
      <c r="G397" s="224"/>
      <c r="H397" s="224"/>
      <c r="I397" s="52"/>
      <c r="J397" s="52"/>
      <c r="K397" s="130"/>
      <c r="L397" s="206">
        <f t="shared" si="988"/>
        <v>0</v>
      </c>
      <c r="M397" s="206" t="b">
        <f t="shared" si="989"/>
        <v>0</v>
      </c>
      <c r="N397" s="207" t="b">
        <f t="shared" si="990"/>
        <v>0</v>
      </c>
      <c r="O397" s="209"/>
      <c r="P397" s="208">
        <f t="shared" si="1171"/>
        <v>0</v>
      </c>
      <c r="Q397" s="53" t="b">
        <f t="shared" si="992"/>
        <v>0</v>
      </c>
      <c r="R397" s="53" t="b">
        <f t="shared" si="993"/>
        <v>0</v>
      </c>
      <c r="S397" s="241" t="s">
        <v>197</v>
      </c>
      <c r="T397" s="127" t="b">
        <f>IF($N397,IF($F397&gt;$P397,ROUND(($Q397-($F396/12)),2),IF($S397="YES",$N397,$N397-MinDrop)))</f>
        <v>0</v>
      </c>
      <c r="U397" s="210"/>
      <c r="V397" s="54"/>
      <c r="W397" s="54"/>
      <c r="X397" s="54"/>
      <c r="Y397" s="117"/>
      <c r="Z397" s="54"/>
      <c r="AA397" s="54"/>
      <c r="AB397" s="54"/>
      <c r="AC397" s="211"/>
    </row>
    <row r="398" spans="1:29" ht="15" thickBot="1" x14ac:dyDescent="0.35">
      <c r="A398" s="122"/>
      <c r="B398" s="204" t="b">
        <f>IF(Pipes!$B398,Pipes!$B398)</f>
        <v>0</v>
      </c>
      <c r="C398" s="212"/>
      <c r="D398" s="104"/>
      <c r="E398" s="104"/>
      <c r="F398" s="104">
        <f t="shared" si="1167"/>
        <v>0</v>
      </c>
      <c r="G398" s="104"/>
      <c r="H398" s="104"/>
      <c r="I398" s="101"/>
      <c r="J398" s="101"/>
      <c r="K398" s="131"/>
      <c r="L398" s="213">
        <f t="shared" si="988"/>
        <v>0</v>
      </c>
      <c r="M398" s="213" t="b">
        <f t="shared" si="989"/>
        <v>0</v>
      </c>
      <c r="N398" s="214" t="b">
        <f t="shared" si="990"/>
        <v>0</v>
      </c>
      <c r="O398" s="216"/>
      <c r="P398" s="215">
        <f t="shared" si="1171"/>
        <v>0</v>
      </c>
      <c r="Q398" s="103" t="b">
        <f t="shared" si="992"/>
        <v>0</v>
      </c>
      <c r="R398" s="53" t="b">
        <f t="shared" si="993"/>
        <v>0</v>
      </c>
      <c r="S398" s="241" t="s">
        <v>197</v>
      </c>
      <c r="T398" s="127" t="b">
        <f>IF($N398,IF($F398&gt;$P398,ROUND(($Q398-($F397/12)),2),IF($S398="YES",$N398,$N398-MinDrop)))</f>
        <v>0</v>
      </c>
      <c r="U398" s="217"/>
      <c r="V398" s="102"/>
      <c r="W398" s="102"/>
      <c r="X398" s="102"/>
      <c r="Y398" s="118"/>
      <c r="Z398" s="102"/>
      <c r="AA398" s="102"/>
      <c r="AB398" s="102"/>
      <c r="AC398" s="218"/>
    </row>
    <row r="399" spans="1:29" x14ac:dyDescent="0.3">
      <c r="A399" s="115">
        <f t="shared" ref="A399" si="1174">$A394+1</f>
        <v>80</v>
      </c>
      <c r="B399" s="186"/>
      <c r="C399" s="201">
        <f>IF(Pipes!$Q399&gt;0,IF(Pipes!$R399&gt;MinDiameter,Pipes!$R399,MinDiameter),0)</f>
        <v>0</v>
      </c>
      <c r="D399" s="187" t="s">
        <v>197</v>
      </c>
      <c r="E399" s="187"/>
      <c r="F399" s="107">
        <f>Pipes!$S399</f>
        <v>0</v>
      </c>
      <c r="G399" s="108">
        <f>Pipes!$W399</f>
        <v>0</v>
      </c>
      <c r="H399" s="187" t="s">
        <v>197</v>
      </c>
      <c r="I399" s="188"/>
      <c r="J399" s="108">
        <f>Pipes!$X399</f>
        <v>0</v>
      </c>
      <c r="K399" s="193">
        <f>INDEX(Tribs!$H$3:$H$102,MATCH($A399,Tribs!$A$3:$A$102,0))</f>
        <v>0</v>
      </c>
      <c r="L399" s="105">
        <f>INDEX(Tribs!$I$3:$I$102,MATCH($A399,Tribs!$A$3:$A$102,0))</f>
        <v>0</v>
      </c>
      <c r="M399" s="105" t="b">
        <f>IF($L399,ROUND($L399-MinCover-($F399/12),2))</f>
        <v>0</v>
      </c>
      <c r="N399" s="202"/>
      <c r="O399" s="129">
        <f t="shared" ref="O399" si="1175">MIN($N400:$N403)</f>
        <v>0</v>
      </c>
      <c r="P399" s="203"/>
      <c r="Q399" s="203"/>
      <c r="R399" s="203"/>
      <c r="S399" s="110"/>
      <c r="T399" s="116" t="b">
        <f t="shared" ref="T399" si="1176">IF($M399,$M399)</f>
        <v>0</v>
      </c>
      <c r="U399" s="129">
        <f t="shared" ref="U399" si="1177">MIN($T399:$T403)</f>
        <v>0</v>
      </c>
      <c r="V399" s="233" t="s">
        <v>197</v>
      </c>
      <c r="W399" s="219"/>
      <c r="X399" s="219" t="s">
        <v>197</v>
      </c>
      <c r="Y399" s="239"/>
      <c r="Z399" s="105">
        <f t="shared" ref="Z399" si="1178">IF($V399="YES",$U399,IF($X399&lt;&gt;"YES",$W399,($AC399+$J399*$K399)))</f>
        <v>0</v>
      </c>
      <c r="AA399" s="105">
        <f t="shared" ref="AA399" si="1179">ROUND($Z399+($F399/12),2)</f>
        <v>0</v>
      </c>
      <c r="AB399" s="105" t="b">
        <f t="shared" ref="AB399" si="1180">IF($L399,($L399-$AA399))</f>
        <v>0</v>
      </c>
      <c r="AC399" s="111">
        <f t="shared" ref="AC399" si="1181">IF(AND($V399&lt;&gt;"YES",$X399="YES"),$Y399,ROUND($Z399-($J399*$K399),2))</f>
        <v>0</v>
      </c>
    </row>
    <row r="400" spans="1:29" x14ac:dyDescent="0.3">
      <c r="A400" s="121"/>
      <c r="B400" s="204" t="b">
        <f>IF(Pipes!$B400,Pipes!$B400)</f>
        <v>0</v>
      </c>
      <c r="C400" s="205"/>
      <c r="D400" s="224"/>
      <c r="E400" s="224"/>
      <c r="F400" s="224">
        <f t="shared" ref="F400:F403" si="1182">F399</f>
        <v>0</v>
      </c>
      <c r="G400" s="224"/>
      <c r="H400" s="224"/>
      <c r="I400" s="52"/>
      <c r="J400" s="52"/>
      <c r="K400" s="130"/>
      <c r="L400" s="206">
        <f t="shared" ref="L400:L463" si="1183">$L399</f>
        <v>0</v>
      </c>
      <c r="M400" s="206" t="b">
        <f t="shared" ref="M400:M463" si="1184">M399</f>
        <v>0</v>
      </c>
      <c r="N400" s="240" t="b">
        <f t="shared" ref="N400:N463" si="1185">IF($B400,INDEX($AC$4:$AC$499,MATCH($B400,$A$4:$A$499)))</f>
        <v>0</v>
      </c>
      <c r="O400" s="209"/>
      <c r="P400" s="208">
        <f t="shared" ref="P400:P403" si="1186">IF($B400,INDEX($F$4:$F$499,MATCH($B400,$A$4:$A$499)),0)</f>
        <v>0</v>
      </c>
      <c r="Q400" s="242" t="b">
        <f t="shared" ref="Q400:Q463" si="1187">IF($N400,ROUND(($N400+($P400/12)),2))</f>
        <v>0</v>
      </c>
      <c r="R400" s="53" t="b">
        <f t="shared" ref="R400:R463" si="1188">IF(AND($L400,$Q400),$L400-$Q400)</f>
        <v>0</v>
      </c>
      <c r="S400" s="241" t="s">
        <v>197</v>
      </c>
      <c r="T400" s="127" t="b">
        <f>IF($N400,IF($F400&gt;$P400,ROUND(($Q400-($F399/12)),2),IF($S400="YES",$N400,$N400-MinDrop)))</f>
        <v>0</v>
      </c>
      <c r="U400" s="243"/>
      <c r="V400" s="245"/>
      <c r="W400" s="245"/>
      <c r="X400" s="54"/>
      <c r="Y400" s="117"/>
      <c r="Z400" s="54"/>
      <c r="AA400" s="54"/>
      <c r="AB400" s="54"/>
      <c r="AC400" s="211"/>
    </row>
    <row r="401" spans="1:29" x14ac:dyDescent="0.3">
      <c r="A401" s="121"/>
      <c r="B401" s="204" t="b">
        <f>IF(Pipes!$B401,Pipes!$B401)</f>
        <v>0</v>
      </c>
      <c r="C401" s="205"/>
      <c r="D401" s="224"/>
      <c r="E401" s="224"/>
      <c r="F401" s="224">
        <f t="shared" si="1182"/>
        <v>0</v>
      </c>
      <c r="G401" s="224"/>
      <c r="H401" s="224"/>
      <c r="I401" s="52"/>
      <c r="J401" s="52"/>
      <c r="K401" s="130"/>
      <c r="L401" s="206">
        <f t="shared" si="1183"/>
        <v>0</v>
      </c>
      <c r="M401" s="206" t="b">
        <f t="shared" si="1184"/>
        <v>0</v>
      </c>
      <c r="N401" s="207" t="b">
        <f t="shared" si="1185"/>
        <v>0</v>
      </c>
      <c r="O401" s="209"/>
      <c r="P401" s="208">
        <f t="shared" si="1186"/>
        <v>0</v>
      </c>
      <c r="Q401" s="53" t="b">
        <f t="shared" si="1187"/>
        <v>0</v>
      </c>
      <c r="R401" s="53" t="b">
        <f t="shared" si="1188"/>
        <v>0</v>
      </c>
      <c r="S401" s="241" t="s">
        <v>197</v>
      </c>
      <c r="T401" s="127" t="b">
        <f>IF($N401,IF($F401&gt;$P401,ROUND(($Q401-($F400/12)),2),IF($S401="YES",$N401,$N401-MinDrop)))</f>
        <v>0</v>
      </c>
      <c r="U401" s="210"/>
      <c r="V401" s="54"/>
      <c r="W401" s="54"/>
      <c r="X401" s="54"/>
      <c r="Y401" s="117"/>
      <c r="Z401" s="54"/>
      <c r="AA401" s="54"/>
      <c r="AB401" s="54"/>
      <c r="AC401" s="211"/>
    </row>
    <row r="402" spans="1:29" x14ac:dyDescent="0.3">
      <c r="A402" s="121"/>
      <c r="B402" s="204" t="b">
        <f>IF(Pipes!$B402,Pipes!$B402)</f>
        <v>0</v>
      </c>
      <c r="C402" s="205"/>
      <c r="D402" s="224"/>
      <c r="E402" s="224"/>
      <c r="F402" s="224">
        <f t="shared" si="1182"/>
        <v>0</v>
      </c>
      <c r="G402" s="224"/>
      <c r="H402" s="224"/>
      <c r="I402" s="52"/>
      <c r="J402" s="52"/>
      <c r="K402" s="130"/>
      <c r="L402" s="206">
        <f t="shared" si="1183"/>
        <v>0</v>
      </c>
      <c r="M402" s="206" t="b">
        <f t="shared" si="1184"/>
        <v>0</v>
      </c>
      <c r="N402" s="207" t="b">
        <f t="shared" si="1185"/>
        <v>0</v>
      </c>
      <c r="O402" s="209"/>
      <c r="P402" s="208">
        <f t="shared" si="1186"/>
        <v>0</v>
      </c>
      <c r="Q402" s="53" t="b">
        <f t="shared" si="1187"/>
        <v>0</v>
      </c>
      <c r="R402" s="53" t="b">
        <f t="shared" si="1188"/>
        <v>0</v>
      </c>
      <c r="S402" s="241" t="s">
        <v>197</v>
      </c>
      <c r="T402" s="127" t="b">
        <f>IF($N402,IF($F402&gt;$P402,ROUND(($Q402-($F401/12)),2),IF($S402="YES",$N402,$N402-MinDrop)))</f>
        <v>0</v>
      </c>
      <c r="U402" s="210"/>
      <c r="V402" s="54"/>
      <c r="W402" s="54"/>
      <c r="X402" s="54"/>
      <c r="Y402" s="117"/>
      <c r="Z402" s="54"/>
      <c r="AA402" s="54"/>
      <c r="AB402" s="54"/>
      <c r="AC402" s="211"/>
    </row>
    <row r="403" spans="1:29" ht="15" thickBot="1" x14ac:dyDescent="0.35">
      <c r="A403" s="122"/>
      <c r="B403" s="204" t="b">
        <f>IF(Pipes!$B403,Pipes!$B403)</f>
        <v>0</v>
      </c>
      <c r="C403" s="212"/>
      <c r="D403" s="104"/>
      <c r="E403" s="104"/>
      <c r="F403" s="104">
        <f t="shared" si="1182"/>
        <v>0</v>
      </c>
      <c r="G403" s="104"/>
      <c r="H403" s="104"/>
      <c r="I403" s="101"/>
      <c r="J403" s="101"/>
      <c r="K403" s="131"/>
      <c r="L403" s="213">
        <f t="shared" si="1183"/>
        <v>0</v>
      </c>
      <c r="M403" s="213" t="b">
        <f t="shared" si="1184"/>
        <v>0</v>
      </c>
      <c r="N403" s="214" t="b">
        <f t="shared" si="1185"/>
        <v>0</v>
      </c>
      <c r="O403" s="216"/>
      <c r="P403" s="215">
        <f t="shared" si="1186"/>
        <v>0</v>
      </c>
      <c r="Q403" s="103" t="b">
        <f t="shared" si="1187"/>
        <v>0</v>
      </c>
      <c r="R403" s="53" t="b">
        <f t="shared" si="1188"/>
        <v>0</v>
      </c>
      <c r="S403" s="241" t="s">
        <v>197</v>
      </c>
      <c r="T403" s="127" t="b">
        <f>IF($N403,IF($F403&gt;$P403,ROUND(($Q403-($F402/12)),2),IF($S403="YES",$N403,$N403-MinDrop)))</f>
        <v>0</v>
      </c>
      <c r="U403" s="217"/>
      <c r="V403" s="102"/>
      <c r="W403" s="102"/>
      <c r="X403" s="102"/>
      <c r="Y403" s="118"/>
      <c r="Z403" s="102"/>
      <c r="AA403" s="102"/>
      <c r="AB403" s="102"/>
      <c r="AC403" s="218"/>
    </row>
    <row r="404" spans="1:29" x14ac:dyDescent="0.3">
      <c r="A404" s="115">
        <f t="shared" ref="A404" si="1189">$A399+1</f>
        <v>81</v>
      </c>
      <c r="B404" s="186"/>
      <c r="C404" s="201">
        <f>IF(Pipes!$Q404&gt;0,IF(Pipes!$R404&gt;MinDiameter,Pipes!$R404,MinDiameter),0)</f>
        <v>0</v>
      </c>
      <c r="D404" s="187" t="s">
        <v>197</v>
      </c>
      <c r="E404" s="187"/>
      <c r="F404" s="107">
        <f>Pipes!$S404</f>
        <v>0</v>
      </c>
      <c r="G404" s="108">
        <f>Pipes!$W404</f>
        <v>0</v>
      </c>
      <c r="H404" s="187" t="s">
        <v>197</v>
      </c>
      <c r="I404" s="188"/>
      <c r="J404" s="108">
        <f>Pipes!$X404</f>
        <v>0</v>
      </c>
      <c r="K404" s="193">
        <f>INDEX(Tribs!$H$3:$H$102,MATCH($A404,Tribs!$A$3:$A$102,0))</f>
        <v>0</v>
      </c>
      <c r="L404" s="105">
        <f>INDEX(Tribs!$I$3:$I$102,MATCH($A404,Tribs!$A$3:$A$102,0))</f>
        <v>0</v>
      </c>
      <c r="M404" s="105" t="b">
        <f>IF($L404,ROUND($L404-MinCover-($F404/12),2))</f>
        <v>0</v>
      </c>
      <c r="N404" s="202"/>
      <c r="O404" s="129">
        <f t="shared" ref="O404" si="1190">MIN($N405:$N408)</f>
        <v>0</v>
      </c>
      <c r="P404" s="203"/>
      <c r="Q404" s="203"/>
      <c r="R404" s="203"/>
      <c r="S404" s="110"/>
      <c r="T404" s="116" t="b">
        <f t="shared" ref="T404" si="1191">IF($M404,$M404)</f>
        <v>0</v>
      </c>
      <c r="U404" s="129">
        <f t="shared" ref="U404" si="1192">MIN($T404:$T408)</f>
        <v>0</v>
      </c>
      <c r="V404" s="233" t="s">
        <v>197</v>
      </c>
      <c r="W404" s="219"/>
      <c r="X404" s="219" t="s">
        <v>197</v>
      </c>
      <c r="Y404" s="239"/>
      <c r="Z404" s="105">
        <f t="shared" ref="Z404" si="1193">IF($V404="YES",$U404,IF($X404&lt;&gt;"YES",$W404,($AC404+$J404*$K404)))</f>
        <v>0</v>
      </c>
      <c r="AA404" s="105">
        <f t="shared" ref="AA404" si="1194">ROUND($Z404+($F404/12),2)</f>
        <v>0</v>
      </c>
      <c r="AB404" s="105" t="b">
        <f t="shared" ref="AB404" si="1195">IF($L404,($L404-$AA404))</f>
        <v>0</v>
      </c>
      <c r="AC404" s="111">
        <f t="shared" ref="AC404" si="1196">IF(AND($V404&lt;&gt;"YES",$X404="YES"),$Y404,ROUND($Z404-($J404*$K404),2))</f>
        <v>0</v>
      </c>
    </row>
    <row r="405" spans="1:29" x14ac:dyDescent="0.3">
      <c r="A405" s="121"/>
      <c r="B405" s="204" t="b">
        <f>IF(Pipes!$B405,Pipes!$B405)</f>
        <v>0</v>
      </c>
      <c r="C405" s="205"/>
      <c r="D405" s="224"/>
      <c r="E405" s="224"/>
      <c r="F405" s="224">
        <f t="shared" ref="F405:F408" si="1197">F404</f>
        <v>0</v>
      </c>
      <c r="G405" s="224"/>
      <c r="H405" s="224"/>
      <c r="I405" s="52"/>
      <c r="J405" s="52"/>
      <c r="K405" s="130"/>
      <c r="L405" s="206">
        <f t="shared" ref="L405" si="1198">$L404</f>
        <v>0</v>
      </c>
      <c r="M405" s="206" t="b">
        <f t="shared" ref="M405" si="1199">M404</f>
        <v>0</v>
      </c>
      <c r="N405" s="240" t="b">
        <f t="shared" ref="N405" si="1200">IF($B405,INDEX($AC$4:$AC$499,MATCH($B405,$A$4:$A$499)))</f>
        <v>0</v>
      </c>
      <c r="O405" s="209"/>
      <c r="P405" s="208">
        <f t="shared" ref="P405:P408" si="1201">IF($B405,INDEX($F$4:$F$499,MATCH($B405,$A$4:$A$499)),0)</f>
        <v>0</v>
      </c>
      <c r="Q405" s="242" t="b">
        <f t="shared" ref="Q405" si="1202">IF($N405,ROUND(($N405+($P405/12)),2))</f>
        <v>0</v>
      </c>
      <c r="R405" s="53" t="b">
        <f t="shared" ref="R405" si="1203">IF(AND($L405,$Q405),$L405-$Q405)</f>
        <v>0</v>
      </c>
      <c r="S405" s="241" t="s">
        <v>197</v>
      </c>
      <c r="T405" s="127" t="b">
        <f>IF($N405,IF($F405&gt;$P405,ROUND(($Q405-($F404/12)),2),IF($S405="YES",$N405,$N405-MinDrop)))</f>
        <v>0</v>
      </c>
      <c r="U405" s="243"/>
      <c r="V405" s="245"/>
      <c r="W405" s="245"/>
      <c r="X405" s="54"/>
      <c r="Y405" s="117"/>
      <c r="Z405" s="54"/>
      <c r="AA405" s="54"/>
      <c r="AB405" s="54"/>
      <c r="AC405" s="211"/>
    </row>
    <row r="406" spans="1:29" x14ac:dyDescent="0.3">
      <c r="A406" s="121"/>
      <c r="B406" s="204" t="b">
        <f>IF(Pipes!$B406,Pipes!$B406)</f>
        <v>0</v>
      </c>
      <c r="C406" s="205"/>
      <c r="D406" s="224"/>
      <c r="E406" s="224"/>
      <c r="F406" s="224">
        <f t="shared" si="1197"/>
        <v>0</v>
      </c>
      <c r="G406" s="224"/>
      <c r="H406" s="224"/>
      <c r="I406" s="52"/>
      <c r="J406" s="52"/>
      <c r="K406" s="130"/>
      <c r="L406" s="206">
        <f t="shared" si="1183"/>
        <v>0</v>
      </c>
      <c r="M406" s="206" t="b">
        <f t="shared" si="1184"/>
        <v>0</v>
      </c>
      <c r="N406" s="207" t="b">
        <f t="shared" si="1185"/>
        <v>0</v>
      </c>
      <c r="O406" s="209"/>
      <c r="P406" s="208">
        <f t="shared" si="1201"/>
        <v>0</v>
      </c>
      <c r="Q406" s="53" t="b">
        <f t="shared" si="1187"/>
        <v>0</v>
      </c>
      <c r="R406" s="53" t="b">
        <f t="shared" si="1188"/>
        <v>0</v>
      </c>
      <c r="S406" s="241" t="s">
        <v>197</v>
      </c>
      <c r="T406" s="127" t="b">
        <f>IF($N406,IF($F406&gt;$P406,ROUND(($Q406-($F405/12)),2),IF($S406="YES",$N406,$N406-MinDrop)))</f>
        <v>0</v>
      </c>
      <c r="U406" s="210"/>
      <c r="V406" s="54"/>
      <c r="W406" s="54"/>
      <c r="X406" s="54"/>
      <c r="Y406" s="117"/>
      <c r="Z406" s="54"/>
      <c r="AA406" s="54"/>
      <c r="AB406" s="54"/>
      <c r="AC406" s="211"/>
    </row>
    <row r="407" spans="1:29" x14ac:dyDescent="0.3">
      <c r="A407" s="121"/>
      <c r="B407" s="204" t="b">
        <f>IF(Pipes!$B407,Pipes!$B407)</f>
        <v>0</v>
      </c>
      <c r="C407" s="205"/>
      <c r="D407" s="224"/>
      <c r="E407" s="224"/>
      <c r="F407" s="224">
        <f t="shared" si="1197"/>
        <v>0</v>
      </c>
      <c r="G407" s="224"/>
      <c r="H407" s="224"/>
      <c r="I407" s="52"/>
      <c r="J407" s="52"/>
      <c r="K407" s="130"/>
      <c r="L407" s="206">
        <f t="shared" si="1183"/>
        <v>0</v>
      </c>
      <c r="M407" s="206" t="b">
        <f t="shared" si="1184"/>
        <v>0</v>
      </c>
      <c r="N407" s="207" t="b">
        <f t="shared" si="1185"/>
        <v>0</v>
      </c>
      <c r="O407" s="209"/>
      <c r="P407" s="208">
        <f t="shared" si="1201"/>
        <v>0</v>
      </c>
      <c r="Q407" s="53" t="b">
        <f t="shared" si="1187"/>
        <v>0</v>
      </c>
      <c r="R407" s="53" t="b">
        <f t="shared" si="1188"/>
        <v>0</v>
      </c>
      <c r="S407" s="241" t="s">
        <v>197</v>
      </c>
      <c r="T407" s="127" t="b">
        <f>IF($N407,IF($F407&gt;$P407,ROUND(($Q407-($F406/12)),2),IF($S407="YES",$N407,$N407-MinDrop)))</f>
        <v>0</v>
      </c>
      <c r="U407" s="210"/>
      <c r="V407" s="54"/>
      <c r="W407" s="54"/>
      <c r="X407" s="54"/>
      <c r="Y407" s="117"/>
      <c r="Z407" s="54"/>
      <c r="AA407" s="54"/>
      <c r="AB407" s="54"/>
      <c r="AC407" s="211"/>
    </row>
    <row r="408" spans="1:29" ht="15" thickBot="1" x14ac:dyDescent="0.35">
      <c r="A408" s="122"/>
      <c r="B408" s="204" t="b">
        <f>IF(Pipes!$B408,Pipes!$B408)</f>
        <v>0</v>
      </c>
      <c r="C408" s="212"/>
      <c r="D408" s="104"/>
      <c r="E408" s="104"/>
      <c r="F408" s="104">
        <f t="shared" si="1197"/>
        <v>0</v>
      </c>
      <c r="G408" s="104"/>
      <c r="H408" s="104"/>
      <c r="I408" s="101"/>
      <c r="J408" s="101"/>
      <c r="K408" s="131"/>
      <c r="L408" s="213">
        <f t="shared" si="1183"/>
        <v>0</v>
      </c>
      <c r="M408" s="213" t="b">
        <f t="shared" si="1184"/>
        <v>0</v>
      </c>
      <c r="N408" s="214" t="b">
        <f t="shared" si="1185"/>
        <v>0</v>
      </c>
      <c r="O408" s="216"/>
      <c r="P408" s="215">
        <f t="shared" si="1201"/>
        <v>0</v>
      </c>
      <c r="Q408" s="103" t="b">
        <f t="shared" si="1187"/>
        <v>0</v>
      </c>
      <c r="R408" s="53" t="b">
        <f t="shared" si="1188"/>
        <v>0</v>
      </c>
      <c r="S408" s="241" t="s">
        <v>197</v>
      </c>
      <c r="T408" s="127" t="b">
        <f>IF($N408,IF($F408&gt;$P408,ROUND(($Q408-($F407/12)),2),IF($S408="YES",$N408,$N408-MinDrop)))</f>
        <v>0</v>
      </c>
      <c r="U408" s="217"/>
      <c r="V408" s="102"/>
      <c r="W408" s="102"/>
      <c r="X408" s="102"/>
      <c r="Y408" s="118"/>
      <c r="Z408" s="102"/>
      <c r="AA408" s="102"/>
      <c r="AB408" s="102"/>
      <c r="AC408" s="218"/>
    </row>
    <row r="409" spans="1:29" x14ac:dyDescent="0.3">
      <c r="A409" s="115">
        <f t="shared" ref="A409" si="1204">$A404+1</f>
        <v>82</v>
      </c>
      <c r="B409" s="186"/>
      <c r="C409" s="201">
        <f>IF(Pipes!$Q409&gt;0,IF(Pipes!$R409&gt;MinDiameter,Pipes!$R409,MinDiameter),0)</f>
        <v>0</v>
      </c>
      <c r="D409" s="187" t="s">
        <v>197</v>
      </c>
      <c r="E409" s="187"/>
      <c r="F409" s="107">
        <f>Pipes!$S409</f>
        <v>0</v>
      </c>
      <c r="G409" s="108">
        <f>Pipes!$W409</f>
        <v>0</v>
      </c>
      <c r="H409" s="187" t="s">
        <v>197</v>
      </c>
      <c r="I409" s="188"/>
      <c r="J409" s="108">
        <f>Pipes!$X409</f>
        <v>0</v>
      </c>
      <c r="K409" s="193">
        <f>INDEX(Tribs!$H$3:$H$102,MATCH($A409,Tribs!$A$3:$A$102,0))</f>
        <v>0</v>
      </c>
      <c r="L409" s="105">
        <f>INDEX(Tribs!$I$3:$I$102,MATCH($A409,Tribs!$A$3:$A$102,0))</f>
        <v>0</v>
      </c>
      <c r="M409" s="105" t="b">
        <f>IF($L409,ROUND($L409-MinCover-($F409/12),2))</f>
        <v>0</v>
      </c>
      <c r="N409" s="202"/>
      <c r="O409" s="129">
        <f t="shared" ref="O409" si="1205">MIN($N410:$N413)</f>
        <v>0</v>
      </c>
      <c r="P409" s="203"/>
      <c r="Q409" s="203"/>
      <c r="R409" s="203"/>
      <c r="S409" s="110"/>
      <c r="T409" s="116" t="b">
        <f t="shared" ref="T409" si="1206">IF($M409,$M409)</f>
        <v>0</v>
      </c>
      <c r="U409" s="129">
        <f t="shared" ref="U409" si="1207">MIN($T409:$T413)</f>
        <v>0</v>
      </c>
      <c r="V409" s="233" t="s">
        <v>197</v>
      </c>
      <c r="W409" s="219"/>
      <c r="X409" s="219" t="s">
        <v>197</v>
      </c>
      <c r="Y409" s="239"/>
      <c r="Z409" s="105">
        <f t="shared" ref="Z409" si="1208">IF($V409="YES",$U409,IF($X409&lt;&gt;"YES",$W409,($AC409+$J409*$K409)))</f>
        <v>0</v>
      </c>
      <c r="AA409" s="105">
        <f t="shared" ref="AA409" si="1209">ROUND($Z409+($F409/12),2)</f>
        <v>0</v>
      </c>
      <c r="AB409" s="105" t="b">
        <f t="shared" ref="AB409" si="1210">IF($L409,($L409-$AA409))</f>
        <v>0</v>
      </c>
      <c r="AC409" s="111">
        <f t="shared" ref="AC409" si="1211">IF(AND($V409&lt;&gt;"YES",$X409="YES"),$Y409,ROUND($Z409-($J409*$K409),2))</f>
        <v>0</v>
      </c>
    </row>
    <row r="410" spans="1:29" x14ac:dyDescent="0.3">
      <c r="A410" s="121"/>
      <c r="B410" s="204" t="b">
        <f>IF(Pipes!$B410,Pipes!$B410)</f>
        <v>0</v>
      </c>
      <c r="C410" s="205"/>
      <c r="D410" s="224"/>
      <c r="E410" s="224"/>
      <c r="F410" s="224">
        <f t="shared" ref="F410:F413" si="1212">F409</f>
        <v>0</v>
      </c>
      <c r="G410" s="224"/>
      <c r="H410" s="224"/>
      <c r="I410" s="52"/>
      <c r="J410" s="52"/>
      <c r="K410" s="130"/>
      <c r="L410" s="206">
        <f t="shared" ref="L410" si="1213">$L409</f>
        <v>0</v>
      </c>
      <c r="M410" s="206" t="b">
        <f t="shared" ref="M410" si="1214">M409</f>
        <v>0</v>
      </c>
      <c r="N410" s="240" t="b">
        <f t="shared" ref="N410" si="1215">IF($B410,INDEX($AC$4:$AC$499,MATCH($B410,$A$4:$A$499)))</f>
        <v>0</v>
      </c>
      <c r="O410" s="209"/>
      <c r="P410" s="208">
        <f t="shared" ref="P410:P413" si="1216">IF($B410,INDEX($F$4:$F$499,MATCH($B410,$A$4:$A$499)),0)</f>
        <v>0</v>
      </c>
      <c r="Q410" s="242" t="b">
        <f t="shared" ref="Q410" si="1217">IF($N410,ROUND(($N410+($P410/12)),2))</f>
        <v>0</v>
      </c>
      <c r="R410" s="53" t="b">
        <f t="shared" ref="R410" si="1218">IF(AND($L410,$Q410),$L410-$Q410)</f>
        <v>0</v>
      </c>
      <c r="S410" s="241" t="s">
        <v>197</v>
      </c>
      <c r="T410" s="127" t="b">
        <f>IF($N410,IF($F410&gt;$P410,ROUND(($Q410-($F409/12)),2),IF($S410="YES",$N410,$N410-MinDrop)))</f>
        <v>0</v>
      </c>
      <c r="U410" s="243"/>
      <c r="V410" s="245"/>
      <c r="W410" s="245"/>
      <c r="X410" s="54"/>
      <c r="Y410" s="117"/>
      <c r="Z410" s="54"/>
      <c r="AA410" s="54"/>
      <c r="AB410" s="54"/>
      <c r="AC410" s="211"/>
    </row>
    <row r="411" spans="1:29" x14ac:dyDescent="0.3">
      <c r="A411" s="121"/>
      <c r="B411" s="204" t="b">
        <f>IF(Pipes!$B411,Pipes!$B411)</f>
        <v>0</v>
      </c>
      <c r="C411" s="205"/>
      <c r="D411" s="224"/>
      <c r="E411" s="224"/>
      <c r="F411" s="224">
        <f t="shared" si="1212"/>
        <v>0</v>
      </c>
      <c r="G411" s="224"/>
      <c r="H411" s="224"/>
      <c r="I411" s="52"/>
      <c r="J411" s="52"/>
      <c r="K411" s="130"/>
      <c r="L411" s="206">
        <f t="shared" si="1183"/>
        <v>0</v>
      </c>
      <c r="M411" s="206" t="b">
        <f t="shared" si="1184"/>
        <v>0</v>
      </c>
      <c r="N411" s="207" t="b">
        <f t="shared" si="1185"/>
        <v>0</v>
      </c>
      <c r="O411" s="209"/>
      <c r="P411" s="208">
        <f t="shared" si="1216"/>
        <v>0</v>
      </c>
      <c r="Q411" s="53" t="b">
        <f t="shared" si="1187"/>
        <v>0</v>
      </c>
      <c r="R411" s="53" t="b">
        <f t="shared" si="1188"/>
        <v>0</v>
      </c>
      <c r="S411" s="241" t="s">
        <v>197</v>
      </c>
      <c r="T411" s="127" t="b">
        <f>IF($N411,IF($F411&gt;$P411,ROUND(($Q411-($F410/12)),2),IF($S411="YES",$N411,$N411-MinDrop)))</f>
        <v>0</v>
      </c>
      <c r="U411" s="210"/>
      <c r="V411" s="54"/>
      <c r="W411" s="54"/>
      <c r="X411" s="54"/>
      <c r="Y411" s="117"/>
      <c r="Z411" s="54"/>
      <c r="AA411" s="54"/>
      <c r="AB411" s="54"/>
      <c r="AC411" s="211"/>
    </row>
    <row r="412" spans="1:29" x14ac:dyDescent="0.3">
      <c r="A412" s="121"/>
      <c r="B412" s="204" t="b">
        <f>IF(Pipes!$B412,Pipes!$B412)</f>
        <v>0</v>
      </c>
      <c r="C412" s="205"/>
      <c r="D412" s="224"/>
      <c r="E412" s="224"/>
      <c r="F412" s="224">
        <f t="shared" si="1212"/>
        <v>0</v>
      </c>
      <c r="G412" s="224"/>
      <c r="H412" s="224"/>
      <c r="I412" s="52"/>
      <c r="J412" s="52"/>
      <c r="K412" s="130"/>
      <c r="L412" s="206">
        <f t="shared" si="1183"/>
        <v>0</v>
      </c>
      <c r="M412" s="206" t="b">
        <f t="shared" si="1184"/>
        <v>0</v>
      </c>
      <c r="N412" s="207" t="b">
        <f t="shared" si="1185"/>
        <v>0</v>
      </c>
      <c r="O412" s="209"/>
      <c r="P412" s="208">
        <f t="shared" si="1216"/>
        <v>0</v>
      </c>
      <c r="Q412" s="53" t="b">
        <f t="shared" si="1187"/>
        <v>0</v>
      </c>
      <c r="R412" s="53" t="b">
        <f t="shared" si="1188"/>
        <v>0</v>
      </c>
      <c r="S412" s="241" t="s">
        <v>197</v>
      </c>
      <c r="T412" s="127" t="b">
        <f>IF($N412,IF($F412&gt;$P412,ROUND(($Q412-($F411/12)),2),IF($S412="YES",$N412,$N412-MinDrop)))</f>
        <v>0</v>
      </c>
      <c r="U412" s="210"/>
      <c r="V412" s="54"/>
      <c r="W412" s="54"/>
      <c r="X412" s="54"/>
      <c r="Y412" s="117"/>
      <c r="Z412" s="54"/>
      <c r="AA412" s="54"/>
      <c r="AB412" s="54"/>
      <c r="AC412" s="211"/>
    </row>
    <row r="413" spans="1:29" ht="15" thickBot="1" x14ac:dyDescent="0.35">
      <c r="A413" s="122"/>
      <c r="B413" s="204" t="b">
        <f>IF(Pipes!$B413,Pipes!$B413)</f>
        <v>0</v>
      </c>
      <c r="C413" s="212"/>
      <c r="D413" s="104"/>
      <c r="E413" s="104"/>
      <c r="F413" s="104">
        <f t="shared" si="1212"/>
        <v>0</v>
      </c>
      <c r="G413" s="104"/>
      <c r="H413" s="104"/>
      <c r="I413" s="101"/>
      <c r="J413" s="101"/>
      <c r="K413" s="131"/>
      <c r="L413" s="213">
        <f t="shared" si="1183"/>
        <v>0</v>
      </c>
      <c r="M413" s="213" t="b">
        <f t="shared" si="1184"/>
        <v>0</v>
      </c>
      <c r="N413" s="214" t="b">
        <f t="shared" si="1185"/>
        <v>0</v>
      </c>
      <c r="O413" s="216"/>
      <c r="P413" s="215">
        <f t="shared" si="1216"/>
        <v>0</v>
      </c>
      <c r="Q413" s="103" t="b">
        <f t="shared" si="1187"/>
        <v>0</v>
      </c>
      <c r="R413" s="53" t="b">
        <f t="shared" si="1188"/>
        <v>0</v>
      </c>
      <c r="S413" s="241" t="s">
        <v>197</v>
      </c>
      <c r="T413" s="127" t="b">
        <f>IF($N413,IF($F413&gt;$P413,ROUND(($Q413-($F412/12)),2),IF($S413="YES",$N413,$N413-MinDrop)))</f>
        <v>0</v>
      </c>
      <c r="U413" s="217"/>
      <c r="V413" s="102"/>
      <c r="W413" s="102"/>
      <c r="X413" s="102"/>
      <c r="Y413" s="118"/>
      <c r="Z413" s="102"/>
      <c r="AA413" s="102"/>
      <c r="AB413" s="102"/>
      <c r="AC413" s="218"/>
    </row>
    <row r="414" spans="1:29" x14ac:dyDescent="0.3">
      <c r="A414" s="115">
        <f t="shared" ref="A414" si="1219">$A409+1</f>
        <v>83</v>
      </c>
      <c r="B414" s="186"/>
      <c r="C414" s="201">
        <f>IF(Pipes!$Q414&gt;0,IF(Pipes!$R414&gt;MinDiameter,Pipes!$R414,MinDiameter),0)</f>
        <v>0</v>
      </c>
      <c r="D414" s="187" t="s">
        <v>197</v>
      </c>
      <c r="E414" s="187"/>
      <c r="F414" s="107">
        <f>Pipes!$S414</f>
        <v>0</v>
      </c>
      <c r="G414" s="108">
        <f>Pipes!$W414</f>
        <v>0</v>
      </c>
      <c r="H414" s="187" t="s">
        <v>197</v>
      </c>
      <c r="I414" s="188"/>
      <c r="J414" s="108">
        <f>Pipes!$X414</f>
        <v>0</v>
      </c>
      <c r="K414" s="193">
        <f>INDEX(Tribs!$H$3:$H$102,MATCH($A414,Tribs!$A$3:$A$102,0))</f>
        <v>0</v>
      </c>
      <c r="L414" s="105">
        <f>INDEX(Tribs!$I$3:$I$102,MATCH($A414,Tribs!$A$3:$A$102,0))</f>
        <v>0</v>
      </c>
      <c r="M414" s="105" t="b">
        <f>IF($L414,ROUND($L414-MinCover-($F414/12),2))</f>
        <v>0</v>
      </c>
      <c r="N414" s="202"/>
      <c r="O414" s="129">
        <f t="shared" ref="O414" si="1220">MIN($N415:$N418)</f>
        <v>0</v>
      </c>
      <c r="P414" s="203"/>
      <c r="Q414" s="203"/>
      <c r="R414" s="203"/>
      <c r="S414" s="110"/>
      <c r="T414" s="116" t="b">
        <f t="shared" ref="T414" si="1221">IF($M414,$M414)</f>
        <v>0</v>
      </c>
      <c r="U414" s="129">
        <f t="shared" ref="U414" si="1222">MIN($T414:$T418)</f>
        <v>0</v>
      </c>
      <c r="V414" s="233" t="s">
        <v>197</v>
      </c>
      <c r="W414" s="219"/>
      <c r="X414" s="219" t="s">
        <v>197</v>
      </c>
      <c r="Y414" s="239"/>
      <c r="Z414" s="105">
        <f t="shared" ref="Z414" si="1223">IF($V414="YES",$U414,IF($X414&lt;&gt;"YES",$W414,($AC414+$J414*$K414)))</f>
        <v>0</v>
      </c>
      <c r="AA414" s="105">
        <f t="shared" ref="AA414" si="1224">ROUND($Z414+($F414/12),2)</f>
        <v>0</v>
      </c>
      <c r="AB414" s="105" t="b">
        <f t="shared" ref="AB414" si="1225">IF($L414,($L414-$AA414))</f>
        <v>0</v>
      </c>
      <c r="AC414" s="111">
        <f t="shared" ref="AC414" si="1226">IF(AND($V414&lt;&gt;"YES",$X414="YES"),$Y414,ROUND($Z414-($J414*$K414),2))</f>
        <v>0</v>
      </c>
    </row>
    <row r="415" spans="1:29" x14ac:dyDescent="0.3">
      <c r="A415" s="121"/>
      <c r="B415" s="204" t="b">
        <f>IF(Pipes!$B415,Pipes!$B415)</f>
        <v>0</v>
      </c>
      <c r="C415" s="205"/>
      <c r="D415" s="224"/>
      <c r="E415" s="224"/>
      <c r="F415" s="224">
        <f t="shared" ref="F415:F418" si="1227">F414</f>
        <v>0</v>
      </c>
      <c r="G415" s="224"/>
      <c r="H415" s="224"/>
      <c r="I415" s="52"/>
      <c r="J415" s="52"/>
      <c r="K415" s="130"/>
      <c r="L415" s="206">
        <f t="shared" ref="L415" si="1228">$L414</f>
        <v>0</v>
      </c>
      <c r="M415" s="206" t="b">
        <f t="shared" ref="M415" si="1229">M414</f>
        <v>0</v>
      </c>
      <c r="N415" s="240" t="b">
        <f t="shared" ref="N415" si="1230">IF($B415,INDEX($AC$4:$AC$499,MATCH($B415,$A$4:$A$499)))</f>
        <v>0</v>
      </c>
      <c r="O415" s="209"/>
      <c r="P415" s="208">
        <f t="shared" ref="P415:P418" si="1231">IF($B415,INDEX($F$4:$F$499,MATCH($B415,$A$4:$A$499)),0)</f>
        <v>0</v>
      </c>
      <c r="Q415" s="242" t="b">
        <f t="shared" ref="Q415" si="1232">IF($N415,ROUND(($N415+($P415/12)),2))</f>
        <v>0</v>
      </c>
      <c r="R415" s="53" t="b">
        <f t="shared" ref="R415" si="1233">IF(AND($L415,$Q415),$L415-$Q415)</f>
        <v>0</v>
      </c>
      <c r="S415" s="241" t="s">
        <v>197</v>
      </c>
      <c r="T415" s="127" t="b">
        <f>IF($N415,IF($F415&gt;$P415,ROUND(($Q415-($F414/12)),2),IF($S415="YES",$N415,$N415-MinDrop)))</f>
        <v>0</v>
      </c>
      <c r="U415" s="243"/>
      <c r="V415" s="245"/>
      <c r="W415" s="245"/>
      <c r="X415" s="54"/>
      <c r="Y415" s="117"/>
      <c r="Z415" s="54"/>
      <c r="AA415" s="54"/>
      <c r="AB415" s="54"/>
      <c r="AC415" s="211"/>
    </row>
    <row r="416" spans="1:29" x14ac:dyDescent="0.3">
      <c r="A416" s="121"/>
      <c r="B416" s="204" t="b">
        <f>IF(Pipes!$B416,Pipes!$B416)</f>
        <v>0</v>
      </c>
      <c r="C416" s="205"/>
      <c r="D416" s="224"/>
      <c r="E416" s="224"/>
      <c r="F416" s="224">
        <f t="shared" si="1227"/>
        <v>0</v>
      </c>
      <c r="G416" s="224"/>
      <c r="H416" s="224"/>
      <c r="I416" s="52"/>
      <c r="J416" s="52"/>
      <c r="K416" s="130"/>
      <c r="L416" s="206">
        <f t="shared" si="1183"/>
        <v>0</v>
      </c>
      <c r="M416" s="206" t="b">
        <f t="shared" si="1184"/>
        <v>0</v>
      </c>
      <c r="N416" s="207" t="b">
        <f t="shared" si="1185"/>
        <v>0</v>
      </c>
      <c r="O416" s="209"/>
      <c r="P416" s="208">
        <f t="shared" si="1231"/>
        <v>0</v>
      </c>
      <c r="Q416" s="53" t="b">
        <f t="shared" si="1187"/>
        <v>0</v>
      </c>
      <c r="R416" s="53" t="b">
        <f t="shared" si="1188"/>
        <v>0</v>
      </c>
      <c r="S416" s="241" t="s">
        <v>197</v>
      </c>
      <c r="T416" s="127" t="b">
        <f>IF($N416,IF($F416&gt;$P416,ROUND(($Q416-($F415/12)),2),IF($S416="YES",$N416,$N416-MinDrop)))</f>
        <v>0</v>
      </c>
      <c r="U416" s="210"/>
      <c r="V416" s="54"/>
      <c r="W416" s="54"/>
      <c r="X416" s="54"/>
      <c r="Y416" s="117"/>
      <c r="Z416" s="54"/>
      <c r="AA416" s="54"/>
      <c r="AB416" s="54"/>
      <c r="AC416" s="211"/>
    </row>
    <row r="417" spans="1:29" x14ac:dyDescent="0.3">
      <c r="A417" s="121"/>
      <c r="B417" s="204" t="b">
        <f>IF(Pipes!$B417,Pipes!$B417)</f>
        <v>0</v>
      </c>
      <c r="C417" s="205"/>
      <c r="D417" s="224"/>
      <c r="E417" s="224"/>
      <c r="F417" s="224">
        <f t="shared" si="1227"/>
        <v>0</v>
      </c>
      <c r="G417" s="224"/>
      <c r="H417" s="224"/>
      <c r="I417" s="52"/>
      <c r="J417" s="52"/>
      <c r="K417" s="130"/>
      <c r="L417" s="206">
        <f t="shared" si="1183"/>
        <v>0</v>
      </c>
      <c r="M417" s="206" t="b">
        <f t="shared" si="1184"/>
        <v>0</v>
      </c>
      <c r="N417" s="207" t="b">
        <f t="shared" si="1185"/>
        <v>0</v>
      </c>
      <c r="O417" s="209"/>
      <c r="P417" s="208">
        <f t="shared" si="1231"/>
        <v>0</v>
      </c>
      <c r="Q417" s="53" t="b">
        <f t="shared" si="1187"/>
        <v>0</v>
      </c>
      <c r="R417" s="53" t="b">
        <f t="shared" si="1188"/>
        <v>0</v>
      </c>
      <c r="S417" s="241" t="s">
        <v>197</v>
      </c>
      <c r="T417" s="127" t="b">
        <f>IF($N417,IF($F417&gt;$P417,ROUND(($Q417-($F416/12)),2),IF($S417="YES",$N417,$N417-MinDrop)))</f>
        <v>0</v>
      </c>
      <c r="U417" s="210"/>
      <c r="V417" s="54"/>
      <c r="W417" s="54"/>
      <c r="X417" s="54"/>
      <c r="Y417" s="117"/>
      <c r="Z417" s="54"/>
      <c r="AA417" s="54"/>
      <c r="AB417" s="54"/>
      <c r="AC417" s="211"/>
    </row>
    <row r="418" spans="1:29" ht="15" thickBot="1" x14ac:dyDescent="0.35">
      <c r="A418" s="122"/>
      <c r="B418" s="204" t="b">
        <f>IF(Pipes!$B418,Pipes!$B418)</f>
        <v>0</v>
      </c>
      <c r="C418" s="212"/>
      <c r="D418" s="104"/>
      <c r="E418" s="104"/>
      <c r="F418" s="104">
        <f t="shared" si="1227"/>
        <v>0</v>
      </c>
      <c r="G418" s="104"/>
      <c r="H418" s="104"/>
      <c r="I418" s="101"/>
      <c r="J418" s="101"/>
      <c r="K418" s="131"/>
      <c r="L418" s="213">
        <f t="shared" si="1183"/>
        <v>0</v>
      </c>
      <c r="M418" s="213" t="b">
        <f t="shared" si="1184"/>
        <v>0</v>
      </c>
      <c r="N418" s="214" t="b">
        <f t="shared" si="1185"/>
        <v>0</v>
      </c>
      <c r="O418" s="216"/>
      <c r="P418" s="215">
        <f t="shared" si="1231"/>
        <v>0</v>
      </c>
      <c r="Q418" s="103" t="b">
        <f t="shared" si="1187"/>
        <v>0</v>
      </c>
      <c r="R418" s="53" t="b">
        <f t="shared" si="1188"/>
        <v>0</v>
      </c>
      <c r="S418" s="241" t="s">
        <v>197</v>
      </c>
      <c r="T418" s="127" t="b">
        <f>IF($N418,IF($F418&gt;$P418,ROUND(($Q418-($F417/12)),2),IF($S418="YES",$N418,$N418-MinDrop)))</f>
        <v>0</v>
      </c>
      <c r="U418" s="217"/>
      <c r="V418" s="102"/>
      <c r="W418" s="102"/>
      <c r="X418" s="102"/>
      <c r="Y418" s="118"/>
      <c r="Z418" s="102"/>
      <c r="AA418" s="102"/>
      <c r="AB418" s="102"/>
      <c r="AC418" s="218"/>
    </row>
    <row r="419" spans="1:29" x14ac:dyDescent="0.3">
      <c r="A419" s="115">
        <f t="shared" ref="A419" si="1234">$A414+1</f>
        <v>84</v>
      </c>
      <c r="B419" s="186"/>
      <c r="C419" s="201">
        <f>IF(Pipes!$Q419&gt;0,IF(Pipes!$R419&gt;MinDiameter,Pipes!$R419,MinDiameter),0)</f>
        <v>0</v>
      </c>
      <c r="D419" s="187" t="s">
        <v>197</v>
      </c>
      <c r="E419" s="187"/>
      <c r="F419" s="107">
        <f>Pipes!$S419</f>
        <v>0</v>
      </c>
      <c r="G419" s="108">
        <f>Pipes!$W419</f>
        <v>0</v>
      </c>
      <c r="H419" s="187" t="s">
        <v>197</v>
      </c>
      <c r="I419" s="188"/>
      <c r="J419" s="108">
        <f>Pipes!$X419</f>
        <v>0</v>
      </c>
      <c r="K419" s="193">
        <f>INDEX(Tribs!$H$3:$H$102,MATCH($A419,Tribs!$A$3:$A$102,0))</f>
        <v>0</v>
      </c>
      <c r="L419" s="105">
        <f>INDEX(Tribs!$I$3:$I$102,MATCH($A419,Tribs!$A$3:$A$102,0))</f>
        <v>0</v>
      </c>
      <c r="M419" s="105" t="b">
        <f>IF($L419,ROUND($L419-MinCover-($F419/12),2))</f>
        <v>0</v>
      </c>
      <c r="N419" s="202"/>
      <c r="O419" s="129">
        <f t="shared" ref="O419" si="1235">MIN($N420:$N423)</f>
        <v>0</v>
      </c>
      <c r="P419" s="203"/>
      <c r="Q419" s="203"/>
      <c r="R419" s="203"/>
      <c r="S419" s="110"/>
      <c r="T419" s="116" t="b">
        <f t="shared" ref="T419" si="1236">IF($M419,$M419)</f>
        <v>0</v>
      </c>
      <c r="U419" s="129">
        <f t="shared" ref="U419" si="1237">MIN($T419:$T423)</f>
        <v>0</v>
      </c>
      <c r="V419" s="233" t="s">
        <v>197</v>
      </c>
      <c r="W419" s="219"/>
      <c r="X419" s="219" t="s">
        <v>197</v>
      </c>
      <c r="Y419" s="239"/>
      <c r="Z419" s="105">
        <f t="shared" ref="Z419" si="1238">IF($V419="YES",$U419,IF($X419&lt;&gt;"YES",$W419,($AC419+$J419*$K419)))</f>
        <v>0</v>
      </c>
      <c r="AA419" s="105">
        <f t="shared" ref="AA419" si="1239">ROUND($Z419+($F419/12),2)</f>
        <v>0</v>
      </c>
      <c r="AB419" s="105" t="b">
        <f t="shared" ref="AB419" si="1240">IF($L419,($L419-$AA419))</f>
        <v>0</v>
      </c>
      <c r="AC419" s="111">
        <f t="shared" ref="AC419" si="1241">IF(AND($V419&lt;&gt;"YES",$X419="YES"),$Y419,ROUND($Z419-($J419*$K419),2))</f>
        <v>0</v>
      </c>
    </row>
    <row r="420" spans="1:29" x14ac:dyDescent="0.3">
      <c r="A420" s="121"/>
      <c r="B420" s="204" t="b">
        <f>IF(Pipes!$B420,Pipes!$B420)</f>
        <v>0</v>
      </c>
      <c r="C420" s="205"/>
      <c r="D420" s="224"/>
      <c r="E420" s="224"/>
      <c r="F420" s="224">
        <f t="shared" ref="F420:F423" si="1242">F419</f>
        <v>0</v>
      </c>
      <c r="G420" s="224"/>
      <c r="H420" s="224"/>
      <c r="I420" s="52"/>
      <c r="J420" s="52"/>
      <c r="K420" s="130"/>
      <c r="L420" s="206">
        <f t="shared" ref="L420" si="1243">$L419</f>
        <v>0</v>
      </c>
      <c r="M420" s="206" t="b">
        <f t="shared" ref="M420" si="1244">M419</f>
        <v>0</v>
      </c>
      <c r="N420" s="240" t="b">
        <f t="shared" ref="N420" si="1245">IF($B420,INDEX($AC$4:$AC$499,MATCH($B420,$A$4:$A$499)))</f>
        <v>0</v>
      </c>
      <c r="O420" s="209"/>
      <c r="P420" s="208">
        <f t="shared" ref="P420:P423" si="1246">IF($B420,INDEX($F$4:$F$499,MATCH($B420,$A$4:$A$499)),0)</f>
        <v>0</v>
      </c>
      <c r="Q420" s="242" t="b">
        <f t="shared" ref="Q420" si="1247">IF($N420,ROUND(($N420+($P420/12)),2))</f>
        <v>0</v>
      </c>
      <c r="R420" s="53" t="b">
        <f t="shared" ref="R420" si="1248">IF(AND($L420,$Q420),$L420-$Q420)</f>
        <v>0</v>
      </c>
      <c r="S420" s="241" t="s">
        <v>197</v>
      </c>
      <c r="T420" s="127" t="b">
        <f>IF($N420,IF($F420&gt;$P420,ROUND(($Q420-($F419/12)),2),IF($S420="YES",$N420,$N420-MinDrop)))</f>
        <v>0</v>
      </c>
      <c r="U420" s="243"/>
      <c r="V420" s="245"/>
      <c r="W420" s="245"/>
      <c r="X420" s="54"/>
      <c r="Y420" s="117"/>
      <c r="Z420" s="54"/>
      <c r="AA420" s="54"/>
      <c r="AB420" s="54"/>
      <c r="AC420" s="211"/>
    </row>
    <row r="421" spans="1:29" x14ac:dyDescent="0.3">
      <c r="A421" s="121"/>
      <c r="B421" s="204" t="b">
        <f>IF(Pipes!$B421,Pipes!$B421)</f>
        <v>0</v>
      </c>
      <c r="C421" s="205"/>
      <c r="D421" s="224"/>
      <c r="E421" s="224"/>
      <c r="F421" s="224">
        <f t="shared" si="1242"/>
        <v>0</v>
      </c>
      <c r="G421" s="224"/>
      <c r="H421" s="224"/>
      <c r="I421" s="52"/>
      <c r="J421" s="52"/>
      <c r="K421" s="130"/>
      <c r="L421" s="206">
        <f t="shared" si="1183"/>
        <v>0</v>
      </c>
      <c r="M421" s="206" t="b">
        <f t="shared" si="1184"/>
        <v>0</v>
      </c>
      <c r="N421" s="207" t="b">
        <f t="shared" si="1185"/>
        <v>0</v>
      </c>
      <c r="O421" s="209"/>
      <c r="P421" s="208">
        <f t="shared" si="1246"/>
        <v>0</v>
      </c>
      <c r="Q421" s="53" t="b">
        <f t="shared" si="1187"/>
        <v>0</v>
      </c>
      <c r="R421" s="53" t="b">
        <f t="shared" si="1188"/>
        <v>0</v>
      </c>
      <c r="S421" s="241" t="s">
        <v>197</v>
      </c>
      <c r="T421" s="127" t="b">
        <f>IF($N421,IF($F421&gt;$P421,ROUND(($Q421-($F420/12)),2),IF($S421="YES",$N421,$N421-MinDrop)))</f>
        <v>0</v>
      </c>
      <c r="U421" s="210"/>
      <c r="V421" s="54"/>
      <c r="W421" s="54"/>
      <c r="X421" s="54"/>
      <c r="Y421" s="117"/>
      <c r="Z421" s="54"/>
      <c r="AA421" s="54"/>
      <c r="AB421" s="54"/>
      <c r="AC421" s="211"/>
    </row>
    <row r="422" spans="1:29" x14ac:dyDescent="0.3">
      <c r="A422" s="121"/>
      <c r="B422" s="204" t="b">
        <f>IF(Pipes!$B422,Pipes!$B422)</f>
        <v>0</v>
      </c>
      <c r="C422" s="205"/>
      <c r="D422" s="224"/>
      <c r="E422" s="224"/>
      <c r="F422" s="224">
        <f t="shared" si="1242"/>
        <v>0</v>
      </c>
      <c r="G422" s="224"/>
      <c r="H422" s="224"/>
      <c r="I422" s="52"/>
      <c r="J422" s="52"/>
      <c r="K422" s="130"/>
      <c r="L422" s="206">
        <f t="shared" si="1183"/>
        <v>0</v>
      </c>
      <c r="M422" s="206" t="b">
        <f t="shared" si="1184"/>
        <v>0</v>
      </c>
      <c r="N422" s="207" t="b">
        <f t="shared" si="1185"/>
        <v>0</v>
      </c>
      <c r="O422" s="209"/>
      <c r="P422" s="208">
        <f t="shared" si="1246"/>
        <v>0</v>
      </c>
      <c r="Q422" s="53" t="b">
        <f t="shared" si="1187"/>
        <v>0</v>
      </c>
      <c r="R422" s="53" t="b">
        <f t="shared" si="1188"/>
        <v>0</v>
      </c>
      <c r="S422" s="241" t="s">
        <v>197</v>
      </c>
      <c r="T422" s="127" t="b">
        <f>IF($N422,IF($F422&gt;$P422,ROUND(($Q422-($F421/12)),2),IF($S422="YES",$N422,$N422-MinDrop)))</f>
        <v>0</v>
      </c>
      <c r="U422" s="210"/>
      <c r="V422" s="54"/>
      <c r="W422" s="54"/>
      <c r="X422" s="54"/>
      <c r="Y422" s="117"/>
      <c r="Z422" s="54"/>
      <c r="AA422" s="54"/>
      <c r="AB422" s="54"/>
      <c r="AC422" s="211"/>
    </row>
    <row r="423" spans="1:29" ht="15" thickBot="1" x14ac:dyDescent="0.35">
      <c r="A423" s="122"/>
      <c r="B423" s="204" t="b">
        <f>IF(Pipes!$B423,Pipes!$B423)</f>
        <v>0</v>
      </c>
      <c r="C423" s="212"/>
      <c r="D423" s="104"/>
      <c r="E423" s="104"/>
      <c r="F423" s="104">
        <f t="shared" si="1242"/>
        <v>0</v>
      </c>
      <c r="G423" s="104"/>
      <c r="H423" s="104"/>
      <c r="I423" s="101"/>
      <c r="J423" s="101"/>
      <c r="K423" s="131"/>
      <c r="L423" s="213">
        <f t="shared" si="1183"/>
        <v>0</v>
      </c>
      <c r="M423" s="213" t="b">
        <f t="shared" si="1184"/>
        <v>0</v>
      </c>
      <c r="N423" s="214" t="b">
        <f t="shared" si="1185"/>
        <v>0</v>
      </c>
      <c r="O423" s="216"/>
      <c r="P423" s="215">
        <f t="shared" si="1246"/>
        <v>0</v>
      </c>
      <c r="Q423" s="103" t="b">
        <f t="shared" si="1187"/>
        <v>0</v>
      </c>
      <c r="R423" s="53" t="b">
        <f t="shared" si="1188"/>
        <v>0</v>
      </c>
      <c r="S423" s="241" t="s">
        <v>197</v>
      </c>
      <c r="T423" s="127" t="b">
        <f>IF($N423,IF($F423&gt;$P423,ROUND(($Q423-($F422/12)),2),IF($S423="YES",$N423,$N423-MinDrop)))</f>
        <v>0</v>
      </c>
      <c r="U423" s="217"/>
      <c r="V423" s="102"/>
      <c r="W423" s="102"/>
      <c r="X423" s="102"/>
      <c r="Y423" s="118"/>
      <c r="Z423" s="102"/>
      <c r="AA423" s="102"/>
      <c r="AB423" s="102"/>
      <c r="AC423" s="218"/>
    </row>
    <row r="424" spans="1:29" x14ac:dyDescent="0.3">
      <c r="A424" s="115">
        <f t="shared" ref="A424" si="1249">$A419+1</f>
        <v>85</v>
      </c>
      <c r="B424" s="186"/>
      <c r="C424" s="201">
        <f>IF(Pipes!$Q424&gt;0,IF(Pipes!$R424&gt;MinDiameter,Pipes!$R424,MinDiameter),0)</f>
        <v>0</v>
      </c>
      <c r="D424" s="187" t="s">
        <v>197</v>
      </c>
      <c r="E424" s="187"/>
      <c r="F424" s="107">
        <f>Pipes!$S424</f>
        <v>0</v>
      </c>
      <c r="G424" s="108">
        <f>Pipes!$W424</f>
        <v>0</v>
      </c>
      <c r="H424" s="187" t="s">
        <v>197</v>
      </c>
      <c r="I424" s="188"/>
      <c r="J424" s="108">
        <f>Pipes!$X424</f>
        <v>0</v>
      </c>
      <c r="K424" s="193">
        <f>INDEX(Tribs!$H$3:$H$102,MATCH($A424,Tribs!$A$3:$A$102,0))</f>
        <v>0</v>
      </c>
      <c r="L424" s="105">
        <f>INDEX(Tribs!$I$3:$I$102,MATCH($A424,Tribs!$A$3:$A$102,0))</f>
        <v>0</v>
      </c>
      <c r="M424" s="105" t="b">
        <f>IF($L424,ROUND($L424-MinCover-($F424/12),2))</f>
        <v>0</v>
      </c>
      <c r="N424" s="202"/>
      <c r="O424" s="129">
        <f t="shared" ref="O424" si="1250">MIN($N425:$N428)</f>
        <v>0</v>
      </c>
      <c r="P424" s="203"/>
      <c r="Q424" s="203"/>
      <c r="R424" s="203"/>
      <c r="S424" s="110"/>
      <c r="T424" s="116" t="b">
        <f t="shared" ref="T424" si="1251">IF($M424,$M424)</f>
        <v>0</v>
      </c>
      <c r="U424" s="129">
        <f t="shared" ref="U424" si="1252">MIN($T424:$T428)</f>
        <v>0</v>
      </c>
      <c r="V424" s="233" t="s">
        <v>197</v>
      </c>
      <c r="W424" s="219"/>
      <c r="X424" s="219" t="s">
        <v>197</v>
      </c>
      <c r="Y424" s="239"/>
      <c r="Z424" s="105">
        <f t="shared" ref="Z424" si="1253">IF($V424="YES",$U424,IF($X424&lt;&gt;"YES",$W424,($AC424+$J424*$K424)))</f>
        <v>0</v>
      </c>
      <c r="AA424" s="105">
        <f t="shared" ref="AA424" si="1254">ROUND($Z424+($F424/12),2)</f>
        <v>0</v>
      </c>
      <c r="AB424" s="105" t="b">
        <f t="shared" ref="AB424" si="1255">IF($L424,($L424-$AA424))</f>
        <v>0</v>
      </c>
      <c r="AC424" s="111">
        <f t="shared" ref="AC424" si="1256">IF(AND($V424&lt;&gt;"YES",$X424="YES"),$Y424,ROUND($Z424-($J424*$K424),2))</f>
        <v>0</v>
      </c>
    </row>
    <row r="425" spans="1:29" x14ac:dyDescent="0.3">
      <c r="A425" s="121"/>
      <c r="B425" s="204" t="b">
        <f>IF(Pipes!$B425,Pipes!$B425)</f>
        <v>0</v>
      </c>
      <c r="C425" s="205"/>
      <c r="D425" s="224"/>
      <c r="E425" s="224"/>
      <c r="F425" s="224">
        <f t="shared" ref="F425:F428" si="1257">F424</f>
        <v>0</v>
      </c>
      <c r="G425" s="224"/>
      <c r="H425" s="224"/>
      <c r="I425" s="52"/>
      <c r="J425" s="52"/>
      <c r="K425" s="130"/>
      <c r="L425" s="206">
        <f t="shared" ref="L425" si="1258">$L424</f>
        <v>0</v>
      </c>
      <c r="M425" s="206" t="b">
        <f t="shared" ref="M425" si="1259">M424</f>
        <v>0</v>
      </c>
      <c r="N425" s="240" t="b">
        <f t="shared" ref="N425" si="1260">IF($B425,INDEX($AC$4:$AC$499,MATCH($B425,$A$4:$A$499)))</f>
        <v>0</v>
      </c>
      <c r="O425" s="209"/>
      <c r="P425" s="208">
        <f t="shared" ref="P425:P428" si="1261">IF($B425,INDEX($F$4:$F$499,MATCH($B425,$A$4:$A$499)),0)</f>
        <v>0</v>
      </c>
      <c r="Q425" s="242" t="b">
        <f t="shared" ref="Q425" si="1262">IF($N425,ROUND(($N425+($P425/12)),2))</f>
        <v>0</v>
      </c>
      <c r="R425" s="53" t="b">
        <f t="shared" ref="R425" si="1263">IF(AND($L425,$Q425),$L425-$Q425)</f>
        <v>0</v>
      </c>
      <c r="S425" s="241" t="s">
        <v>197</v>
      </c>
      <c r="T425" s="127" t="b">
        <f>IF($N425,IF($F425&gt;$P425,ROUND(($Q425-($F424/12)),2),IF($S425="YES",$N425,$N425-MinDrop)))</f>
        <v>0</v>
      </c>
      <c r="U425" s="243"/>
      <c r="V425" s="245"/>
      <c r="W425" s="245"/>
      <c r="X425" s="54"/>
      <c r="Y425" s="117"/>
      <c r="Z425" s="54"/>
      <c r="AA425" s="54"/>
      <c r="AB425" s="54"/>
      <c r="AC425" s="211"/>
    </row>
    <row r="426" spans="1:29" x14ac:dyDescent="0.3">
      <c r="A426" s="121"/>
      <c r="B426" s="204" t="b">
        <f>IF(Pipes!$B426,Pipes!$B426)</f>
        <v>0</v>
      </c>
      <c r="C426" s="205"/>
      <c r="D426" s="224"/>
      <c r="E426" s="224"/>
      <c r="F426" s="224">
        <f t="shared" si="1257"/>
        <v>0</v>
      </c>
      <c r="G426" s="224"/>
      <c r="H426" s="224"/>
      <c r="I426" s="52"/>
      <c r="J426" s="52"/>
      <c r="K426" s="130"/>
      <c r="L426" s="206">
        <f t="shared" si="1183"/>
        <v>0</v>
      </c>
      <c r="M426" s="206" t="b">
        <f t="shared" si="1184"/>
        <v>0</v>
      </c>
      <c r="N426" s="207" t="b">
        <f t="shared" si="1185"/>
        <v>0</v>
      </c>
      <c r="O426" s="209"/>
      <c r="P426" s="208">
        <f t="shared" si="1261"/>
        <v>0</v>
      </c>
      <c r="Q426" s="53" t="b">
        <f t="shared" si="1187"/>
        <v>0</v>
      </c>
      <c r="R426" s="53" t="b">
        <f t="shared" si="1188"/>
        <v>0</v>
      </c>
      <c r="S426" s="241" t="s">
        <v>197</v>
      </c>
      <c r="T426" s="127" t="b">
        <f>IF($N426,IF($F426&gt;$P426,ROUND(($Q426-($F425/12)),2),IF($S426="YES",$N426,$N426-MinDrop)))</f>
        <v>0</v>
      </c>
      <c r="U426" s="210"/>
      <c r="V426" s="54"/>
      <c r="W426" s="54"/>
      <c r="X426" s="54"/>
      <c r="Y426" s="117"/>
      <c r="Z426" s="54"/>
      <c r="AA426" s="54"/>
      <c r="AB426" s="54"/>
      <c r="AC426" s="211"/>
    </row>
    <row r="427" spans="1:29" x14ac:dyDescent="0.3">
      <c r="A427" s="121"/>
      <c r="B427" s="204" t="b">
        <f>IF(Pipes!$B427,Pipes!$B427)</f>
        <v>0</v>
      </c>
      <c r="C427" s="205"/>
      <c r="D427" s="224"/>
      <c r="E427" s="224"/>
      <c r="F427" s="224">
        <f t="shared" si="1257"/>
        <v>0</v>
      </c>
      <c r="G427" s="224"/>
      <c r="H427" s="224"/>
      <c r="I427" s="52"/>
      <c r="J427" s="52"/>
      <c r="K427" s="130"/>
      <c r="L427" s="206">
        <f t="shared" si="1183"/>
        <v>0</v>
      </c>
      <c r="M427" s="206" t="b">
        <f t="shared" si="1184"/>
        <v>0</v>
      </c>
      <c r="N427" s="207" t="b">
        <f t="shared" si="1185"/>
        <v>0</v>
      </c>
      <c r="O427" s="209"/>
      <c r="P427" s="208">
        <f t="shared" si="1261"/>
        <v>0</v>
      </c>
      <c r="Q427" s="53" t="b">
        <f t="shared" si="1187"/>
        <v>0</v>
      </c>
      <c r="R427" s="53" t="b">
        <f t="shared" si="1188"/>
        <v>0</v>
      </c>
      <c r="S427" s="241" t="s">
        <v>197</v>
      </c>
      <c r="T427" s="127" t="b">
        <f>IF($N427,IF($F427&gt;$P427,ROUND(($Q427-($F426/12)),2),IF($S427="YES",$N427,$N427-MinDrop)))</f>
        <v>0</v>
      </c>
      <c r="U427" s="210"/>
      <c r="V427" s="54"/>
      <c r="W427" s="54"/>
      <c r="X427" s="54"/>
      <c r="Y427" s="117"/>
      <c r="Z427" s="54"/>
      <c r="AA427" s="54"/>
      <c r="AB427" s="54"/>
      <c r="AC427" s="211"/>
    </row>
    <row r="428" spans="1:29" ht="15" thickBot="1" x14ac:dyDescent="0.35">
      <c r="A428" s="122"/>
      <c r="B428" s="204" t="b">
        <f>IF(Pipes!$B428,Pipes!$B428)</f>
        <v>0</v>
      </c>
      <c r="C428" s="212"/>
      <c r="D428" s="104"/>
      <c r="E428" s="104"/>
      <c r="F428" s="104">
        <f t="shared" si="1257"/>
        <v>0</v>
      </c>
      <c r="G428" s="104"/>
      <c r="H428" s="104"/>
      <c r="I428" s="101"/>
      <c r="J428" s="101"/>
      <c r="K428" s="131"/>
      <c r="L428" s="213">
        <f t="shared" si="1183"/>
        <v>0</v>
      </c>
      <c r="M428" s="213" t="b">
        <f t="shared" si="1184"/>
        <v>0</v>
      </c>
      <c r="N428" s="214" t="b">
        <f t="shared" si="1185"/>
        <v>0</v>
      </c>
      <c r="O428" s="216"/>
      <c r="P428" s="215">
        <f t="shared" si="1261"/>
        <v>0</v>
      </c>
      <c r="Q428" s="103" t="b">
        <f t="shared" si="1187"/>
        <v>0</v>
      </c>
      <c r="R428" s="53" t="b">
        <f t="shared" si="1188"/>
        <v>0</v>
      </c>
      <c r="S428" s="241" t="s">
        <v>197</v>
      </c>
      <c r="T428" s="127" t="b">
        <f>IF($N428,IF($F428&gt;$P428,ROUND(($Q428-($F427/12)),2),IF($S428="YES",$N428,$N428-MinDrop)))</f>
        <v>0</v>
      </c>
      <c r="U428" s="217"/>
      <c r="V428" s="102"/>
      <c r="W428" s="102"/>
      <c r="X428" s="102"/>
      <c r="Y428" s="118"/>
      <c r="Z428" s="102"/>
      <c r="AA428" s="102"/>
      <c r="AB428" s="102"/>
      <c r="AC428" s="218"/>
    </row>
    <row r="429" spans="1:29" x14ac:dyDescent="0.3">
      <c r="A429" s="115">
        <f t="shared" ref="A429" si="1264">$A424+1</f>
        <v>86</v>
      </c>
      <c r="B429" s="186"/>
      <c r="C429" s="201">
        <f>IF(Pipes!$Q429&gt;0,IF(Pipes!$R429&gt;MinDiameter,Pipes!$R429,MinDiameter),0)</f>
        <v>0</v>
      </c>
      <c r="D429" s="187" t="s">
        <v>197</v>
      </c>
      <c r="E429" s="187"/>
      <c r="F429" s="107">
        <f>Pipes!$S429</f>
        <v>0</v>
      </c>
      <c r="G429" s="108">
        <f>Pipes!$W429</f>
        <v>0</v>
      </c>
      <c r="H429" s="187" t="s">
        <v>197</v>
      </c>
      <c r="I429" s="188"/>
      <c r="J429" s="108">
        <f>Pipes!$X429</f>
        <v>0</v>
      </c>
      <c r="K429" s="193">
        <f>INDEX(Tribs!$H$3:$H$102,MATCH($A429,Tribs!$A$3:$A$102,0))</f>
        <v>0</v>
      </c>
      <c r="L429" s="105">
        <f>INDEX(Tribs!$I$3:$I$102,MATCH($A429,Tribs!$A$3:$A$102,0))</f>
        <v>0</v>
      </c>
      <c r="M429" s="105" t="b">
        <f>IF($L429,ROUND($L429-MinCover-($F429/12),2))</f>
        <v>0</v>
      </c>
      <c r="N429" s="202"/>
      <c r="O429" s="129">
        <f t="shared" ref="O429" si="1265">MIN($N430:$N433)</f>
        <v>0</v>
      </c>
      <c r="P429" s="203"/>
      <c r="Q429" s="203"/>
      <c r="R429" s="203"/>
      <c r="S429" s="110"/>
      <c r="T429" s="116" t="b">
        <f t="shared" ref="T429" si="1266">IF($M429,$M429)</f>
        <v>0</v>
      </c>
      <c r="U429" s="129">
        <f t="shared" ref="U429" si="1267">MIN($T429:$T433)</f>
        <v>0</v>
      </c>
      <c r="V429" s="233" t="s">
        <v>197</v>
      </c>
      <c r="W429" s="219"/>
      <c r="X429" s="219" t="s">
        <v>197</v>
      </c>
      <c r="Y429" s="239"/>
      <c r="Z429" s="105">
        <f t="shared" ref="Z429" si="1268">IF($V429="YES",$U429,IF($X429&lt;&gt;"YES",$W429,($AC429+$J429*$K429)))</f>
        <v>0</v>
      </c>
      <c r="AA429" s="105">
        <f t="shared" ref="AA429" si="1269">ROUND($Z429+($F429/12),2)</f>
        <v>0</v>
      </c>
      <c r="AB429" s="105" t="b">
        <f t="shared" ref="AB429" si="1270">IF($L429,($L429-$AA429))</f>
        <v>0</v>
      </c>
      <c r="AC429" s="111">
        <f t="shared" ref="AC429" si="1271">IF(AND($V429&lt;&gt;"YES",$X429="YES"),$Y429,ROUND($Z429-($J429*$K429),2))</f>
        <v>0</v>
      </c>
    </row>
    <row r="430" spans="1:29" x14ac:dyDescent="0.3">
      <c r="A430" s="121"/>
      <c r="B430" s="204" t="b">
        <f>IF(Pipes!$B430,Pipes!$B430)</f>
        <v>0</v>
      </c>
      <c r="C430" s="205"/>
      <c r="D430" s="224"/>
      <c r="E430" s="224"/>
      <c r="F430" s="224">
        <f t="shared" ref="F430:F433" si="1272">F429</f>
        <v>0</v>
      </c>
      <c r="G430" s="224"/>
      <c r="H430" s="224"/>
      <c r="I430" s="52"/>
      <c r="J430" s="52"/>
      <c r="K430" s="130"/>
      <c r="L430" s="206">
        <f t="shared" ref="L430" si="1273">$L429</f>
        <v>0</v>
      </c>
      <c r="M430" s="206" t="b">
        <f t="shared" ref="M430" si="1274">M429</f>
        <v>0</v>
      </c>
      <c r="N430" s="240" t="b">
        <f t="shared" ref="N430" si="1275">IF($B430,INDEX($AC$4:$AC$499,MATCH($B430,$A$4:$A$499)))</f>
        <v>0</v>
      </c>
      <c r="O430" s="209"/>
      <c r="P430" s="208">
        <f t="shared" ref="P430:P433" si="1276">IF($B430,INDEX($F$4:$F$499,MATCH($B430,$A$4:$A$499)),0)</f>
        <v>0</v>
      </c>
      <c r="Q430" s="242" t="b">
        <f t="shared" ref="Q430" si="1277">IF($N430,ROUND(($N430+($P430/12)),2))</f>
        <v>0</v>
      </c>
      <c r="R430" s="53" t="b">
        <f t="shared" ref="R430" si="1278">IF(AND($L430,$Q430),$L430-$Q430)</f>
        <v>0</v>
      </c>
      <c r="S430" s="241" t="s">
        <v>197</v>
      </c>
      <c r="T430" s="127" t="b">
        <f>IF($N430,IF($F430&gt;$P430,ROUND(($Q430-($F429/12)),2),IF($S430="YES",$N430,$N430-MinDrop)))</f>
        <v>0</v>
      </c>
      <c r="U430" s="243"/>
      <c r="V430" s="245"/>
      <c r="W430" s="245"/>
      <c r="X430" s="54"/>
      <c r="Y430" s="117"/>
      <c r="Z430" s="54"/>
      <c r="AA430" s="54"/>
      <c r="AB430" s="54"/>
      <c r="AC430" s="211"/>
    </row>
    <row r="431" spans="1:29" x14ac:dyDescent="0.3">
      <c r="A431" s="121"/>
      <c r="B431" s="204" t="b">
        <f>IF(Pipes!$B431,Pipes!$B431)</f>
        <v>0</v>
      </c>
      <c r="C431" s="205"/>
      <c r="D431" s="224"/>
      <c r="E431" s="224"/>
      <c r="F431" s="224">
        <f t="shared" si="1272"/>
        <v>0</v>
      </c>
      <c r="G431" s="224"/>
      <c r="H431" s="224"/>
      <c r="I431" s="52"/>
      <c r="J431" s="52"/>
      <c r="K431" s="130"/>
      <c r="L431" s="206">
        <f t="shared" si="1183"/>
        <v>0</v>
      </c>
      <c r="M431" s="206" t="b">
        <f t="shared" si="1184"/>
        <v>0</v>
      </c>
      <c r="N431" s="207" t="b">
        <f t="shared" si="1185"/>
        <v>0</v>
      </c>
      <c r="O431" s="209"/>
      <c r="P431" s="208">
        <f t="shared" si="1276"/>
        <v>0</v>
      </c>
      <c r="Q431" s="53" t="b">
        <f t="shared" si="1187"/>
        <v>0</v>
      </c>
      <c r="R431" s="53" t="b">
        <f t="shared" si="1188"/>
        <v>0</v>
      </c>
      <c r="S431" s="241" t="s">
        <v>197</v>
      </c>
      <c r="T431" s="127" t="b">
        <f>IF($N431,IF($F431&gt;$P431,ROUND(($Q431-($F430/12)),2),IF($S431="YES",$N431,$N431-MinDrop)))</f>
        <v>0</v>
      </c>
      <c r="U431" s="210"/>
      <c r="V431" s="54"/>
      <c r="W431" s="54"/>
      <c r="X431" s="54"/>
      <c r="Y431" s="117"/>
      <c r="Z431" s="54"/>
      <c r="AA431" s="54"/>
      <c r="AB431" s="54"/>
      <c r="AC431" s="211"/>
    </row>
    <row r="432" spans="1:29" x14ac:dyDescent="0.3">
      <c r="A432" s="121"/>
      <c r="B432" s="204" t="b">
        <f>IF(Pipes!$B432,Pipes!$B432)</f>
        <v>0</v>
      </c>
      <c r="C432" s="205"/>
      <c r="D432" s="224"/>
      <c r="E432" s="224"/>
      <c r="F432" s="224">
        <f t="shared" si="1272"/>
        <v>0</v>
      </c>
      <c r="G432" s="224"/>
      <c r="H432" s="224"/>
      <c r="I432" s="52"/>
      <c r="J432" s="52"/>
      <c r="K432" s="130"/>
      <c r="L432" s="206">
        <f t="shared" si="1183"/>
        <v>0</v>
      </c>
      <c r="M432" s="206" t="b">
        <f t="shared" si="1184"/>
        <v>0</v>
      </c>
      <c r="N432" s="207" t="b">
        <f t="shared" si="1185"/>
        <v>0</v>
      </c>
      <c r="O432" s="209"/>
      <c r="P432" s="208">
        <f t="shared" si="1276"/>
        <v>0</v>
      </c>
      <c r="Q432" s="53" t="b">
        <f t="shared" si="1187"/>
        <v>0</v>
      </c>
      <c r="R432" s="53" t="b">
        <f t="shared" si="1188"/>
        <v>0</v>
      </c>
      <c r="S432" s="241" t="s">
        <v>197</v>
      </c>
      <c r="T432" s="127" t="b">
        <f>IF($N432,IF($F432&gt;$P432,ROUND(($Q432-($F431/12)),2),IF($S432="YES",$N432,$N432-MinDrop)))</f>
        <v>0</v>
      </c>
      <c r="U432" s="210"/>
      <c r="V432" s="54"/>
      <c r="W432" s="54"/>
      <c r="X432" s="54"/>
      <c r="Y432" s="117"/>
      <c r="Z432" s="54"/>
      <c r="AA432" s="54"/>
      <c r="AB432" s="54"/>
      <c r="AC432" s="211"/>
    </row>
    <row r="433" spans="1:29" ht="15" thickBot="1" x14ac:dyDescent="0.35">
      <c r="A433" s="122"/>
      <c r="B433" s="204" t="b">
        <f>IF(Pipes!$B433,Pipes!$B433)</f>
        <v>0</v>
      </c>
      <c r="C433" s="212"/>
      <c r="D433" s="104"/>
      <c r="E433" s="104"/>
      <c r="F433" s="104">
        <f t="shared" si="1272"/>
        <v>0</v>
      </c>
      <c r="G433" s="104"/>
      <c r="H433" s="104"/>
      <c r="I433" s="101"/>
      <c r="J433" s="101"/>
      <c r="K433" s="131"/>
      <c r="L433" s="213">
        <f t="shared" si="1183"/>
        <v>0</v>
      </c>
      <c r="M433" s="213" t="b">
        <f t="shared" si="1184"/>
        <v>0</v>
      </c>
      <c r="N433" s="214" t="b">
        <f t="shared" si="1185"/>
        <v>0</v>
      </c>
      <c r="O433" s="216"/>
      <c r="P433" s="215">
        <f t="shared" si="1276"/>
        <v>0</v>
      </c>
      <c r="Q433" s="103" t="b">
        <f t="shared" si="1187"/>
        <v>0</v>
      </c>
      <c r="R433" s="53" t="b">
        <f t="shared" si="1188"/>
        <v>0</v>
      </c>
      <c r="S433" s="241" t="s">
        <v>197</v>
      </c>
      <c r="T433" s="127" t="b">
        <f>IF($N433,IF($F433&gt;$P433,ROUND(($Q433-($F432/12)),2),IF($S433="YES",$N433,$N433-MinDrop)))</f>
        <v>0</v>
      </c>
      <c r="U433" s="217"/>
      <c r="V433" s="102"/>
      <c r="W433" s="102"/>
      <c r="X433" s="102"/>
      <c r="Y433" s="118"/>
      <c r="Z433" s="102"/>
      <c r="AA433" s="102"/>
      <c r="AB433" s="102"/>
      <c r="AC433" s="218"/>
    </row>
    <row r="434" spans="1:29" x14ac:dyDescent="0.3">
      <c r="A434" s="115">
        <f t="shared" ref="A434" si="1279">$A429+1</f>
        <v>87</v>
      </c>
      <c r="B434" s="186"/>
      <c r="C434" s="201">
        <f>IF(Pipes!$Q434&gt;0,IF(Pipes!$R434&gt;MinDiameter,Pipes!$R434,MinDiameter),0)</f>
        <v>0</v>
      </c>
      <c r="D434" s="187" t="s">
        <v>197</v>
      </c>
      <c r="E434" s="187"/>
      <c r="F434" s="107">
        <f>Pipes!$S434</f>
        <v>0</v>
      </c>
      <c r="G434" s="108">
        <f>Pipes!$W434</f>
        <v>0</v>
      </c>
      <c r="H434" s="187" t="s">
        <v>197</v>
      </c>
      <c r="I434" s="188"/>
      <c r="J434" s="108">
        <f>Pipes!$X434</f>
        <v>0</v>
      </c>
      <c r="K434" s="193">
        <f>INDEX(Tribs!$H$3:$H$102,MATCH($A434,Tribs!$A$3:$A$102,0))</f>
        <v>0</v>
      </c>
      <c r="L434" s="105">
        <f>INDEX(Tribs!$I$3:$I$102,MATCH($A434,Tribs!$A$3:$A$102,0))</f>
        <v>0</v>
      </c>
      <c r="M434" s="105" t="b">
        <f>IF($L434,ROUND($L434-MinCover-($F434/12),2))</f>
        <v>0</v>
      </c>
      <c r="N434" s="202"/>
      <c r="O434" s="129">
        <f t="shared" ref="O434" si="1280">MIN($N435:$N438)</f>
        <v>0</v>
      </c>
      <c r="P434" s="203"/>
      <c r="Q434" s="203"/>
      <c r="R434" s="203"/>
      <c r="S434" s="110"/>
      <c r="T434" s="116" t="b">
        <f t="shared" ref="T434" si="1281">IF($M434,$M434)</f>
        <v>0</v>
      </c>
      <c r="U434" s="129">
        <f t="shared" ref="U434" si="1282">MIN($T434:$T438)</f>
        <v>0</v>
      </c>
      <c r="V434" s="233" t="s">
        <v>197</v>
      </c>
      <c r="W434" s="219"/>
      <c r="X434" s="219" t="s">
        <v>197</v>
      </c>
      <c r="Y434" s="239"/>
      <c r="Z434" s="105">
        <f t="shared" ref="Z434" si="1283">IF($V434="YES",$U434,IF($X434&lt;&gt;"YES",$W434,($AC434+$J434*$K434)))</f>
        <v>0</v>
      </c>
      <c r="AA434" s="105">
        <f t="shared" ref="AA434" si="1284">ROUND($Z434+($F434/12),2)</f>
        <v>0</v>
      </c>
      <c r="AB434" s="105" t="b">
        <f t="shared" ref="AB434" si="1285">IF($L434,($L434-$AA434))</f>
        <v>0</v>
      </c>
      <c r="AC434" s="111">
        <f t="shared" ref="AC434" si="1286">IF(AND($V434&lt;&gt;"YES",$X434="YES"),$Y434,ROUND($Z434-($J434*$K434),2))</f>
        <v>0</v>
      </c>
    </row>
    <row r="435" spans="1:29" x14ac:dyDescent="0.3">
      <c r="A435" s="121"/>
      <c r="B435" s="204" t="b">
        <f>IF(Pipes!$B435,Pipes!$B435)</f>
        <v>0</v>
      </c>
      <c r="C435" s="205"/>
      <c r="D435" s="224"/>
      <c r="E435" s="224"/>
      <c r="F435" s="224">
        <f t="shared" ref="F435:F438" si="1287">F434</f>
        <v>0</v>
      </c>
      <c r="G435" s="224"/>
      <c r="H435" s="224"/>
      <c r="I435" s="52"/>
      <c r="J435" s="52"/>
      <c r="K435" s="130"/>
      <c r="L435" s="206">
        <f t="shared" ref="L435" si="1288">$L434</f>
        <v>0</v>
      </c>
      <c r="M435" s="206" t="b">
        <f t="shared" ref="M435" si="1289">M434</f>
        <v>0</v>
      </c>
      <c r="N435" s="240" t="b">
        <f t="shared" ref="N435" si="1290">IF($B435,INDEX($AC$4:$AC$499,MATCH($B435,$A$4:$A$499)))</f>
        <v>0</v>
      </c>
      <c r="O435" s="209"/>
      <c r="P435" s="208">
        <f t="shared" ref="P435:P438" si="1291">IF($B435,INDEX($F$4:$F$499,MATCH($B435,$A$4:$A$499)),0)</f>
        <v>0</v>
      </c>
      <c r="Q435" s="242" t="b">
        <f t="shared" ref="Q435" si="1292">IF($N435,ROUND(($N435+($P435/12)),2))</f>
        <v>0</v>
      </c>
      <c r="R435" s="53" t="b">
        <f t="shared" ref="R435" si="1293">IF(AND($L435,$Q435),$L435-$Q435)</f>
        <v>0</v>
      </c>
      <c r="S435" s="241" t="s">
        <v>197</v>
      </c>
      <c r="T435" s="127" t="b">
        <f>IF($N435,IF($F435&gt;$P435,ROUND(($Q435-($F434/12)),2),IF($S435="YES",$N435,$N435-MinDrop)))</f>
        <v>0</v>
      </c>
      <c r="U435" s="243"/>
      <c r="V435" s="245"/>
      <c r="W435" s="245"/>
      <c r="X435" s="54"/>
      <c r="Y435" s="117"/>
      <c r="Z435" s="54"/>
      <c r="AA435" s="54"/>
      <c r="AB435" s="54"/>
      <c r="AC435" s="211"/>
    </row>
    <row r="436" spans="1:29" x14ac:dyDescent="0.3">
      <c r="A436" s="121"/>
      <c r="B436" s="204" t="b">
        <f>IF(Pipes!$B436,Pipes!$B436)</f>
        <v>0</v>
      </c>
      <c r="C436" s="205"/>
      <c r="D436" s="224"/>
      <c r="E436" s="224"/>
      <c r="F436" s="224">
        <f t="shared" si="1287"/>
        <v>0</v>
      </c>
      <c r="G436" s="224"/>
      <c r="H436" s="224"/>
      <c r="I436" s="52"/>
      <c r="J436" s="52"/>
      <c r="K436" s="130"/>
      <c r="L436" s="206">
        <f t="shared" si="1183"/>
        <v>0</v>
      </c>
      <c r="M436" s="206" t="b">
        <f t="shared" si="1184"/>
        <v>0</v>
      </c>
      <c r="N436" s="207" t="b">
        <f t="shared" si="1185"/>
        <v>0</v>
      </c>
      <c r="O436" s="209"/>
      <c r="P436" s="208">
        <f t="shared" si="1291"/>
        <v>0</v>
      </c>
      <c r="Q436" s="53" t="b">
        <f t="shared" si="1187"/>
        <v>0</v>
      </c>
      <c r="R436" s="53" t="b">
        <f t="shared" si="1188"/>
        <v>0</v>
      </c>
      <c r="S436" s="241" t="s">
        <v>197</v>
      </c>
      <c r="T436" s="127" t="b">
        <f>IF($N436,IF($F436&gt;$P436,ROUND(($Q436-($F435/12)),2),IF($S436="YES",$N436,$N436-MinDrop)))</f>
        <v>0</v>
      </c>
      <c r="U436" s="210"/>
      <c r="V436" s="54"/>
      <c r="W436" s="54"/>
      <c r="X436" s="54"/>
      <c r="Y436" s="117"/>
      <c r="Z436" s="54"/>
      <c r="AA436" s="54"/>
      <c r="AB436" s="54"/>
      <c r="AC436" s="211"/>
    </row>
    <row r="437" spans="1:29" x14ac:dyDescent="0.3">
      <c r="A437" s="121"/>
      <c r="B437" s="204" t="b">
        <f>IF(Pipes!$B437,Pipes!$B437)</f>
        <v>0</v>
      </c>
      <c r="C437" s="205"/>
      <c r="D437" s="224"/>
      <c r="E437" s="224"/>
      <c r="F437" s="224">
        <f t="shared" si="1287"/>
        <v>0</v>
      </c>
      <c r="G437" s="224"/>
      <c r="H437" s="224"/>
      <c r="I437" s="52"/>
      <c r="J437" s="52"/>
      <c r="K437" s="130"/>
      <c r="L437" s="206">
        <f t="shared" si="1183"/>
        <v>0</v>
      </c>
      <c r="M437" s="206" t="b">
        <f t="shared" si="1184"/>
        <v>0</v>
      </c>
      <c r="N437" s="207" t="b">
        <f t="shared" si="1185"/>
        <v>0</v>
      </c>
      <c r="O437" s="209"/>
      <c r="P437" s="208">
        <f t="shared" si="1291"/>
        <v>0</v>
      </c>
      <c r="Q437" s="53" t="b">
        <f t="shared" si="1187"/>
        <v>0</v>
      </c>
      <c r="R437" s="53" t="b">
        <f t="shared" si="1188"/>
        <v>0</v>
      </c>
      <c r="S437" s="241" t="s">
        <v>197</v>
      </c>
      <c r="T437" s="127" t="b">
        <f>IF($N437,IF($F437&gt;$P437,ROUND(($Q437-($F436/12)),2),IF($S437="YES",$N437,$N437-MinDrop)))</f>
        <v>0</v>
      </c>
      <c r="U437" s="210"/>
      <c r="V437" s="54"/>
      <c r="W437" s="54"/>
      <c r="X437" s="54"/>
      <c r="Y437" s="117"/>
      <c r="Z437" s="54"/>
      <c r="AA437" s="54"/>
      <c r="AB437" s="54"/>
      <c r="AC437" s="211"/>
    </row>
    <row r="438" spans="1:29" ht="15" thickBot="1" x14ac:dyDescent="0.35">
      <c r="A438" s="122"/>
      <c r="B438" s="204" t="b">
        <f>IF(Pipes!$B438,Pipes!$B438)</f>
        <v>0</v>
      </c>
      <c r="C438" s="212"/>
      <c r="D438" s="104"/>
      <c r="E438" s="104"/>
      <c r="F438" s="104">
        <f t="shared" si="1287"/>
        <v>0</v>
      </c>
      <c r="G438" s="104"/>
      <c r="H438" s="104"/>
      <c r="I438" s="101"/>
      <c r="J438" s="101"/>
      <c r="K438" s="131"/>
      <c r="L438" s="213">
        <f t="shared" si="1183"/>
        <v>0</v>
      </c>
      <c r="M438" s="213" t="b">
        <f t="shared" si="1184"/>
        <v>0</v>
      </c>
      <c r="N438" s="214" t="b">
        <f t="shared" si="1185"/>
        <v>0</v>
      </c>
      <c r="O438" s="216"/>
      <c r="P438" s="215">
        <f t="shared" si="1291"/>
        <v>0</v>
      </c>
      <c r="Q438" s="103" t="b">
        <f t="shared" si="1187"/>
        <v>0</v>
      </c>
      <c r="R438" s="53" t="b">
        <f t="shared" si="1188"/>
        <v>0</v>
      </c>
      <c r="S438" s="241" t="s">
        <v>197</v>
      </c>
      <c r="T438" s="127" t="b">
        <f>IF($N438,IF($F438&gt;$P438,ROUND(($Q438-($F437/12)),2),IF($S438="YES",$N438,$N438-MinDrop)))</f>
        <v>0</v>
      </c>
      <c r="U438" s="217"/>
      <c r="V438" s="102"/>
      <c r="W438" s="102"/>
      <c r="X438" s="102"/>
      <c r="Y438" s="118"/>
      <c r="Z438" s="102"/>
      <c r="AA438" s="102"/>
      <c r="AB438" s="102"/>
      <c r="AC438" s="218"/>
    </row>
    <row r="439" spans="1:29" x14ac:dyDescent="0.3">
      <c r="A439" s="115">
        <f t="shared" ref="A439" si="1294">$A434+1</f>
        <v>88</v>
      </c>
      <c r="B439" s="186"/>
      <c r="C439" s="201">
        <f>IF(Pipes!$Q439&gt;0,IF(Pipes!$R439&gt;MinDiameter,Pipes!$R439,MinDiameter),0)</f>
        <v>0</v>
      </c>
      <c r="D439" s="187" t="s">
        <v>197</v>
      </c>
      <c r="E439" s="187"/>
      <c r="F439" s="107">
        <f>Pipes!$S439</f>
        <v>0</v>
      </c>
      <c r="G439" s="108">
        <f>Pipes!$W439</f>
        <v>0</v>
      </c>
      <c r="H439" s="187" t="s">
        <v>197</v>
      </c>
      <c r="I439" s="188"/>
      <c r="J439" s="108">
        <f>Pipes!$X439</f>
        <v>0</v>
      </c>
      <c r="K439" s="193">
        <f>INDEX(Tribs!$H$3:$H$102,MATCH($A439,Tribs!$A$3:$A$102,0))</f>
        <v>0</v>
      </c>
      <c r="L439" s="105">
        <f>INDEX(Tribs!$I$3:$I$102,MATCH($A439,Tribs!$A$3:$A$102,0))</f>
        <v>0</v>
      </c>
      <c r="M439" s="105" t="b">
        <f>IF($L439,ROUND($L439-MinCover-($F439/12),2))</f>
        <v>0</v>
      </c>
      <c r="N439" s="202"/>
      <c r="O439" s="129">
        <f t="shared" ref="O439" si="1295">MIN($N440:$N443)</f>
        <v>0</v>
      </c>
      <c r="P439" s="203"/>
      <c r="Q439" s="203"/>
      <c r="R439" s="203"/>
      <c r="S439" s="110"/>
      <c r="T439" s="116" t="b">
        <f t="shared" ref="T439" si="1296">IF($M439,$M439)</f>
        <v>0</v>
      </c>
      <c r="U439" s="129">
        <f t="shared" ref="U439" si="1297">MIN($T439:$T443)</f>
        <v>0</v>
      </c>
      <c r="V439" s="233" t="s">
        <v>197</v>
      </c>
      <c r="W439" s="219"/>
      <c r="X439" s="219" t="s">
        <v>197</v>
      </c>
      <c r="Y439" s="239"/>
      <c r="Z439" s="105">
        <f t="shared" ref="Z439" si="1298">IF($V439="YES",$U439,IF($X439&lt;&gt;"YES",$W439,($AC439+$J439*$K439)))</f>
        <v>0</v>
      </c>
      <c r="AA439" s="105">
        <f t="shared" ref="AA439" si="1299">ROUND($Z439+($F439/12),2)</f>
        <v>0</v>
      </c>
      <c r="AB439" s="105" t="b">
        <f t="shared" ref="AB439" si="1300">IF($L439,($L439-$AA439))</f>
        <v>0</v>
      </c>
      <c r="AC439" s="111">
        <f t="shared" ref="AC439" si="1301">IF(AND($V439&lt;&gt;"YES",$X439="YES"),$Y439,ROUND($Z439-($J439*$K439),2))</f>
        <v>0</v>
      </c>
    </row>
    <row r="440" spans="1:29" x14ac:dyDescent="0.3">
      <c r="A440" s="121"/>
      <c r="B440" s="204" t="b">
        <f>IF(Pipes!$B440,Pipes!$B440)</f>
        <v>0</v>
      </c>
      <c r="C440" s="205"/>
      <c r="D440" s="224"/>
      <c r="E440" s="224"/>
      <c r="F440" s="224">
        <f t="shared" ref="F440:F443" si="1302">F439</f>
        <v>0</v>
      </c>
      <c r="G440" s="224"/>
      <c r="H440" s="224"/>
      <c r="I440" s="52"/>
      <c r="J440" s="52"/>
      <c r="K440" s="130"/>
      <c r="L440" s="206">
        <f t="shared" ref="L440" si="1303">$L439</f>
        <v>0</v>
      </c>
      <c r="M440" s="206" t="b">
        <f t="shared" ref="M440" si="1304">M439</f>
        <v>0</v>
      </c>
      <c r="N440" s="240" t="b">
        <f t="shared" ref="N440" si="1305">IF($B440,INDEX($AC$4:$AC$499,MATCH($B440,$A$4:$A$499)))</f>
        <v>0</v>
      </c>
      <c r="O440" s="209"/>
      <c r="P440" s="208">
        <f t="shared" ref="P440:P443" si="1306">IF($B440,INDEX($F$4:$F$499,MATCH($B440,$A$4:$A$499)),0)</f>
        <v>0</v>
      </c>
      <c r="Q440" s="242" t="b">
        <f t="shared" ref="Q440" si="1307">IF($N440,ROUND(($N440+($P440/12)),2))</f>
        <v>0</v>
      </c>
      <c r="R440" s="53" t="b">
        <f t="shared" ref="R440" si="1308">IF(AND($L440,$Q440),$L440-$Q440)</f>
        <v>0</v>
      </c>
      <c r="S440" s="241" t="s">
        <v>197</v>
      </c>
      <c r="T440" s="127" t="b">
        <f>IF($N440,IF($F440&gt;$P440,ROUND(($Q440-($F439/12)),2),IF($S440="YES",$N440,$N440-MinDrop)))</f>
        <v>0</v>
      </c>
      <c r="U440" s="243"/>
      <c r="V440" s="245"/>
      <c r="W440" s="245"/>
      <c r="X440" s="54"/>
      <c r="Y440" s="117"/>
      <c r="Z440" s="54"/>
      <c r="AA440" s="54"/>
      <c r="AB440" s="54"/>
      <c r="AC440" s="211"/>
    </row>
    <row r="441" spans="1:29" x14ac:dyDescent="0.3">
      <c r="A441" s="121"/>
      <c r="B441" s="204" t="b">
        <f>IF(Pipes!$B441,Pipes!$B441)</f>
        <v>0</v>
      </c>
      <c r="C441" s="205"/>
      <c r="D441" s="224"/>
      <c r="E441" s="224"/>
      <c r="F441" s="224">
        <f t="shared" si="1302"/>
        <v>0</v>
      </c>
      <c r="G441" s="224"/>
      <c r="H441" s="224"/>
      <c r="I441" s="52"/>
      <c r="J441" s="52"/>
      <c r="K441" s="130"/>
      <c r="L441" s="206">
        <f t="shared" si="1183"/>
        <v>0</v>
      </c>
      <c r="M441" s="206" t="b">
        <f t="shared" si="1184"/>
        <v>0</v>
      </c>
      <c r="N441" s="207" t="b">
        <f t="shared" si="1185"/>
        <v>0</v>
      </c>
      <c r="O441" s="209"/>
      <c r="P441" s="208">
        <f t="shared" si="1306"/>
        <v>0</v>
      </c>
      <c r="Q441" s="53" t="b">
        <f t="shared" si="1187"/>
        <v>0</v>
      </c>
      <c r="R441" s="53" t="b">
        <f t="shared" si="1188"/>
        <v>0</v>
      </c>
      <c r="S441" s="241" t="s">
        <v>197</v>
      </c>
      <c r="T441" s="127" t="b">
        <f>IF($N441,IF($F441&gt;$P441,ROUND(($Q441-($F440/12)),2),IF($S441="YES",$N441,$N441-MinDrop)))</f>
        <v>0</v>
      </c>
      <c r="U441" s="210"/>
      <c r="V441" s="54"/>
      <c r="W441" s="54"/>
      <c r="X441" s="54"/>
      <c r="Y441" s="117"/>
      <c r="Z441" s="54"/>
      <c r="AA441" s="54"/>
      <c r="AB441" s="54"/>
      <c r="AC441" s="211"/>
    </row>
    <row r="442" spans="1:29" x14ac:dyDescent="0.3">
      <c r="A442" s="121"/>
      <c r="B442" s="204" t="b">
        <f>IF(Pipes!$B442,Pipes!$B442)</f>
        <v>0</v>
      </c>
      <c r="C442" s="205"/>
      <c r="D442" s="224"/>
      <c r="E442" s="224"/>
      <c r="F442" s="224">
        <f t="shared" si="1302"/>
        <v>0</v>
      </c>
      <c r="G442" s="224"/>
      <c r="H442" s="224"/>
      <c r="I442" s="52"/>
      <c r="J442" s="52"/>
      <c r="K442" s="130"/>
      <c r="L442" s="206">
        <f t="shared" si="1183"/>
        <v>0</v>
      </c>
      <c r="M442" s="206" t="b">
        <f t="shared" si="1184"/>
        <v>0</v>
      </c>
      <c r="N442" s="207" t="b">
        <f t="shared" si="1185"/>
        <v>0</v>
      </c>
      <c r="O442" s="209"/>
      <c r="P442" s="208">
        <f t="shared" si="1306"/>
        <v>0</v>
      </c>
      <c r="Q442" s="53" t="b">
        <f t="shared" si="1187"/>
        <v>0</v>
      </c>
      <c r="R442" s="53" t="b">
        <f t="shared" si="1188"/>
        <v>0</v>
      </c>
      <c r="S442" s="241" t="s">
        <v>197</v>
      </c>
      <c r="T442" s="127" t="b">
        <f>IF($N442,IF($F442&gt;$P442,ROUND(($Q442-($F441/12)),2),IF($S442="YES",$N442,$N442-MinDrop)))</f>
        <v>0</v>
      </c>
      <c r="U442" s="210"/>
      <c r="V442" s="54"/>
      <c r="W442" s="54"/>
      <c r="X442" s="54"/>
      <c r="Y442" s="117"/>
      <c r="Z442" s="54"/>
      <c r="AA442" s="54"/>
      <c r="AB442" s="54"/>
      <c r="AC442" s="211"/>
    </row>
    <row r="443" spans="1:29" ht="15" thickBot="1" x14ac:dyDescent="0.35">
      <c r="A443" s="122"/>
      <c r="B443" s="204" t="b">
        <f>IF(Pipes!$B443,Pipes!$B443)</f>
        <v>0</v>
      </c>
      <c r="C443" s="212"/>
      <c r="D443" s="104"/>
      <c r="E443" s="104"/>
      <c r="F443" s="104">
        <f t="shared" si="1302"/>
        <v>0</v>
      </c>
      <c r="G443" s="104"/>
      <c r="H443" s="104"/>
      <c r="I443" s="101"/>
      <c r="J443" s="101"/>
      <c r="K443" s="131"/>
      <c r="L443" s="213">
        <f t="shared" si="1183"/>
        <v>0</v>
      </c>
      <c r="M443" s="213" t="b">
        <f t="shared" si="1184"/>
        <v>0</v>
      </c>
      <c r="N443" s="214" t="b">
        <f t="shared" si="1185"/>
        <v>0</v>
      </c>
      <c r="O443" s="216"/>
      <c r="P443" s="215">
        <f t="shared" si="1306"/>
        <v>0</v>
      </c>
      <c r="Q443" s="103" t="b">
        <f t="shared" si="1187"/>
        <v>0</v>
      </c>
      <c r="R443" s="53" t="b">
        <f t="shared" si="1188"/>
        <v>0</v>
      </c>
      <c r="S443" s="241" t="s">
        <v>197</v>
      </c>
      <c r="T443" s="127" t="b">
        <f>IF($N443,IF($F443&gt;$P443,ROUND(($Q443-($F442/12)),2),IF($S443="YES",$N443,$N443-MinDrop)))</f>
        <v>0</v>
      </c>
      <c r="U443" s="217"/>
      <c r="V443" s="102"/>
      <c r="W443" s="102"/>
      <c r="X443" s="102"/>
      <c r="Y443" s="118"/>
      <c r="Z443" s="102"/>
      <c r="AA443" s="102"/>
      <c r="AB443" s="102"/>
      <c r="AC443" s="218"/>
    </row>
    <row r="444" spans="1:29" x14ac:dyDescent="0.3">
      <c r="A444" s="115">
        <f t="shared" ref="A444" si="1309">$A439+1</f>
        <v>89</v>
      </c>
      <c r="B444" s="186"/>
      <c r="C444" s="201">
        <f>IF(Pipes!$Q444&gt;0,IF(Pipes!$R444&gt;MinDiameter,Pipes!$R444,MinDiameter),0)</f>
        <v>0</v>
      </c>
      <c r="D444" s="187" t="s">
        <v>197</v>
      </c>
      <c r="E444" s="187"/>
      <c r="F444" s="107">
        <f>Pipes!$S444</f>
        <v>0</v>
      </c>
      <c r="G444" s="108">
        <f>Pipes!$W444</f>
        <v>0</v>
      </c>
      <c r="H444" s="187" t="s">
        <v>197</v>
      </c>
      <c r="I444" s="188"/>
      <c r="J444" s="108">
        <f>Pipes!$X444</f>
        <v>0</v>
      </c>
      <c r="K444" s="193">
        <f>INDEX(Tribs!$H$3:$H$102,MATCH($A444,Tribs!$A$3:$A$102,0))</f>
        <v>0</v>
      </c>
      <c r="L444" s="105">
        <f>INDEX(Tribs!$I$3:$I$102,MATCH($A444,Tribs!$A$3:$A$102,0))</f>
        <v>0</v>
      </c>
      <c r="M444" s="105" t="b">
        <f>IF($L444,ROUND($L444-MinCover-($F444/12),2))</f>
        <v>0</v>
      </c>
      <c r="N444" s="202"/>
      <c r="O444" s="129">
        <f t="shared" ref="O444" si="1310">MIN($N445:$N448)</f>
        <v>0</v>
      </c>
      <c r="P444" s="203"/>
      <c r="Q444" s="203"/>
      <c r="R444" s="203"/>
      <c r="S444" s="110"/>
      <c r="T444" s="116" t="b">
        <f t="shared" ref="T444" si="1311">IF($M444,$M444)</f>
        <v>0</v>
      </c>
      <c r="U444" s="129">
        <f t="shared" ref="U444" si="1312">MIN($T444:$T448)</f>
        <v>0</v>
      </c>
      <c r="V444" s="233" t="s">
        <v>197</v>
      </c>
      <c r="W444" s="219"/>
      <c r="X444" s="219" t="s">
        <v>197</v>
      </c>
      <c r="Y444" s="239"/>
      <c r="Z444" s="105">
        <f t="shared" ref="Z444" si="1313">IF($V444="YES",$U444,IF($X444&lt;&gt;"YES",$W444,($AC444+$J444*$K444)))</f>
        <v>0</v>
      </c>
      <c r="AA444" s="105">
        <f t="shared" ref="AA444" si="1314">ROUND($Z444+($F444/12),2)</f>
        <v>0</v>
      </c>
      <c r="AB444" s="105" t="b">
        <f t="shared" ref="AB444" si="1315">IF($L444,($L444-$AA444))</f>
        <v>0</v>
      </c>
      <c r="AC444" s="111">
        <f t="shared" ref="AC444" si="1316">IF(AND($V444&lt;&gt;"YES",$X444="YES"),$Y444,ROUND($Z444-($J444*$K444),2))</f>
        <v>0</v>
      </c>
    </row>
    <row r="445" spans="1:29" x14ac:dyDescent="0.3">
      <c r="A445" s="121"/>
      <c r="B445" s="204" t="b">
        <f>IF(Pipes!$B445,Pipes!$B445)</f>
        <v>0</v>
      </c>
      <c r="C445" s="205"/>
      <c r="D445" s="224"/>
      <c r="E445" s="224"/>
      <c r="F445" s="224">
        <f t="shared" ref="F445:F448" si="1317">F444</f>
        <v>0</v>
      </c>
      <c r="G445" s="224"/>
      <c r="H445" s="224"/>
      <c r="I445" s="52"/>
      <c r="J445" s="52"/>
      <c r="K445" s="130"/>
      <c r="L445" s="206">
        <f t="shared" ref="L445" si="1318">$L444</f>
        <v>0</v>
      </c>
      <c r="M445" s="206" t="b">
        <f t="shared" ref="M445" si="1319">M444</f>
        <v>0</v>
      </c>
      <c r="N445" s="240" t="b">
        <f t="shared" ref="N445" si="1320">IF($B445,INDEX($AC$4:$AC$499,MATCH($B445,$A$4:$A$499)))</f>
        <v>0</v>
      </c>
      <c r="O445" s="209"/>
      <c r="P445" s="208">
        <f t="shared" ref="P445:P448" si="1321">IF($B445,INDEX($F$4:$F$499,MATCH($B445,$A$4:$A$499)),0)</f>
        <v>0</v>
      </c>
      <c r="Q445" s="242" t="b">
        <f t="shared" ref="Q445" si="1322">IF($N445,ROUND(($N445+($P445/12)),2))</f>
        <v>0</v>
      </c>
      <c r="R445" s="53" t="b">
        <f t="shared" ref="R445" si="1323">IF(AND($L445,$Q445),$L445-$Q445)</f>
        <v>0</v>
      </c>
      <c r="S445" s="241" t="s">
        <v>197</v>
      </c>
      <c r="T445" s="127" t="b">
        <f>IF($N445,IF($F445&gt;$P445,ROUND(($Q445-($F444/12)),2),IF($S445="YES",$N445,$N445-MinDrop)))</f>
        <v>0</v>
      </c>
      <c r="U445" s="243"/>
      <c r="V445" s="245"/>
      <c r="W445" s="245"/>
      <c r="X445" s="54"/>
      <c r="Y445" s="117"/>
      <c r="Z445" s="54"/>
      <c r="AA445" s="54"/>
      <c r="AB445" s="54"/>
      <c r="AC445" s="211"/>
    </row>
    <row r="446" spans="1:29" x14ac:dyDescent="0.3">
      <c r="A446" s="121"/>
      <c r="B446" s="204" t="b">
        <f>IF(Pipes!$B446,Pipes!$B446)</f>
        <v>0</v>
      </c>
      <c r="C446" s="205"/>
      <c r="D446" s="224"/>
      <c r="E446" s="224"/>
      <c r="F446" s="224">
        <f t="shared" si="1317"/>
        <v>0</v>
      </c>
      <c r="G446" s="224"/>
      <c r="H446" s="224"/>
      <c r="I446" s="52"/>
      <c r="J446" s="52"/>
      <c r="K446" s="130"/>
      <c r="L446" s="206">
        <f t="shared" si="1183"/>
        <v>0</v>
      </c>
      <c r="M446" s="206" t="b">
        <f t="shared" si="1184"/>
        <v>0</v>
      </c>
      <c r="N446" s="207" t="b">
        <f t="shared" si="1185"/>
        <v>0</v>
      </c>
      <c r="O446" s="209"/>
      <c r="P446" s="208">
        <f t="shared" si="1321"/>
        <v>0</v>
      </c>
      <c r="Q446" s="53" t="b">
        <f t="shared" si="1187"/>
        <v>0</v>
      </c>
      <c r="R446" s="53" t="b">
        <f t="shared" si="1188"/>
        <v>0</v>
      </c>
      <c r="S446" s="241" t="s">
        <v>197</v>
      </c>
      <c r="T446" s="127" t="b">
        <f>IF($N446,IF($F446&gt;$P446,ROUND(($Q446-($F445/12)),2),IF($S446="YES",$N446,$N446-MinDrop)))</f>
        <v>0</v>
      </c>
      <c r="U446" s="210"/>
      <c r="V446" s="54"/>
      <c r="W446" s="54"/>
      <c r="X446" s="54"/>
      <c r="Y446" s="117"/>
      <c r="Z446" s="54"/>
      <c r="AA446" s="54"/>
      <c r="AB446" s="54"/>
      <c r="AC446" s="211"/>
    </row>
    <row r="447" spans="1:29" x14ac:dyDescent="0.3">
      <c r="A447" s="121"/>
      <c r="B447" s="204" t="b">
        <f>IF(Pipes!$B447,Pipes!$B447)</f>
        <v>0</v>
      </c>
      <c r="C447" s="205"/>
      <c r="D447" s="224"/>
      <c r="E447" s="224"/>
      <c r="F447" s="224">
        <f t="shared" si="1317"/>
        <v>0</v>
      </c>
      <c r="G447" s="224"/>
      <c r="H447" s="224"/>
      <c r="I447" s="52"/>
      <c r="J447" s="52"/>
      <c r="K447" s="130"/>
      <c r="L447" s="206">
        <f t="shared" si="1183"/>
        <v>0</v>
      </c>
      <c r="M447" s="206" t="b">
        <f t="shared" si="1184"/>
        <v>0</v>
      </c>
      <c r="N447" s="207" t="b">
        <f t="shared" si="1185"/>
        <v>0</v>
      </c>
      <c r="O447" s="209"/>
      <c r="P447" s="208">
        <f t="shared" si="1321"/>
        <v>0</v>
      </c>
      <c r="Q447" s="53" t="b">
        <f t="shared" si="1187"/>
        <v>0</v>
      </c>
      <c r="R447" s="53" t="b">
        <f t="shared" si="1188"/>
        <v>0</v>
      </c>
      <c r="S447" s="241" t="s">
        <v>197</v>
      </c>
      <c r="T447" s="127" t="b">
        <f>IF($N447,IF($F447&gt;$P447,ROUND(($Q447-($F446/12)),2),IF($S447="YES",$N447,$N447-MinDrop)))</f>
        <v>0</v>
      </c>
      <c r="U447" s="210"/>
      <c r="V447" s="54"/>
      <c r="W447" s="54"/>
      <c r="X447" s="54"/>
      <c r="Y447" s="117"/>
      <c r="Z447" s="54"/>
      <c r="AA447" s="54"/>
      <c r="AB447" s="54"/>
      <c r="AC447" s="211"/>
    </row>
    <row r="448" spans="1:29" ht="15" thickBot="1" x14ac:dyDescent="0.35">
      <c r="A448" s="122"/>
      <c r="B448" s="204" t="b">
        <f>IF(Pipes!$B448,Pipes!$B448)</f>
        <v>0</v>
      </c>
      <c r="C448" s="212"/>
      <c r="D448" s="104"/>
      <c r="E448" s="104"/>
      <c r="F448" s="104">
        <f t="shared" si="1317"/>
        <v>0</v>
      </c>
      <c r="G448" s="104"/>
      <c r="H448" s="104"/>
      <c r="I448" s="101"/>
      <c r="J448" s="101"/>
      <c r="K448" s="131"/>
      <c r="L448" s="213">
        <f t="shared" si="1183"/>
        <v>0</v>
      </c>
      <c r="M448" s="213" t="b">
        <f t="shared" si="1184"/>
        <v>0</v>
      </c>
      <c r="N448" s="214" t="b">
        <f t="shared" si="1185"/>
        <v>0</v>
      </c>
      <c r="O448" s="216"/>
      <c r="P448" s="215">
        <f t="shared" si="1321"/>
        <v>0</v>
      </c>
      <c r="Q448" s="103" t="b">
        <f t="shared" si="1187"/>
        <v>0</v>
      </c>
      <c r="R448" s="53" t="b">
        <f t="shared" si="1188"/>
        <v>0</v>
      </c>
      <c r="S448" s="241" t="s">
        <v>197</v>
      </c>
      <c r="T448" s="127" t="b">
        <f>IF($N448,IF($F448&gt;$P448,ROUND(($Q448-($F447/12)),2),IF($S448="YES",$N448,$N448-MinDrop)))</f>
        <v>0</v>
      </c>
      <c r="U448" s="217"/>
      <c r="V448" s="102"/>
      <c r="W448" s="102"/>
      <c r="X448" s="102"/>
      <c r="Y448" s="118"/>
      <c r="Z448" s="102"/>
      <c r="AA448" s="102"/>
      <c r="AB448" s="102"/>
      <c r="AC448" s="218"/>
    </row>
    <row r="449" spans="1:29" x14ac:dyDescent="0.3">
      <c r="A449" s="115">
        <f t="shared" ref="A449" si="1324">$A444+1</f>
        <v>90</v>
      </c>
      <c r="B449" s="186"/>
      <c r="C449" s="201">
        <f>IF(Pipes!$Q449&gt;0,IF(Pipes!$R449&gt;MinDiameter,Pipes!$R449,MinDiameter),0)</f>
        <v>0</v>
      </c>
      <c r="D449" s="187" t="s">
        <v>197</v>
      </c>
      <c r="E449" s="187"/>
      <c r="F449" s="107">
        <f>Pipes!$S449</f>
        <v>0</v>
      </c>
      <c r="G449" s="108">
        <f>Pipes!$W449</f>
        <v>0</v>
      </c>
      <c r="H449" s="187" t="s">
        <v>197</v>
      </c>
      <c r="I449" s="188"/>
      <c r="J449" s="108">
        <f>Pipes!$X449</f>
        <v>0</v>
      </c>
      <c r="K449" s="193">
        <f>INDEX(Tribs!$H$3:$H$102,MATCH($A449,Tribs!$A$3:$A$102,0))</f>
        <v>0</v>
      </c>
      <c r="L449" s="105">
        <f>INDEX(Tribs!$I$3:$I$102,MATCH($A449,Tribs!$A$3:$A$102,0))</f>
        <v>0</v>
      </c>
      <c r="M449" s="105" t="b">
        <f>IF($L449,ROUND($L449-MinCover-($F449/12),2))</f>
        <v>0</v>
      </c>
      <c r="N449" s="202"/>
      <c r="O449" s="129">
        <f t="shared" ref="O449" si="1325">MIN($N450:$N453)</f>
        <v>0</v>
      </c>
      <c r="P449" s="203"/>
      <c r="Q449" s="203"/>
      <c r="R449" s="203"/>
      <c r="S449" s="110"/>
      <c r="T449" s="116" t="b">
        <f t="shared" ref="T449" si="1326">IF($M449,$M449)</f>
        <v>0</v>
      </c>
      <c r="U449" s="129">
        <f t="shared" ref="U449" si="1327">MIN($T449:$T453)</f>
        <v>0</v>
      </c>
      <c r="V449" s="233" t="s">
        <v>197</v>
      </c>
      <c r="W449" s="219"/>
      <c r="X449" s="219" t="s">
        <v>197</v>
      </c>
      <c r="Y449" s="239"/>
      <c r="Z449" s="105">
        <f t="shared" ref="Z449" si="1328">IF($V449="YES",$U449,IF($X449&lt;&gt;"YES",$W449,($AC449+$J449*$K449)))</f>
        <v>0</v>
      </c>
      <c r="AA449" s="105">
        <f t="shared" ref="AA449" si="1329">ROUND($Z449+($F449/12),2)</f>
        <v>0</v>
      </c>
      <c r="AB449" s="105" t="b">
        <f t="shared" ref="AB449" si="1330">IF($L449,($L449-$AA449))</f>
        <v>0</v>
      </c>
      <c r="AC449" s="111">
        <f t="shared" ref="AC449" si="1331">IF(AND($V449&lt;&gt;"YES",$X449="YES"),$Y449,ROUND($Z449-($J449*$K449),2))</f>
        <v>0</v>
      </c>
    </row>
    <row r="450" spans="1:29" x14ac:dyDescent="0.3">
      <c r="A450" s="121"/>
      <c r="B450" s="204" t="b">
        <f>IF(Pipes!$B450,Pipes!$B450)</f>
        <v>0</v>
      </c>
      <c r="C450" s="205"/>
      <c r="D450" s="224"/>
      <c r="E450" s="224"/>
      <c r="F450" s="224">
        <f t="shared" ref="F450:F453" si="1332">F449</f>
        <v>0</v>
      </c>
      <c r="G450" s="224"/>
      <c r="H450" s="224"/>
      <c r="I450" s="52"/>
      <c r="J450" s="52"/>
      <c r="K450" s="130"/>
      <c r="L450" s="206">
        <f t="shared" ref="L450" si="1333">$L449</f>
        <v>0</v>
      </c>
      <c r="M450" s="206" t="b">
        <f t="shared" ref="M450" si="1334">M449</f>
        <v>0</v>
      </c>
      <c r="N450" s="240" t="b">
        <f t="shared" ref="N450" si="1335">IF($B450,INDEX($AC$4:$AC$499,MATCH($B450,$A$4:$A$499)))</f>
        <v>0</v>
      </c>
      <c r="O450" s="209"/>
      <c r="P450" s="208">
        <f t="shared" ref="P450:P453" si="1336">IF($B450,INDEX($F$4:$F$499,MATCH($B450,$A$4:$A$499)),0)</f>
        <v>0</v>
      </c>
      <c r="Q450" s="242" t="b">
        <f t="shared" ref="Q450" si="1337">IF($N450,ROUND(($N450+($P450/12)),2))</f>
        <v>0</v>
      </c>
      <c r="R450" s="53" t="b">
        <f t="shared" ref="R450" si="1338">IF(AND($L450,$Q450),$L450-$Q450)</f>
        <v>0</v>
      </c>
      <c r="S450" s="241" t="s">
        <v>197</v>
      </c>
      <c r="T450" s="127" t="b">
        <f>IF($N450,IF($F450&gt;$P450,ROUND(($Q450-($F449/12)),2),IF($S450="YES",$N450,$N450-MinDrop)))</f>
        <v>0</v>
      </c>
      <c r="U450" s="243"/>
      <c r="V450" s="245"/>
      <c r="W450" s="245"/>
      <c r="X450" s="54"/>
      <c r="Y450" s="117"/>
      <c r="Z450" s="54"/>
      <c r="AA450" s="54"/>
      <c r="AB450" s="54"/>
      <c r="AC450" s="211"/>
    </row>
    <row r="451" spans="1:29" x14ac:dyDescent="0.3">
      <c r="A451" s="121"/>
      <c r="B451" s="204" t="b">
        <f>IF(Pipes!$B451,Pipes!$B451)</f>
        <v>0</v>
      </c>
      <c r="C451" s="205"/>
      <c r="D451" s="224"/>
      <c r="E451" s="224"/>
      <c r="F451" s="224">
        <f t="shared" si="1332"/>
        <v>0</v>
      </c>
      <c r="G451" s="224"/>
      <c r="H451" s="224"/>
      <c r="I451" s="52"/>
      <c r="J451" s="52"/>
      <c r="K451" s="130"/>
      <c r="L451" s="206">
        <f t="shared" si="1183"/>
        <v>0</v>
      </c>
      <c r="M451" s="206" t="b">
        <f t="shared" si="1184"/>
        <v>0</v>
      </c>
      <c r="N451" s="207" t="b">
        <f t="shared" si="1185"/>
        <v>0</v>
      </c>
      <c r="O451" s="209"/>
      <c r="P451" s="208">
        <f t="shared" si="1336"/>
        <v>0</v>
      </c>
      <c r="Q451" s="53" t="b">
        <f t="shared" si="1187"/>
        <v>0</v>
      </c>
      <c r="R451" s="53" t="b">
        <f t="shared" si="1188"/>
        <v>0</v>
      </c>
      <c r="S451" s="241" t="s">
        <v>197</v>
      </c>
      <c r="T451" s="127" t="b">
        <f>IF($N451,IF($F451&gt;$P451,ROUND(($Q451-($F450/12)),2),IF($S451="YES",$N451,$N451-MinDrop)))</f>
        <v>0</v>
      </c>
      <c r="U451" s="210"/>
      <c r="V451" s="54"/>
      <c r="W451" s="54"/>
      <c r="X451" s="54"/>
      <c r="Y451" s="117"/>
      <c r="Z451" s="54"/>
      <c r="AA451" s="54"/>
      <c r="AB451" s="54"/>
      <c r="AC451" s="211"/>
    </row>
    <row r="452" spans="1:29" x14ac:dyDescent="0.3">
      <c r="A452" s="121"/>
      <c r="B452" s="204" t="b">
        <f>IF(Pipes!$B452,Pipes!$B452)</f>
        <v>0</v>
      </c>
      <c r="C452" s="205"/>
      <c r="D452" s="224"/>
      <c r="E452" s="224"/>
      <c r="F452" s="224">
        <f t="shared" si="1332"/>
        <v>0</v>
      </c>
      <c r="G452" s="224"/>
      <c r="H452" s="224"/>
      <c r="I452" s="52"/>
      <c r="J452" s="52"/>
      <c r="K452" s="130"/>
      <c r="L452" s="206">
        <f t="shared" si="1183"/>
        <v>0</v>
      </c>
      <c r="M452" s="206" t="b">
        <f t="shared" si="1184"/>
        <v>0</v>
      </c>
      <c r="N452" s="207" t="b">
        <f t="shared" si="1185"/>
        <v>0</v>
      </c>
      <c r="O452" s="209"/>
      <c r="P452" s="208">
        <f t="shared" si="1336"/>
        <v>0</v>
      </c>
      <c r="Q452" s="53" t="b">
        <f t="shared" si="1187"/>
        <v>0</v>
      </c>
      <c r="R452" s="53" t="b">
        <f t="shared" si="1188"/>
        <v>0</v>
      </c>
      <c r="S452" s="241" t="s">
        <v>197</v>
      </c>
      <c r="T452" s="127" t="b">
        <f>IF($N452,IF($F452&gt;$P452,ROUND(($Q452-($F451/12)),2),IF($S452="YES",$N452,$N452-MinDrop)))</f>
        <v>0</v>
      </c>
      <c r="U452" s="210"/>
      <c r="V452" s="54"/>
      <c r="W452" s="54"/>
      <c r="X452" s="54"/>
      <c r="Y452" s="117"/>
      <c r="Z452" s="54"/>
      <c r="AA452" s="54"/>
      <c r="AB452" s="54"/>
      <c r="AC452" s="211"/>
    </row>
    <row r="453" spans="1:29" ht="15" thickBot="1" x14ac:dyDescent="0.35">
      <c r="A453" s="122"/>
      <c r="B453" s="204" t="b">
        <f>IF(Pipes!$B453,Pipes!$B453)</f>
        <v>0</v>
      </c>
      <c r="C453" s="212"/>
      <c r="D453" s="104"/>
      <c r="E453" s="104"/>
      <c r="F453" s="104">
        <f t="shared" si="1332"/>
        <v>0</v>
      </c>
      <c r="G453" s="104"/>
      <c r="H453" s="104"/>
      <c r="I453" s="101"/>
      <c r="J453" s="101"/>
      <c r="K453" s="131"/>
      <c r="L453" s="213">
        <f t="shared" si="1183"/>
        <v>0</v>
      </c>
      <c r="M453" s="213" t="b">
        <f t="shared" si="1184"/>
        <v>0</v>
      </c>
      <c r="N453" s="214" t="b">
        <f t="shared" si="1185"/>
        <v>0</v>
      </c>
      <c r="O453" s="216"/>
      <c r="P453" s="215">
        <f t="shared" si="1336"/>
        <v>0</v>
      </c>
      <c r="Q453" s="103" t="b">
        <f t="shared" si="1187"/>
        <v>0</v>
      </c>
      <c r="R453" s="53" t="b">
        <f t="shared" si="1188"/>
        <v>0</v>
      </c>
      <c r="S453" s="241" t="s">
        <v>197</v>
      </c>
      <c r="T453" s="127" t="b">
        <f>IF($N453,IF($F453&gt;$P453,ROUND(($Q453-($F452/12)),2),IF($S453="YES",$N453,$N453-MinDrop)))</f>
        <v>0</v>
      </c>
      <c r="U453" s="217"/>
      <c r="V453" s="102"/>
      <c r="W453" s="102"/>
      <c r="X453" s="102"/>
      <c r="Y453" s="118"/>
      <c r="Z453" s="102"/>
      <c r="AA453" s="102"/>
      <c r="AB453" s="102"/>
      <c r="AC453" s="218"/>
    </row>
    <row r="454" spans="1:29" x14ac:dyDescent="0.3">
      <c r="A454" s="115">
        <f t="shared" ref="A454" si="1339">$A449+1</f>
        <v>91</v>
      </c>
      <c r="B454" s="186"/>
      <c r="C454" s="201">
        <f>IF(Pipes!$Q454&gt;0,IF(Pipes!$R454&gt;MinDiameter,Pipes!$R454,MinDiameter),0)</f>
        <v>0</v>
      </c>
      <c r="D454" s="187" t="s">
        <v>197</v>
      </c>
      <c r="E454" s="187"/>
      <c r="F454" s="107">
        <f>Pipes!$S454</f>
        <v>0</v>
      </c>
      <c r="G454" s="108">
        <f>Pipes!$W454</f>
        <v>0</v>
      </c>
      <c r="H454" s="187" t="s">
        <v>197</v>
      </c>
      <c r="I454" s="188"/>
      <c r="J454" s="108">
        <f>Pipes!$X454</f>
        <v>0</v>
      </c>
      <c r="K454" s="193">
        <f>INDEX(Tribs!$H$3:$H$102,MATCH($A454,Tribs!$A$3:$A$102,0))</f>
        <v>0</v>
      </c>
      <c r="L454" s="105">
        <f>INDEX(Tribs!$I$3:$I$102,MATCH($A454,Tribs!$A$3:$A$102,0))</f>
        <v>0</v>
      </c>
      <c r="M454" s="105" t="b">
        <f>IF($L454,ROUND($L454-MinCover-($F454/12),2))</f>
        <v>0</v>
      </c>
      <c r="N454" s="202"/>
      <c r="O454" s="129">
        <f t="shared" ref="O454" si="1340">MIN($N455:$N458)</f>
        <v>0</v>
      </c>
      <c r="P454" s="203"/>
      <c r="Q454" s="203"/>
      <c r="R454" s="203"/>
      <c r="S454" s="110"/>
      <c r="T454" s="116" t="b">
        <f t="shared" ref="T454" si="1341">IF($M454,$M454)</f>
        <v>0</v>
      </c>
      <c r="U454" s="129">
        <f t="shared" ref="U454" si="1342">MIN($T454:$T458)</f>
        <v>0</v>
      </c>
      <c r="V454" s="233" t="s">
        <v>197</v>
      </c>
      <c r="W454" s="219"/>
      <c r="X454" s="219" t="s">
        <v>197</v>
      </c>
      <c r="Y454" s="239"/>
      <c r="Z454" s="105">
        <f t="shared" ref="Z454" si="1343">IF($V454="YES",$U454,IF($X454&lt;&gt;"YES",$W454,($AC454+$J454*$K454)))</f>
        <v>0</v>
      </c>
      <c r="AA454" s="105">
        <f t="shared" ref="AA454" si="1344">ROUND($Z454+($F454/12),2)</f>
        <v>0</v>
      </c>
      <c r="AB454" s="105" t="b">
        <f t="shared" ref="AB454" si="1345">IF($L454,($L454-$AA454))</f>
        <v>0</v>
      </c>
      <c r="AC454" s="111">
        <f t="shared" ref="AC454" si="1346">IF(AND($V454&lt;&gt;"YES",$X454="YES"),$Y454,ROUND($Z454-($J454*$K454),2))</f>
        <v>0</v>
      </c>
    </row>
    <row r="455" spans="1:29" x14ac:dyDescent="0.3">
      <c r="A455" s="121"/>
      <c r="B455" s="204" t="b">
        <f>IF(Pipes!$B455,Pipes!$B455)</f>
        <v>0</v>
      </c>
      <c r="C455" s="205"/>
      <c r="D455" s="224"/>
      <c r="E455" s="224"/>
      <c r="F455" s="224">
        <f t="shared" ref="F455:F458" si="1347">F454</f>
        <v>0</v>
      </c>
      <c r="G455" s="224"/>
      <c r="H455" s="224"/>
      <c r="I455" s="52"/>
      <c r="J455" s="52"/>
      <c r="K455" s="130"/>
      <c r="L455" s="206">
        <f t="shared" ref="L455" si="1348">$L454</f>
        <v>0</v>
      </c>
      <c r="M455" s="206" t="b">
        <f t="shared" ref="M455" si="1349">M454</f>
        <v>0</v>
      </c>
      <c r="N455" s="240" t="b">
        <f t="shared" ref="N455" si="1350">IF($B455,INDEX($AC$4:$AC$499,MATCH($B455,$A$4:$A$499)))</f>
        <v>0</v>
      </c>
      <c r="O455" s="209"/>
      <c r="P455" s="208">
        <f t="shared" ref="P455:P458" si="1351">IF($B455,INDEX($F$4:$F$499,MATCH($B455,$A$4:$A$499)),0)</f>
        <v>0</v>
      </c>
      <c r="Q455" s="242" t="b">
        <f t="shared" ref="Q455" si="1352">IF($N455,ROUND(($N455+($P455/12)),2))</f>
        <v>0</v>
      </c>
      <c r="R455" s="53" t="b">
        <f t="shared" ref="R455" si="1353">IF(AND($L455,$Q455),$L455-$Q455)</f>
        <v>0</v>
      </c>
      <c r="S455" s="241" t="s">
        <v>197</v>
      </c>
      <c r="T455" s="127" t="b">
        <f>IF($N455,IF($F455&gt;$P455,ROUND(($Q455-($F454/12)),2),IF($S455="YES",$N455,$N455-MinDrop)))</f>
        <v>0</v>
      </c>
      <c r="U455" s="243"/>
      <c r="V455" s="245"/>
      <c r="W455" s="245"/>
      <c r="X455" s="54"/>
      <c r="Y455" s="117"/>
      <c r="Z455" s="54"/>
      <c r="AA455" s="54"/>
      <c r="AB455" s="54"/>
      <c r="AC455" s="211"/>
    </row>
    <row r="456" spans="1:29" x14ac:dyDescent="0.3">
      <c r="A456" s="121"/>
      <c r="B456" s="204" t="b">
        <f>IF(Pipes!$B456,Pipes!$B456)</f>
        <v>0</v>
      </c>
      <c r="C456" s="205"/>
      <c r="D456" s="224"/>
      <c r="E456" s="224"/>
      <c r="F456" s="224">
        <f t="shared" si="1347"/>
        <v>0</v>
      </c>
      <c r="G456" s="224"/>
      <c r="H456" s="224"/>
      <c r="I456" s="52"/>
      <c r="J456" s="52"/>
      <c r="K456" s="130"/>
      <c r="L456" s="206">
        <f t="shared" si="1183"/>
        <v>0</v>
      </c>
      <c r="M456" s="206" t="b">
        <f t="shared" si="1184"/>
        <v>0</v>
      </c>
      <c r="N456" s="207" t="b">
        <f t="shared" si="1185"/>
        <v>0</v>
      </c>
      <c r="O456" s="209"/>
      <c r="P456" s="208">
        <f t="shared" si="1351"/>
        <v>0</v>
      </c>
      <c r="Q456" s="53" t="b">
        <f t="shared" si="1187"/>
        <v>0</v>
      </c>
      <c r="R456" s="53" t="b">
        <f t="shared" si="1188"/>
        <v>0</v>
      </c>
      <c r="S456" s="241" t="s">
        <v>197</v>
      </c>
      <c r="T456" s="127" t="b">
        <f>IF($N456,IF($F456&gt;$P456,ROUND(($Q456-($F455/12)),2),IF($S456="YES",$N456,$N456-MinDrop)))</f>
        <v>0</v>
      </c>
      <c r="U456" s="210"/>
      <c r="V456" s="54"/>
      <c r="W456" s="54"/>
      <c r="X456" s="54"/>
      <c r="Y456" s="117"/>
      <c r="Z456" s="54"/>
      <c r="AA456" s="54"/>
      <c r="AB456" s="54"/>
      <c r="AC456" s="211"/>
    </row>
    <row r="457" spans="1:29" x14ac:dyDescent="0.3">
      <c r="A457" s="121"/>
      <c r="B457" s="204" t="b">
        <f>IF(Pipes!$B457,Pipes!$B457)</f>
        <v>0</v>
      </c>
      <c r="C457" s="205"/>
      <c r="D457" s="224"/>
      <c r="E457" s="224"/>
      <c r="F457" s="224">
        <f t="shared" si="1347"/>
        <v>0</v>
      </c>
      <c r="G457" s="224"/>
      <c r="H457" s="224"/>
      <c r="I457" s="52"/>
      <c r="J457" s="52"/>
      <c r="K457" s="130"/>
      <c r="L457" s="206">
        <f t="shared" si="1183"/>
        <v>0</v>
      </c>
      <c r="M457" s="206" t="b">
        <f t="shared" si="1184"/>
        <v>0</v>
      </c>
      <c r="N457" s="207" t="b">
        <f t="shared" si="1185"/>
        <v>0</v>
      </c>
      <c r="O457" s="209"/>
      <c r="P457" s="208">
        <f t="shared" si="1351"/>
        <v>0</v>
      </c>
      <c r="Q457" s="53" t="b">
        <f t="shared" si="1187"/>
        <v>0</v>
      </c>
      <c r="R457" s="53" t="b">
        <f t="shared" si="1188"/>
        <v>0</v>
      </c>
      <c r="S457" s="241" t="s">
        <v>197</v>
      </c>
      <c r="T457" s="127" t="b">
        <f>IF($N457,IF($F457&gt;$P457,ROUND(($Q457-($F456/12)),2),IF($S457="YES",$N457,$N457-MinDrop)))</f>
        <v>0</v>
      </c>
      <c r="U457" s="210"/>
      <c r="V457" s="54"/>
      <c r="W457" s="54"/>
      <c r="X457" s="54"/>
      <c r="Y457" s="117"/>
      <c r="Z457" s="54"/>
      <c r="AA457" s="54"/>
      <c r="AB457" s="54"/>
      <c r="AC457" s="211"/>
    </row>
    <row r="458" spans="1:29" ht="15" thickBot="1" x14ac:dyDescent="0.35">
      <c r="A458" s="122"/>
      <c r="B458" s="204" t="b">
        <f>IF(Pipes!$B458,Pipes!$B458)</f>
        <v>0</v>
      </c>
      <c r="C458" s="212"/>
      <c r="D458" s="104"/>
      <c r="E458" s="104"/>
      <c r="F458" s="104">
        <f t="shared" si="1347"/>
        <v>0</v>
      </c>
      <c r="G458" s="104"/>
      <c r="H458" s="104"/>
      <c r="I458" s="101"/>
      <c r="J458" s="101"/>
      <c r="K458" s="131"/>
      <c r="L458" s="213">
        <f t="shared" si="1183"/>
        <v>0</v>
      </c>
      <c r="M458" s="213" t="b">
        <f t="shared" si="1184"/>
        <v>0</v>
      </c>
      <c r="N458" s="214" t="b">
        <f t="shared" si="1185"/>
        <v>0</v>
      </c>
      <c r="O458" s="216"/>
      <c r="P458" s="215">
        <f t="shared" si="1351"/>
        <v>0</v>
      </c>
      <c r="Q458" s="103" t="b">
        <f t="shared" si="1187"/>
        <v>0</v>
      </c>
      <c r="R458" s="53" t="b">
        <f t="shared" si="1188"/>
        <v>0</v>
      </c>
      <c r="S458" s="241" t="s">
        <v>197</v>
      </c>
      <c r="T458" s="127" t="b">
        <f>IF($N458,IF($F458&gt;$P458,ROUND(($Q458-($F457/12)),2),IF($S458="YES",$N458,$N458-MinDrop)))</f>
        <v>0</v>
      </c>
      <c r="U458" s="217"/>
      <c r="V458" s="102"/>
      <c r="W458" s="102"/>
      <c r="X458" s="102"/>
      <c r="Y458" s="118"/>
      <c r="Z458" s="102"/>
      <c r="AA458" s="102"/>
      <c r="AB458" s="102"/>
      <c r="AC458" s="218"/>
    </row>
    <row r="459" spans="1:29" x14ac:dyDescent="0.3">
      <c r="A459" s="115">
        <f t="shared" ref="A459" si="1354">$A454+1</f>
        <v>92</v>
      </c>
      <c r="B459" s="186"/>
      <c r="C459" s="201">
        <f>IF(Pipes!$Q459&gt;0,IF(Pipes!$R459&gt;MinDiameter,Pipes!$R459,MinDiameter),0)</f>
        <v>0</v>
      </c>
      <c r="D459" s="187" t="s">
        <v>197</v>
      </c>
      <c r="E459" s="187"/>
      <c r="F459" s="107">
        <f>Pipes!$S459</f>
        <v>0</v>
      </c>
      <c r="G459" s="108">
        <f>Pipes!$W459</f>
        <v>0</v>
      </c>
      <c r="H459" s="187" t="s">
        <v>197</v>
      </c>
      <c r="I459" s="188"/>
      <c r="J459" s="108">
        <f>Pipes!$X459</f>
        <v>0</v>
      </c>
      <c r="K459" s="193">
        <f>INDEX(Tribs!$H$3:$H$102,MATCH($A459,Tribs!$A$3:$A$102,0))</f>
        <v>0</v>
      </c>
      <c r="L459" s="105">
        <f>INDEX(Tribs!$I$3:$I$102,MATCH($A459,Tribs!$A$3:$A$102,0))</f>
        <v>0</v>
      </c>
      <c r="M459" s="105" t="b">
        <f>IF($L459,ROUND($L459-MinCover-($F459/12),2))</f>
        <v>0</v>
      </c>
      <c r="N459" s="202"/>
      <c r="O459" s="129">
        <f t="shared" ref="O459" si="1355">MIN($N460:$N463)</f>
        <v>0</v>
      </c>
      <c r="P459" s="203"/>
      <c r="Q459" s="203"/>
      <c r="R459" s="203"/>
      <c r="S459" s="110"/>
      <c r="T459" s="116" t="b">
        <f t="shared" ref="T459" si="1356">IF($M459,$M459)</f>
        <v>0</v>
      </c>
      <c r="U459" s="129">
        <f t="shared" ref="U459" si="1357">MIN($T459:$T463)</f>
        <v>0</v>
      </c>
      <c r="V459" s="233" t="s">
        <v>197</v>
      </c>
      <c r="W459" s="219"/>
      <c r="X459" s="219" t="s">
        <v>197</v>
      </c>
      <c r="Y459" s="239"/>
      <c r="Z459" s="105">
        <f t="shared" ref="Z459" si="1358">IF($V459="YES",$U459,IF($X459&lt;&gt;"YES",$W459,($AC459+$J459*$K459)))</f>
        <v>0</v>
      </c>
      <c r="AA459" s="105">
        <f t="shared" ref="AA459" si="1359">ROUND($Z459+($F459/12),2)</f>
        <v>0</v>
      </c>
      <c r="AB459" s="105" t="b">
        <f t="shared" ref="AB459" si="1360">IF($L459,($L459-$AA459))</f>
        <v>0</v>
      </c>
      <c r="AC459" s="111">
        <f t="shared" ref="AC459" si="1361">IF(AND($V459&lt;&gt;"YES",$X459="YES"),$Y459,ROUND($Z459-($J459*$K459),2))</f>
        <v>0</v>
      </c>
    </row>
    <row r="460" spans="1:29" x14ac:dyDescent="0.3">
      <c r="A460" s="121"/>
      <c r="B460" s="204" t="b">
        <f>IF(Pipes!$B460,Pipes!$B460)</f>
        <v>0</v>
      </c>
      <c r="C460" s="205"/>
      <c r="D460" s="224"/>
      <c r="E460" s="224"/>
      <c r="F460" s="224">
        <f t="shared" ref="F460:F463" si="1362">F459</f>
        <v>0</v>
      </c>
      <c r="G460" s="224"/>
      <c r="H460" s="224"/>
      <c r="I460" s="52"/>
      <c r="J460" s="52"/>
      <c r="K460" s="130"/>
      <c r="L460" s="206">
        <f t="shared" ref="L460" si="1363">$L459</f>
        <v>0</v>
      </c>
      <c r="M460" s="206" t="b">
        <f t="shared" ref="M460" si="1364">M459</f>
        <v>0</v>
      </c>
      <c r="N460" s="240" t="b">
        <f t="shared" ref="N460" si="1365">IF($B460,INDEX($AC$4:$AC$499,MATCH($B460,$A$4:$A$499)))</f>
        <v>0</v>
      </c>
      <c r="O460" s="209"/>
      <c r="P460" s="208">
        <f t="shared" ref="P460:P463" si="1366">IF($B460,INDEX($F$4:$F$499,MATCH($B460,$A$4:$A$499)),0)</f>
        <v>0</v>
      </c>
      <c r="Q460" s="242" t="b">
        <f t="shared" ref="Q460" si="1367">IF($N460,ROUND(($N460+($P460/12)),2))</f>
        <v>0</v>
      </c>
      <c r="R460" s="53" t="b">
        <f t="shared" ref="R460" si="1368">IF(AND($L460,$Q460),$L460-$Q460)</f>
        <v>0</v>
      </c>
      <c r="S460" s="241" t="s">
        <v>197</v>
      </c>
      <c r="T460" s="127" t="b">
        <f>IF($N460,IF($F460&gt;$P460,ROUND(($Q460-($F459/12)),2),IF($S460="YES",$N460,$N460-MinDrop)))</f>
        <v>0</v>
      </c>
      <c r="U460" s="243"/>
      <c r="V460" s="245"/>
      <c r="W460" s="245"/>
      <c r="X460" s="54"/>
      <c r="Y460" s="117"/>
      <c r="Z460" s="54"/>
      <c r="AA460" s="54"/>
      <c r="AB460" s="54"/>
      <c r="AC460" s="211"/>
    </row>
    <row r="461" spans="1:29" x14ac:dyDescent="0.3">
      <c r="A461" s="121"/>
      <c r="B461" s="204" t="b">
        <f>IF(Pipes!$B461,Pipes!$B461)</f>
        <v>0</v>
      </c>
      <c r="C461" s="205"/>
      <c r="D461" s="224"/>
      <c r="E461" s="224"/>
      <c r="F461" s="224">
        <f t="shared" si="1362"/>
        <v>0</v>
      </c>
      <c r="G461" s="224"/>
      <c r="H461" s="224"/>
      <c r="I461" s="52"/>
      <c r="J461" s="52"/>
      <c r="K461" s="130"/>
      <c r="L461" s="206">
        <f t="shared" si="1183"/>
        <v>0</v>
      </c>
      <c r="M461" s="206" t="b">
        <f t="shared" si="1184"/>
        <v>0</v>
      </c>
      <c r="N461" s="207" t="b">
        <f t="shared" si="1185"/>
        <v>0</v>
      </c>
      <c r="O461" s="209"/>
      <c r="P461" s="208">
        <f t="shared" si="1366"/>
        <v>0</v>
      </c>
      <c r="Q461" s="53" t="b">
        <f t="shared" si="1187"/>
        <v>0</v>
      </c>
      <c r="R461" s="53" t="b">
        <f t="shared" si="1188"/>
        <v>0</v>
      </c>
      <c r="S461" s="241" t="s">
        <v>197</v>
      </c>
      <c r="T461" s="127" t="b">
        <f>IF($N461,IF($F461&gt;$P461,ROUND(($Q461-($F460/12)),2),IF($S461="YES",$N461,$N461-MinDrop)))</f>
        <v>0</v>
      </c>
      <c r="U461" s="210"/>
      <c r="V461" s="54"/>
      <c r="W461" s="54"/>
      <c r="X461" s="54"/>
      <c r="Y461" s="117"/>
      <c r="Z461" s="54"/>
      <c r="AA461" s="54"/>
      <c r="AB461" s="54"/>
      <c r="AC461" s="211"/>
    </row>
    <row r="462" spans="1:29" x14ac:dyDescent="0.3">
      <c r="A462" s="121"/>
      <c r="B462" s="204" t="b">
        <f>IF(Pipes!$B462,Pipes!$B462)</f>
        <v>0</v>
      </c>
      <c r="C462" s="205"/>
      <c r="D462" s="224"/>
      <c r="E462" s="224"/>
      <c r="F462" s="224">
        <f t="shared" si="1362"/>
        <v>0</v>
      </c>
      <c r="G462" s="224"/>
      <c r="H462" s="224"/>
      <c r="I462" s="52"/>
      <c r="J462" s="52"/>
      <c r="K462" s="130"/>
      <c r="L462" s="206">
        <f t="shared" si="1183"/>
        <v>0</v>
      </c>
      <c r="M462" s="206" t="b">
        <f t="shared" si="1184"/>
        <v>0</v>
      </c>
      <c r="N462" s="207" t="b">
        <f t="shared" si="1185"/>
        <v>0</v>
      </c>
      <c r="O462" s="209"/>
      <c r="P462" s="208">
        <f t="shared" si="1366"/>
        <v>0</v>
      </c>
      <c r="Q462" s="53" t="b">
        <f t="shared" si="1187"/>
        <v>0</v>
      </c>
      <c r="R462" s="53" t="b">
        <f t="shared" si="1188"/>
        <v>0</v>
      </c>
      <c r="S462" s="241" t="s">
        <v>197</v>
      </c>
      <c r="T462" s="127" t="b">
        <f>IF($N462,IF($F462&gt;$P462,ROUND(($Q462-($F461/12)),2),IF($S462="YES",$N462,$N462-MinDrop)))</f>
        <v>0</v>
      </c>
      <c r="U462" s="210"/>
      <c r="V462" s="54"/>
      <c r="W462" s="54"/>
      <c r="X462" s="54"/>
      <c r="Y462" s="117"/>
      <c r="Z462" s="54"/>
      <c r="AA462" s="54"/>
      <c r="AB462" s="54"/>
      <c r="AC462" s="211"/>
    </row>
    <row r="463" spans="1:29" ht="15" thickBot="1" x14ac:dyDescent="0.35">
      <c r="A463" s="122"/>
      <c r="B463" s="204" t="b">
        <f>IF(Pipes!$B463,Pipes!$B463)</f>
        <v>0</v>
      </c>
      <c r="C463" s="212"/>
      <c r="D463" s="104"/>
      <c r="E463" s="104"/>
      <c r="F463" s="104">
        <f t="shared" si="1362"/>
        <v>0</v>
      </c>
      <c r="G463" s="104"/>
      <c r="H463" s="104"/>
      <c r="I463" s="101"/>
      <c r="J463" s="101"/>
      <c r="K463" s="131"/>
      <c r="L463" s="213">
        <f t="shared" si="1183"/>
        <v>0</v>
      </c>
      <c r="M463" s="213" t="b">
        <f t="shared" si="1184"/>
        <v>0</v>
      </c>
      <c r="N463" s="214" t="b">
        <f t="shared" si="1185"/>
        <v>0</v>
      </c>
      <c r="O463" s="216"/>
      <c r="P463" s="215">
        <f t="shared" si="1366"/>
        <v>0</v>
      </c>
      <c r="Q463" s="103" t="b">
        <f t="shared" si="1187"/>
        <v>0</v>
      </c>
      <c r="R463" s="53" t="b">
        <f t="shared" si="1188"/>
        <v>0</v>
      </c>
      <c r="S463" s="241" t="s">
        <v>197</v>
      </c>
      <c r="T463" s="127" t="b">
        <f>IF($N463,IF($F463&gt;$P463,ROUND(($Q463-($F462/12)),2),IF($S463="YES",$N463,$N463-MinDrop)))</f>
        <v>0</v>
      </c>
      <c r="U463" s="217"/>
      <c r="V463" s="102"/>
      <c r="W463" s="102"/>
      <c r="X463" s="102"/>
      <c r="Y463" s="118"/>
      <c r="Z463" s="102"/>
      <c r="AA463" s="102"/>
      <c r="AB463" s="102"/>
      <c r="AC463" s="218"/>
    </row>
    <row r="464" spans="1:29" x14ac:dyDescent="0.3">
      <c r="A464" s="115">
        <f t="shared" ref="A464" si="1369">$A459+1</f>
        <v>93</v>
      </c>
      <c r="B464" s="186"/>
      <c r="C464" s="201">
        <f>IF(Pipes!$Q464&gt;0,IF(Pipes!$R464&gt;MinDiameter,Pipes!$R464,MinDiameter),0)</f>
        <v>0</v>
      </c>
      <c r="D464" s="187" t="s">
        <v>197</v>
      </c>
      <c r="E464" s="187"/>
      <c r="F464" s="107">
        <f>Pipes!$S464</f>
        <v>0</v>
      </c>
      <c r="G464" s="108">
        <f>Pipes!$W464</f>
        <v>0</v>
      </c>
      <c r="H464" s="187" t="s">
        <v>197</v>
      </c>
      <c r="I464" s="188"/>
      <c r="J464" s="108">
        <f>Pipes!$X464</f>
        <v>0</v>
      </c>
      <c r="K464" s="193">
        <f>INDEX(Tribs!$H$3:$H$102,MATCH($A464,Tribs!$A$3:$A$102,0))</f>
        <v>0</v>
      </c>
      <c r="L464" s="105">
        <f>INDEX(Tribs!$I$3:$I$102,MATCH($A464,Tribs!$A$3:$A$102,0))</f>
        <v>0</v>
      </c>
      <c r="M464" s="105" t="b">
        <f>IF($L464,ROUND($L464-MinCover-($F464/12),2))</f>
        <v>0</v>
      </c>
      <c r="N464" s="202"/>
      <c r="O464" s="129">
        <f t="shared" ref="O464" si="1370">MIN($N465:$N468)</f>
        <v>0</v>
      </c>
      <c r="P464" s="203"/>
      <c r="Q464" s="203"/>
      <c r="R464" s="203"/>
      <c r="S464" s="110"/>
      <c r="T464" s="116" t="b">
        <f t="shared" ref="T464" si="1371">IF($M464,$M464)</f>
        <v>0</v>
      </c>
      <c r="U464" s="129">
        <f t="shared" ref="U464" si="1372">MIN($T464:$T468)</f>
        <v>0</v>
      </c>
      <c r="V464" s="233" t="s">
        <v>197</v>
      </c>
      <c r="W464" s="219"/>
      <c r="X464" s="219" t="s">
        <v>197</v>
      </c>
      <c r="Y464" s="239"/>
      <c r="Z464" s="105">
        <f t="shared" ref="Z464" si="1373">IF($V464="YES",$U464,IF($X464&lt;&gt;"YES",$W464,($AC464+$J464*$K464)))</f>
        <v>0</v>
      </c>
      <c r="AA464" s="105">
        <f t="shared" ref="AA464" si="1374">ROUND($Z464+($F464/12),2)</f>
        <v>0</v>
      </c>
      <c r="AB464" s="105" t="b">
        <f t="shared" ref="AB464" si="1375">IF($L464,($L464-$AA464))</f>
        <v>0</v>
      </c>
      <c r="AC464" s="111">
        <f t="shared" ref="AC464" si="1376">IF(AND($V464&lt;&gt;"YES",$X464="YES"),$Y464,ROUND($Z464-($J464*$K464),2))</f>
        <v>0</v>
      </c>
    </row>
    <row r="465" spans="1:29" x14ac:dyDescent="0.3">
      <c r="A465" s="121"/>
      <c r="B465" s="204" t="b">
        <f>IF(Pipes!$B465,Pipes!$B465)</f>
        <v>0</v>
      </c>
      <c r="C465" s="205"/>
      <c r="D465" s="224"/>
      <c r="E465" s="224"/>
      <c r="F465" s="224">
        <f t="shared" ref="F465:F468" si="1377">F464</f>
        <v>0</v>
      </c>
      <c r="G465" s="224"/>
      <c r="H465" s="224"/>
      <c r="I465" s="52"/>
      <c r="J465" s="52"/>
      <c r="K465" s="130"/>
      <c r="L465" s="206">
        <f t="shared" ref="L465:L503" si="1378">$L464</f>
        <v>0</v>
      </c>
      <c r="M465" s="206" t="b">
        <f t="shared" ref="M465:M503" si="1379">M464</f>
        <v>0</v>
      </c>
      <c r="N465" s="240" t="b">
        <f t="shared" ref="N465:N503" si="1380">IF($B465,INDEX($AC$4:$AC$499,MATCH($B465,$A$4:$A$499)))</f>
        <v>0</v>
      </c>
      <c r="O465" s="209"/>
      <c r="P465" s="208">
        <f t="shared" ref="P465:P468" si="1381">IF($B465,INDEX($F$4:$F$499,MATCH($B465,$A$4:$A$499)),0)</f>
        <v>0</v>
      </c>
      <c r="Q465" s="242" t="b">
        <f t="shared" ref="Q465:Q503" si="1382">IF($N465,ROUND(($N465+($P465/12)),2))</f>
        <v>0</v>
      </c>
      <c r="R465" s="53" t="b">
        <f t="shared" ref="R465:R503" si="1383">IF(AND($L465,$Q465),$L465-$Q465)</f>
        <v>0</v>
      </c>
      <c r="S465" s="241" t="s">
        <v>197</v>
      </c>
      <c r="T465" s="127" t="b">
        <f>IF($N465,IF($F465&gt;$P465,ROUND(($Q465-($F464/12)),2),IF($S465="YES",$N465,$N465-MinDrop)))</f>
        <v>0</v>
      </c>
      <c r="U465" s="243"/>
      <c r="V465" s="245"/>
      <c r="W465" s="245"/>
      <c r="X465" s="54"/>
      <c r="Y465" s="117"/>
      <c r="Z465" s="54"/>
      <c r="AA465" s="54"/>
      <c r="AB465" s="54"/>
      <c r="AC465" s="211"/>
    </row>
    <row r="466" spans="1:29" x14ac:dyDescent="0.3">
      <c r="A466" s="121"/>
      <c r="B466" s="204" t="b">
        <f>IF(Pipes!$B466,Pipes!$B466)</f>
        <v>0</v>
      </c>
      <c r="C466" s="205"/>
      <c r="D466" s="224"/>
      <c r="E466" s="224"/>
      <c r="F466" s="224">
        <f t="shared" si="1377"/>
        <v>0</v>
      </c>
      <c r="G466" s="224"/>
      <c r="H466" s="224"/>
      <c r="I466" s="52"/>
      <c r="J466" s="52"/>
      <c r="K466" s="130"/>
      <c r="L466" s="206">
        <f t="shared" si="1378"/>
        <v>0</v>
      </c>
      <c r="M466" s="206" t="b">
        <f t="shared" si="1379"/>
        <v>0</v>
      </c>
      <c r="N466" s="207" t="b">
        <f t="shared" si="1380"/>
        <v>0</v>
      </c>
      <c r="O466" s="209"/>
      <c r="P466" s="208">
        <f t="shared" si="1381"/>
        <v>0</v>
      </c>
      <c r="Q466" s="53" t="b">
        <f t="shared" si="1382"/>
        <v>0</v>
      </c>
      <c r="R466" s="53" t="b">
        <f t="shared" si="1383"/>
        <v>0</v>
      </c>
      <c r="S466" s="241" t="s">
        <v>197</v>
      </c>
      <c r="T466" s="127" t="b">
        <f>IF($N466,IF($F466&gt;$P466,ROUND(($Q466-($F465/12)),2),IF($S466="YES",$N466,$N466-MinDrop)))</f>
        <v>0</v>
      </c>
      <c r="U466" s="210"/>
      <c r="V466" s="54"/>
      <c r="W466" s="54"/>
      <c r="X466" s="54"/>
      <c r="Y466" s="117"/>
      <c r="Z466" s="54"/>
      <c r="AA466" s="54"/>
      <c r="AB466" s="54"/>
      <c r="AC466" s="211"/>
    </row>
    <row r="467" spans="1:29" x14ac:dyDescent="0.3">
      <c r="A467" s="121"/>
      <c r="B467" s="204" t="b">
        <f>IF(Pipes!$B467,Pipes!$B467)</f>
        <v>0</v>
      </c>
      <c r="C467" s="205"/>
      <c r="D467" s="224"/>
      <c r="E467" s="224"/>
      <c r="F467" s="224">
        <f t="shared" si="1377"/>
        <v>0</v>
      </c>
      <c r="G467" s="224"/>
      <c r="H467" s="224"/>
      <c r="I467" s="52"/>
      <c r="J467" s="52"/>
      <c r="K467" s="130"/>
      <c r="L467" s="206">
        <f t="shared" si="1378"/>
        <v>0</v>
      </c>
      <c r="M467" s="206" t="b">
        <f t="shared" si="1379"/>
        <v>0</v>
      </c>
      <c r="N467" s="207" t="b">
        <f t="shared" si="1380"/>
        <v>0</v>
      </c>
      <c r="O467" s="209"/>
      <c r="P467" s="208">
        <f t="shared" si="1381"/>
        <v>0</v>
      </c>
      <c r="Q467" s="53" t="b">
        <f t="shared" si="1382"/>
        <v>0</v>
      </c>
      <c r="R467" s="53" t="b">
        <f t="shared" si="1383"/>
        <v>0</v>
      </c>
      <c r="S467" s="241" t="s">
        <v>197</v>
      </c>
      <c r="T467" s="127" t="b">
        <f>IF($N467,IF($F467&gt;$P467,ROUND(($Q467-($F466/12)),2),IF($S467="YES",$N467,$N467-MinDrop)))</f>
        <v>0</v>
      </c>
      <c r="U467" s="210"/>
      <c r="V467" s="54"/>
      <c r="W467" s="54"/>
      <c r="X467" s="54"/>
      <c r="Y467" s="117"/>
      <c r="Z467" s="54"/>
      <c r="AA467" s="54"/>
      <c r="AB467" s="54"/>
      <c r="AC467" s="211"/>
    </row>
    <row r="468" spans="1:29" ht="15" thickBot="1" x14ac:dyDescent="0.35">
      <c r="A468" s="122"/>
      <c r="B468" s="204" t="b">
        <f>IF(Pipes!$B468,Pipes!$B468)</f>
        <v>0</v>
      </c>
      <c r="C468" s="212"/>
      <c r="D468" s="104"/>
      <c r="E468" s="104"/>
      <c r="F468" s="104">
        <f t="shared" si="1377"/>
        <v>0</v>
      </c>
      <c r="G468" s="104"/>
      <c r="H468" s="104"/>
      <c r="I468" s="101"/>
      <c r="J468" s="101"/>
      <c r="K468" s="131"/>
      <c r="L468" s="213">
        <f t="shared" si="1378"/>
        <v>0</v>
      </c>
      <c r="M468" s="213" t="b">
        <f t="shared" si="1379"/>
        <v>0</v>
      </c>
      <c r="N468" s="214" t="b">
        <f t="shared" si="1380"/>
        <v>0</v>
      </c>
      <c r="O468" s="216"/>
      <c r="P468" s="215">
        <f t="shared" si="1381"/>
        <v>0</v>
      </c>
      <c r="Q468" s="103" t="b">
        <f t="shared" si="1382"/>
        <v>0</v>
      </c>
      <c r="R468" s="53" t="b">
        <f t="shared" si="1383"/>
        <v>0</v>
      </c>
      <c r="S468" s="241" t="s">
        <v>197</v>
      </c>
      <c r="T468" s="127" t="b">
        <f>IF($N468,IF($F468&gt;$P468,ROUND(($Q468-($F467/12)),2),IF($S468="YES",$N468,$N468-MinDrop)))</f>
        <v>0</v>
      </c>
      <c r="U468" s="217"/>
      <c r="V468" s="102"/>
      <c r="W468" s="102"/>
      <c r="X468" s="102"/>
      <c r="Y468" s="118"/>
      <c r="Z468" s="102"/>
      <c r="AA468" s="102"/>
      <c r="AB468" s="102"/>
      <c r="AC468" s="218"/>
    </row>
    <row r="469" spans="1:29" x14ac:dyDescent="0.3">
      <c r="A469" s="115">
        <f t="shared" ref="A469" si="1384">$A464+1</f>
        <v>94</v>
      </c>
      <c r="B469" s="186"/>
      <c r="C469" s="201">
        <f>IF(Pipes!$Q469&gt;0,IF(Pipes!$R469&gt;MinDiameter,Pipes!$R469,MinDiameter),0)</f>
        <v>0</v>
      </c>
      <c r="D469" s="187" t="s">
        <v>197</v>
      </c>
      <c r="E469" s="187"/>
      <c r="F469" s="107">
        <f>Pipes!$S469</f>
        <v>0</v>
      </c>
      <c r="G469" s="108">
        <f>Pipes!$W469</f>
        <v>0</v>
      </c>
      <c r="H469" s="187" t="s">
        <v>197</v>
      </c>
      <c r="I469" s="188"/>
      <c r="J469" s="108">
        <f>Pipes!$X469</f>
        <v>0</v>
      </c>
      <c r="K469" s="193">
        <f>INDEX(Tribs!$H$3:$H$102,MATCH($A469,Tribs!$A$3:$A$102,0))</f>
        <v>0</v>
      </c>
      <c r="L469" s="105">
        <f>INDEX(Tribs!$I$3:$I$102,MATCH($A469,Tribs!$A$3:$A$102,0))</f>
        <v>0</v>
      </c>
      <c r="M469" s="105" t="b">
        <f>IF($L469,ROUND($L469-MinCover-($F469/12),2))</f>
        <v>0</v>
      </c>
      <c r="N469" s="202"/>
      <c r="O469" s="129">
        <f t="shared" ref="O469" si="1385">MIN($N470:$N473)</f>
        <v>0</v>
      </c>
      <c r="P469" s="203"/>
      <c r="Q469" s="203"/>
      <c r="R469" s="203"/>
      <c r="S469" s="110"/>
      <c r="T469" s="116" t="b">
        <f t="shared" ref="T469" si="1386">IF($M469,$M469)</f>
        <v>0</v>
      </c>
      <c r="U469" s="129">
        <f t="shared" ref="U469" si="1387">MIN($T469:$T473)</f>
        <v>0</v>
      </c>
      <c r="V469" s="233" t="s">
        <v>197</v>
      </c>
      <c r="W469" s="219"/>
      <c r="X469" s="219" t="s">
        <v>197</v>
      </c>
      <c r="Y469" s="239"/>
      <c r="Z469" s="105">
        <f t="shared" ref="Z469" si="1388">IF($V469="YES",$U469,IF($X469&lt;&gt;"YES",$W469,($AC469+$J469*$K469)))</f>
        <v>0</v>
      </c>
      <c r="AA469" s="105">
        <f t="shared" ref="AA469" si="1389">ROUND($Z469+($F469/12),2)</f>
        <v>0</v>
      </c>
      <c r="AB469" s="105" t="b">
        <f t="shared" ref="AB469" si="1390">IF($L469,($L469-$AA469))</f>
        <v>0</v>
      </c>
      <c r="AC469" s="111">
        <f t="shared" ref="AC469" si="1391">IF(AND($V469&lt;&gt;"YES",$X469="YES"),$Y469,ROUND($Z469-($J469*$K469),2))</f>
        <v>0</v>
      </c>
    </row>
    <row r="470" spans="1:29" x14ac:dyDescent="0.3">
      <c r="A470" s="121"/>
      <c r="B470" s="204" t="b">
        <f>IF(Pipes!$B470,Pipes!$B470)</f>
        <v>0</v>
      </c>
      <c r="C470" s="205"/>
      <c r="D470" s="224"/>
      <c r="E470" s="224"/>
      <c r="F470" s="224">
        <f t="shared" ref="F470:F473" si="1392">F469</f>
        <v>0</v>
      </c>
      <c r="G470" s="224"/>
      <c r="H470" s="224"/>
      <c r="I470" s="52"/>
      <c r="J470" s="52"/>
      <c r="K470" s="130"/>
      <c r="L470" s="206">
        <f t="shared" ref="L470" si="1393">$L469</f>
        <v>0</v>
      </c>
      <c r="M470" s="206" t="b">
        <f t="shared" ref="M470" si="1394">M469</f>
        <v>0</v>
      </c>
      <c r="N470" s="240" t="b">
        <f t="shared" ref="N470" si="1395">IF($B470,INDEX($AC$4:$AC$499,MATCH($B470,$A$4:$A$499)))</f>
        <v>0</v>
      </c>
      <c r="O470" s="209"/>
      <c r="P470" s="208">
        <f t="shared" ref="P470:P473" si="1396">IF($B470,INDEX($F$4:$F$499,MATCH($B470,$A$4:$A$499)),0)</f>
        <v>0</v>
      </c>
      <c r="Q470" s="242" t="b">
        <f t="shared" ref="Q470" si="1397">IF($N470,ROUND(($N470+($P470/12)),2))</f>
        <v>0</v>
      </c>
      <c r="R470" s="53" t="b">
        <f t="shared" ref="R470" si="1398">IF(AND($L470,$Q470),$L470-$Q470)</f>
        <v>0</v>
      </c>
      <c r="S470" s="241" t="s">
        <v>197</v>
      </c>
      <c r="T470" s="127" t="b">
        <f>IF($N470,IF($F470&gt;$P470,ROUND(($Q470-($F469/12)),2),IF($S470="YES",$N470,$N470-MinDrop)))</f>
        <v>0</v>
      </c>
      <c r="U470" s="243"/>
      <c r="V470" s="245"/>
      <c r="W470" s="245"/>
      <c r="X470" s="54"/>
      <c r="Y470" s="117"/>
      <c r="Z470" s="54"/>
      <c r="AA470" s="54"/>
      <c r="AB470" s="54"/>
      <c r="AC470" s="211"/>
    </row>
    <row r="471" spans="1:29" x14ac:dyDescent="0.3">
      <c r="A471" s="121"/>
      <c r="B471" s="204" t="b">
        <f>IF(Pipes!$B471,Pipes!$B471)</f>
        <v>0</v>
      </c>
      <c r="C471" s="205"/>
      <c r="D471" s="224"/>
      <c r="E471" s="224"/>
      <c r="F471" s="224">
        <f t="shared" si="1392"/>
        <v>0</v>
      </c>
      <c r="G471" s="224"/>
      <c r="H471" s="224"/>
      <c r="I471" s="52"/>
      <c r="J471" s="52"/>
      <c r="K471" s="130"/>
      <c r="L471" s="206">
        <f t="shared" si="1378"/>
        <v>0</v>
      </c>
      <c r="M471" s="206" t="b">
        <f t="shared" si="1379"/>
        <v>0</v>
      </c>
      <c r="N471" s="207" t="b">
        <f t="shared" si="1380"/>
        <v>0</v>
      </c>
      <c r="O471" s="209"/>
      <c r="P471" s="208">
        <f t="shared" si="1396"/>
        <v>0</v>
      </c>
      <c r="Q471" s="53" t="b">
        <f t="shared" si="1382"/>
        <v>0</v>
      </c>
      <c r="R471" s="53" t="b">
        <f t="shared" si="1383"/>
        <v>0</v>
      </c>
      <c r="S471" s="241" t="s">
        <v>197</v>
      </c>
      <c r="T471" s="127" t="b">
        <f>IF($N471,IF($F471&gt;$P471,ROUND(($Q471-($F470/12)),2),IF($S471="YES",$N471,$N471-MinDrop)))</f>
        <v>0</v>
      </c>
      <c r="U471" s="210"/>
      <c r="V471" s="54"/>
      <c r="W471" s="54"/>
      <c r="X471" s="54"/>
      <c r="Y471" s="117"/>
      <c r="Z471" s="54"/>
      <c r="AA471" s="54"/>
      <c r="AB471" s="54"/>
      <c r="AC471" s="211"/>
    </row>
    <row r="472" spans="1:29" x14ac:dyDescent="0.3">
      <c r="A472" s="121"/>
      <c r="B472" s="204" t="b">
        <f>IF(Pipes!$B472,Pipes!$B472)</f>
        <v>0</v>
      </c>
      <c r="C472" s="205"/>
      <c r="D472" s="224"/>
      <c r="E472" s="224"/>
      <c r="F472" s="224">
        <f t="shared" si="1392"/>
        <v>0</v>
      </c>
      <c r="G472" s="224"/>
      <c r="H472" s="224"/>
      <c r="I472" s="52"/>
      <c r="J472" s="52"/>
      <c r="K472" s="130"/>
      <c r="L472" s="206">
        <f t="shared" si="1378"/>
        <v>0</v>
      </c>
      <c r="M472" s="206" t="b">
        <f t="shared" si="1379"/>
        <v>0</v>
      </c>
      <c r="N472" s="207" t="b">
        <f t="shared" si="1380"/>
        <v>0</v>
      </c>
      <c r="O472" s="209"/>
      <c r="P472" s="208">
        <f t="shared" si="1396"/>
        <v>0</v>
      </c>
      <c r="Q472" s="53" t="b">
        <f t="shared" si="1382"/>
        <v>0</v>
      </c>
      <c r="R472" s="53" t="b">
        <f t="shared" si="1383"/>
        <v>0</v>
      </c>
      <c r="S472" s="241" t="s">
        <v>197</v>
      </c>
      <c r="T472" s="127" t="b">
        <f>IF($N472,IF($F472&gt;$P472,ROUND(($Q472-($F471/12)),2),IF($S472="YES",$N472,$N472-MinDrop)))</f>
        <v>0</v>
      </c>
      <c r="U472" s="210"/>
      <c r="V472" s="54"/>
      <c r="W472" s="54"/>
      <c r="X472" s="54"/>
      <c r="Y472" s="117"/>
      <c r="Z472" s="54"/>
      <c r="AA472" s="54"/>
      <c r="AB472" s="54"/>
      <c r="AC472" s="211"/>
    </row>
    <row r="473" spans="1:29" ht="15" thickBot="1" x14ac:dyDescent="0.35">
      <c r="A473" s="122"/>
      <c r="B473" s="204" t="b">
        <f>IF(Pipes!$B473,Pipes!$B473)</f>
        <v>0</v>
      </c>
      <c r="C473" s="212"/>
      <c r="D473" s="104"/>
      <c r="E473" s="104"/>
      <c r="F473" s="104">
        <f t="shared" si="1392"/>
        <v>0</v>
      </c>
      <c r="G473" s="104"/>
      <c r="H473" s="104"/>
      <c r="I473" s="101"/>
      <c r="J473" s="101"/>
      <c r="K473" s="131"/>
      <c r="L473" s="213">
        <f t="shared" si="1378"/>
        <v>0</v>
      </c>
      <c r="M473" s="213" t="b">
        <f t="shared" si="1379"/>
        <v>0</v>
      </c>
      <c r="N473" s="214" t="b">
        <f t="shared" si="1380"/>
        <v>0</v>
      </c>
      <c r="O473" s="216"/>
      <c r="P473" s="215">
        <f t="shared" si="1396"/>
        <v>0</v>
      </c>
      <c r="Q473" s="103" t="b">
        <f t="shared" si="1382"/>
        <v>0</v>
      </c>
      <c r="R473" s="53" t="b">
        <f t="shared" si="1383"/>
        <v>0</v>
      </c>
      <c r="S473" s="241" t="s">
        <v>197</v>
      </c>
      <c r="T473" s="127" t="b">
        <f>IF($N473,IF($F473&gt;$P473,ROUND(($Q473-($F472/12)),2),IF($S473="YES",$N473,$N473-MinDrop)))</f>
        <v>0</v>
      </c>
      <c r="U473" s="217"/>
      <c r="V473" s="102"/>
      <c r="W473" s="102"/>
      <c r="X473" s="102"/>
      <c r="Y473" s="118"/>
      <c r="Z473" s="102"/>
      <c r="AA473" s="102"/>
      <c r="AB473" s="102"/>
      <c r="AC473" s="218"/>
    </row>
    <row r="474" spans="1:29" x14ac:dyDescent="0.3">
      <c r="A474" s="115">
        <f t="shared" ref="A474" si="1399">$A469+1</f>
        <v>95</v>
      </c>
      <c r="B474" s="186"/>
      <c r="C474" s="201">
        <f>IF(Pipes!$Q474&gt;0,IF(Pipes!$R474&gt;MinDiameter,Pipes!$R474,MinDiameter),0)</f>
        <v>0</v>
      </c>
      <c r="D474" s="187" t="s">
        <v>197</v>
      </c>
      <c r="E474" s="187"/>
      <c r="F474" s="107">
        <f>Pipes!$S474</f>
        <v>0</v>
      </c>
      <c r="G474" s="108">
        <f>Pipes!$W474</f>
        <v>0</v>
      </c>
      <c r="H474" s="187" t="s">
        <v>197</v>
      </c>
      <c r="I474" s="188"/>
      <c r="J474" s="108">
        <f>Pipes!$X474</f>
        <v>0</v>
      </c>
      <c r="K474" s="193">
        <f>INDEX(Tribs!$H$3:$H$102,MATCH($A474,Tribs!$A$3:$A$102,0))</f>
        <v>0</v>
      </c>
      <c r="L474" s="105">
        <f>INDEX(Tribs!$I$3:$I$102,MATCH($A474,Tribs!$A$3:$A$102,0))</f>
        <v>0</v>
      </c>
      <c r="M474" s="105" t="b">
        <f>IF($L474,ROUND($L474-MinCover-($F474/12),2))</f>
        <v>0</v>
      </c>
      <c r="N474" s="202"/>
      <c r="O474" s="129">
        <f t="shared" ref="O474" si="1400">MIN($N475:$N478)</f>
        <v>0</v>
      </c>
      <c r="P474" s="203"/>
      <c r="Q474" s="203"/>
      <c r="R474" s="203"/>
      <c r="S474" s="110"/>
      <c r="T474" s="116" t="b">
        <f t="shared" ref="T474" si="1401">IF($M474,$M474)</f>
        <v>0</v>
      </c>
      <c r="U474" s="129">
        <f t="shared" ref="U474" si="1402">MIN($T474:$T478)</f>
        <v>0</v>
      </c>
      <c r="V474" s="233" t="s">
        <v>197</v>
      </c>
      <c r="W474" s="219"/>
      <c r="X474" s="219" t="s">
        <v>197</v>
      </c>
      <c r="Y474" s="239"/>
      <c r="Z474" s="105">
        <f t="shared" ref="Z474" si="1403">IF($V474="YES",$U474,IF($X474&lt;&gt;"YES",$W474,($AC474+$J474*$K474)))</f>
        <v>0</v>
      </c>
      <c r="AA474" s="105">
        <f t="shared" ref="AA474" si="1404">ROUND($Z474+($F474/12),2)</f>
        <v>0</v>
      </c>
      <c r="AB474" s="105" t="b">
        <f t="shared" ref="AB474" si="1405">IF($L474,($L474-$AA474))</f>
        <v>0</v>
      </c>
      <c r="AC474" s="111">
        <f t="shared" ref="AC474" si="1406">IF(AND($V474&lt;&gt;"YES",$X474="YES"),$Y474,ROUND($Z474-($J474*$K474),2))</f>
        <v>0</v>
      </c>
    </row>
    <row r="475" spans="1:29" x14ac:dyDescent="0.3">
      <c r="A475" s="121"/>
      <c r="B475" s="204" t="b">
        <f>IF(Pipes!$B475,Pipes!$B475)</f>
        <v>0</v>
      </c>
      <c r="C475" s="205"/>
      <c r="D475" s="224"/>
      <c r="E475" s="224"/>
      <c r="F475" s="224">
        <f t="shared" ref="F475:F478" si="1407">F474</f>
        <v>0</v>
      </c>
      <c r="G475" s="224"/>
      <c r="H475" s="224"/>
      <c r="I475" s="52"/>
      <c r="J475" s="52"/>
      <c r="K475" s="130"/>
      <c r="L475" s="206">
        <f t="shared" ref="L475" si="1408">$L474</f>
        <v>0</v>
      </c>
      <c r="M475" s="206" t="b">
        <f t="shared" ref="M475" si="1409">M474</f>
        <v>0</v>
      </c>
      <c r="N475" s="240" t="b">
        <f t="shared" ref="N475" si="1410">IF($B475,INDEX($AC$4:$AC$499,MATCH($B475,$A$4:$A$499)))</f>
        <v>0</v>
      </c>
      <c r="O475" s="209"/>
      <c r="P475" s="208">
        <f t="shared" ref="P475:P478" si="1411">IF($B475,INDEX($F$4:$F$499,MATCH($B475,$A$4:$A$499)),0)</f>
        <v>0</v>
      </c>
      <c r="Q475" s="242" t="b">
        <f t="shared" ref="Q475" si="1412">IF($N475,ROUND(($N475+($P475/12)),2))</f>
        <v>0</v>
      </c>
      <c r="R475" s="53" t="b">
        <f t="shared" ref="R475" si="1413">IF(AND($L475,$Q475),$L475-$Q475)</f>
        <v>0</v>
      </c>
      <c r="S475" s="241" t="s">
        <v>197</v>
      </c>
      <c r="T475" s="127" t="b">
        <f>IF($N475,IF($F475&gt;$P475,ROUND(($Q475-($F474/12)),2),IF($S475="YES",$N475,$N475-MinDrop)))</f>
        <v>0</v>
      </c>
      <c r="U475" s="243"/>
      <c r="V475" s="245"/>
      <c r="W475" s="245"/>
      <c r="X475" s="54"/>
      <c r="Y475" s="117"/>
      <c r="Z475" s="54"/>
      <c r="AA475" s="54"/>
      <c r="AB475" s="54"/>
      <c r="AC475" s="211"/>
    </row>
    <row r="476" spans="1:29" x14ac:dyDescent="0.3">
      <c r="A476" s="121"/>
      <c r="B476" s="204" t="b">
        <f>IF(Pipes!$B476,Pipes!$B476)</f>
        <v>0</v>
      </c>
      <c r="C476" s="205"/>
      <c r="D476" s="224"/>
      <c r="E476" s="224"/>
      <c r="F476" s="224">
        <f t="shared" si="1407"/>
        <v>0</v>
      </c>
      <c r="G476" s="224"/>
      <c r="H476" s="224"/>
      <c r="I476" s="52"/>
      <c r="J476" s="52"/>
      <c r="K476" s="130"/>
      <c r="L476" s="206">
        <f t="shared" si="1378"/>
        <v>0</v>
      </c>
      <c r="M476" s="206" t="b">
        <f t="shared" si="1379"/>
        <v>0</v>
      </c>
      <c r="N476" s="207" t="b">
        <f t="shared" si="1380"/>
        <v>0</v>
      </c>
      <c r="O476" s="209"/>
      <c r="P476" s="208">
        <f t="shared" si="1411"/>
        <v>0</v>
      </c>
      <c r="Q476" s="53" t="b">
        <f t="shared" si="1382"/>
        <v>0</v>
      </c>
      <c r="R476" s="53" t="b">
        <f t="shared" si="1383"/>
        <v>0</v>
      </c>
      <c r="S476" s="241" t="s">
        <v>197</v>
      </c>
      <c r="T476" s="127" t="b">
        <f>IF($N476,IF($F476&gt;$P476,ROUND(($Q476-($F475/12)),2),IF($S476="YES",$N476,$N476-MinDrop)))</f>
        <v>0</v>
      </c>
      <c r="U476" s="210"/>
      <c r="V476" s="54"/>
      <c r="W476" s="54"/>
      <c r="X476" s="54"/>
      <c r="Y476" s="117"/>
      <c r="Z476" s="54"/>
      <c r="AA476" s="54"/>
      <c r="AB476" s="54"/>
      <c r="AC476" s="211"/>
    </row>
    <row r="477" spans="1:29" x14ac:dyDescent="0.3">
      <c r="A477" s="121"/>
      <c r="B477" s="204" t="b">
        <f>IF(Pipes!$B477,Pipes!$B477)</f>
        <v>0</v>
      </c>
      <c r="C477" s="205"/>
      <c r="D477" s="224"/>
      <c r="E477" s="224"/>
      <c r="F477" s="224">
        <f t="shared" si="1407"/>
        <v>0</v>
      </c>
      <c r="G477" s="224"/>
      <c r="H477" s="224"/>
      <c r="I477" s="52"/>
      <c r="J477" s="52"/>
      <c r="K477" s="130"/>
      <c r="L477" s="206">
        <f t="shared" si="1378"/>
        <v>0</v>
      </c>
      <c r="M477" s="206" t="b">
        <f t="shared" si="1379"/>
        <v>0</v>
      </c>
      <c r="N477" s="207" t="b">
        <f t="shared" si="1380"/>
        <v>0</v>
      </c>
      <c r="O477" s="209"/>
      <c r="P477" s="208">
        <f t="shared" si="1411"/>
        <v>0</v>
      </c>
      <c r="Q477" s="53" t="b">
        <f t="shared" si="1382"/>
        <v>0</v>
      </c>
      <c r="R477" s="53" t="b">
        <f t="shared" si="1383"/>
        <v>0</v>
      </c>
      <c r="S477" s="241" t="s">
        <v>197</v>
      </c>
      <c r="T477" s="127" t="b">
        <f>IF($N477,IF($F477&gt;$P477,ROUND(($Q477-($F476/12)),2),IF($S477="YES",$N477,$N477-MinDrop)))</f>
        <v>0</v>
      </c>
      <c r="U477" s="210"/>
      <c r="V477" s="54"/>
      <c r="W477" s="54"/>
      <c r="X477" s="54"/>
      <c r="Y477" s="117"/>
      <c r="Z477" s="54"/>
      <c r="AA477" s="54"/>
      <c r="AB477" s="54"/>
      <c r="AC477" s="211"/>
    </row>
    <row r="478" spans="1:29" ht="15" thickBot="1" x14ac:dyDescent="0.35">
      <c r="A478" s="122"/>
      <c r="B478" s="204" t="b">
        <f>IF(Pipes!$B478,Pipes!$B478)</f>
        <v>0</v>
      </c>
      <c r="C478" s="212"/>
      <c r="D478" s="104"/>
      <c r="E478" s="104"/>
      <c r="F478" s="104">
        <f t="shared" si="1407"/>
        <v>0</v>
      </c>
      <c r="G478" s="104"/>
      <c r="H478" s="104"/>
      <c r="I478" s="101"/>
      <c r="J478" s="101"/>
      <c r="K478" s="131"/>
      <c r="L478" s="213">
        <f t="shared" si="1378"/>
        <v>0</v>
      </c>
      <c r="M478" s="213" t="b">
        <f t="shared" si="1379"/>
        <v>0</v>
      </c>
      <c r="N478" s="214" t="b">
        <f t="shared" si="1380"/>
        <v>0</v>
      </c>
      <c r="O478" s="216"/>
      <c r="P478" s="215">
        <f t="shared" si="1411"/>
        <v>0</v>
      </c>
      <c r="Q478" s="103" t="b">
        <f t="shared" si="1382"/>
        <v>0</v>
      </c>
      <c r="R478" s="53" t="b">
        <f t="shared" si="1383"/>
        <v>0</v>
      </c>
      <c r="S478" s="241" t="s">
        <v>197</v>
      </c>
      <c r="T478" s="127" t="b">
        <f>IF($N478,IF($F478&gt;$P478,ROUND(($Q478-($F477/12)),2),IF($S478="YES",$N478,$N478-MinDrop)))</f>
        <v>0</v>
      </c>
      <c r="U478" s="217"/>
      <c r="V478" s="102"/>
      <c r="W478" s="102"/>
      <c r="X478" s="102"/>
      <c r="Y478" s="118"/>
      <c r="Z478" s="102"/>
      <c r="AA478" s="102"/>
      <c r="AB478" s="102"/>
      <c r="AC478" s="218"/>
    </row>
    <row r="479" spans="1:29" x14ac:dyDescent="0.3">
      <c r="A479" s="115">
        <f t="shared" ref="A479" si="1414">$A474+1</f>
        <v>96</v>
      </c>
      <c r="B479" s="186"/>
      <c r="C479" s="201">
        <f>IF(Pipes!$Q479&gt;0,IF(Pipes!$R479&gt;MinDiameter,Pipes!$R479,MinDiameter),0)</f>
        <v>0</v>
      </c>
      <c r="D479" s="187" t="s">
        <v>197</v>
      </c>
      <c r="E479" s="187"/>
      <c r="F479" s="107">
        <f>Pipes!$S479</f>
        <v>0</v>
      </c>
      <c r="G479" s="108">
        <f>Pipes!$W479</f>
        <v>0</v>
      </c>
      <c r="H479" s="187" t="s">
        <v>197</v>
      </c>
      <c r="I479" s="188"/>
      <c r="J479" s="108">
        <f>Pipes!$X479</f>
        <v>0</v>
      </c>
      <c r="K479" s="193">
        <f>INDEX(Tribs!$H$3:$H$102,MATCH($A479,Tribs!$A$3:$A$102,0))</f>
        <v>0</v>
      </c>
      <c r="L479" s="105">
        <f>INDEX(Tribs!$I$3:$I$102,MATCH($A479,Tribs!$A$3:$A$102,0))</f>
        <v>0</v>
      </c>
      <c r="M479" s="105" t="b">
        <f>IF($L479,ROUND($L479-MinCover-($F479/12),2))</f>
        <v>0</v>
      </c>
      <c r="N479" s="202"/>
      <c r="O479" s="129">
        <f t="shared" ref="O479" si="1415">MIN($N480:$N483)</f>
        <v>0</v>
      </c>
      <c r="P479" s="203"/>
      <c r="Q479" s="203"/>
      <c r="R479" s="203"/>
      <c r="S479" s="110"/>
      <c r="T479" s="116" t="b">
        <f t="shared" ref="T479" si="1416">IF($M479,$M479)</f>
        <v>0</v>
      </c>
      <c r="U479" s="129">
        <f t="shared" ref="U479" si="1417">MIN($T479:$T483)</f>
        <v>0</v>
      </c>
      <c r="V479" s="233" t="s">
        <v>197</v>
      </c>
      <c r="W479" s="219"/>
      <c r="X479" s="219" t="s">
        <v>197</v>
      </c>
      <c r="Y479" s="239"/>
      <c r="Z479" s="105">
        <f t="shared" ref="Z479" si="1418">IF($V479="YES",$U479,IF($X479&lt;&gt;"YES",$W479,($AC479+$J479*$K479)))</f>
        <v>0</v>
      </c>
      <c r="AA479" s="105">
        <f t="shared" ref="AA479" si="1419">ROUND($Z479+($F479/12),2)</f>
        <v>0</v>
      </c>
      <c r="AB479" s="105" t="b">
        <f t="shared" ref="AB479" si="1420">IF($L479,($L479-$AA479))</f>
        <v>0</v>
      </c>
      <c r="AC479" s="111">
        <f t="shared" ref="AC479" si="1421">IF(AND($V479&lt;&gt;"YES",$X479="YES"),$Y479,ROUND($Z479-($J479*$K479),2))</f>
        <v>0</v>
      </c>
    </row>
    <row r="480" spans="1:29" x14ac:dyDescent="0.3">
      <c r="A480" s="121"/>
      <c r="B480" s="204" t="b">
        <f>IF(Pipes!$B480,Pipes!$B480)</f>
        <v>0</v>
      </c>
      <c r="C480" s="205"/>
      <c r="D480" s="224"/>
      <c r="E480" s="224"/>
      <c r="F480" s="224">
        <f t="shared" ref="F480:F483" si="1422">F479</f>
        <v>0</v>
      </c>
      <c r="G480" s="224"/>
      <c r="H480" s="224"/>
      <c r="I480" s="52"/>
      <c r="J480" s="52"/>
      <c r="K480" s="130"/>
      <c r="L480" s="206">
        <f t="shared" ref="L480" si="1423">$L479</f>
        <v>0</v>
      </c>
      <c r="M480" s="206" t="b">
        <f t="shared" ref="M480" si="1424">M479</f>
        <v>0</v>
      </c>
      <c r="N480" s="240" t="b">
        <f t="shared" ref="N480" si="1425">IF($B480,INDEX($AC$4:$AC$499,MATCH($B480,$A$4:$A$499)))</f>
        <v>0</v>
      </c>
      <c r="O480" s="209"/>
      <c r="P480" s="208">
        <f t="shared" ref="P480:P483" si="1426">IF($B480,INDEX($F$4:$F$499,MATCH($B480,$A$4:$A$499)),0)</f>
        <v>0</v>
      </c>
      <c r="Q480" s="242" t="b">
        <f t="shared" ref="Q480" si="1427">IF($N480,ROUND(($N480+($P480/12)),2))</f>
        <v>0</v>
      </c>
      <c r="R480" s="53" t="b">
        <f t="shared" ref="R480" si="1428">IF(AND($L480,$Q480),$L480-$Q480)</f>
        <v>0</v>
      </c>
      <c r="S480" s="241" t="s">
        <v>197</v>
      </c>
      <c r="T480" s="127" t="b">
        <f>IF($N480,IF($F480&gt;$P480,ROUND(($Q480-($F479/12)),2),IF($S480="YES",$N480,$N480-MinDrop)))</f>
        <v>0</v>
      </c>
      <c r="U480" s="243"/>
      <c r="V480" s="245"/>
      <c r="W480" s="245"/>
      <c r="X480" s="54"/>
      <c r="Y480" s="117"/>
      <c r="Z480" s="54"/>
      <c r="AA480" s="54"/>
      <c r="AB480" s="54"/>
      <c r="AC480" s="211"/>
    </row>
    <row r="481" spans="1:29" x14ac:dyDescent="0.3">
      <c r="A481" s="121"/>
      <c r="B481" s="204" t="b">
        <f>IF(Pipes!$B481,Pipes!$B481)</f>
        <v>0</v>
      </c>
      <c r="C481" s="205"/>
      <c r="D481" s="224"/>
      <c r="E481" s="224"/>
      <c r="F481" s="224">
        <f t="shared" si="1422"/>
        <v>0</v>
      </c>
      <c r="G481" s="224"/>
      <c r="H481" s="224"/>
      <c r="I481" s="52"/>
      <c r="J481" s="52"/>
      <c r="K481" s="130"/>
      <c r="L481" s="206">
        <f t="shared" si="1378"/>
        <v>0</v>
      </c>
      <c r="M481" s="206" t="b">
        <f t="shared" si="1379"/>
        <v>0</v>
      </c>
      <c r="N481" s="207" t="b">
        <f t="shared" si="1380"/>
        <v>0</v>
      </c>
      <c r="O481" s="209"/>
      <c r="P481" s="208">
        <f t="shared" si="1426"/>
        <v>0</v>
      </c>
      <c r="Q481" s="53" t="b">
        <f t="shared" si="1382"/>
        <v>0</v>
      </c>
      <c r="R481" s="53" t="b">
        <f t="shared" si="1383"/>
        <v>0</v>
      </c>
      <c r="S481" s="241" t="s">
        <v>197</v>
      </c>
      <c r="T481" s="127" t="b">
        <f>IF($N481,IF($F481&gt;$P481,ROUND(($Q481-($F480/12)),2),IF($S481="YES",$N481,$N481-MinDrop)))</f>
        <v>0</v>
      </c>
      <c r="U481" s="210"/>
      <c r="V481" s="54"/>
      <c r="W481" s="54"/>
      <c r="X481" s="54"/>
      <c r="Y481" s="117"/>
      <c r="Z481" s="54"/>
      <c r="AA481" s="54"/>
      <c r="AB481" s="54"/>
      <c r="AC481" s="211"/>
    </row>
    <row r="482" spans="1:29" x14ac:dyDescent="0.3">
      <c r="A482" s="121"/>
      <c r="B482" s="204" t="b">
        <f>IF(Pipes!$B482,Pipes!$B482)</f>
        <v>0</v>
      </c>
      <c r="C482" s="205"/>
      <c r="D482" s="224"/>
      <c r="E482" s="224"/>
      <c r="F482" s="224">
        <f t="shared" si="1422"/>
        <v>0</v>
      </c>
      <c r="G482" s="224"/>
      <c r="H482" s="224"/>
      <c r="I482" s="52"/>
      <c r="J482" s="52"/>
      <c r="K482" s="130"/>
      <c r="L482" s="206">
        <f t="shared" si="1378"/>
        <v>0</v>
      </c>
      <c r="M482" s="206" t="b">
        <f t="shared" si="1379"/>
        <v>0</v>
      </c>
      <c r="N482" s="207" t="b">
        <f t="shared" si="1380"/>
        <v>0</v>
      </c>
      <c r="O482" s="209"/>
      <c r="P482" s="208">
        <f t="shared" si="1426"/>
        <v>0</v>
      </c>
      <c r="Q482" s="53" t="b">
        <f t="shared" si="1382"/>
        <v>0</v>
      </c>
      <c r="R482" s="53" t="b">
        <f t="shared" si="1383"/>
        <v>0</v>
      </c>
      <c r="S482" s="241" t="s">
        <v>197</v>
      </c>
      <c r="T482" s="127" t="b">
        <f>IF($N482,IF($F482&gt;$P482,ROUND(($Q482-($F481/12)),2),IF($S482="YES",$N482,$N482-MinDrop)))</f>
        <v>0</v>
      </c>
      <c r="U482" s="210"/>
      <c r="V482" s="54"/>
      <c r="W482" s="54"/>
      <c r="X482" s="54"/>
      <c r="Y482" s="117"/>
      <c r="Z482" s="54"/>
      <c r="AA482" s="54"/>
      <c r="AB482" s="54"/>
      <c r="AC482" s="211"/>
    </row>
    <row r="483" spans="1:29" ht="15" thickBot="1" x14ac:dyDescent="0.35">
      <c r="A483" s="122"/>
      <c r="B483" s="204" t="b">
        <f>IF(Pipes!$B483,Pipes!$B483)</f>
        <v>0</v>
      </c>
      <c r="C483" s="212"/>
      <c r="D483" s="104"/>
      <c r="E483" s="104"/>
      <c r="F483" s="104">
        <f t="shared" si="1422"/>
        <v>0</v>
      </c>
      <c r="G483" s="104"/>
      <c r="H483" s="104"/>
      <c r="I483" s="101"/>
      <c r="J483" s="101"/>
      <c r="K483" s="131"/>
      <c r="L483" s="213">
        <f t="shared" si="1378"/>
        <v>0</v>
      </c>
      <c r="M483" s="213" t="b">
        <f t="shared" si="1379"/>
        <v>0</v>
      </c>
      <c r="N483" s="214" t="b">
        <f t="shared" si="1380"/>
        <v>0</v>
      </c>
      <c r="O483" s="216"/>
      <c r="P483" s="215">
        <f t="shared" si="1426"/>
        <v>0</v>
      </c>
      <c r="Q483" s="103" t="b">
        <f t="shared" si="1382"/>
        <v>0</v>
      </c>
      <c r="R483" s="53" t="b">
        <f t="shared" si="1383"/>
        <v>0</v>
      </c>
      <c r="S483" s="241" t="s">
        <v>197</v>
      </c>
      <c r="T483" s="127" t="b">
        <f>IF($N483,IF($F483&gt;$P483,ROUND(($Q483-($F482/12)),2),IF($S483="YES",$N483,$N483-MinDrop)))</f>
        <v>0</v>
      </c>
      <c r="U483" s="217"/>
      <c r="V483" s="102"/>
      <c r="W483" s="102"/>
      <c r="X483" s="102"/>
      <c r="Y483" s="118"/>
      <c r="Z483" s="102"/>
      <c r="AA483" s="102"/>
      <c r="AB483" s="102"/>
      <c r="AC483" s="218"/>
    </row>
    <row r="484" spans="1:29" x14ac:dyDescent="0.3">
      <c r="A484" s="115">
        <f t="shared" ref="A484" si="1429">$A479+1</f>
        <v>97</v>
      </c>
      <c r="B484" s="186"/>
      <c r="C484" s="201">
        <f>IF(Pipes!$Q484&gt;0,IF(Pipes!$R484&gt;MinDiameter,Pipes!$R484,MinDiameter),0)</f>
        <v>0</v>
      </c>
      <c r="D484" s="187" t="s">
        <v>197</v>
      </c>
      <c r="E484" s="187"/>
      <c r="F484" s="107">
        <f>Pipes!$S484</f>
        <v>0</v>
      </c>
      <c r="G484" s="108">
        <f>Pipes!$W484</f>
        <v>0</v>
      </c>
      <c r="H484" s="187" t="s">
        <v>197</v>
      </c>
      <c r="I484" s="188"/>
      <c r="J484" s="108">
        <f>Pipes!$X484</f>
        <v>0</v>
      </c>
      <c r="K484" s="193">
        <f>INDEX(Tribs!$H$3:$H$102,MATCH($A484,Tribs!$A$3:$A$102,0))</f>
        <v>0</v>
      </c>
      <c r="L484" s="105">
        <f>INDEX(Tribs!$I$3:$I$102,MATCH($A484,Tribs!$A$3:$A$102,0))</f>
        <v>0</v>
      </c>
      <c r="M484" s="105" t="b">
        <f>IF($L484,ROUND($L484-MinCover-($F484/12),2))</f>
        <v>0</v>
      </c>
      <c r="N484" s="202"/>
      <c r="O484" s="129">
        <f t="shared" ref="O484" si="1430">MIN($N485:$N488)</f>
        <v>0</v>
      </c>
      <c r="P484" s="203"/>
      <c r="Q484" s="203"/>
      <c r="R484" s="203"/>
      <c r="S484" s="110"/>
      <c r="T484" s="116" t="b">
        <f t="shared" ref="T484" si="1431">IF($M484,$M484)</f>
        <v>0</v>
      </c>
      <c r="U484" s="129">
        <f t="shared" ref="U484" si="1432">MIN($T484:$T488)</f>
        <v>0</v>
      </c>
      <c r="V484" s="233" t="s">
        <v>197</v>
      </c>
      <c r="W484" s="219"/>
      <c r="X484" s="219" t="s">
        <v>197</v>
      </c>
      <c r="Y484" s="239"/>
      <c r="Z484" s="105">
        <f t="shared" ref="Z484" si="1433">IF($V484="YES",$U484,IF($X484&lt;&gt;"YES",$W484,($AC484+$J484*$K484)))</f>
        <v>0</v>
      </c>
      <c r="AA484" s="105">
        <f t="shared" ref="AA484" si="1434">ROUND($Z484+($F484/12),2)</f>
        <v>0</v>
      </c>
      <c r="AB484" s="105" t="b">
        <f t="shared" ref="AB484" si="1435">IF($L484,($L484-$AA484))</f>
        <v>0</v>
      </c>
      <c r="AC484" s="111">
        <f t="shared" ref="AC484" si="1436">IF(AND($V484&lt;&gt;"YES",$X484="YES"),$Y484,ROUND($Z484-($J484*$K484),2))</f>
        <v>0</v>
      </c>
    </row>
    <row r="485" spans="1:29" x14ac:dyDescent="0.3">
      <c r="A485" s="121"/>
      <c r="B485" s="204" t="b">
        <f>IF(Pipes!$B485,Pipes!$B485)</f>
        <v>0</v>
      </c>
      <c r="C485" s="205"/>
      <c r="D485" s="224"/>
      <c r="E485" s="224"/>
      <c r="F485" s="224">
        <f t="shared" ref="F485:F488" si="1437">F484</f>
        <v>0</v>
      </c>
      <c r="G485" s="224"/>
      <c r="H485" s="224"/>
      <c r="I485" s="52"/>
      <c r="J485" s="52"/>
      <c r="K485" s="130"/>
      <c r="L485" s="206">
        <f t="shared" ref="L485" si="1438">$L484</f>
        <v>0</v>
      </c>
      <c r="M485" s="206" t="b">
        <f t="shared" ref="M485" si="1439">M484</f>
        <v>0</v>
      </c>
      <c r="N485" s="240" t="b">
        <f t="shared" ref="N485" si="1440">IF($B485,INDEX($AC$4:$AC$499,MATCH($B485,$A$4:$A$499)))</f>
        <v>0</v>
      </c>
      <c r="O485" s="209"/>
      <c r="P485" s="208">
        <f t="shared" ref="P485:P488" si="1441">IF($B485,INDEX($F$4:$F$499,MATCH($B485,$A$4:$A$499)),0)</f>
        <v>0</v>
      </c>
      <c r="Q485" s="242" t="b">
        <f t="shared" ref="Q485" si="1442">IF($N485,ROUND(($N485+($P485/12)),2))</f>
        <v>0</v>
      </c>
      <c r="R485" s="53" t="b">
        <f t="shared" ref="R485" si="1443">IF(AND($L485,$Q485),$L485-$Q485)</f>
        <v>0</v>
      </c>
      <c r="S485" s="241" t="s">
        <v>197</v>
      </c>
      <c r="T485" s="127" t="b">
        <f>IF($N485,IF($F485&gt;$P485,ROUND(($Q485-($F484/12)),2),IF($S485="YES",$N485,$N485-MinDrop)))</f>
        <v>0</v>
      </c>
      <c r="U485" s="243"/>
      <c r="V485" s="245"/>
      <c r="W485" s="245"/>
      <c r="X485" s="54"/>
      <c r="Y485" s="117"/>
      <c r="Z485" s="54"/>
      <c r="AA485" s="54"/>
      <c r="AB485" s="54"/>
      <c r="AC485" s="211"/>
    </row>
    <row r="486" spans="1:29" x14ac:dyDescent="0.3">
      <c r="A486" s="121"/>
      <c r="B486" s="204" t="b">
        <f>IF(Pipes!$B486,Pipes!$B486)</f>
        <v>0</v>
      </c>
      <c r="C486" s="205"/>
      <c r="D486" s="224"/>
      <c r="E486" s="224"/>
      <c r="F486" s="224">
        <f t="shared" si="1437"/>
        <v>0</v>
      </c>
      <c r="G486" s="224"/>
      <c r="H486" s="224"/>
      <c r="I486" s="52"/>
      <c r="J486" s="52"/>
      <c r="K486" s="130"/>
      <c r="L486" s="206">
        <f t="shared" si="1378"/>
        <v>0</v>
      </c>
      <c r="M486" s="206" t="b">
        <f t="shared" si="1379"/>
        <v>0</v>
      </c>
      <c r="N486" s="207" t="b">
        <f t="shared" si="1380"/>
        <v>0</v>
      </c>
      <c r="O486" s="209"/>
      <c r="P486" s="208">
        <f t="shared" si="1441"/>
        <v>0</v>
      </c>
      <c r="Q486" s="53" t="b">
        <f t="shared" si="1382"/>
        <v>0</v>
      </c>
      <c r="R486" s="53" t="b">
        <f t="shared" si="1383"/>
        <v>0</v>
      </c>
      <c r="S486" s="241" t="s">
        <v>197</v>
      </c>
      <c r="T486" s="127" t="b">
        <f>IF($N486,IF($F486&gt;$P486,ROUND(($Q486-($F485/12)),2),IF($S486="YES",$N486,$N486-MinDrop)))</f>
        <v>0</v>
      </c>
      <c r="U486" s="210"/>
      <c r="V486" s="54"/>
      <c r="W486" s="54"/>
      <c r="X486" s="54"/>
      <c r="Y486" s="117"/>
      <c r="Z486" s="54"/>
      <c r="AA486" s="54"/>
      <c r="AB486" s="54"/>
      <c r="AC486" s="211"/>
    </row>
    <row r="487" spans="1:29" x14ac:dyDescent="0.3">
      <c r="A487" s="121"/>
      <c r="B487" s="204" t="b">
        <f>IF(Pipes!$B487,Pipes!$B487)</f>
        <v>0</v>
      </c>
      <c r="C487" s="205"/>
      <c r="D487" s="224"/>
      <c r="E487" s="224"/>
      <c r="F487" s="224">
        <f t="shared" si="1437"/>
        <v>0</v>
      </c>
      <c r="G487" s="224"/>
      <c r="H487" s="224"/>
      <c r="I487" s="52"/>
      <c r="J487" s="52"/>
      <c r="K487" s="130"/>
      <c r="L487" s="206">
        <f t="shared" si="1378"/>
        <v>0</v>
      </c>
      <c r="M487" s="206" t="b">
        <f t="shared" si="1379"/>
        <v>0</v>
      </c>
      <c r="N487" s="207" t="b">
        <f t="shared" si="1380"/>
        <v>0</v>
      </c>
      <c r="O487" s="209"/>
      <c r="P487" s="208">
        <f t="shared" si="1441"/>
        <v>0</v>
      </c>
      <c r="Q487" s="53" t="b">
        <f t="shared" si="1382"/>
        <v>0</v>
      </c>
      <c r="R487" s="53" t="b">
        <f t="shared" si="1383"/>
        <v>0</v>
      </c>
      <c r="S487" s="241" t="s">
        <v>197</v>
      </c>
      <c r="T487" s="127" t="b">
        <f>IF($N487,IF($F487&gt;$P487,ROUND(($Q487-($F486/12)),2),IF($S487="YES",$N487,$N487-MinDrop)))</f>
        <v>0</v>
      </c>
      <c r="U487" s="210"/>
      <c r="V487" s="54"/>
      <c r="W487" s="54"/>
      <c r="X487" s="54"/>
      <c r="Y487" s="117"/>
      <c r="Z487" s="54"/>
      <c r="AA487" s="54"/>
      <c r="AB487" s="54"/>
      <c r="AC487" s="211"/>
    </row>
    <row r="488" spans="1:29" ht="15" thickBot="1" x14ac:dyDescent="0.35">
      <c r="A488" s="122"/>
      <c r="B488" s="204" t="b">
        <f>IF(Pipes!$B488,Pipes!$B488)</f>
        <v>0</v>
      </c>
      <c r="C488" s="212"/>
      <c r="D488" s="104"/>
      <c r="E488" s="104"/>
      <c r="F488" s="104">
        <f t="shared" si="1437"/>
        <v>0</v>
      </c>
      <c r="G488" s="104"/>
      <c r="H488" s="104"/>
      <c r="I488" s="101"/>
      <c r="J488" s="101"/>
      <c r="K488" s="131"/>
      <c r="L488" s="213">
        <f t="shared" si="1378"/>
        <v>0</v>
      </c>
      <c r="M488" s="213" t="b">
        <f t="shared" si="1379"/>
        <v>0</v>
      </c>
      <c r="N488" s="214" t="b">
        <f t="shared" si="1380"/>
        <v>0</v>
      </c>
      <c r="O488" s="216"/>
      <c r="P488" s="215">
        <f t="shared" si="1441"/>
        <v>0</v>
      </c>
      <c r="Q488" s="103" t="b">
        <f t="shared" si="1382"/>
        <v>0</v>
      </c>
      <c r="R488" s="53" t="b">
        <f t="shared" si="1383"/>
        <v>0</v>
      </c>
      <c r="S488" s="241" t="s">
        <v>197</v>
      </c>
      <c r="T488" s="127" t="b">
        <f>IF($N488,IF($F488&gt;$P488,ROUND(($Q488-($F487/12)),2),IF($S488="YES",$N488,$N488-MinDrop)))</f>
        <v>0</v>
      </c>
      <c r="U488" s="217"/>
      <c r="V488" s="102"/>
      <c r="W488" s="102"/>
      <c r="X488" s="102"/>
      <c r="Y488" s="118"/>
      <c r="Z488" s="102"/>
      <c r="AA488" s="102"/>
      <c r="AB488" s="102"/>
      <c r="AC488" s="218"/>
    </row>
    <row r="489" spans="1:29" x14ac:dyDescent="0.3">
      <c r="A489" s="115">
        <f t="shared" ref="A489" si="1444">$A484+1</f>
        <v>98</v>
      </c>
      <c r="B489" s="186"/>
      <c r="C489" s="201">
        <f>IF(Pipes!$Q489&gt;0,IF(Pipes!$R489&gt;MinDiameter,Pipes!$R489,MinDiameter),0)</f>
        <v>0</v>
      </c>
      <c r="D489" s="187" t="s">
        <v>197</v>
      </c>
      <c r="E489" s="187"/>
      <c r="F489" s="107">
        <f>Pipes!$S489</f>
        <v>0</v>
      </c>
      <c r="G489" s="108">
        <f>Pipes!$W489</f>
        <v>0</v>
      </c>
      <c r="H489" s="187" t="s">
        <v>197</v>
      </c>
      <c r="I489" s="188"/>
      <c r="J489" s="108">
        <f>Pipes!$X489</f>
        <v>0</v>
      </c>
      <c r="K489" s="193">
        <f>INDEX(Tribs!$H$3:$H$102,MATCH($A489,Tribs!$A$3:$A$102,0))</f>
        <v>0</v>
      </c>
      <c r="L489" s="105">
        <f>INDEX(Tribs!$I$3:$I$102,MATCH($A489,Tribs!$A$3:$A$102,0))</f>
        <v>0</v>
      </c>
      <c r="M489" s="105" t="b">
        <f>IF($L489,ROUND($L489-MinCover-($F489/12),2))</f>
        <v>0</v>
      </c>
      <c r="N489" s="202"/>
      <c r="O489" s="129">
        <f t="shared" ref="O489" si="1445">MIN($N490:$N493)</f>
        <v>0</v>
      </c>
      <c r="P489" s="203"/>
      <c r="Q489" s="203"/>
      <c r="R489" s="203"/>
      <c r="S489" s="110"/>
      <c r="T489" s="116" t="b">
        <f t="shared" ref="T489" si="1446">IF($M489,$M489)</f>
        <v>0</v>
      </c>
      <c r="U489" s="129">
        <f t="shared" ref="U489" si="1447">MIN($T489:$T493)</f>
        <v>0</v>
      </c>
      <c r="V489" s="233" t="s">
        <v>197</v>
      </c>
      <c r="W489" s="219"/>
      <c r="X489" s="219" t="s">
        <v>197</v>
      </c>
      <c r="Y489" s="239"/>
      <c r="Z489" s="105">
        <f t="shared" ref="Z489" si="1448">IF($V489="YES",$U489,IF($X489&lt;&gt;"YES",$W489,($AC489+$J489*$K489)))</f>
        <v>0</v>
      </c>
      <c r="AA489" s="105">
        <f t="shared" ref="AA489" si="1449">ROUND($Z489+($F489/12),2)</f>
        <v>0</v>
      </c>
      <c r="AB489" s="105" t="b">
        <f t="shared" ref="AB489" si="1450">IF($L489,($L489-$AA489))</f>
        <v>0</v>
      </c>
      <c r="AC489" s="111">
        <f t="shared" ref="AC489" si="1451">IF(AND($V489&lt;&gt;"YES",$X489="YES"),$Y489,ROUND($Z489-($J489*$K489),2))</f>
        <v>0</v>
      </c>
    </row>
    <row r="490" spans="1:29" x14ac:dyDescent="0.3">
      <c r="A490" s="121"/>
      <c r="B490" s="204" t="b">
        <f>IF(Pipes!$B490,Pipes!$B490)</f>
        <v>0</v>
      </c>
      <c r="C490" s="205"/>
      <c r="D490" s="224"/>
      <c r="E490" s="224"/>
      <c r="F490" s="224">
        <f t="shared" ref="F490:F493" si="1452">F489</f>
        <v>0</v>
      </c>
      <c r="G490" s="224"/>
      <c r="H490" s="224"/>
      <c r="I490" s="52"/>
      <c r="J490" s="52"/>
      <c r="K490" s="130"/>
      <c r="L490" s="206">
        <f t="shared" ref="L490" si="1453">$L489</f>
        <v>0</v>
      </c>
      <c r="M490" s="206" t="b">
        <f t="shared" ref="M490" si="1454">M489</f>
        <v>0</v>
      </c>
      <c r="N490" s="240" t="b">
        <f t="shared" ref="N490" si="1455">IF($B490,INDEX($AC$4:$AC$499,MATCH($B490,$A$4:$A$499)))</f>
        <v>0</v>
      </c>
      <c r="O490" s="209"/>
      <c r="P490" s="208">
        <f t="shared" ref="P490:P493" si="1456">IF($B490,INDEX($F$4:$F$499,MATCH($B490,$A$4:$A$499)),0)</f>
        <v>0</v>
      </c>
      <c r="Q490" s="242" t="b">
        <f t="shared" ref="Q490" si="1457">IF($N490,ROUND(($N490+($P490/12)),2))</f>
        <v>0</v>
      </c>
      <c r="R490" s="53" t="b">
        <f t="shared" ref="R490" si="1458">IF(AND($L490,$Q490),$L490-$Q490)</f>
        <v>0</v>
      </c>
      <c r="S490" s="241" t="s">
        <v>197</v>
      </c>
      <c r="T490" s="127" t="b">
        <f>IF($N490,IF($F490&gt;$P490,ROUND(($Q490-($F489/12)),2),IF($S490="YES",$N490,$N490-MinDrop)))</f>
        <v>0</v>
      </c>
      <c r="U490" s="243"/>
      <c r="V490" s="245"/>
      <c r="W490" s="245"/>
      <c r="X490" s="54"/>
      <c r="Y490" s="117"/>
      <c r="Z490" s="54"/>
      <c r="AA490" s="54"/>
      <c r="AB490" s="54"/>
      <c r="AC490" s="211"/>
    </row>
    <row r="491" spans="1:29" x14ac:dyDescent="0.3">
      <c r="A491" s="121"/>
      <c r="B491" s="204" t="b">
        <f>IF(Pipes!$B491,Pipes!$B491)</f>
        <v>0</v>
      </c>
      <c r="C491" s="205"/>
      <c r="D491" s="224"/>
      <c r="E491" s="224"/>
      <c r="F491" s="224">
        <f t="shared" si="1452"/>
        <v>0</v>
      </c>
      <c r="G491" s="224"/>
      <c r="H491" s="224"/>
      <c r="I491" s="52"/>
      <c r="J491" s="52"/>
      <c r="K491" s="130"/>
      <c r="L491" s="206">
        <f t="shared" si="1378"/>
        <v>0</v>
      </c>
      <c r="M491" s="206" t="b">
        <f t="shared" si="1379"/>
        <v>0</v>
      </c>
      <c r="N491" s="207" t="b">
        <f t="shared" si="1380"/>
        <v>0</v>
      </c>
      <c r="O491" s="209"/>
      <c r="P491" s="208">
        <f t="shared" si="1456"/>
        <v>0</v>
      </c>
      <c r="Q491" s="53" t="b">
        <f t="shared" si="1382"/>
        <v>0</v>
      </c>
      <c r="R491" s="53" t="b">
        <f t="shared" si="1383"/>
        <v>0</v>
      </c>
      <c r="S491" s="241" t="s">
        <v>197</v>
      </c>
      <c r="T491" s="127" t="b">
        <f>IF($N491,IF($F491&gt;$P491,ROUND(($Q491-($F490/12)),2),IF($S491="YES",$N491,$N491-MinDrop)))</f>
        <v>0</v>
      </c>
      <c r="U491" s="210"/>
      <c r="V491" s="54"/>
      <c r="W491" s="54"/>
      <c r="X491" s="54"/>
      <c r="Y491" s="117"/>
      <c r="Z491" s="54"/>
      <c r="AA491" s="54"/>
      <c r="AB491" s="54"/>
      <c r="AC491" s="211"/>
    </row>
    <row r="492" spans="1:29" x14ac:dyDescent="0.3">
      <c r="A492" s="121"/>
      <c r="B492" s="204" t="b">
        <f>IF(Pipes!$B492,Pipes!$B492)</f>
        <v>0</v>
      </c>
      <c r="C492" s="205"/>
      <c r="D492" s="224"/>
      <c r="E492" s="224"/>
      <c r="F492" s="224">
        <f t="shared" si="1452"/>
        <v>0</v>
      </c>
      <c r="G492" s="224"/>
      <c r="H492" s="224"/>
      <c r="I492" s="52"/>
      <c r="J492" s="52"/>
      <c r="K492" s="130"/>
      <c r="L492" s="206">
        <f t="shared" si="1378"/>
        <v>0</v>
      </c>
      <c r="M492" s="206" t="b">
        <f t="shared" si="1379"/>
        <v>0</v>
      </c>
      <c r="N492" s="207" t="b">
        <f t="shared" si="1380"/>
        <v>0</v>
      </c>
      <c r="O492" s="209"/>
      <c r="P492" s="208">
        <f t="shared" si="1456"/>
        <v>0</v>
      </c>
      <c r="Q492" s="53" t="b">
        <f t="shared" si="1382"/>
        <v>0</v>
      </c>
      <c r="R492" s="53" t="b">
        <f t="shared" si="1383"/>
        <v>0</v>
      </c>
      <c r="S492" s="241" t="s">
        <v>197</v>
      </c>
      <c r="T492" s="127" t="b">
        <f>IF($N492,IF($F492&gt;$P492,ROUND(($Q492-($F491/12)),2),IF($S492="YES",$N492,$N492-MinDrop)))</f>
        <v>0</v>
      </c>
      <c r="U492" s="210"/>
      <c r="V492" s="54"/>
      <c r="W492" s="54"/>
      <c r="X492" s="54"/>
      <c r="Y492" s="117"/>
      <c r="Z492" s="54"/>
      <c r="AA492" s="54"/>
      <c r="AB492" s="54"/>
      <c r="AC492" s="211"/>
    </row>
    <row r="493" spans="1:29" ht="15" thickBot="1" x14ac:dyDescent="0.35">
      <c r="A493" s="122"/>
      <c r="B493" s="204" t="b">
        <f>IF(Pipes!$B493,Pipes!$B493)</f>
        <v>0</v>
      </c>
      <c r="C493" s="212"/>
      <c r="D493" s="104"/>
      <c r="E493" s="104"/>
      <c r="F493" s="104">
        <f t="shared" si="1452"/>
        <v>0</v>
      </c>
      <c r="G493" s="104"/>
      <c r="H493" s="104"/>
      <c r="I493" s="101"/>
      <c r="J493" s="101"/>
      <c r="K493" s="131"/>
      <c r="L493" s="213">
        <f t="shared" si="1378"/>
        <v>0</v>
      </c>
      <c r="M493" s="213" t="b">
        <f t="shared" si="1379"/>
        <v>0</v>
      </c>
      <c r="N493" s="214" t="b">
        <f t="shared" si="1380"/>
        <v>0</v>
      </c>
      <c r="O493" s="216"/>
      <c r="P493" s="215">
        <f t="shared" si="1456"/>
        <v>0</v>
      </c>
      <c r="Q493" s="103" t="b">
        <f t="shared" si="1382"/>
        <v>0</v>
      </c>
      <c r="R493" s="53" t="b">
        <f t="shared" si="1383"/>
        <v>0</v>
      </c>
      <c r="S493" s="241" t="s">
        <v>197</v>
      </c>
      <c r="T493" s="127" t="b">
        <f>IF($N493,IF($F493&gt;$P493,ROUND(($Q493-($F492/12)),2),IF($S493="YES",$N493,$N493-MinDrop)))</f>
        <v>0</v>
      </c>
      <c r="U493" s="217"/>
      <c r="V493" s="102"/>
      <c r="W493" s="102"/>
      <c r="X493" s="102"/>
      <c r="Y493" s="118"/>
      <c r="Z493" s="102"/>
      <c r="AA493" s="102"/>
      <c r="AB493" s="102"/>
      <c r="AC493" s="218"/>
    </row>
    <row r="494" spans="1:29" x14ac:dyDescent="0.3">
      <c r="A494" s="115">
        <f t="shared" ref="A494" si="1459">$A489+1</f>
        <v>99</v>
      </c>
      <c r="B494" s="186"/>
      <c r="C494" s="201">
        <f>IF(Pipes!$Q494&gt;0,IF(Pipes!$R494&gt;MinDiameter,Pipes!$R494,MinDiameter),0)</f>
        <v>0</v>
      </c>
      <c r="D494" s="187" t="s">
        <v>197</v>
      </c>
      <c r="E494" s="187"/>
      <c r="F494" s="107">
        <f>Pipes!$S494</f>
        <v>0</v>
      </c>
      <c r="G494" s="108">
        <f>Pipes!$W494</f>
        <v>0</v>
      </c>
      <c r="H494" s="187" t="s">
        <v>197</v>
      </c>
      <c r="I494" s="188"/>
      <c r="J494" s="108">
        <f>Pipes!$X494</f>
        <v>0</v>
      </c>
      <c r="K494" s="193">
        <f>INDEX(Tribs!$H$3:$H$102,MATCH($A494,Tribs!$A$3:$A$102,0))</f>
        <v>0</v>
      </c>
      <c r="L494" s="105">
        <f>INDEX(Tribs!$I$3:$I$102,MATCH($A494,Tribs!$A$3:$A$102,0))</f>
        <v>0</v>
      </c>
      <c r="M494" s="105" t="b">
        <f>IF($L494,ROUND($L494-MinCover-($F494/12),2))</f>
        <v>0</v>
      </c>
      <c r="N494" s="202"/>
      <c r="O494" s="129">
        <f t="shared" ref="O494" si="1460">MIN($N495:$N498)</f>
        <v>0</v>
      </c>
      <c r="P494" s="203"/>
      <c r="Q494" s="203"/>
      <c r="R494" s="203"/>
      <c r="S494" s="110"/>
      <c r="T494" s="116" t="b">
        <f t="shared" ref="T494" si="1461">IF($M494,$M494)</f>
        <v>0</v>
      </c>
      <c r="U494" s="129">
        <f t="shared" ref="U494" si="1462">MIN($T494:$T498)</f>
        <v>0</v>
      </c>
      <c r="V494" s="233" t="s">
        <v>197</v>
      </c>
      <c r="W494" s="219"/>
      <c r="X494" s="219" t="s">
        <v>197</v>
      </c>
      <c r="Y494" s="239"/>
      <c r="Z494" s="105">
        <f t="shared" ref="Z494" si="1463">IF($V494="YES",$U494,IF($X494&lt;&gt;"YES",$W494,($AC494+$J494*$K494)))</f>
        <v>0</v>
      </c>
      <c r="AA494" s="105">
        <f t="shared" ref="AA494" si="1464">ROUND($Z494+($F494/12),2)</f>
        <v>0</v>
      </c>
      <c r="AB494" s="105" t="b">
        <f t="shared" ref="AB494" si="1465">IF($L494,($L494-$AA494))</f>
        <v>0</v>
      </c>
      <c r="AC494" s="111">
        <f t="shared" ref="AC494" si="1466">IF(AND($V494&lt;&gt;"YES",$X494="YES"),$Y494,ROUND($Z494-($J494*$K494),2))</f>
        <v>0</v>
      </c>
    </row>
    <row r="495" spans="1:29" x14ac:dyDescent="0.3">
      <c r="A495" s="121"/>
      <c r="B495" s="204" t="b">
        <f>IF(Pipes!$B495,Pipes!$B495)</f>
        <v>0</v>
      </c>
      <c r="C495" s="205"/>
      <c r="D495" s="224"/>
      <c r="E495" s="224"/>
      <c r="F495" s="224">
        <f t="shared" ref="F495:F498" si="1467">F494</f>
        <v>0</v>
      </c>
      <c r="G495" s="224"/>
      <c r="H495" s="224"/>
      <c r="I495" s="52"/>
      <c r="J495" s="52"/>
      <c r="K495" s="130"/>
      <c r="L495" s="206">
        <f t="shared" ref="L495" si="1468">$L494</f>
        <v>0</v>
      </c>
      <c r="M495" s="206" t="b">
        <f t="shared" ref="M495" si="1469">M494</f>
        <v>0</v>
      </c>
      <c r="N495" s="240" t="b">
        <f t="shared" ref="N495" si="1470">IF($B495,INDEX($AC$4:$AC$499,MATCH($B495,$A$4:$A$499)))</f>
        <v>0</v>
      </c>
      <c r="O495" s="209"/>
      <c r="P495" s="208">
        <f t="shared" ref="P495:P498" si="1471">IF($B495,INDEX($F$4:$F$499,MATCH($B495,$A$4:$A$499)),0)</f>
        <v>0</v>
      </c>
      <c r="Q495" s="242" t="b">
        <f t="shared" ref="Q495" si="1472">IF($N495,ROUND(($N495+($P495/12)),2))</f>
        <v>0</v>
      </c>
      <c r="R495" s="53" t="b">
        <f t="shared" ref="R495" si="1473">IF(AND($L495,$Q495),$L495-$Q495)</f>
        <v>0</v>
      </c>
      <c r="S495" s="241" t="s">
        <v>197</v>
      </c>
      <c r="T495" s="127" t="b">
        <f>IF($N495,IF($F495&gt;$P495,ROUND(($Q495-($F494/12)),2),IF($S495="YES",$N495,$N495-MinDrop)))</f>
        <v>0</v>
      </c>
      <c r="U495" s="243"/>
      <c r="V495" s="245"/>
      <c r="W495" s="245"/>
      <c r="X495" s="54"/>
      <c r="Y495" s="117"/>
      <c r="Z495" s="54"/>
      <c r="AA495" s="54"/>
      <c r="AB495" s="54"/>
      <c r="AC495" s="211"/>
    </row>
    <row r="496" spans="1:29" x14ac:dyDescent="0.3">
      <c r="A496" s="121"/>
      <c r="B496" s="204" t="b">
        <f>IF(Pipes!$B496,Pipes!$B496)</f>
        <v>0</v>
      </c>
      <c r="C496" s="205"/>
      <c r="D496" s="224"/>
      <c r="E496" s="224"/>
      <c r="F496" s="224">
        <f t="shared" si="1467"/>
        <v>0</v>
      </c>
      <c r="G496" s="224"/>
      <c r="H496" s="224"/>
      <c r="I496" s="52"/>
      <c r="J496" s="52"/>
      <c r="K496" s="130"/>
      <c r="L496" s="206">
        <f t="shared" si="1378"/>
        <v>0</v>
      </c>
      <c r="M496" s="206" t="b">
        <f t="shared" si="1379"/>
        <v>0</v>
      </c>
      <c r="N496" s="207" t="b">
        <f t="shared" si="1380"/>
        <v>0</v>
      </c>
      <c r="O496" s="209"/>
      <c r="P496" s="208">
        <f t="shared" si="1471"/>
        <v>0</v>
      </c>
      <c r="Q496" s="53" t="b">
        <f t="shared" si="1382"/>
        <v>0</v>
      </c>
      <c r="R496" s="53" t="b">
        <f t="shared" si="1383"/>
        <v>0</v>
      </c>
      <c r="S496" s="241" t="s">
        <v>197</v>
      </c>
      <c r="T496" s="127" t="b">
        <f>IF($N496,IF($F496&gt;$P496,ROUND(($Q496-($F495/12)),2),IF($S496="YES",$N496,$N496-MinDrop)))</f>
        <v>0</v>
      </c>
      <c r="U496" s="210"/>
      <c r="V496" s="54"/>
      <c r="W496" s="54"/>
      <c r="X496" s="54"/>
      <c r="Y496" s="117"/>
      <c r="Z496" s="54"/>
      <c r="AA496" s="54"/>
      <c r="AB496" s="54"/>
      <c r="AC496" s="211"/>
    </row>
    <row r="497" spans="1:29" x14ac:dyDescent="0.3">
      <c r="A497" s="121"/>
      <c r="B497" s="204" t="b">
        <f>IF(Pipes!$B497,Pipes!$B497)</f>
        <v>0</v>
      </c>
      <c r="C497" s="205"/>
      <c r="D497" s="224"/>
      <c r="E497" s="224"/>
      <c r="F497" s="224">
        <f t="shared" si="1467"/>
        <v>0</v>
      </c>
      <c r="G497" s="224"/>
      <c r="H497" s="224"/>
      <c r="I497" s="52"/>
      <c r="J497" s="52"/>
      <c r="K497" s="130"/>
      <c r="L497" s="206">
        <f t="shared" si="1378"/>
        <v>0</v>
      </c>
      <c r="M497" s="206" t="b">
        <f t="shared" si="1379"/>
        <v>0</v>
      </c>
      <c r="N497" s="207" t="b">
        <f t="shared" si="1380"/>
        <v>0</v>
      </c>
      <c r="O497" s="209"/>
      <c r="P497" s="208">
        <f t="shared" si="1471"/>
        <v>0</v>
      </c>
      <c r="Q497" s="53" t="b">
        <f t="shared" si="1382"/>
        <v>0</v>
      </c>
      <c r="R497" s="53" t="b">
        <f t="shared" si="1383"/>
        <v>0</v>
      </c>
      <c r="S497" s="241" t="s">
        <v>197</v>
      </c>
      <c r="T497" s="127" t="b">
        <f>IF($N497,IF($F497&gt;$P497,ROUND(($Q497-($F496/12)),2),IF($S497="YES",$N497,$N497-MinDrop)))</f>
        <v>0</v>
      </c>
      <c r="U497" s="210"/>
      <c r="V497" s="54"/>
      <c r="W497" s="54"/>
      <c r="X497" s="54"/>
      <c r="Y497" s="117"/>
      <c r="Z497" s="54"/>
      <c r="AA497" s="54"/>
      <c r="AB497" s="54"/>
      <c r="AC497" s="211"/>
    </row>
    <row r="498" spans="1:29" ht="15" thickBot="1" x14ac:dyDescent="0.35">
      <c r="A498" s="122"/>
      <c r="B498" s="204" t="b">
        <f>IF(Pipes!$B498,Pipes!$B498)</f>
        <v>0</v>
      </c>
      <c r="C498" s="212"/>
      <c r="D498" s="104"/>
      <c r="E498" s="104"/>
      <c r="F498" s="104">
        <f t="shared" si="1467"/>
        <v>0</v>
      </c>
      <c r="G498" s="104"/>
      <c r="H498" s="104"/>
      <c r="I498" s="101"/>
      <c r="J498" s="101"/>
      <c r="K498" s="131"/>
      <c r="L498" s="213">
        <f t="shared" si="1378"/>
        <v>0</v>
      </c>
      <c r="M498" s="213" t="b">
        <f t="shared" si="1379"/>
        <v>0</v>
      </c>
      <c r="N498" s="214" t="b">
        <f t="shared" si="1380"/>
        <v>0</v>
      </c>
      <c r="O498" s="216"/>
      <c r="P498" s="215">
        <f t="shared" si="1471"/>
        <v>0</v>
      </c>
      <c r="Q498" s="103" t="b">
        <f t="shared" si="1382"/>
        <v>0</v>
      </c>
      <c r="R498" s="53" t="b">
        <f t="shared" si="1383"/>
        <v>0</v>
      </c>
      <c r="S498" s="241" t="s">
        <v>197</v>
      </c>
      <c r="T498" s="127" t="b">
        <f>IF($N498,IF($F498&gt;$P498,ROUND(($Q498-($F497/12)),2),IF($S498="YES",$N498,$N498-MinDrop)))</f>
        <v>0</v>
      </c>
      <c r="U498" s="217"/>
      <c r="V498" s="102"/>
      <c r="W498" s="102"/>
      <c r="X498" s="102"/>
      <c r="Y498" s="118"/>
      <c r="Z498" s="102"/>
      <c r="AA498" s="102"/>
      <c r="AB498" s="102"/>
      <c r="AC498" s="218"/>
    </row>
    <row r="499" spans="1:29" x14ac:dyDescent="0.3">
      <c r="A499" s="115">
        <f t="shared" ref="A499" si="1474">$A494+1</f>
        <v>100</v>
      </c>
      <c r="B499" s="186"/>
      <c r="C499" s="201">
        <f>IF(Pipes!$Q499&gt;0,IF(Pipes!$R499&gt;MinDiameter,Pipes!$R499,MinDiameter),0)</f>
        <v>0</v>
      </c>
      <c r="D499" s="187" t="s">
        <v>197</v>
      </c>
      <c r="E499" s="187"/>
      <c r="F499" s="107">
        <f>Pipes!$S499</f>
        <v>0</v>
      </c>
      <c r="G499" s="108">
        <f>Pipes!$W499</f>
        <v>0</v>
      </c>
      <c r="H499" s="187" t="s">
        <v>197</v>
      </c>
      <c r="I499" s="188"/>
      <c r="J499" s="108">
        <f>Pipes!$X499</f>
        <v>0</v>
      </c>
      <c r="K499" s="193">
        <f>INDEX(Tribs!$H$3:$H$102,MATCH($A499,Tribs!$A$3:$A$102,0))</f>
        <v>0</v>
      </c>
      <c r="L499" s="105">
        <f>INDEX(Tribs!$I$3:$I$102,MATCH($A499,Tribs!$A$3:$A$102,0))</f>
        <v>0</v>
      </c>
      <c r="M499" s="105" t="b">
        <f>IF($L499,ROUND($L499-MinCover-($F499/12),2))</f>
        <v>0</v>
      </c>
      <c r="N499" s="202"/>
      <c r="O499" s="129">
        <f t="shared" ref="O499" si="1475">MIN($N500:$N503)</f>
        <v>0</v>
      </c>
      <c r="P499" s="203"/>
      <c r="Q499" s="203"/>
      <c r="R499" s="203"/>
      <c r="S499" s="110"/>
      <c r="T499" s="116" t="b">
        <f t="shared" ref="T499" si="1476">IF($M499,$M499)</f>
        <v>0</v>
      </c>
      <c r="U499" s="129">
        <f t="shared" ref="U499" si="1477">MIN($T499:$T503)</f>
        <v>0</v>
      </c>
      <c r="V499" s="233" t="s">
        <v>197</v>
      </c>
      <c r="W499" s="219"/>
      <c r="X499" s="219" t="s">
        <v>197</v>
      </c>
      <c r="Y499" s="239"/>
      <c r="Z499" s="105">
        <f t="shared" ref="Z499" si="1478">IF($V499="YES",$U499,IF($X499&lt;&gt;"YES",$W499,($AC499+$J499*$K499)))</f>
        <v>0</v>
      </c>
      <c r="AA499" s="105">
        <f t="shared" ref="AA499" si="1479">ROUND($Z499+($F499/12),2)</f>
        <v>0</v>
      </c>
      <c r="AB499" s="105" t="b">
        <f t="shared" ref="AB499" si="1480">IF($L499,($L499-$AA499))</f>
        <v>0</v>
      </c>
      <c r="AC499" s="111">
        <f t="shared" ref="AC499" si="1481">IF(AND($V499&lt;&gt;"YES",$X499="YES"),$Y499,ROUND($Z499-($J499*$K499),2))</f>
        <v>0</v>
      </c>
    </row>
    <row r="500" spans="1:29" x14ac:dyDescent="0.3">
      <c r="A500" s="121"/>
      <c r="B500" s="204" t="b">
        <f>IF(Pipes!$B500,Pipes!$B500)</f>
        <v>0</v>
      </c>
      <c r="C500" s="205"/>
      <c r="D500" s="224"/>
      <c r="E500" s="224"/>
      <c r="F500" s="224">
        <f t="shared" ref="F500:F503" si="1482">F499</f>
        <v>0</v>
      </c>
      <c r="G500" s="224"/>
      <c r="H500" s="224"/>
      <c r="I500" s="52"/>
      <c r="J500" s="52"/>
      <c r="K500" s="130"/>
      <c r="L500" s="206">
        <f t="shared" ref="L500" si="1483">$L499</f>
        <v>0</v>
      </c>
      <c r="M500" s="206" t="b">
        <f t="shared" ref="M500" si="1484">M499</f>
        <v>0</v>
      </c>
      <c r="N500" s="240" t="b">
        <f t="shared" ref="N500" si="1485">IF($B500,INDEX($AC$4:$AC$499,MATCH($B500,$A$4:$A$499)))</f>
        <v>0</v>
      </c>
      <c r="O500" s="209"/>
      <c r="P500" s="208">
        <f t="shared" ref="P500:P503" si="1486">IF($B500,INDEX($F$4:$F$499,MATCH($B500,$A$4:$A$499)),0)</f>
        <v>0</v>
      </c>
      <c r="Q500" s="242" t="b">
        <f t="shared" ref="Q500" si="1487">IF($N500,ROUND(($N500+($P500/12)),2))</f>
        <v>0</v>
      </c>
      <c r="R500" s="53" t="b">
        <f t="shared" ref="R500" si="1488">IF(AND($L500,$Q500),$L500-$Q500)</f>
        <v>0</v>
      </c>
      <c r="S500" s="241" t="s">
        <v>197</v>
      </c>
      <c r="T500" s="127" t="b">
        <f>IF($N500,IF($F500&gt;$P500,ROUND(($Q500-($F499/12)),2),IF($S500="YES",$N500,$N500-MinDrop)))</f>
        <v>0</v>
      </c>
      <c r="U500" s="243"/>
      <c r="V500" s="245"/>
      <c r="W500" s="245"/>
      <c r="X500" s="54"/>
      <c r="Y500" s="117"/>
      <c r="Z500" s="54"/>
      <c r="AA500" s="54"/>
      <c r="AB500" s="54"/>
      <c r="AC500" s="211"/>
    </row>
    <row r="501" spans="1:29" x14ac:dyDescent="0.3">
      <c r="A501" s="121"/>
      <c r="B501" s="204" t="b">
        <f>IF(Pipes!$B501,Pipes!$B501)</f>
        <v>0</v>
      </c>
      <c r="C501" s="205"/>
      <c r="D501" s="224"/>
      <c r="E501" s="224"/>
      <c r="F501" s="224">
        <f t="shared" si="1482"/>
        <v>0</v>
      </c>
      <c r="G501" s="224"/>
      <c r="H501" s="224"/>
      <c r="I501" s="52"/>
      <c r="J501" s="52"/>
      <c r="K501" s="130"/>
      <c r="L501" s="206">
        <f t="shared" si="1378"/>
        <v>0</v>
      </c>
      <c r="M501" s="206" t="b">
        <f t="shared" si="1379"/>
        <v>0</v>
      </c>
      <c r="N501" s="207" t="b">
        <f t="shared" si="1380"/>
        <v>0</v>
      </c>
      <c r="O501" s="209"/>
      <c r="P501" s="208">
        <f t="shared" si="1486"/>
        <v>0</v>
      </c>
      <c r="Q501" s="53" t="b">
        <f t="shared" si="1382"/>
        <v>0</v>
      </c>
      <c r="R501" s="53" t="b">
        <f t="shared" si="1383"/>
        <v>0</v>
      </c>
      <c r="S501" s="241" t="s">
        <v>197</v>
      </c>
      <c r="T501" s="127" t="b">
        <f>IF($N501,IF($F501&gt;$P501,ROUND(($Q501-($F500/12)),2),IF($S501="YES",$N501,$N501-MinDrop)))</f>
        <v>0</v>
      </c>
      <c r="U501" s="210"/>
      <c r="V501" s="54"/>
      <c r="W501" s="54"/>
      <c r="X501" s="54"/>
      <c r="Y501" s="117"/>
      <c r="Z501" s="54"/>
      <c r="AA501" s="54"/>
      <c r="AB501" s="54"/>
      <c r="AC501" s="211"/>
    </row>
    <row r="502" spans="1:29" x14ac:dyDescent="0.3">
      <c r="A502" s="121"/>
      <c r="B502" s="204" t="b">
        <f>IF(Pipes!$B502,Pipes!$B502)</f>
        <v>0</v>
      </c>
      <c r="C502" s="205"/>
      <c r="D502" s="224"/>
      <c r="E502" s="224"/>
      <c r="F502" s="224">
        <f t="shared" si="1482"/>
        <v>0</v>
      </c>
      <c r="G502" s="224"/>
      <c r="H502" s="224"/>
      <c r="I502" s="52"/>
      <c r="J502" s="52"/>
      <c r="K502" s="130"/>
      <c r="L502" s="206">
        <f t="shared" si="1378"/>
        <v>0</v>
      </c>
      <c r="M502" s="206" t="b">
        <f t="shared" si="1379"/>
        <v>0</v>
      </c>
      <c r="N502" s="207" t="b">
        <f t="shared" si="1380"/>
        <v>0</v>
      </c>
      <c r="O502" s="209"/>
      <c r="P502" s="208">
        <f t="shared" si="1486"/>
        <v>0</v>
      </c>
      <c r="Q502" s="53" t="b">
        <f t="shared" si="1382"/>
        <v>0</v>
      </c>
      <c r="R502" s="53" t="b">
        <f t="shared" si="1383"/>
        <v>0</v>
      </c>
      <c r="S502" s="241" t="s">
        <v>197</v>
      </c>
      <c r="T502" s="127" t="b">
        <f>IF($N502,IF($F502&gt;$P502,ROUND(($Q502-($F501/12)),2),IF($S502="YES",$N502,$N502-MinDrop)))</f>
        <v>0</v>
      </c>
      <c r="U502" s="210"/>
      <c r="V502" s="54"/>
      <c r="W502" s="54"/>
      <c r="X502" s="54"/>
      <c r="Y502" s="117"/>
      <c r="Z502" s="54"/>
      <c r="AA502" s="54"/>
      <c r="AB502" s="54"/>
      <c r="AC502" s="211"/>
    </row>
    <row r="503" spans="1:29" ht="15" thickBot="1" x14ac:dyDescent="0.35">
      <c r="A503" s="122"/>
      <c r="B503" s="204" t="b">
        <f>IF(Pipes!$B503,Pipes!$B503)</f>
        <v>0</v>
      </c>
      <c r="C503" s="212"/>
      <c r="D503" s="104"/>
      <c r="E503" s="104"/>
      <c r="F503" s="104">
        <f t="shared" si="1482"/>
        <v>0</v>
      </c>
      <c r="G503" s="104"/>
      <c r="H503" s="104"/>
      <c r="I503" s="101"/>
      <c r="J503" s="101"/>
      <c r="K503" s="131"/>
      <c r="L503" s="213">
        <f t="shared" si="1378"/>
        <v>0</v>
      </c>
      <c r="M503" s="213" t="b">
        <f t="shared" si="1379"/>
        <v>0</v>
      </c>
      <c r="N503" s="214" t="b">
        <f t="shared" si="1380"/>
        <v>0</v>
      </c>
      <c r="O503" s="216"/>
      <c r="P503" s="215">
        <f t="shared" si="1486"/>
        <v>0</v>
      </c>
      <c r="Q503" s="103" t="b">
        <f t="shared" si="1382"/>
        <v>0</v>
      </c>
      <c r="R503" s="53" t="b">
        <f t="shared" si="1383"/>
        <v>0</v>
      </c>
      <c r="S503" s="241" t="s">
        <v>197</v>
      </c>
      <c r="T503" s="127" t="b">
        <f>IF($N503,IF($F503&gt;$P503,ROUND(($Q503-($F502/12)),2),IF($S503="YES",$N503,$N503-MinDrop)))</f>
        <v>0</v>
      </c>
      <c r="U503" s="217"/>
      <c r="V503" s="102"/>
      <c r="W503" s="102"/>
      <c r="X503" s="102"/>
      <c r="Y503" s="118"/>
      <c r="Z503" s="102"/>
      <c r="AA503" s="102"/>
      <c r="AB503" s="102"/>
      <c r="AC503" s="218"/>
    </row>
    <row r="504" spans="1:29" x14ac:dyDescent="0.3">
      <c r="A504" s="61"/>
      <c r="B504" s="141"/>
      <c r="C504" s="61"/>
      <c r="D504" s="61"/>
      <c r="E504" s="61"/>
      <c r="F504" s="61"/>
      <c r="G504" s="61"/>
      <c r="H504" s="61"/>
      <c r="I504" s="61"/>
      <c r="J504" s="61"/>
      <c r="K504" s="61"/>
      <c r="L504" s="142"/>
      <c r="M504" s="61"/>
      <c r="N504" s="61"/>
      <c r="O504" s="61"/>
      <c r="P504" s="61"/>
      <c r="Q504" s="61"/>
      <c r="R504" s="61"/>
      <c r="S504" s="61"/>
      <c r="T504" s="61"/>
      <c r="U504" s="61"/>
      <c r="V504" s="61"/>
      <c r="W504" s="61"/>
      <c r="X504" s="61"/>
      <c r="Y504" s="61"/>
      <c r="Z504" s="61"/>
      <c r="AA504" s="61"/>
      <c r="AB504" s="61"/>
      <c r="AC504" s="61"/>
    </row>
  </sheetData>
  <sheetProtection sheet="1" objects="1" scenarios="1" formatColumns="0" formatRows="0" selectLockedCells="1"/>
  <mergeCells count="13">
    <mergeCell ref="A1:B1"/>
    <mergeCell ref="C1:K1"/>
    <mergeCell ref="L1:AC1"/>
    <mergeCell ref="M2:M3"/>
    <mergeCell ref="N2:R2"/>
    <mergeCell ref="T3:U3"/>
    <mergeCell ref="A2:A3"/>
    <mergeCell ref="L2:L3"/>
    <mergeCell ref="F2:F3"/>
    <mergeCell ref="J2:J3"/>
    <mergeCell ref="S2:U2"/>
    <mergeCell ref="Z2:AC2"/>
    <mergeCell ref="V2:Y2"/>
  </mergeCells>
  <conditionalFormatting sqref="B5:B8">
    <cfRule type="containsText" dxfId="36" priority="166" operator="containsText" text="FALSE">
      <formula>NOT(ISERROR(SEARCH("FALSE",B5)))</formula>
    </cfRule>
  </conditionalFormatting>
  <conditionalFormatting sqref="B10:B13 B15:B18 B20:B23 B25:B28 B30:B33 B35:B38 B40:B43 B45:B48 B50:B53 B55:B58 B60:B63 B65:B68 B70:B73 B75:B78 B80:B83 B85:B88 B90:B93 B95:B98 B100:B103 B105:B108 B110:B113 B115:B118 B120:B123 B125:B128 B130:B133 B135:B138 B140:B143 B145:B148 B150:B153 B155:B158 B160:B163 B165:B168 B170:B173 B175:B178 B180:B183 B185:B188 B190:B193 B195:B198 B200:B203 B205:B208 B210:B213 B215:B218 B220:B223 B225:B228 B230:B233 B235:B238 B240:B243 B245:B248 B250:B253 B255:B258 B260:B263 B265:B268 B270:B273 B275:B278 B280:B283 B285:B288 B290:B293 B295:B298 B300:B303 B305:B308 B310:B313 B315:B318 B320:B323 B325:B328 B330:B333 B335:B338 B340:B343 B345:B348 B350:B353 B355:B358 B360:B363 B365:B368 B370:B373 B375:B378 B380:B383 B385:B388 B390:B393 B395:B398 B400:B403 B405:B408 B410:B413 B415:B418 B420:B423 B425:B428 B430:B433 B435:B438 B440:B443 B445:B448 B450:B453 B455:B458 B460:B463 B465:B468 B470:B473 B475:B478 B480:B483 B485:B488 B490:B493 B495:B498 B500:B503">
    <cfRule type="containsText" dxfId="35" priority="66" operator="containsText" text="FALSE">
      <formula>NOT(ISERROR(SEARCH("FALSE",B10)))</formula>
    </cfRule>
  </conditionalFormatting>
  <conditionalFormatting sqref="E4">
    <cfRule type="expression" dxfId="34" priority="136">
      <formula>$D4="yes"</formula>
    </cfRule>
  </conditionalFormatting>
  <conditionalFormatting sqref="E9 E14 E19 E24 E29 E34 E39 E44 E49 E54 E59 E64 E69 E74 E79 E84 E89 E94 E99 E104 E109 E114 E119 E124 E129 E134 E139 E144 E149 E154 E159 E164 E169 E174 E179 E184 E189 E194 E199 E204 E209 E214 E219 E224 E229 E234 E239 E244 E249 E254 E259 E264 E269 E274 E279 E284 E289 E294 E299 E304 E309 E314 E319 E324 E329 E334 E339 E344 E349 E354 E359 E364 E369 E374 E379 E384 E389 E394 E399 E404 E409 E414 E419 E424 E429 E434 E439 E444 E449 E454 E459 E464 E469 E474 E479 E484 E489 E494 E499">
    <cfRule type="expression" dxfId="33" priority="17">
      <formula>$D9="yes"</formula>
    </cfRule>
  </conditionalFormatting>
  <conditionalFormatting sqref="I4">
    <cfRule type="expression" dxfId="32" priority="133">
      <formula>$H4="yes"</formula>
    </cfRule>
  </conditionalFormatting>
  <conditionalFormatting sqref="I9 I14 I19 I24 I29 I34 I39 I44 I49 I54 I59 I64 I69 I74 I79 I84 I89 I94 I99 I104 I109 I114 I119 I124 I129 I134 I139 I144 I149 I154 I159 I164 I169 I174 I179 I184 I189 I194 I199 I204 I209 I214 I219 I224 I229 I234 I239 I244 I249 I254 I259 I264 I269 I274 I279 I284 I289 I294 I299 I304 I309 I314 I319 I324 I329 I334 I339 I344 I349 I354 I359 I364 I369 I374 I379 I384 I389 I394 I399 I404 I409 I414 I419 I424 I429 I434 I439 I444 I449 I454 I459 I464 I469 I474 I479 I484 I489 I494 I499">
    <cfRule type="expression" dxfId="31" priority="16">
      <formula>$H9="yes"</formula>
    </cfRule>
  </conditionalFormatting>
  <conditionalFormatting sqref="L4">
    <cfRule type="cellIs" dxfId="30" priority="7" operator="equal">
      <formula>0</formula>
    </cfRule>
  </conditionalFormatting>
  <conditionalFormatting sqref="L9 L14 L19 L24 L29 L34 L39 L44 L49 L54 L59 L64 L69 L74 L79 L84 L89 L94 L99 L104 L109 L114 L119 L124 L129 L134 L139 L144 L149 L154 L159 L164 L169 L174 L179 L184 L189 L194 L199 L204 L209 L214 L219 L224 L229 L234 L239 L244 L249 L254 L259 L264 L269 L274 L279 L284 L289 L294 L299 L304 L309 L314 L319 L324 L329 L334 L339 L344 L349 L354 L359 L364 L369 L374 L379 L384 L389 L394 L399 L404 L409 L414 L419 L424 L429 L434 L439 L444 L449 L454 L459 L464 L469 L474 L479 L484 L489 L494 L499">
    <cfRule type="cellIs" dxfId="29" priority="1" operator="equal">
      <formula>0</formula>
    </cfRule>
  </conditionalFormatting>
  <conditionalFormatting sqref="M4">
    <cfRule type="containsText" dxfId="28" priority="224" operator="containsText" text="OK">
      <formula>NOT(ISERROR(SEARCH("OK",M4)))</formula>
    </cfRule>
    <cfRule type="containsText" dxfId="27" priority="223" operator="containsText" text="NG">
      <formula>NOT(ISERROR(SEARCH("NG",M4)))</formula>
    </cfRule>
  </conditionalFormatting>
  <conditionalFormatting sqref="M9 M14 M19 M24 M29 M34 M39 M44 M49 M54 M59 M64 M69 M74 M79 M84 M89 M94 M99 M104 M109 M114 M119 M124 M129 M134 M139 M144 M149 M154 M159 M164 M169 M174 M179 M184 M189 M194 M199 M204 M209 M214 M219 M224 M229 M234 M239 M244 M249 M254 M259 M264 M269 M274 M279 M284 M289 M294 M299 M304 M309 M314 M319 M324 M329 M334 M339 M344 M349 M354 M359 M364 M369 M374 M379 M384 M389 M394 M399 M404 M409 M414 M419 M424 M429 M434 M439 M444 M449 M454 M459 M464 M469 M474 M479 M484 M489 M494 M499">
    <cfRule type="containsText" dxfId="26" priority="23" operator="containsText" text="NG">
      <formula>NOT(ISERROR(SEARCH("NG",M9)))</formula>
    </cfRule>
    <cfRule type="containsText" dxfId="25" priority="24" operator="containsText" text="OK">
      <formula>NOT(ISERROR(SEARCH("OK",M9)))</formula>
    </cfRule>
  </conditionalFormatting>
  <conditionalFormatting sqref="N5:N8">
    <cfRule type="containsText" dxfId="24" priority="74" operator="containsText" text="FALSE">
      <formula>NOT(ISERROR(SEARCH("FALSE",N5)))</formula>
    </cfRule>
  </conditionalFormatting>
  <conditionalFormatting sqref="N10:N13 N15:N18 N20:N23 N25:N28 N30:N33 N35:N38 N40:N43 N45:N48 N50:N53 N55:N58 N60:N63 N65:N68 N70:N73 N75:N78 N80:N83 N85:N88 N90:N93 N95:N98 N100:N103 N105:N108 N110:N113 N115:N118 N120:N123 N125:N128 N130:N133 N135:N138 N140:N143 N145:N148 N150:N153 N155:N158 N160:N163 N165:N168 N170:N173 N175:N178 N180:N183 N185:N188 N190:N193 N195:N198 N200:N203 N205:N208 N210:N213 N215:N218 N220:N223 N225:N228 N230:N233 N235:N238 N240:N243 N245:N248 N250:N253 N255:N258 N260:N263 N265:N268 N270:N273 N275:N278 N280:N283 N285:N288 N290:N293 N295:N298 N300:N303 N305:N308 N310:N313 N315:N318 N320:N323 N325:N328 N330:N333 N335:N338 N340:N343 N345:N348 N350:N353 N355:N358 N360:N363 N365:N368 N370:N373 N375:N378 N380:N383 N385:N388 N390:N393 N395:N398 N400:N403 N405:N408 N410:N413 N415:N418 N420:N423 N425:N428 N430:N433 N435:N438 N440:N443 N445:N448 N450:N453 N455:N458 N460:N463 N465:N468 N470:N473 N475:N478 N480:N483 N485:N488 N490:N493 N495:N498 N500:N503">
    <cfRule type="containsText" dxfId="23" priority="12" operator="containsText" text="FALSE">
      <formula>NOT(ISERROR(SEARCH("FALSE",N10)))</formula>
    </cfRule>
  </conditionalFormatting>
  <conditionalFormatting sqref="O4">
    <cfRule type="cellIs" dxfId="22" priority="5" operator="equal">
      <formula>0</formula>
    </cfRule>
  </conditionalFormatting>
  <conditionalFormatting sqref="O9 O14 O19 O24 O29 O34 O39 O44 O49 O54 O59 O64 O69 O74 O79 O84 O89 O94 O99 O104 O109 O114 O119 O124 O129 O134 O139 O144 O149 O154 O159 O164 O169 O174 O179 O184 O189 O194 O199 O204 O209 O214 O219 O224 O229 O234 O239 O244 O249 O254 O259 O264 O269 O274 O279 O284 O289 O294 O299 O304 O309 O314 O319 O324 O329 O334 O339 O344 O349 O354 O359 O364 O369 O374 O379 O384 O389 O394 O399 O404 O409 O414 O419 O424 O429 O434 O439 O444 O449 O454 O459 O464 O469 O474 O479 O484 O489 O494 O499">
    <cfRule type="cellIs" dxfId="21" priority="4" operator="equal">
      <formula>0</formula>
    </cfRule>
  </conditionalFormatting>
  <conditionalFormatting sqref="P5:P8">
    <cfRule type="cellIs" dxfId="20" priority="213" operator="equal">
      <formula>0</formula>
    </cfRule>
    <cfRule type="cellIs" dxfId="19" priority="220" operator="greaterThan">
      <formula>$F5</formula>
    </cfRule>
  </conditionalFormatting>
  <conditionalFormatting sqref="P10:P13 P15:P18 P20:P23 P25:P28 P30:P33 P35:P38 P40:P43 P45:P48 P50:P53 P55:P58 P60:P63 P65:P68 P70:P73 P75:P78 P80:P83 P85:P88 P90:P93 P95:P98 P100:P103 P105:P108 P110:P113 P115:P118 P120:P123 P125:P128 P130:P133 P135:P138 P140:P143 P145:P148 P150:P153 P155:P158 P160:P163 P165:P168 P170:P173 P175:P178 P180:P183 P185:P188 P190:P193 P195:P198 P200:P203 P205:P208 P210:P213 P215:P218 P220:P223 P225:P228 P230:P233 P235:P238 P240:P243 P245:P248 P250:P253 P255:P258 P260:P263 P265:P268 P270:P273 P275:P278 P280:P283 P285:P288 P290:P293 P295:P298 P300:P303 P305:P308 P310:P313 P315:P318 P320:P323 P325:P328 P330:P333 P335:P338 P340:P343 P345:P348 P350:P353 P355:P358 P360:P363 P365:P368 P370:P373 P375:P378 P380:P383 P385:P388 P390:P393 P395:P398 P400:P403 P405:P408 P410:P413 P415:P418 P420:P423 P425:P428 P430:P433 P435:P438 P440:P443 P445:P448 P450:P453 P455:P458 P460:P463 P465:P468 P470:P473 P475:P478 P480:P483 P485:P488 P490:P493 P495:P498 P500:P503">
    <cfRule type="cellIs" dxfId="18" priority="19" operator="equal">
      <formula>0</formula>
    </cfRule>
    <cfRule type="cellIs" dxfId="17" priority="22" operator="greaterThan">
      <formula>$F10</formula>
    </cfRule>
  </conditionalFormatting>
  <conditionalFormatting sqref="Q5:R8">
    <cfRule type="containsText" dxfId="16" priority="69" operator="containsText" text="FALSE">
      <formula>NOT(ISERROR(SEARCH("FALSE",Q5)))</formula>
    </cfRule>
  </conditionalFormatting>
  <conditionalFormatting sqref="Q10:R13 Q15:R18 Q20:R23 Q25:R28 Q30:R33 Q35:R38 Q40:R43 Q45:R48 Q50:R53 Q55:R58 Q60:R63 Q65:R68 Q70:R73 Q75:R78 Q80:R83 Q85:R88 Q90:R93 Q95:R98 Q100:R103 Q105:R108 Q110:R113 Q115:R118 Q120:R123 Q125:R128 Q130:R133 Q135:R138 Q140:R143 Q145:R148 Q150:R153 Q155:R158 Q160:R163 Q165:R168 Q170:R173 Q175:R178 Q180:R183 Q185:R188 Q190:R193 Q195:R198 Q200:R203 Q205:R208 Q210:R213 Q215:R218 Q220:R223 Q225:R228 Q230:R233 Q235:R238 Q240:R243 Q245:R248 Q250:R253 Q255:R258 Q260:R263 Q265:R268 Q270:R273 Q275:R278 Q280:R283 Q285:R288 Q290:R293 Q295:R298 Q300:R303 Q305:R308 Q310:R313 Q315:R318 Q320:R323 Q325:R328 Q330:R333 Q335:R338 Q340:R343 Q345:R348 Q350:R353 Q355:R358 Q360:R363 Q365:R368 Q370:R373 Q375:R378 Q380:R383 Q385:R388 Q390:R393 Q395:R398 Q400:R403 Q405:R408 Q410:R413 Q415:R418 Q420:R423 Q425:R428 Q430:R433 Q435:R438 Q440:R443 Q445:R448 Q450:R453 Q455:R458 Q460:R463 Q465:R468 Q470:R473 Q475:R478 Q480:R483 Q485:R488 Q490:R493 Q495:R498 Q500:R503">
    <cfRule type="containsText" dxfId="15" priority="9" operator="containsText" text="FALSE">
      <formula>NOT(ISERROR(SEARCH("FALSE",Q10)))</formula>
    </cfRule>
  </conditionalFormatting>
  <conditionalFormatting sqref="R5:R8">
    <cfRule type="cellIs" dxfId="14" priority="70" operator="lessThan">
      <formula>MinCover</formula>
    </cfRule>
  </conditionalFormatting>
  <conditionalFormatting sqref="R10:R13 R15:R18 R20:R23 R25:R28 R30:R33 R35:R38 R40:R43 R45:R48 R50:R53 R55:R58 R60:R63 R65:R68 R70:R73 R75:R78 R80:R83 R85:R88 R90:R93 R95:R98 R100:R103 R105:R108 R110:R113 R115:R118 R120:R123 R125:R128 R130:R133 R135:R138 R140:R143 R145:R148 R150:R153 R155:R158 R160:R163 R165:R168 R170:R173 R175:R178 R180:R183 R185:R188 R190:R193 R195:R198 R200:R203 R205:R208 R210:R213 R215:R218 R220:R223 R225:R228 R230:R233 R235:R238 R240:R243 R245:R248 R250:R253 R255:R258 R260:R263 R265:R268 R270:R273 R275:R278 R280:R283 R285:R288 R290:R293 R295:R298 R300:R303 R305:R308 R310:R313 R315:R318 R320:R323 R325:R328 R330:R333 R335:R338 R340:R343 R345:R348 R350:R353 R355:R358 R360:R363 R365:R368 R370:R373 R375:R378 R380:R383 R385:R388 R390:R393 R395:R398 R400:R403 R405:R408 R410:R413 R415:R418 R420:R423 R425:R428 R430:R433 R435:R438 R440:R443 R445:R448 R450:R453 R455:R458 R460:R463 R465:R468 R470:R473 R475:R478 R480:R483 R485:R488 R490:R493 R495:R498 R500:R503">
    <cfRule type="cellIs" dxfId="13" priority="10" operator="lessThan">
      <formula>MinCover</formula>
    </cfRule>
  </conditionalFormatting>
  <conditionalFormatting sqref="S5:S8 S10:S13 S15:S18 S20:S23 S25:S28 S30:S33 S35:S38 S40:S43 S45:S48 S50:S53 S55:S58 S60:S63 S65:S68 S70:S73 S75:S78 S80:S83 S85:S88 S90:S93 S95:S98 S100:S103 S105:S108 S110:S113 S115:S118 S120:S123 S125:S128 S130:S133 S135:S138 S140:S143 S145:S148 S150:S153 S155:S158 S160:S163 S165:S168 S170:S173 S175:S178 S180:S183 S185:S188 S190:S193 S195:S198 S200:S203 S205:S208 S210:S213 S215:S218 S220:S223 S225:S228 S230:S233 S235:S238 S240:S243 S245:S248 S250:S253 S255:S258 S260:S263 S265:S268 S270:S273 S275:S278 S280:S283 S285:S288 S290:S293 S295:S298 S300:S303 S305:S308 S310:S313 S315:S318 S320:S323 S325:S328 S330:S333 S335:S338 S340:S343 S345:S348 S350:S353 S355:S358 S360:S363 S365:S368 S370:S373 S375:S378 S380:S383 S385:S388 S390:S393 S395:S398 S400:S403 S405:S408 S410:S413 S415:S418 S420:S423 S425:S428 S430:S433 S435:S438 S440:S443 S445:S448 S450:S453 S455:S458 S460:S463 S465:S468 S470:S473 S475:S478 S480:S483 S485:S488 S490:S493 S495:S498 S500:S503">
    <cfRule type="expression" dxfId="12" priority="208">
      <formula>$B5=FALSE</formula>
    </cfRule>
  </conditionalFormatting>
  <conditionalFormatting sqref="T4 T9 T14 T19 T24 T29 T34 T39 T44 T49 T54 T59 T64 T69 T74 T79 T84 T89 T94 T99 T104 T109 T114 T119 T124 T129 T134 T139 T144 T149 T154 T159 T164 T169 T174 T179 T184 T189 T194 T199 T204 T209 T214 T219 T224 T229 T234 T239 T244 T249 T254 T259 T264 T269 T274 T279 T284 T289 T294 T299 T304 T309 T314 T319 T324 T329 T334 T339 T344 T349 T354 T359 T364 T369 T374 T379 T384 T389 T394 T399 T404 T409 T414 T419 T424 T429 T434 T439 T444 T449 T454 T459 T464 T469 T474 T479 T484 T489 T494 T499">
    <cfRule type="expression" dxfId="11" priority="44">
      <formula>$T4=FALSE</formula>
    </cfRule>
  </conditionalFormatting>
  <conditionalFormatting sqref="T5:T8 T10:T13 T15:T18 T20:T23 T25:T28 T30:T33 T35:T38 T40:T43 T45:T48 T50:T53 T55:T58 T60:T63 T65:T68 T70:T73 T75:T78 T80:T83 T85:T88 T90:T93 T95:T98 T100:T103 T105:T108 T110:T113 T115:T118 T120:T123 T125:T128 T130:T133 T135:T138 T140:T143 T145:T148 T150:T153 T155:T158 T160:T163 T165:T168 T170:T173 T175:T178 T180:T183 T185:T188 T190:T193 T195:T198 T200:T203 T205:T208 T210:T213 T215:T218 T220:T223 T225:T228 T230:T233 T235:T238 T240:T243 T245:T248 T250:T253 T255:T258 T260:T263 T265:T268 T270:T273 T275:T278 T280:T283 T285:T288 T290:T293 T295:T298 T300:T303 T305:T308 T310:T313 T315:T318 T320:T323 T325:T328 T330:T333 T335:T338 T340:T343 T345:T348 T350:T353 T355:T358 T360:T363 T365:T368 T370:T373 T375:T378 T380:T383 T385:T388 T390:T393 T395:T398 T400:T403 T405:T408 T410:T413 T415:T418 T420:T423 T425:T428 T430:T433 T435:T438 T440:T443 T445:T448 T450:T453 T455:T458 T460:T463 T465:T468 T470:T473 T475:T478 T480:T483 T485:T488 T490:T493 T495:T498 T500:T503">
    <cfRule type="containsText" dxfId="10" priority="214" operator="containsText" text="FALSE">
      <formula>NOT(ISERROR(SEARCH("FALSE",T5)))</formula>
    </cfRule>
  </conditionalFormatting>
  <conditionalFormatting sqref="W4">
    <cfRule type="expression" dxfId="9" priority="106">
      <formula>$X4="YES"</formula>
    </cfRule>
  </conditionalFormatting>
  <conditionalFormatting sqref="W9 W14 W19 W24 W29 W34 W39 W44 W49 W54 W59 W64 W69 W74 W79 W84 W89 W94 W99 W104 W109 W114 W119 W124 W129 W134 W139 W144 W149 W154 W159 W164 W169 W174 W179 W184 W189 W194 W199 W204 W209 W214 W219 W224 W229 W234 W239 W244 W249 W254 W259 W264 W269 W274 W279 W284 W289 W294 W299 W304 W309 W314 W319 W324 W329 W334 W339 W344 W349 W354 W359 W364 W369 W374 W379 W384 W389 W394 W399 W404 W409 W414 W419 W424 W429 W434 W439 W444 W449 W454 W459 W464 W469 W474 W479 W484 W489 W494 W499">
    <cfRule type="expression" dxfId="8" priority="14">
      <formula>$X9="YES"</formula>
    </cfRule>
  </conditionalFormatting>
  <conditionalFormatting sqref="W4:Y4">
    <cfRule type="expression" dxfId="7" priority="108">
      <formula>$V4="YES"</formula>
    </cfRule>
  </conditionalFormatting>
  <conditionalFormatting sqref="W9:Y9 W14:Y14 W19:Y19 W24:Y24 W29:Y29 W34:Y34 W39:Y39 W44:Y44 W49:Y49 W54:Y54 W59:Y59 W64:Y64 W69:Y69 W74:Y74 W79:Y79 W84:Y84 W89:Y89 W94:Y94 W99:Y99 W104:Y104 W109:Y109 W114:Y114 W119:Y119 W124:Y124 W129:Y129 W134:Y134 W139:Y139 W144:Y144 W149:Y149 W154:Y154 W159:Y159 W164:Y164 W169:Y169 W174:Y174 W179:Y179 W184:Y184 W189:Y189 W194:Y194 W199:Y199 W204:Y204 W209:Y209 W214:Y214 W219:Y219 W224:Y224 W229:Y229 W234:Y234 W239:Y239 W244:Y244 W249:Y249 W254:Y254 W259:Y259 W264:Y264 W269:Y269 W274:Y274 W279:Y279 W284:Y284 W289:Y289 W294:Y294 W299:Y299 W304:Y304 W309:Y309 W314:Y314 W319:Y319 W324:Y324 W329:Y329 W334:Y334 W339:Y339 W344:Y344 W349:Y349 W354:Y354 W359:Y359 W364:Y364 W369:Y369 W374:Y374 W379:Y379 W384:Y384 W389:Y389 W394:Y394 W399:Y399 W404:Y404 W409:Y409 W414:Y414 W419:Y419 W424:Y424 W429:Y429 W434:Y434 W439:Y439 W444:Y444 W449:Y449 W454:Y454 W459:Y459 W464:Y464 W469:Y469 W474:Y474 W479:Y479 W484:Y484 W489:Y489 W494:Y494 W499:Y499">
    <cfRule type="expression" dxfId="6" priority="3">
      <formula>$V9="YES"</formula>
    </cfRule>
  </conditionalFormatting>
  <conditionalFormatting sqref="Y4">
    <cfRule type="expression" dxfId="5" priority="105">
      <formula>$X4="--"</formula>
    </cfRule>
  </conditionalFormatting>
  <conditionalFormatting sqref="Y9 Y14 Y19 Y24 Y29 Y34 Y39 Y44 Y49 Y54 Y59 Y64 Y69 Y74 Y79 Y84 Y89 Y94 Y99 Y104 Y109 Y114 Y119 Y124 Y129 Y134 Y139 Y144 Y149 Y154 Y159 Y164 Y169 Y174 Y179 Y184 Y189 Y194 Y199 Y204 Y209 Y214 Y219 Y224 Y229 Y234 Y239 Y244 Y249 Y254 Y259 Y264 Y269 Y274 Y279 Y284 Y289 Y294 Y299 Y304 Y309 Y314 Y319 Y324 Y329 Y334 Y339 Y344 Y349 Y354 Y359 Y364 Y369 Y374 Y379 Y384 Y389 Y394 Y399 Y404 Y409 Y414 Y419 Y424 Y429 Y434 Y439 Y444 Y449 Y454 Y459 Y464 Y469 Y474 Y479 Y484 Y489 Y494 Y499">
    <cfRule type="expression" dxfId="4" priority="2">
      <formula>$X9="--"</formula>
    </cfRule>
  </conditionalFormatting>
  <conditionalFormatting sqref="AB4">
    <cfRule type="containsText" dxfId="3" priority="212" operator="containsText" text="FALSE">
      <formula>NOT(ISERROR(SEARCH("FALSE",AB4)))</formula>
    </cfRule>
    <cfRule type="cellIs" dxfId="2" priority="219" operator="lessThan">
      <formula>MinCover</formula>
    </cfRule>
  </conditionalFormatting>
  <conditionalFormatting sqref="AB9 AB14 AB19 AB24 AB29 AB34 AB39 AB44 AB49 AB54 AB59 AB64 AB69 AB74 AB79 AB84 AB89 AB94 AB99 AB104 AB109 AB114 AB119 AB124 AB129 AB134 AB139 AB144 AB149 AB154 AB159 AB164 AB169 AB174 AB179 AB184 AB189 AB194 AB199 AB204 AB209 AB214 AB219 AB224 AB229 AB234 AB239 AB244 AB249 AB254 AB259 AB264 AB269 AB274 AB279 AB284 AB289 AB294 AB299 AB304 AB309 AB314 AB319 AB324 AB329 AB334 AB339 AB344 AB349 AB354 AB359 AB364 AB369 AB374 AB379 AB384 AB389 AB394 AB399 AB404 AB409 AB414 AB419 AB424 AB429 AB434 AB439 AB444 AB449 AB454 AB459 AB464 AB469 AB474 AB479 AB484 AB489 AB494 AB499">
    <cfRule type="containsText" dxfId="1" priority="18" operator="containsText" text="FALSE">
      <formula>NOT(ISERROR(SEARCH("FALSE",AB9)))</formula>
    </cfRule>
    <cfRule type="cellIs" dxfId="0" priority="21" operator="lessThan">
      <formula>MinCover</formula>
    </cfRule>
  </conditionalFormatting>
  <dataValidations count="2">
    <dataValidation type="list" allowBlank="1" showInputMessage="1" showErrorMessage="1" sqref="E4 E9 E14 E19 E24 E29 E34 E39 E44 E49 E54 E59 E64 E69 E74 E79 E84 E89 E94 E99 E104 E109 E114 E119 E124 E129 E134 E139 E144 E149 E154 E159 E164 E169 E174 E179 E184 E189 E194 E199 E204 E209 E214 E219 E224 E229 E234 E239 E244 E249 E254 E259 E264 E269 E274 E279 E284 E289 E294 E299 E304 E309 E314 E319 E324 E329 E334 E339 E344 E349 E354 E359 E364 E369 E374 E379 E384 E389 E394 E399 E404 E409 E414 E419 E424 E429 E434 E439 E444 E449 E454 E459 E464 E469 E474 E479 E484 E489 E494 E499" xr:uid="{3461DAA9-5C5F-43BE-8ADC-0A90BFC5F47F}">
      <formula1>PipeSizes</formula1>
    </dataValidation>
    <dataValidation type="list" allowBlank="1" showInputMessage="1" showErrorMessage="1" sqref="D4 H4 V4 X4 S5:S8 D9 D14 D19 D24 D29 D34 D39 D44 D49 D54 D59 D64 D69 D74 D79 D84 D89 D94 D99 D104 D109 D114 D119 D124 D129 D134 D139 D144 D149 D154 D159 D164 D169 D174 D179 D184 D189 D194 D199 D204 D209 D214 D219 D224 D229 D234 D239 D244 D249 D254 D259 D264 D269 D274 D279 D284 D289 D294 D299 D304 D309 D314 D319 D324 D329 D334 D339 D344 D349 D354 D359 D364 D369 D374 D379 D384 D389 D394 D399 D404 D409 D414 D419 D424 D429 D434 D439 D444 D449 D454 D459 D464 D469 D474 D479 D484 D489 D494 D499 H9 H14 H19 H24 H29 H34 H39 H44 H49 H54 H59 H64 H69 H74 H79 H84 H89 H94 H99 H104 H109 H114 H119 H124 H129 H134 H139 H144 H149 H154 H159 H164 H169 H174 H179 H184 H189 H194 H199 H204 H209 H214 H219 H224 H229 H234 H239 H244 H249 H254 H259 H264 H269 H274 H279 H284 H289 H294 H299 H304 H309 H314 H319 H324 H329 H334 H339 H344 H349 H354 H359 H364 H369 H374 H379 H384 H389 H394 H399 H404 H409 H414 H419 H424 H429 H434 H439 H444 H449 H454 H459 H464 H469 H474 H479 H484 H489 H494 H499 V9 V14 V19 V24 V29 V34 V39 V44 V49 V54 V59 V64 V69 V74 V79 V84 V89 V94 V99 V104 V109 V114 V119 V124 V129 V134 V139 V144 V149 V154 V159 V164 V169 V174 V179 V184 V189 V194 V199 V204 V209 V214 V219 V224 V229 V234 V239 V244 V249 V254 V259 V264 V269 V274 V279 V284 V289 V294 V299 V304 V309 V314 V319 V324 V329 V334 V339 V344 V349 V354 V359 V364 V369 V374 V379 V384 V389 V394 V399 V404 V409 V414 V419 V424 V429 V434 V439 V444 V449 V454 V459 V464 V469 V474 V479 V484 V489 V494 V499 X9 X14 X19 X24 X29 X34 X39 X44 X49 X54 X59 X64 X69 X74 X79 X84 X89 X94 X99 X104 X109 X114 X119 X124 X129 X134 X139 X144 X149 X154 X159 X164 X169 X174 X179 X184 X189 X194 X199 X204 X209 X214 X219 X224 X229 X234 X239 X244 X249 X254 X259 X264 X269 X274 X279 X284 X289 X294 X299 X304 X309 X314 X319 X324 X329 X334 X339 X344 X349 X354 X359 X364 X369 X374 X379 X384 X389 X394 X399 X404 X409 X414 X419 X424 X429 X434 X439 X444 X449 X454 X459 X464 X469 X474 X479 X484 X489 X494 X499 S10:S13 S15:S18 S20:S23 S25:S28 S30:S33 S35:S38 S40:S43 S45:S48 S50:S53 S55:S58 S60:S63 S65:S68 S70:S73 S75:S78 S80:S83 S85:S88 S90:S93 S95:S98 S100:S103 S105:S108 S110:S113 S115:S118 S120:S123 S125:S128 S130:S133 S135:S138 S140:S143 S145:S148 S150:S153 S155:S158 S160:S163 S165:S168 S170:S173 S175:S178 S180:S183 S185:S188 S190:S193 S195:S198 S200:S203 S205:S208 S210:S213 S215:S218 S220:S223 S225:S228 S230:S233 S235:S238 S240:S243 S245:S248 S250:S253 S255:S258 S260:S263 S265:S268 S270:S273 S275:S278 S280:S283 S285:S288 S290:S293 S295:S298 S300:S303 S305:S308 S310:S313 S315:S318 S320:S323 S325:S328 S330:S333 S335:S338 S340:S343 S345:S348 S350:S353 S355:S358 S360:S363 S365:S368 S370:S373 S375:S378 S380:S383 S385:S388 S390:S393 S395:S398 S400:S403 S405:S408 S410:S413 S415:S418 S420:S423 S425:S428 S430:S433 S435:S438 S440:S443 S445:S448 S450:S453 S455:S458 S460:S463 S465:S468 S470:S473 S475:S478 S480:S483 S485:S488 S490:S493 S495:S498 S500:S503" xr:uid="{AAAAD6B1-062E-4AC5-A4FB-A9B241B2D34A}">
      <formula1>DashYes</formula1>
    </dataValidation>
  </dataValidations>
  <pageMargins left="0.7" right="0.7" top="0.75" bottom="0.75" header="0.3" footer="0.3"/>
  <pageSetup paperSize="3" scale="1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F123F-0EBA-46F1-B821-39C9D7287EBE}">
  <sheetPr>
    <pageSetUpPr fitToPage="1"/>
  </sheetPr>
  <dimension ref="B1:AA29"/>
  <sheetViews>
    <sheetView tabSelected="1" topLeftCell="B1" zoomScaleNormal="100" workbookViewId="0">
      <selection activeCell="O19" sqref="O19"/>
    </sheetView>
  </sheetViews>
  <sheetFormatPr defaultRowHeight="14.4" x14ac:dyDescent="0.3"/>
  <cols>
    <col min="1" max="1" width="9" customWidth="1"/>
    <col min="2" max="2" width="26.6640625" bestFit="1" customWidth="1"/>
    <col min="5" max="5" width="11.5546875" customWidth="1"/>
    <col min="6" max="6" width="15.33203125" customWidth="1"/>
    <col min="7" max="7" width="10.44140625" customWidth="1"/>
    <col min="8" max="8" width="10.6640625" customWidth="1"/>
    <col min="9" max="9" width="11.5546875" customWidth="1"/>
    <col min="10" max="10" width="15.33203125" customWidth="1"/>
    <col min="11" max="11" width="11.44140625" customWidth="1"/>
    <col min="12" max="12" width="10.109375" customWidth="1"/>
    <col min="13" max="13" width="10.33203125" customWidth="1"/>
    <col min="15" max="15" width="10.33203125" customWidth="1"/>
    <col min="19" max="20" width="9.6640625" customWidth="1"/>
    <col min="21" max="21" width="10.6640625" customWidth="1"/>
    <col min="22" max="22" width="8.88671875" customWidth="1"/>
    <col min="23" max="23" width="11" customWidth="1"/>
    <col min="24" max="24" width="10.5546875" customWidth="1"/>
    <col min="27" max="27" width="10.109375" customWidth="1"/>
  </cols>
  <sheetData>
    <row r="1" spans="2:27" ht="15" thickBot="1" x14ac:dyDescent="0.35">
      <c r="AA1" t="s">
        <v>56</v>
      </c>
    </row>
    <row r="2" spans="2:27" ht="16.5" customHeight="1" thickBot="1" x14ac:dyDescent="0.4">
      <c r="B2" s="299" t="s">
        <v>34</v>
      </c>
      <c r="C2" s="300"/>
      <c r="E2" s="301" t="s">
        <v>50</v>
      </c>
      <c r="F2" s="302"/>
      <c r="G2" s="302"/>
      <c r="H2" s="303"/>
      <c r="J2" s="18" t="s">
        <v>30</v>
      </c>
      <c r="K2" s="19" t="s">
        <v>31</v>
      </c>
      <c r="L2" s="19" t="s">
        <v>32</v>
      </c>
      <c r="M2" s="20" t="s">
        <v>33</v>
      </c>
      <c r="O2" s="13" t="s">
        <v>25</v>
      </c>
      <c r="P2" s="14" t="s">
        <v>4</v>
      </c>
      <c r="AA2" t="s">
        <v>57</v>
      </c>
    </row>
    <row r="3" spans="2:27" ht="15.6" thickTop="1" thickBot="1" x14ac:dyDescent="0.35">
      <c r="B3" s="15" t="s">
        <v>35</v>
      </c>
      <c r="C3" s="36">
        <v>1.486</v>
      </c>
      <c r="E3" s="37" t="s">
        <v>45</v>
      </c>
      <c r="F3" s="38" t="s">
        <v>46</v>
      </c>
      <c r="G3" s="174" t="s">
        <v>47</v>
      </c>
      <c r="H3" s="175" t="s">
        <v>48</v>
      </c>
      <c r="J3" s="62"/>
      <c r="K3" s="61" t="s">
        <v>49</v>
      </c>
      <c r="L3" s="61" t="s">
        <v>49</v>
      </c>
      <c r="M3" s="63" t="s">
        <v>49</v>
      </c>
      <c r="O3" s="15" t="s">
        <v>26</v>
      </c>
      <c r="P3" s="6">
        <v>1.2999999999999999E-2</v>
      </c>
    </row>
    <row r="4" spans="2:27" ht="15.6" thickTop="1" thickBot="1" x14ac:dyDescent="0.35">
      <c r="B4" s="35" t="s">
        <v>54</v>
      </c>
      <c r="C4" s="182">
        <v>2</v>
      </c>
      <c r="E4" s="176">
        <v>5</v>
      </c>
      <c r="F4" s="177">
        <v>1.62</v>
      </c>
      <c r="G4" s="33">
        <f t="shared" ref="G4:G12" si="0">IF($F5,($F5-$F4)/($E5-$E4),0)</f>
        <v>-9.200000000000004E-2</v>
      </c>
      <c r="H4" s="34">
        <f t="shared" ref="H4:H12" si="1">IF($G4,$F4-($G4*$E4),0)</f>
        <v>2.08</v>
      </c>
      <c r="J4" s="55">
        <v>4</v>
      </c>
      <c r="K4" s="27">
        <f t="shared" ref="K4:K20" si="2">(Vmin/(KV*($J4^(2/3))))^2</f>
        <v>8.246169327179826E-3</v>
      </c>
      <c r="L4" s="58">
        <f t="shared" ref="L4:L20" si="3">ROUND((Vmax/(KV*($J4^(2/3))))^2,4)</f>
        <v>5.1499999999999997E-2</v>
      </c>
      <c r="M4" s="28">
        <f t="shared" ref="M4:M20" si="4">ROUND(KQ*($J4^(8/3))*($L4^0.5),2)</f>
        <v>0.38</v>
      </c>
      <c r="O4" s="16" t="s">
        <v>27</v>
      </c>
      <c r="P4" s="12">
        <v>8.9999999999999993E-3</v>
      </c>
      <c r="U4" s="41"/>
    </row>
    <row r="5" spans="2:27" x14ac:dyDescent="0.3">
      <c r="B5" s="35" t="s">
        <v>55</v>
      </c>
      <c r="C5" s="183">
        <v>0.1</v>
      </c>
      <c r="E5" s="178">
        <v>10</v>
      </c>
      <c r="F5" s="179">
        <v>1.1599999999999999</v>
      </c>
      <c r="G5" s="29">
        <f t="shared" si="0"/>
        <v>-4.4799999999999972E-2</v>
      </c>
      <c r="H5" s="30">
        <f t="shared" si="1"/>
        <v>1.6079999999999997</v>
      </c>
      <c r="J5" s="56">
        <v>6</v>
      </c>
      <c r="K5" s="21">
        <f t="shared" si="2"/>
        <v>4.8024616220879784E-3</v>
      </c>
      <c r="L5" s="59">
        <f t="shared" si="3"/>
        <v>0.03</v>
      </c>
      <c r="M5" s="22">
        <f t="shared" si="4"/>
        <v>0.85</v>
      </c>
      <c r="O5" s="17" t="s">
        <v>28</v>
      </c>
      <c r="U5" s="41"/>
      <c r="AA5" t="s">
        <v>147</v>
      </c>
    </row>
    <row r="6" spans="2:27" ht="15" thickBot="1" x14ac:dyDescent="0.35">
      <c r="B6" s="35" t="s">
        <v>172</v>
      </c>
      <c r="C6" s="183">
        <v>0.1</v>
      </c>
      <c r="E6" s="178">
        <v>15</v>
      </c>
      <c r="F6" s="179">
        <v>0.93600000000000005</v>
      </c>
      <c r="G6" s="29">
        <f t="shared" si="0"/>
        <v>-2.0933333333333339E-2</v>
      </c>
      <c r="H6" s="30">
        <f t="shared" si="1"/>
        <v>1.25</v>
      </c>
      <c r="J6" s="56">
        <v>8</v>
      </c>
      <c r="K6" s="21">
        <f t="shared" si="2"/>
        <v>3.2724944661682892E-3</v>
      </c>
      <c r="L6" s="59">
        <f t="shared" si="3"/>
        <v>2.0500000000000001E-2</v>
      </c>
      <c r="M6" s="22">
        <f t="shared" si="4"/>
        <v>1.51</v>
      </c>
      <c r="U6" s="41"/>
      <c r="AA6" t="s">
        <v>148</v>
      </c>
    </row>
    <row r="7" spans="2:27" ht="16.2" thickBot="1" x14ac:dyDescent="0.4">
      <c r="B7" s="16" t="s">
        <v>198</v>
      </c>
      <c r="C7" s="232">
        <v>12</v>
      </c>
      <c r="E7" s="178">
        <v>30</v>
      </c>
      <c r="F7" s="179">
        <v>0.622</v>
      </c>
      <c r="G7" s="29">
        <f t="shared" si="0"/>
        <v>-6.6666666666666671E-3</v>
      </c>
      <c r="H7" s="30">
        <f t="shared" si="1"/>
        <v>0.82200000000000006</v>
      </c>
      <c r="J7" s="56">
        <v>10</v>
      </c>
      <c r="K7" s="21">
        <f t="shared" si="2"/>
        <v>2.4303318035562133E-3</v>
      </c>
      <c r="L7" s="59">
        <f t="shared" si="3"/>
        <v>1.52E-2</v>
      </c>
      <c r="M7" s="22">
        <f t="shared" si="4"/>
        <v>2.35</v>
      </c>
      <c r="O7" s="1" t="s">
        <v>5</v>
      </c>
      <c r="P7" s="2" t="s">
        <v>6</v>
      </c>
      <c r="Q7" s="3" t="s">
        <v>7</v>
      </c>
      <c r="U7" s="41"/>
    </row>
    <row r="8" spans="2:27" x14ac:dyDescent="0.3">
      <c r="E8" s="178">
        <v>60</v>
      </c>
      <c r="F8" s="179">
        <v>0.42199999999999999</v>
      </c>
      <c r="G8" s="29">
        <f t="shared" si="0"/>
        <v>-2E-3</v>
      </c>
      <c r="H8" s="30">
        <f t="shared" si="1"/>
        <v>0.54200000000000004</v>
      </c>
      <c r="J8" s="56">
        <v>12</v>
      </c>
      <c r="K8" s="21">
        <f t="shared" si="2"/>
        <v>1.9058581577348394E-3</v>
      </c>
      <c r="L8" s="59">
        <f t="shared" si="3"/>
        <v>1.1900000000000001E-2</v>
      </c>
      <c r="M8" s="22">
        <f t="shared" si="4"/>
        <v>3.38</v>
      </c>
      <c r="O8" s="4">
        <v>0.1</v>
      </c>
      <c r="P8" s="5">
        <v>0.02</v>
      </c>
      <c r="Q8" s="6">
        <v>0.31</v>
      </c>
      <c r="U8" s="41"/>
    </row>
    <row r="9" spans="2:27" x14ac:dyDescent="0.3">
      <c r="E9" s="178">
        <v>120</v>
      </c>
      <c r="F9" s="179">
        <v>0.30199999999999999</v>
      </c>
      <c r="G9" s="29">
        <f t="shared" si="0"/>
        <v>0</v>
      </c>
      <c r="H9" s="30">
        <f t="shared" si="1"/>
        <v>0</v>
      </c>
      <c r="J9" s="56">
        <v>15</v>
      </c>
      <c r="K9" s="21">
        <f t="shared" si="2"/>
        <v>1.4153935909426967E-3</v>
      </c>
      <c r="L9" s="59">
        <f t="shared" si="3"/>
        <v>8.8000000000000005E-3</v>
      </c>
      <c r="M9" s="22">
        <f t="shared" si="4"/>
        <v>5.27</v>
      </c>
      <c r="O9" s="7">
        <v>0.2</v>
      </c>
      <c r="P9" s="8">
        <v>7.0000000000000007E-2</v>
      </c>
      <c r="Q9" s="9">
        <v>0.48</v>
      </c>
      <c r="U9" s="41"/>
      <c r="AA9" t="s">
        <v>180</v>
      </c>
    </row>
    <row r="10" spans="2:27" x14ac:dyDescent="0.3">
      <c r="E10" s="178"/>
      <c r="F10" s="179"/>
      <c r="G10" s="29">
        <f t="shared" si="0"/>
        <v>0</v>
      </c>
      <c r="H10" s="30">
        <f t="shared" si="1"/>
        <v>0</v>
      </c>
      <c r="J10" s="56">
        <v>18</v>
      </c>
      <c r="K10" s="21">
        <f t="shared" si="2"/>
        <v>1.1099469701036451E-3</v>
      </c>
      <c r="L10" s="59">
        <f t="shared" si="3"/>
        <v>6.8999999999999999E-3</v>
      </c>
      <c r="M10" s="22">
        <f t="shared" si="4"/>
        <v>7.59</v>
      </c>
      <c r="O10" s="7">
        <v>0.3</v>
      </c>
      <c r="P10" s="8">
        <v>0.14000000000000001</v>
      </c>
      <c r="Q10" s="9">
        <v>0.61</v>
      </c>
      <c r="U10" s="41"/>
      <c r="AA10" t="s">
        <v>181</v>
      </c>
    </row>
    <row r="11" spans="2:27" x14ac:dyDescent="0.3">
      <c r="E11" s="178"/>
      <c r="F11" s="179"/>
      <c r="G11" s="29">
        <f t="shared" si="0"/>
        <v>0</v>
      </c>
      <c r="H11" s="30">
        <f t="shared" si="1"/>
        <v>0</v>
      </c>
      <c r="J11" s="56">
        <v>21</v>
      </c>
      <c r="K11" s="21">
        <f t="shared" si="2"/>
        <v>9.0373238178335826E-4</v>
      </c>
      <c r="L11" s="59">
        <f t="shared" si="3"/>
        <v>5.5999999999999999E-3</v>
      </c>
      <c r="M11" s="22">
        <f t="shared" si="4"/>
        <v>10.32</v>
      </c>
      <c r="O11" s="7">
        <v>0.4</v>
      </c>
      <c r="P11" s="8">
        <v>0.26</v>
      </c>
      <c r="Q11" s="9">
        <v>0.71</v>
      </c>
      <c r="U11" s="41"/>
    </row>
    <row r="12" spans="2:27" x14ac:dyDescent="0.3">
      <c r="E12" s="178"/>
      <c r="F12" s="179"/>
      <c r="G12" s="29">
        <f t="shared" si="0"/>
        <v>0</v>
      </c>
      <c r="H12" s="30">
        <f t="shared" si="1"/>
        <v>0</v>
      </c>
      <c r="J12" s="56">
        <v>24</v>
      </c>
      <c r="K12" s="21">
        <f t="shared" si="2"/>
        <v>7.5634031112261474E-4</v>
      </c>
      <c r="L12" s="59">
        <f t="shared" si="3"/>
        <v>4.7000000000000002E-3</v>
      </c>
      <c r="M12" s="22">
        <f t="shared" si="4"/>
        <v>13.49</v>
      </c>
      <c r="O12" s="7">
        <v>0.5</v>
      </c>
      <c r="P12" s="8">
        <v>0.41</v>
      </c>
      <c r="Q12" s="9">
        <v>0.8</v>
      </c>
      <c r="U12" s="41"/>
    </row>
    <row r="13" spans="2:27" ht="15" customHeight="1" thickBot="1" x14ac:dyDescent="0.35">
      <c r="E13" s="180"/>
      <c r="F13" s="181"/>
      <c r="G13" s="31" t="s">
        <v>49</v>
      </c>
      <c r="H13" s="32" t="s">
        <v>49</v>
      </c>
      <c r="J13" s="56">
        <v>30</v>
      </c>
      <c r="K13" s="21">
        <f t="shared" si="2"/>
        <v>5.6169931880287107E-4</v>
      </c>
      <c r="L13" s="59">
        <f t="shared" si="3"/>
        <v>3.5000000000000001E-3</v>
      </c>
      <c r="M13" s="22">
        <f t="shared" si="4"/>
        <v>21.11</v>
      </c>
      <c r="O13" s="7">
        <v>0.6</v>
      </c>
      <c r="P13" s="8">
        <v>0.56000000000000005</v>
      </c>
      <c r="Q13" s="9">
        <v>0.88</v>
      </c>
      <c r="U13" s="41"/>
      <c r="AA13" t="s">
        <v>122</v>
      </c>
    </row>
    <row r="14" spans="2:27" x14ac:dyDescent="0.3">
      <c r="E14" s="39" t="s">
        <v>51</v>
      </c>
      <c r="J14" s="56">
        <v>36</v>
      </c>
      <c r="K14" s="21">
        <f t="shared" si="2"/>
        <v>4.4048274699286065E-4</v>
      </c>
      <c r="L14" s="59">
        <f t="shared" si="3"/>
        <v>2.8E-3</v>
      </c>
      <c r="M14" s="22">
        <f t="shared" si="4"/>
        <v>30.7</v>
      </c>
      <c r="O14" s="7">
        <v>0.7</v>
      </c>
      <c r="P14" s="8">
        <v>0.72</v>
      </c>
      <c r="Q14" s="9">
        <v>0.95</v>
      </c>
      <c r="U14" s="41"/>
      <c r="AA14" t="s">
        <v>182</v>
      </c>
    </row>
    <row r="15" spans="2:27" x14ac:dyDescent="0.3">
      <c r="E15" s="39" t="s">
        <v>52</v>
      </c>
      <c r="J15" s="56">
        <v>42</v>
      </c>
      <c r="K15" s="21">
        <f t="shared" si="2"/>
        <v>3.5864643338515741E-4</v>
      </c>
      <c r="L15" s="59">
        <f t="shared" si="3"/>
        <v>2.2000000000000001E-3</v>
      </c>
      <c r="M15" s="22">
        <f t="shared" si="4"/>
        <v>41.05</v>
      </c>
      <c r="O15" s="7">
        <v>0.8</v>
      </c>
      <c r="P15" s="8">
        <v>0.87</v>
      </c>
      <c r="Q15" s="9">
        <v>1.01</v>
      </c>
      <c r="U15" s="41"/>
    </row>
    <row r="16" spans="2:27" ht="15" customHeight="1" x14ac:dyDescent="0.3">
      <c r="J16" s="56">
        <v>48</v>
      </c>
      <c r="K16" s="21">
        <f t="shared" si="2"/>
        <v>3.0015385138049865E-4</v>
      </c>
      <c r="L16" s="59">
        <f t="shared" si="3"/>
        <v>1.9E-3</v>
      </c>
      <c r="M16" s="22">
        <f t="shared" si="4"/>
        <v>54.47</v>
      </c>
      <c r="O16" s="7">
        <v>0.9</v>
      </c>
      <c r="P16" s="8">
        <v>0.99</v>
      </c>
      <c r="Q16" s="9">
        <v>1.04</v>
      </c>
      <c r="U16" s="41"/>
    </row>
    <row r="17" spans="5:27" ht="15" customHeight="1" x14ac:dyDescent="0.3">
      <c r="E17" t="s">
        <v>177</v>
      </c>
      <c r="J17" s="56">
        <v>54</v>
      </c>
      <c r="K17" s="21">
        <f t="shared" si="2"/>
        <v>2.5653141521756292E-4</v>
      </c>
      <c r="L17" s="59">
        <f t="shared" si="3"/>
        <v>1.6000000000000001E-3</v>
      </c>
      <c r="M17" s="22">
        <f t="shared" si="4"/>
        <v>68.430000000000007</v>
      </c>
      <c r="O17" s="7">
        <v>0.95</v>
      </c>
      <c r="P17" s="8">
        <v>1.02</v>
      </c>
      <c r="Q17" s="9">
        <v>1.03</v>
      </c>
      <c r="U17" s="41"/>
      <c r="AA17" s="43" t="s">
        <v>197</v>
      </c>
    </row>
    <row r="18" spans="5:27" ht="15" thickBot="1" x14ac:dyDescent="0.35">
      <c r="J18" s="56">
        <v>60</v>
      </c>
      <c r="K18" s="21">
        <f t="shared" si="2"/>
        <v>2.2291052238937464E-4</v>
      </c>
      <c r="L18" s="59">
        <f t="shared" si="3"/>
        <v>1.4E-3</v>
      </c>
      <c r="M18" s="22">
        <f t="shared" si="4"/>
        <v>84.77</v>
      </c>
      <c r="O18" s="10">
        <v>1</v>
      </c>
      <c r="P18" s="11">
        <v>1</v>
      </c>
      <c r="Q18" s="12">
        <v>1</v>
      </c>
      <c r="U18" s="41"/>
      <c r="AA18" t="s">
        <v>56</v>
      </c>
    </row>
    <row r="19" spans="5:27" x14ac:dyDescent="0.3">
      <c r="J19" s="56">
        <v>66</v>
      </c>
      <c r="K19" s="21">
        <f t="shared" si="2"/>
        <v>1.9630905062556326E-4</v>
      </c>
      <c r="L19" s="59">
        <f t="shared" si="3"/>
        <v>1.1999999999999999E-3</v>
      </c>
      <c r="M19" s="22">
        <f t="shared" si="4"/>
        <v>101.2</v>
      </c>
      <c r="O19" s="17" t="s">
        <v>29</v>
      </c>
      <c r="U19" s="41"/>
    </row>
    <row r="20" spans="5:27" ht="15" thickBot="1" x14ac:dyDescent="0.35">
      <c r="J20" s="57">
        <v>72</v>
      </c>
      <c r="K20" s="23">
        <f t="shared" si="2"/>
        <v>1.7480569398757738E-4</v>
      </c>
      <c r="L20" s="60">
        <f t="shared" si="3"/>
        <v>1.1000000000000001E-3</v>
      </c>
      <c r="M20" s="24">
        <f t="shared" si="4"/>
        <v>122.19</v>
      </c>
      <c r="U20" s="41"/>
    </row>
    <row r="21" spans="5:27" ht="16.8" x14ac:dyDescent="0.35">
      <c r="O21" s="25" t="s">
        <v>43</v>
      </c>
      <c r="P21" t="s">
        <v>44</v>
      </c>
    </row>
    <row r="22" spans="5:27" ht="16.8" x14ac:dyDescent="0.35">
      <c r="O22" s="25" t="s">
        <v>37</v>
      </c>
      <c r="P22" t="s">
        <v>38</v>
      </c>
    </row>
    <row r="23" spans="5:27" ht="16.8" x14ac:dyDescent="0.35">
      <c r="O23" s="25" t="s">
        <v>41</v>
      </c>
      <c r="P23" t="s">
        <v>42</v>
      </c>
    </row>
    <row r="24" spans="5:27" ht="16.2" x14ac:dyDescent="0.35">
      <c r="O24" s="25" t="s">
        <v>39</v>
      </c>
      <c r="P24" s="26" t="s">
        <v>40</v>
      </c>
    </row>
    <row r="25" spans="5:27" ht="15" thickBot="1" x14ac:dyDescent="0.35"/>
    <row r="26" spans="5:27" ht="15.6" x14ac:dyDescent="0.35">
      <c r="O26" s="167" t="s">
        <v>178</v>
      </c>
      <c r="P26" s="169">
        <f>(0.1125/n)</f>
        <v>8.6538461538461551</v>
      </c>
    </row>
    <row r="27" spans="5:27" x14ac:dyDescent="0.3">
      <c r="O27" s="168" t="s">
        <v>8</v>
      </c>
      <c r="P27" s="170">
        <f>VV_full*KV_full</f>
        <v>8.7403846153846168</v>
      </c>
    </row>
    <row r="28" spans="5:27" ht="15.6" x14ac:dyDescent="0.35">
      <c r="O28" s="168" t="s">
        <v>179</v>
      </c>
      <c r="P28" s="171">
        <f>0.0006136/n</f>
        <v>4.7199999999999999E-2</v>
      </c>
    </row>
    <row r="29" spans="5:27" ht="15" thickBot="1" x14ac:dyDescent="0.35">
      <c r="O29" s="172" t="s">
        <v>9</v>
      </c>
      <c r="P29" s="173">
        <f>QQ_full*KQ_full</f>
        <v>4.1063999999999996E-2</v>
      </c>
    </row>
  </sheetData>
  <sheetProtection formatColumns="0" formatRows="0" selectLockedCells="1"/>
  <mergeCells count="2">
    <mergeCell ref="B2:C2"/>
    <mergeCell ref="E2:H2"/>
  </mergeCells>
  <pageMargins left="0.7" right="0.7" top="0.75" bottom="0.75" header="0.3" footer="0.3"/>
  <pageSetup scale="2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65</vt:i4>
      </vt:variant>
    </vt:vector>
  </HeadingPairs>
  <TitlesOfParts>
    <vt:vector size="72" baseType="lpstr">
      <vt:lpstr>Cover</vt:lpstr>
      <vt:lpstr>Formulas</vt:lpstr>
      <vt:lpstr>Criteria</vt:lpstr>
      <vt:lpstr>Tribs</vt:lpstr>
      <vt:lpstr>Pipes</vt:lpstr>
      <vt:lpstr>Inverts</vt:lpstr>
      <vt:lpstr>UTH</vt:lpstr>
      <vt:lpstr>B_1</vt:lpstr>
      <vt:lpstr>B_2</vt:lpstr>
      <vt:lpstr>B_3</vt:lpstr>
      <vt:lpstr>B_4</vt:lpstr>
      <vt:lpstr>B_5</vt:lpstr>
      <vt:lpstr>B_6</vt:lpstr>
      <vt:lpstr>B_7</vt:lpstr>
      <vt:lpstr>B_8</vt:lpstr>
      <vt:lpstr>B_9</vt:lpstr>
      <vt:lpstr>d_D</vt:lpstr>
      <vt:lpstr>DashYes</vt:lpstr>
      <vt:lpstr>dD_options</vt:lpstr>
      <vt:lpstr>I_1</vt:lpstr>
      <vt:lpstr>I_10</vt:lpstr>
      <vt:lpstr>I_2</vt:lpstr>
      <vt:lpstr>I_3</vt:lpstr>
      <vt:lpstr>I_4</vt:lpstr>
      <vt:lpstr>I_5</vt:lpstr>
      <vt:lpstr>I_6</vt:lpstr>
      <vt:lpstr>I_7</vt:lpstr>
      <vt:lpstr>I_8</vt:lpstr>
      <vt:lpstr>I_9</vt:lpstr>
      <vt:lpstr>KQ</vt:lpstr>
      <vt:lpstr>KQ_full</vt:lpstr>
      <vt:lpstr>KV</vt:lpstr>
      <vt:lpstr>KV_full</vt:lpstr>
      <vt:lpstr>Land_uses</vt:lpstr>
      <vt:lpstr>M_1</vt:lpstr>
      <vt:lpstr>M_2</vt:lpstr>
      <vt:lpstr>M_3</vt:lpstr>
      <vt:lpstr>M_4</vt:lpstr>
      <vt:lpstr>M_5</vt:lpstr>
      <vt:lpstr>M_6</vt:lpstr>
      <vt:lpstr>M_7</vt:lpstr>
      <vt:lpstr>M_8</vt:lpstr>
      <vt:lpstr>M_9</vt:lpstr>
      <vt:lpstr>MinCover</vt:lpstr>
      <vt:lpstr>MinDiameter</vt:lpstr>
      <vt:lpstr>MinDrop</vt:lpstr>
      <vt:lpstr>MinDrop_2</vt:lpstr>
      <vt:lpstr>n</vt:lpstr>
      <vt:lpstr>PipeSizes</vt:lpstr>
      <vt:lpstr>Cover!Print_Area</vt:lpstr>
      <vt:lpstr>Criteria!Print_Area</vt:lpstr>
      <vt:lpstr>Formulas!Print_Area</vt:lpstr>
      <vt:lpstr>QQ_full</vt:lpstr>
      <vt:lpstr>RI</vt:lpstr>
      <vt:lpstr>S_T</vt:lpstr>
      <vt:lpstr>T_1</vt:lpstr>
      <vt:lpstr>T_10</vt:lpstr>
      <vt:lpstr>T_2</vt:lpstr>
      <vt:lpstr>T_3</vt:lpstr>
      <vt:lpstr>T_4</vt:lpstr>
      <vt:lpstr>T_5</vt:lpstr>
      <vt:lpstr>T_6</vt:lpstr>
      <vt:lpstr>T_7</vt:lpstr>
      <vt:lpstr>T_8</vt:lpstr>
      <vt:lpstr>T_9</vt:lpstr>
      <vt:lpstr>UpDown</vt:lpstr>
      <vt:lpstr>UpDownstream</vt:lpstr>
      <vt:lpstr>V_gutter</vt:lpstr>
      <vt:lpstr>Vmax</vt:lpstr>
      <vt:lpstr>Vmin</vt:lpstr>
      <vt:lpstr>VV_full</vt:lpstr>
      <vt:lpstr>Y_N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2025-01-21T22:34:05Z</dcterms:modified>
</cp:coreProperties>
</file>