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妙半仙</author>
  </authors>
  <commentList>
    <comment ref="D19" authorId="0">
      <text>
        <r>
          <rPr>
            <sz val="9"/>
            <rFont val="宋体"/>
            <charset val="134"/>
          </rPr>
          <t>3月14号下调买入价，从4.5下降至4</t>
        </r>
      </text>
    </comment>
  </commentList>
</comments>
</file>

<file path=xl/sharedStrings.xml><?xml version="1.0" encoding="utf-8"?>
<sst xmlns="http://schemas.openxmlformats.org/spreadsheetml/2006/main" count="261" uniqueCount="117">
  <si>
    <r>
      <rPr>
        <sz val="11"/>
        <color theme="1"/>
        <rFont val="等线"/>
        <charset val="134"/>
        <scheme val="minor"/>
      </rPr>
      <t>2020年2月15号（组合一）</t>
    </r>
    <r>
      <rPr>
        <b/>
        <sz val="11"/>
        <color rgb="FFFF0000"/>
        <rFont val="等线"/>
        <charset val="134"/>
        <scheme val="minor"/>
      </rPr>
      <t>买入价格已除权</t>
    </r>
  </si>
  <si>
    <t>本期新加入云南水务、阳光纸业</t>
  </si>
  <si>
    <t>代码</t>
  </si>
  <si>
    <t>公司名称</t>
  </si>
  <si>
    <t>是否港股通</t>
  </si>
  <si>
    <t>建议买入价</t>
  </si>
  <si>
    <t>买入股份</t>
  </si>
  <si>
    <t>持有股份</t>
  </si>
  <si>
    <t>投入资金</t>
  </si>
  <si>
    <t>现价</t>
  </si>
  <si>
    <t>持仓比例</t>
  </si>
  <si>
    <t>现有市值</t>
  </si>
  <si>
    <t>投入资金收益</t>
  </si>
  <si>
    <t>备注</t>
  </si>
  <si>
    <t>阳光纸业</t>
  </si>
  <si>
    <t>小市值造纸股，资金量低用户谨慎购买</t>
  </si>
  <si>
    <t>云南水务</t>
  </si>
  <si>
    <t>小市值环保股，资金量低用户谨慎购买</t>
  </si>
  <si>
    <t>中国太保</t>
  </si>
  <si>
    <t>Y</t>
  </si>
  <si>
    <t>本期，27港币成本买入太保</t>
  </si>
  <si>
    <t>周黑鸭</t>
  </si>
  <si>
    <t>本期，4.2港币成本买入周黑鸭</t>
  </si>
  <si>
    <t>保利置业</t>
  </si>
  <si>
    <t>中国华融</t>
  </si>
  <si>
    <t>金融周期股，风险承受力弱的用户谨慎购买</t>
  </si>
  <si>
    <t>建设银行</t>
  </si>
  <si>
    <t>组合一         单只10% 上限，建议三档买入，3%、3%、4%</t>
  </si>
  <si>
    <t>三档</t>
  </si>
  <si>
    <t>卖出50%建行，补充流动资金</t>
  </si>
  <si>
    <t>民生银行</t>
  </si>
  <si>
    <t>一档</t>
  </si>
  <si>
    <t>清仓，补充流动资金</t>
  </si>
  <si>
    <t>中石化冠德</t>
  </si>
  <si>
    <t>中国神华</t>
  </si>
  <si>
    <t>煤炭龙头，分红高，行业想象空间差，适合求稳</t>
  </si>
  <si>
    <t>海通证券</t>
  </si>
  <si>
    <t>安徽皖通高速</t>
  </si>
  <si>
    <t>金沙中国</t>
  </si>
  <si>
    <t>复星国际</t>
  </si>
  <si>
    <t>二档</t>
  </si>
  <si>
    <t>本期，10.82，补仓</t>
  </si>
  <si>
    <t>美高梅中国</t>
  </si>
  <si>
    <t>锦江资本</t>
  </si>
  <si>
    <t>小市值酒店股，资金量低用户谨慎购买</t>
  </si>
  <si>
    <t>华能国际</t>
  </si>
  <si>
    <t>密切关注华能，3港币是不错的价格</t>
  </si>
  <si>
    <t>北京控股</t>
  </si>
  <si>
    <t>本期，35.45，补仓</t>
  </si>
  <si>
    <t>阜丰集团</t>
  </si>
  <si>
    <t>味精龙头，分红高，行业想象空间差，适合求稳</t>
  </si>
  <si>
    <t>周生生</t>
  </si>
  <si>
    <t>二档价8.5</t>
  </si>
  <si>
    <t>中粮包装</t>
  </si>
  <si>
    <t>心连心化肥</t>
  </si>
  <si>
    <t>光大绿色环保</t>
  </si>
  <si>
    <t>危废处理，环保股，风险承受力差用户避开</t>
  </si>
  <si>
    <t>中国交通建设</t>
  </si>
  <si>
    <t>二档价5.5</t>
  </si>
  <si>
    <t>上期现金</t>
  </si>
  <si>
    <t>中国光大控股</t>
  </si>
  <si>
    <t>卖出50%光大，补充流动资金</t>
  </si>
  <si>
    <t>本期现金</t>
  </si>
  <si>
    <t>北控水务</t>
  </si>
  <si>
    <t>水处理环保龙头</t>
  </si>
  <si>
    <t>总资产</t>
  </si>
  <si>
    <t>持仓合计</t>
  </si>
  <si>
    <t>实际仓位</t>
  </si>
  <si>
    <t>港股资金量小于10万，不要跟买本组合，建议优先打新。绿色框内，为依旧处于本期买入价位之内，北控水务和北京控股，二选一即可，不用全部都买。</t>
  </si>
  <si>
    <t>2018年3月6号（恒指28962）</t>
  </si>
  <si>
    <t>2月6号</t>
  </si>
  <si>
    <t>二挡</t>
  </si>
  <si>
    <t>买入2000股建设银行</t>
  </si>
  <si>
    <t>卖出秦港股份</t>
  </si>
  <si>
    <t>N</t>
  </si>
  <si>
    <t>融创中国</t>
  </si>
  <si>
    <t>中广核电力</t>
  </si>
  <si>
    <t>中集集团</t>
  </si>
  <si>
    <t>万洲国际</t>
  </si>
  <si>
    <t>锦江酒店</t>
  </si>
  <si>
    <t>新增</t>
  </si>
  <si>
    <t>现金</t>
  </si>
  <si>
    <t>累计盈亏</t>
  </si>
  <si>
    <t>2018年12月6号</t>
  </si>
  <si>
    <t>1月6号</t>
  </si>
  <si>
    <t>绿城中国</t>
  </si>
  <si>
    <t>组合二          单只2-3% 上限，下跌不要补仓</t>
  </si>
  <si>
    <t>警惕基本面恶化</t>
  </si>
  <si>
    <t>信利国际</t>
  </si>
  <si>
    <t>保利协鑫能源</t>
  </si>
  <si>
    <t>晨鸣</t>
  </si>
  <si>
    <t>凤凰卫视</t>
  </si>
  <si>
    <t>中国银河</t>
  </si>
  <si>
    <t>上海实业环境</t>
  </si>
  <si>
    <t>京信通信</t>
  </si>
  <si>
    <t>中国外运</t>
  </si>
  <si>
    <t>粤运交通</t>
  </si>
  <si>
    <t>北京汽车</t>
  </si>
  <si>
    <t>英皇娱乐酒店</t>
  </si>
  <si>
    <t>魏桥纺织</t>
  </si>
  <si>
    <t>中视金桥</t>
  </si>
  <si>
    <t>兴达国际</t>
  </si>
  <si>
    <t>宝业集团</t>
  </si>
  <si>
    <t>华电福新</t>
  </si>
  <si>
    <t>亚太卫星</t>
  </si>
  <si>
    <t>铁建装备</t>
  </si>
  <si>
    <t>中芯国际</t>
  </si>
  <si>
    <t>中国宏桥</t>
  </si>
  <si>
    <t>澳博控股</t>
  </si>
  <si>
    <t>四环医药</t>
  </si>
  <si>
    <t>茂业国际</t>
  </si>
  <si>
    <t>国美零售</t>
  </si>
  <si>
    <t>中国机械工程</t>
  </si>
  <si>
    <t>中国宏泰发展</t>
  </si>
  <si>
    <t>重庆银行</t>
  </si>
  <si>
    <t>中信银行</t>
  </si>
  <si>
    <t>合计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</si>
</sst>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%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177" fontId="0" fillId="0" borderId="0" xfId="11" applyNumberFormat="1" applyFont="1" applyAlignment="1">
      <alignment horizontal="center"/>
    </xf>
    <xf numFmtId="177" fontId="0" fillId="0" borderId="0" xfId="11" applyNumberFormat="1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10" fontId="0" fillId="5" borderId="0" xfId="11" applyNumberFormat="1" applyFont="1" applyFill="1" applyAlignment="1">
      <alignment horizontal="center"/>
    </xf>
    <xf numFmtId="9" fontId="0" fillId="0" borderId="0" xfId="11" applyFont="1" applyAlignment="1">
      <alignment horizontal="center"/>
    </xf>
    <xf numFmtId="0" fontId="0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77" fontId="0" fillId="0" borderId="0" xfId="11" applyNumberFormat="1" applyAlignment="1">
      <alignment horizontal="center"/>
    </xf>
    <xf numFmtId="177" fontId="0" fillId="0" borderId="0" xfId="11" applyNumberFormat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9" fontId="0" fillId="0" borderId="0" xfId="1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5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selection activeCell="G41" sqref="G41"/>
    </sheetView>
  </sheetViews>
  <sheetFormatPr defaultColWidth="9" defaultRowHeight="13.8"/>
  <cols>
    <col min="1" max="1" width="8.88888888888889" style="1"/>
    <col min="2" max="2" width="13.4444444444444" style="1" customWidth="1"/>
    <col min="3" max="3" width="13.5555555555556" style="1" customWidth="1"/>
    <col min="4" max="4" width="12.1111111111111" style="1" customWidth="1"/>
    <col min="5" max="5" width="12.4444444444444" style="1" customWidth="1"/>
    <col min="6" max="8" width="8.88888888888889" style="1"/>
    <col min="9" max="9" width="9.55555555555556" style="1" customWidth="1"/>
    <col min="10" max="10" width="8.77777777777778" style="1" customWidth="1"/>
    <col min="11" max="11" width="9.77777777777778" customWidth="1"/>
    <col min="12" max="12" width="8.88888888888889" style="2"/>
    <col min="13" max="13" width="12.1111111111111" style="2" customWidth="1"/>
    <col min="14" max="14" width="15.3333333333333" style="1" customWidth="1"/>
    <col min="15" max="15" width="19.7777777777778" style="2" customWidth="1"/>
    <col min="16" max="16" width="12.8888888888889"/>
    <col min="17" max="17" width="14" style="1" customWidth="1"/>
  </cols>
  <sheetData>
    <row r="1" spans="1:14">
      <c r="A1" s="16" t="s">
        <v>0</v>
      </c>
      <c r="F1" s="17" t="s">
        <v>1</v>
      </c>
      <c r="G1" s="17"/>
      <c r="H1" s="17"/>
      <c r="I1" s="17"/>
      <c r="J1" s="17"/>
      <c r="K1" s="17"/>
      <c r="L1" s="17"/>
      <c r="M1" s="17"/>
      <c r="N1" s="17"/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2" t="s">
        <v>12</v>
      </c>
      <c r="N2" s="1" t="s">
        <v>13</v>
      </c>
      <c r="O2" s="2" t="s">
        <v>13</v>
      </c>
      <c r="P2" s="1"/>
    </row>
    <row r="3" spans="1:16">
      <c r="A3" s="18">
        <v>2002</v>
      </c>
      <c r="B3" s="18" t="s">
        <v>14</v>
      </c>
      <c r="D3" s="1">
        <v>1.2</v>
      </c>
      <c r="J3" s="1">
        <v>1.34</v>
      </c>
      <c r="K3" s="1"/>
      <c r="N3" s="18"/>
      <c r="O3" s="20" t="s">
        <v>15</v>
      </c>
      <c r="P3" s="18"/>
    </row>
    <row r="4" spans="1:16">
      <c r="A4" s="18">
        <v>6839</v>
      </c>
      <c r="B4" s="18" t="s">
        <v>16</v>
      </c>
      <c r="D4" s="1">
        <v>1.75</v>
      </c>
      <c r="J4" s="9">
        <v>1.54</v>
      </c>
      <c r="K4" s="1"/>
      <c r="N4" s="18"/>
      <c r="O4" s="20" t="s">
        <v>17</v>
      </c>
      <c r="P4" s="18"/>
    </row>
    <row r="5" spans="1:16">
      <c r="A5" s="17">
        <v>2601</v>
      </c>
      <c r="B5" s="17" t="s">
        <v>18</v>
      </c>
      <c r="C5" s="1" t="s">
        <v>19</v>
      </c>
      <c r="D5" s="1">
        <v>27</v>
      </c>
      <c r="G5" s="1">
        <v>600</v>
      </c>
      <c r="H5" s="1">
        <v>600</v>
      </c>
      <c r="I5" s="1">
        <f>H5*27</f>
        <v>16200</v>
      </c>
      <c r="J5" s="17">
        <v>27.7</v>
      </c>
      <c r="K5" s="21">
        <f>L5/Q28</f>
        <v>0.0515935964337711</v>
      </c>
      <c r="L5" s="2">
        <f>600*27.7</f>
        <v>16620</v>
      </c>
      <c r="M5" s="22">
        <f>L5/I5-1</f>
        <v>0.0259259259259259</v>
      </c>
      <c r="N5" s="23"/>
      <c r="O5" s="24" t="s">
        <v>20</v>
      </c>
      <c r="P5" s="23"/>
    </row>
    <row r="6" spans="1:16">
      <c r="A6" s="17">
        <v>1458</v>
      </c>
      <c r="B6" s="17" t="s">
        <v>21</v>
      </c>
      <c r="C6" s="1" t="s">
        <v>19</v>
      </c>
      <c r="D6" s="1">
        <v>4.2</v>
      </c>
      <c r="G6" s="1">
        <v>4000</v>
      </c>
      <c r="H6" s="1">
        <v>4000</v>
      </c>
      <c r="I6" s="1">
        <f>H6*D6</f>
        <v>16800</v>
      </c>
      <c r="J6" s="1">
        <v>4.32</v>
      </c>
      <c r="K6" s="21">
        <f>L6/Q28</f>
        <v>0.0536424396134516</v>
      </c>
      <c r="L6" s="2">
        <f>H6*J6</f>
        <v>17280</v>
      </c>
      <c r="M6" s="22">
        <f>L6/I6-1</f>
        <v>0.0285714285714285</v>
      </c>
      <c r="N6" s="23"/>
      <c r="O6" s="24" t="s">
        <v>22</v>
      </c>
      <c r="P6" s="23"/>
    </row>
    <row r="7" spans="1:13">
      <c r="A7" s="9">
        <v>119</v>
      </c>
      <c r="B7" s="9" t="s">
        <v>23</v>
      </c>
      <c r="C7" s="1" t="s">
        <v>19</v>
      </c>
      <c r="D7" s="1">
        <v>2.8</v>
      </c>
      <c r="G7" s="1">
        <v>2000</v>
      </c>
      <c r="H7" s="1">
        <v>2000</v>
      </c>
      <c r="I7" s="1">
        <f>D7*H7</f>
        <v>5600</v>
      </c>
      <c r="J7" s="1">
        <v>3.17</v>
      </c>
      <c r="K7" s="10">
        <f>H7*J7/Q28</f>
        <v>0.0196813117563242</v>
      </c>
      <c r="L7" s="2">
        <f>J7*G7</f>
        <v>6340</v>
      </c>
      <c r="M7" s="22">
        <f>L7/I7-1</f>
        <v>0.132142857142857</v>
      </c>
    </row>
    <row r="8" spans="1:16">
      <c r="A8" s="18">
        <v>2799</v>
      </c>
      <c r="B8" s="18" t="s">
        <v>24</v>
      </c>
      <c r="C8" s="1" t="s">
        <v>19</v>
      </c>
      <c r="D8" s="1">
        <v>1.3</v>
      </c>
      <c r="G8" s="1">
        <v>8000</v>
      </c>
      <c r="H8" s="1">
        <v>8000</v>
      </c>
      <c r="I8" s="1">
        <f>H8*D8</f>
        <v>10400</v>
      </c>
      <c r="J8" s="9">
        <v>1.12</v>
      </c>
      <c r="K8" s="10">
        <f>H8*J8/Q28</f>
        <v>0.027814598318086</v>
      </c>
      <c r="L8" s="2">
        <f>J8*G8</f>
        <v>8960</v>
      </c>
      <c r="M8" s="22">
        <f>L8/I8-1</f>
        <v>-0.138461538461538</v>
      </c>
      <c r="N8" s="18"/>
      <c r="O8" s="20" t="s">
        <v>25</v>
      </c>
      <c r="P8" s="18"/>
    </row>
    <row r="9" spans="1:16">
      <c r="A9" s="1">
        <v>939</v>
      </c>
      <c r="B9" s="1" t="s">
        <v>26</v>
      </c>
      <c r="C9" s="1" t="s">
        <v>19</v>
      </c>
      <c r="D9" s="1">
        <v>6.4</v>
      </c>
      <c r="E9" s="3" t="s">
        <v>27</v>
      </c>
      <c r="F9" s="1" t="s">
        <v>28</v>
      </c>
      <c r="G9" s="1">
        <v>6000</v>
      </c>
      <c r="H9" s="1">
        <v>3000</v>
      </c>
      <c r="I9" s="1">
        <f>13000+2000*7.12+2000*6.2</f>
        <v>39640</v>
      </c>
      <c r="J9" s="1">
        <v>6.51</v>
      </c>
      <c r="K9" s="10">
        <f>H9*J9/Q28</f>
        <v>0.0606271322714531</v>
      </c>
      <c r="L9" s="2">
        <f>H9*J9</f>
        <v>19530</v>
      </c>
      <c r="M9" s="11">
        <f>(L9+2100+3000*6.51)/I9-1</f>
        <v>0.0383451059535822</v>
      </c>
      <c r="N9" s="25"/>
      <c r="O9" s="25" t="s">
        <v>29</v>
      </c>
      <c r="P9" s="26"/>
    </row>
    <row r="10" spans="1:16">
      <c r="A10" s="1">
        <v>1988</v>
      </c>
      <c r="B10" s="1" t="s">
        <v>30</v>
      </c>
      <c r="C10" s="1" t="s">
        <v>19</v>
      </c>
      <c r="D10" s="1">
        <f>5.5-0.4</f>
        <v>5.1</v>
      </c>
      <c r="E10" s="3"/>
      <c r="F10" s="1" t="s">
        <v>31</v>
      </c>
      <c r="J10" s="1">
        <v>5.52</v>
      </c>
      <c r="K10" s="10">
        <f>H10*J10/Q28</f>
        <v>0</v>
      </c>
      <c r="L10" s="2">
        <f>G10*(J10)</f>
        <v>0</v>
      </c>
      <c r="M10" s="11">
        <v>0.076</v>
      </c>
      <c r="N10" s="25"/>
      <c r="O10" s="25" t="s">
        <v>32</v>
      </c>
      <c r="P10" s="26"/>
    </row>
    <row r="11" spans="1:16">
      <c r="A11" s="1">
        <v>934</v>
      </c>
      <c r="B11" s="1" t="s">
        <v>33</v>
      </c>
      <c r="C11" s="1" t="s">
        <v>19</v>
      </c>
      <c r="D11" s="1">
        <f>3.2-0.1</f>
        <v>3.1</v>
      </c>
      <c r="E11" s="3"/>
      <c r="F11" s="1" t="s">
        <v>31</v>
      </c>
      <c r="G11" s="1">
        <v>4000</v>
      </c>
      <c r="H11" s="1">
        <v>4000</v>
      </c>
      <c r="I11" s="1">
        <f>3.2*H11</f>
        <v>12800</v>
      </c>
      <c r="J11" s="1">
        <v>3.25</v>
      </c>
      <c r="K11" s="10">
        <f>L11/Q28</f>
        <v>0.0403560020240087</v>
      </c>
      <c r="L11" s="2">
        <f>G11*J11</f>
        <v>13000</v>
      </c>
      <c r="M11" s="11">
        <f>(L11+400)/I11-1</f>
        <v>0.046875</v>
      </c>
      <c r="N11" s="2"/>
      <c r="O11"/>
      <c r="P11" s="1"/>
    </row>
    <row r="12" spans="1:16">
      <c r="A12" s="1">
        <v>1088</v>
      </c>
      <c r="B12" s="1" t="s">
        <v>34</v>
      </c>
      <c r="C12" s="1" t="s">
        <v>19</v>
      </c>
      <c r="D12" s="1">
        <v>16</v>
      </c>
      <c r="E12" s="3"/>
      <c r="F12" s="1" t="s">
        <v>31</v>
      </c>
      <c r="G12" s="1">
        <v>500</v>
      </c>
      <c r="H12" s="1">
        <v>500</v>
      </c>
      <c r="I12" s="1">
        <v>8500</v>
      </c>
      <c r="J12" s="1">
        <v>14.56</v>
      </c>
      <c r="K12" s="10">
        <f>H12*J12/Q28</f>
        <v>0.0225993611334449</v>
      </c>
      <c r="L12" s="2">
        <f>G12*J12</f>
        <v>7280</v>
      </c>
      <c r="M12" s="11">
        <f>(L12+515)/I12-1</f>
        <v>-0.0829411764705882</v>
      </c>
      <c r="N12" s="18"/>
      <c r="O12" s="20" t="s">
        <v>35</v>
      </c>
      <c r="P12" s="18"/>
    </row>
    <row r="13" spans="1:16">
      <c r="A13" s="1">
        <v>6837</v>
      </c>
      <c r="B13" s="1" t="s">
        <v>36</v>
      </c>
      <c r="C13" s="1" t="s">
        <v>19</v>
      </c>
      <c r="D13" s="1">
        <v>7.5</v>
      </c>
      <c r="E13" s="3"/>
      <c r="F13" s="1" t="s">
        <v>31</v>
      </c>
      <c r="G13" s="1">
        <v>1200</v>
      </c>
      <c r="H13" s="1">
        <v>800</v>
      </c>
      <c r="I13" s="1">
        <v>9000</v>
      </c>
      <c r="J13" s="1">
        <v>8.09</v>
      </c>
      <c r="K13" s="10">
        <f>H13*J13/Q28</f>
        <v>0.0200910803922603</v>
      </c>
      <c r="L13" s="2">
        <f>H13*J13</f>
        <v>6472</v>
      </c>
      <c r="M13" s="11">
        <f>(L13+4096+136)/I13-1</f>
        <v>0.189333333333333</v>
      </c>
      <c r="N13" s="2"/>
      <c r="O13"/>
      <c r="P13" s="1"/>
    </row>
    <row r="14" spans="1:16">
      <c r="A14" s="1">
        <v>995</v>
      </c>
      <c r="B14" s="1" t="s">
        <v>37</v>
      </c>
      <c r="C14" s="1" t="s">
        <v>19</v>
      </c>
      <c r="D14" s="1">
        <f>4.5-0.28</f>
        <v>4.22</v>
      </c>
      <c r="E14" s="3"/>
      <c r="F14" s="1" t="s">
        <v>31</v>
      </c>
      <c r="G14" s="1">
        <v>2000</v>
      </c>
      <c r="H14" s="1">
        <v>2000</v>
      </c>
      <c r="I14" s="1">
        <f>9000-0.25*2000</f>
        <v>8500</v>
      </c>
      <c r="J14" s="1">
        <v>4.67</v>
      </c>
      <c r="K14" s="10">
        <f>H14*J14/Q28</f>
        <v>0.0289942353003263</v>
      </c>
      <c r="L14" s="2">
        <f t="shared" ref="L14:L18" si="0">G14*J14</f>
        <v>9340</v>
      </c>
      <c r="M14" s="11">
        <f>(L14+0.2872*2000)/I14-1</f>
        <v>0.1664</v>
      </c>
      <c r="N14" s="2"/>
      <c r="O14" s="1"/>
      <c r="P14" s="1"/>
    </row>
    <row r="15" spans="1:16">
      <c r="A15" s="1">
        <v>1928</v>
      </c>
      <c r="B15" s="1" t="s">
        <v>38</v>
      </c>
      <c r="C15" s="1" t="s">
        <v>19</v>
      </c>
      <c r="D15" s="1">
        <f>35-1</f>
        <v>34</v>
      </c>
      <c r="E15" s="3"/>
      <c r="F15" s="1" t="s">
        <v>31</v>
      </c>
      <c r="G15" s="1">
        <v>400</v>
      </c>
      <c r="H15" s="1">
        <v>400</v>
      </c>
      <c r="I15" s="1">
        <f>H15*35</f>
        <v>14000</v>
      </c>
      <c r="J15" s="1">
        <v>40.45</v>
      </c>
      <c r="K15" s="10">
        <f>H15*J15/Q28</f>
        <v>0.0502277009806509</v>
      </c>
      <c r="L15" s="2">
        <f t="shared" si="0"/>
        <v>16180</v>
      </c>
      <c r="M15" s="11">
        <f t="shared" ref="M15:M20" si="1">L15/I15-1</f>
        <v>0.155714285714286</v>
      </c>
      <c r="N15" s="2"/>
      <c r="O15" s="1"/>
      <c r="P15" s="1"/>
    </row>
    <row r="16" spans="1:16">
      <c r="A16" s="1">
        <v>300</v>
      </c>
      <c r="B16" s="1" t="s">
        <v>39</v>
      </c>
      <c r="C16" s="1" t="s">
        <v>19</v>
      </c>
      <c r="D16" s="1">
        <v>11.5</v>
      </c>
      <c r="E16" s="3"/>
      <c r="F16" s="1" t="s">
        <v>40</v>
      </c>
      <c r="G16" s="1">
        <v>3000</v>
      </c>
      <c r="H16" s="1">
        <v>3000</v>
      </c>
      <c r="I16" s="1">
        <f>16310+1500*10.82</f>
        <v>32540</v>
      </c>
      <c r="J16" s="1">
        <v>10.82</v>
      </c>
      <c r="K16" s="10">
        <f>H16*J16/Q28</f>
        <v>0.100765832746102</v>
      </c>
      <c r="L16" s="2">
        <f t="shared" si="0"/>
        <v>32460</v>
      </c>
      <c r="M16" s="11">
        <f>(L16+0.37*1000)/I16-1</f>
        <v>0.00891210817455446</v>
      </c>
      <c r="N16" s="27"/>
      <c r="O16" s="27" t="s">
        <v>41</v>
      </c>
      <c r="P16" s="17"/>
    </row>
    <row r="17" spans="1:16">
      <c r="A17" s="1">
        <v>2282</v>
      </c>
      <c r="B17" s="1" t="s">
        <v>42</v>
      </c>
      <c r="C17" s="1" t="s">
        <v>19</v>
      </c>
      <c r="D17" s="1">
        <v>12</v>
      </c>
      <c r="E17" s="3"/>
      <c r="F17" s="1" t="s">
        <v>31</v>
      </c>
      <c r="G17" s="1">
        <v>800</v>
      </c>
      <c r="H17" s="1">
        <v>800</v>
      </c>
      <c r="I17" s="1">
        <f>H17*12</f>
        <v>9600</v>
      </c>
      <c r="J17" s="9">
        <v>11.72</v>
      </c>
      <c r="K17" s="10">
        <f>H17*J17/Q28</f>
        <v>0.0291059903828543</v>
      </c>
      <c r="L17" s="2">
        <f t="shared" si="0"/>
        <v>9376</v>
      </c>
      <c r="M17" s="28">
        <f t="shared" si="1"/>
        <v>-0.0233333333333333</v>
      </c>
      <c r="N17" s="2"/>
      <c r="O17"/>
      <c r="P17" s="1"/>
    </row>
    <row r="18" spans="1:16">
      <c r="A18" s="18">
        <v>2006</v>
      </c>
      <c r="B18" s="18" t="s">
        <v>43</v>
      </c>
      <c r="D18" s="1">
        <v>1.2</v>
      </c>
      <c r="E18" s="3"/>
      <c r="F18" s="1" t="s">
        <v>28</v>
      </c>
      <c r="G18" s="1">
        <v>12000</v>
      </c>
      <c r="H18" s="1">
        <v>12000</v>
      </c>
      <c r="I18" s="1">
        <f>1.64*4000+8000+1.24*4000</f>
        <v>19520</v>
      </c>
      <c r="J18" s="9">
        <v>1.3</v>
      </c>
      <c r="K18" s="10">
        <f>H18*J18/Q28</f>
        <v>0.0484272024288105</v>
      </c>
      <c r="L18" s="2">
        <f t="shared" si="0"/>
        <v>15600</v>
      </c>
      <c r="M18" s="11">
        <f>(L18+720)/I18-1</f>
        <v>-0.163934426229508</v>
      </c>
      <c r="N18" s="18"/>
      <c r="O18" s="20" t="s">
        <v>44</v>
      </c>
      <c r="P18" s="18"/>
    </row>
    <row r="19" spans="1:16">
      <c r="A19" s="9">
        <v>902</v>
      </c>
      <c r="B19" s="9" t="s">
        <v>45</v>
      </c>
      <c r="C19" s="1" t="s">
        <v>19</v>
      </c>
      <c r="D19" s="1">
        <v>3.5</v>
      </c>
      <c r="E19" s="3"/>
      <c r="F19" s="1" t="s">
        <v>31</v>
      </c>
      <c r="G19" s="1">
        <v>2000</v>
      </c>
      <c r="H19" s="1">
        <v>2000</v>
      </c>
      <c r="I19" s="1">
        <f>H19*4</f>
        <v>8000</v>
      </c>
      <c r="J19" s="9">
        <v>3.47</v>
      </c>
      <c r="K19" s="10">
        <f>H19*J19/Q28</f>
        <v>0.0215438964651247</v>
      </c>
      <c r="L19" s="2">
        <f>J19*H19</f>
        <v>6940</v>
      </c>
      <c r="M19" s="11">
        <f>(L19)/I19-1</f>
        <v>-0.1325</v>
      </c>
      <c r="N19" s="29"/>
      <c r="O19" s="30" t="s">
        <v>46</v>
      </c>
      <c r="P19" s="29"/>
    </row>
    <row r="20" spans="1:16">
      <c r="A20" s="9">
        <v>392</v>
      </c>
      <c r="B20" s="9" t="s">
        <v>47</v>
      </c>
      <c r="D20" s="1">
        <v>38</v>
      </c>
      <c r="E20" s="3"/>
      <c r="F20" s="1" t="s">
        <v>31</v>
      </c>
      <c r="G20" s="1">
        <v>1000</v>
      </c>
      <c r="H20" s="1">
        <v>1000</v>
      </c>
      <c r="I20" s="1">
        <f>19000+35.45*500</f>
        <v>36725</v>
      </c>
      <c r="J20" s="9">
        <v>35.45</v>
      </c>
      <c r="K20" s="10">
        <f>J20*H20/Q28</f>
        <v>0.110047713211624</v>
      </c>
      <c r="L20" s="2">
        <f t="shared" ref="L20:L24" si="2">G20*J20</f>
        <v>35450</v>
      </c>
      <c r="M20" s="28">
        <f t="shared" si="1"/>
        <v>-0.0347174948944861</v>
      </c>
      <c r="N20" s="27"/>
      <c r="O20" s="27" t="s">
        <v>48</v>
      </c>
      <c r="P20" s="17"/>
    </row>
    <row r="21" spans="1:16">
      <c r="A21" s="18">
        <v>546</v>
      </c>
      <c r="B21" s="18" t="s">
        <v>49</v>
      </c>
      <c r="D21" s="1">
        <v>3.6</v>
      </c>
      <c r="E21" s="3"/>
      <c r="F21" s="1" t="s">
        <v>31</v>
      </c>
      <c r="G21" s="1">
        <v>2000</v>
      </c>
      <c r="H21" s="1">
        <v>2000</v>
      </c>
      <c r="I21" s="1">
        <f>3.8*2000</f>
        <v>7600</v>
      </c>
      <c r="J21" s="9">
        <v>3.21</v>
      </c>
      <c r="K21" s="10">
        <f>L21/Q28</f>
        <v>0.0199296563841643</v>
      </c>
      <c r="L21" s="2">
        <f t="shared" si="2"/>
        <v>6420</v>
      </c>
      <c r="M21" s="11">
        <f>(L21+472)/I21-1</f>
        <v>-0.0931578947368421</v>
      </c>
      <c r="N21" s="18"/>
      <c r="O21" s="20" t="s">
        <v>50</v>
      </c>
      <c r="P21" s="18"/>
    </row>
    <row r="22" spans="1:16">
      <c r="A22" s="9">
        <v>116</v>
      </c>
      <c r="B22" s="9" t="s">
        <v>51</v>
      </c>
      <c r="D22" s="1">
        <v>10</v>
      </c>
      <c r="E22" s="3"/>
      <c r="F22" s="1" t="s">
        <v>31</v>
      </c>
      <c r="G22" s="1">
        <v>2000</v>
      </c>
      <c r="H22" s="1">
        <v>2000</v>
      </c>
      <c r="I22" s="1">
        <f>10000+8500</f>
        <v>18500</v>
      </c>
      <c r="J22" s="9">
        <v>9.32</v>
      </c>
      <c r="K22" s="10">
        <f>J22*H22/Q28</f>
        <v>0.0578642982867325</v>
      </c>
      <c r="L22" s="2">
        <f t="shared" si="2"/>
        <v>18640</v>
      </c>
      <c r="M22" s="28">
        <f>L22/I22-1</f>
        <v>0.00756756756756749</v>
      </c>
      <c r="N22" s="2"/>
      <c r="O22" s="31" t="s">
        <v>52</v>
      </c>
      <c r="P22" s="1"/>
    </row>
    <row r="23" spans="1:16">
      <c r="A23" s="9">
        <v>906</v>
      </c>
      <c r="B23" s="9" t="s">
        <v>53</v>
      </c>
      <c r="D23" s="1">
        <v>2.9</v>
      </c>
      <c r="E23" s="3"/>
      <c r="F23" s="1" t="s">
        <v>31</v>
      </c>
      <c r="G23" s="1">
        <v>2000</v>
      </c>
      <c r="H23" s="1">
        <v>2000</v>
      </c>
      <c r="I23" s="1">
        <v>6000</v>
      </c>
      <c r="J23" s="9">
        <v>3.06</v>
      </c>
      <c r="K23" s="10">
        <f>L23/Q28</f>
        <v>0.0189983640297641</v>
      </c>
      <c r="L23" s="2">
        <f t="shared" si="2"/>
        <v>6120</v>
      </c>
      <c r="M23" s="11">
        <f>(L23+O23+0.056*2000+0.08*2000)/I23-1</f>
        <v>0.0653333333333332</v>
      </c>
      <c r="N23" s="2"/>
      <c r="P23" s="1"/>
    </row>
    <row r="24" spans="1:16">
      <c r="A24" s="9">
        <v>1866</v>
      </c>
      <c r="B24" s="9" t="s">
        <v>54</v>
      </c>
      <c r="D24" s="1">
        <v>2.4</v>
      </c>
      <c r="E24" s="3"/>
      <c r="F24" s="1" t="s">
        <v>31</v>
      </c>
      <c r="G24" s="1">
        <v>0</v>
      </c>
      <c r="H24" s="1">
        <v>0</v>
      </c>
      <c r="I24" s="1">
        <f>5000+4000</f>
        <v>9000</v>
      </c>
      <c r="J24" s="9">
        <v>2.4</v>
      </c>
      <c r="K24" s="10">
        <f>L24/Q28</f>
        <v>0</v>
      </c>
      <c r="L24" s="2">
        <v>0</v>
      </c>
      <c r="M24" s="11">
        <v>0.092</v>
      </c>
      <c r="N24" s="25"/>
      <c r="O24" s="25" t="s">
        <v>32</v>
      </c>
      <c r="P24" s="26"/>
    </row>
    <row r="25" spans="1:16">
      <c r="A25" s="9">
        <v>1257</v>
      </c>
      <c r="B25" s="9" t="s">
        <v>55</v>
      </c>
      <c r="C25" s="1" t="s">
        <v>19</v>
      </c>
      <c r="D25" s="1">
        <v>5</v>
      </c>
      <c r="E25" s="3"/>
      <c r="F25" s="1" t="s">
        <v>40</v>
      </c>
      <c r="G25" s="1">
        <v>4000</v>
      </c>
      <c r="H25" s="1">
        <v>4000</v>
      </c>
      <c r="I25" s="1">
        <f>2000*4.5+11000</f>
        <v>20000</v>
      </c>
      <c r="J25" s="9">
        <v>4.11</v>
      </c>
      <c r="K25" s="10">
        <f>H25*J25/Q28</f>
        <v>0.051034821021131</v>
      </c>
      <c r="L25" s="2">
        <f t="shared" ref="L25:L28" si="3">G25*J25</f>
        <v>16440</v>
      </c>
      <c r="M25" s="11">
        <f>(L25+0.065*1000)/I25-1</f>
        <v>-0.17475</v>
      </c>
      <c r="N25" s="18"/>
      <c r="O25" s="20" t="s">
        <v>56</v>
      </c>
      <c r="P25" s="18"/>
    </row>
    <row r="26" spans="1:17">
      <c r="A26" s="9">
        <v>1800</v>
      </c>
      <c r="B26" s="9" t="s">
        <v>57</v>
      </c>
      <c r="C26" s="1" t="s">
        <v>19</v>
      </c>
      <c r="D26" s="1">
        <v>6.5</v>
      </c>
      <c r="E26" s="3"/>
      <c r="F26" s="1" t="s">
        <v>31</v>
      </c>
      <c r="G26" s="1">
        <v>2000</v>
      </c>
      <c r="H26" s="1">
        <v>2000</v>
      </c>
      <c r="I26" s="1">
        <f>1000*7.7+1000*6.12</f>
        <v>13820</v>
      </c>
      <c r="J26" s="9">
        <v>5.71</v>
      </c>
      <c r="K26" s="10">
        <f>H26*J26/Q28</f>
        <v>0.0354511956241677</v>
      </c>
      <c r="L26" s="2">
        <f t="shared" si="3"/>
        <v>11420</v>
      </c>
      <c r="M26" s="11">
        <f>(L26+270)/I26-1</f>
        <v>-0.154124457308249</v>
      </c>
      <c r="N26" s="2"/>
      <c r="O26" s="31" t="s">
        <v>58</v>
      </c>
      <c r="P26" s="1" t="s">
        <v>59</v>
      </c>
      <c r="Q26" s="32">
        <v>101935</v>
      </c>
    </row>
    <row r="27" spans="1:17">
      <c r="A27" s="9">
        <v>165</v>
      </c>
      <c r="B27" s="9" t="s">
        <v>60</v>
      </c>
      <c r="C27" s="1" t="s">
        <v>19</v>
      </c>
      <c r="D27" s="1">
        <v>10</v>
      </c>
      <c r="E27" s="3"/>
      <c r="F27" s="1" t="s">
        <v>31</v>
      </c>
      <c r="G27" s="1">
        <v>4000</v>
      </c>
      <c r="H27" s="1">
        <v>2000</v>
      </c>
      <c r="I27" s="1">
        <f>13*2000+9.12*2000</f>
        <v>44240</v>
      </c>
      <c r="J27" s="9">
        <v>13.9</v>
      </c>
      <c r="K27" s="10">
        <f>H27*J27/Q28</f>
        <v>0.0862997581744186</v>
      </c>
      <c r="L27" s="2">
        <f>H27*J27</f>
        <v>27800</v>
      </c>
      <c r="M27" s="11">
        <f>(L27+0.4*2000+13.9*2000)/I27-1</f>
        <v>0.274864376130199</v>
      </c>
      <c r="N27" s="26" t="s">
        <v>61</v>
      </c>
      <c r="O27" s="26"/>
      <c r="P27" s="6" t="s">
        <v>62</v>
      </c>
      <c r="Q27" s="33">
        <f>24025-17280</f>
        <v>6745</v>
      </c>
    </row>
    <row r="28" spans="1:17">
      <c r="A28" s="9">
        <v>371</v>
      </c>
      <c r="B28" s="9" t="s">
        <v>63</v>
      </c>
      <c r="C28" s="1" t="s">
        <v>19</v>
      </c>
      <c r="D28" s="1">
        <f>4-0.08</f>
        <v>3.92</v>
      </c>
      <c r="E28" s="3"/>
      <c r="F28" s="1" t="s">
        <v>31</v>
      </c>
      <c r="G28" s="1">
        <v>2000</v>
      </c>
      <c r="H28" s="1">
        <v>2000</v>
      </c>
      <c r="I28" s="1">
        <v>8000</v>
      </c>
      <c r="J28" s="9">
        <v>3.86</v>
      </c>
      <c r="K28" s="10">
        <f>L28/Q28</f>
        <v>0.0239652565865652</v>
      </c>
      <c r="L28" s="2">
        <f t="shared" si="3"/>
        <v>7720</v>
      </c>
      <c r="M28" s="11">
        <f>(L28+0.083*2000)/I28-1</f>
        <v>-0.01425</v>
      </c>
      <c r="N28" s="20"/>
      <c r="O28" s="18" t="s">
        <v>64</v>
      </c>
      <c r="P28" s="6" t="s">
        <v>65</v>
      </c>
      <c r="Q28" s="33">
        <f>Q27+L29</f>
        <v>322133</v>
      </c>
    </row>
    <row r="29" spans="5:17">
      <c r="E29" s="3"/>
      <c r="F29" s="6" t="s">
        <v>66</v>
      </c>
      <c r="G29" s="6"/>
      <c r="H29" s="9"/>
      <c r="I29" s="6"/>
      <c r="J29" s="9"/>
      <c r="K29" s="10">
        <f>L29/Q28</f>
        <v>0.979061443565236</v>
      </c>
      <c r="L29" s="13">
        <f>SUM(L3:L28)</f>
        <v>315388</v>
      </c>
      <c r="M29" s="11"/>
      <c r="O29" s="13"/>
      <c r="P29" s="1" t="s">
        <v>67</v>
      </c>
      <c r="Q29" s="15">
        <f>L29/Q28</f>
        <v>0.979061443565236</v>
      </c>
    </row>
    <row r="31" spans="1:14">
      <c r="A31" s="19" t="s">
        <v>68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</sheetData>
  <mergeCells count="6">
    <mergeCell ref="A1:E1"/>
    <mergeCell ref="F1:N1"/>
    <mergeCell ref="N27:O27"/>
    <mergeCell ref="F29:G29"/>
    <mergeCell ref="E9:E19"/>
    <mergeCell ref="A31:N33"/>
  </mergeCells>
  <pageMargins left="0.7" right="0.7" top="0.75" bottom="0.75" header="0.3" footer="0.3"/>
  <pageSetup paperSize="9" orientation="portrait"/>
  <headerFooter/>
  <ignoredErrors>
    <ignoredError sqref="L10 M21 M16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workbookViewId="0">
      <selection activeCell="O13" sqref="O13"/>
    </sheetView>
  </sheetViews>
  <sheetFormatPr defaultColWidth="9" defaultRowHeight="13.8"/>
  <cols>
    <col min="1" max="1" width="8.88888888888889" style="1"/>
    <col min="2" max="2" width="13.4444444444444" style="1" customWidth="1"/>
    <col min="3" max="3" width="13.5555555555556" style="1" customWidth="1"/>
    <col min="4" max="4" width="12.1111111111111" style="1" customWidth="1"/>
    <col min="5" max="5" width="12.4444444444444" style="1" customWidth="1"/>
    <col min="6" max="7" width="8.88888888888889" style="1"/>
    <col min="8" max="8" width="9.55555555555556" style="1" customWidth="1"/>
    <col min="9" max="9" width="11.8888888888889" style="1" customWidth="1"/>
    <col min="11" max="11" width="9" style="1" hidden="1" customWidth="1"/>
    <col min="12" max="12" width="8.88888888888889" style="2"/>
    <col min="13" max="13" width="12.1111111111111" style="2" customWidth="1"/>
    <col min="14" max="15" width="8.88888888888889" style="1"/>
    <col min="18" max="19" width="8.88888888888889" style="1"/>
  </cols>
  <sheetData>
    <row r="1" spans="1:14">
      <c r="A1" s="1" t="s">
        <v>69</v>
      </c>
      <c r="F1" s="1" t="s">
        <v>70</v>
      </c>
      <c r="G1" s="1" t="s">
        <v>6</v>
      </c>
      <c r="H1" s="1" t="s">
        <v>8</v>
      </c>
      <c r="I1" s="1" t="s">
        <v>9</v>
      </c>
      <c r="J1" s="1" t="s">
        <v>10</v>
      </c>
      <c r="L1" s="2" t="s">
        <v>11</v>
      </c>
      <c r="M1" s="2" t="s">
        <v>12</v>
      </c>
      <c r="N1" s="1" t="s">
        <v>13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15">
      <c r="A3" s="1">
        <v>939</v>
      </c>
      <c r="B3" s="1" t="s">
        <v>26</v>
      </c>
      <c r="C3" s="1" t="s">
        <v>19</v>
      </c>
      <c r="D3" s="1">
        <v>6.5</v>
      </c>
      <c r="E3" s="3" t="s">
        <v>27</v>
      </c>
      <c r="F3" s="1" t="s">
        <v>71</v>
      </c>
      <c r="G3" s="1">
        <v>4000</v>
      </c>
      <c r="H3" s="1">
        <f>13000+2000*7.12</f>
        <v>27240</v>
      </c>
      <c r="I3" s="1">
        <v>7.12</v>
      </c>
      <c r="J3" s="10">
        <f>L3/P19</f>
        <v>0.0933112723817637</v>
      </c>
      <c r="K3" s="1">
        <v>300000</v>
      </c>
      <c r="L3" s="2">
        <f t="shared" ref="L3:L7" si="0">G3*I3</f>
        <v>28480</v>
      </c>
      <c r="M3" s="11">
        <f t="shared" ref="M3:M7" si="1">L3/H3-1</f>
        <v>0.0455212922173274</v>
      </c>
      <c r="O3" s="1" t="s">
        <v>72</v>
      </c>
    </row>
    <row r="4" spans="1:15">
      <c r="A4" s="1">
        <v>1988</v>
      </c>
      <c r="B4" s="1" t="s">
        <v>30</v>
      </c>
      <c r="C4" s="1" t="s">
        <v>19</v>
      </c>
      <c r="D4" s="1">
        <v>5.5</v>
      </c>
      <c r="E4" s="3"/>
      <c r="F4" s="1" t="s">
        <v>31</v>
      </c>
      <c r="G4" s="1">
        <v>1500</v>
      </c>
      <c r="H4" s="1">
        <v>8250</v>
      </c>
      <c r="I4" s="1">
        <v>6.19</v>
      </c>
      <c r="J4" s="10">
        <f>L4/P19</f>
        <v>0.0304211785135069</v>
      </c>
      <c r="K4" s="1">
        <v>300000</v>
      </c>
      <c r="L4" s="2">
        <f t="shared" si="0"/>
        <v>9285</v>
      </c>
      <c r="M4" s="11">
        <f t="shared" si="1"/>
        <v>0.125454545454545</v>
      </c>
      <c r="O4" s="1" t="s">
        <v>73</v>
      </c>
    </row>
    <row r="5" spans="1:11">
      <c r="A5" s="1">
        <v>934</v>
      </c>
      <c r="B5" s="1" t="s">
        <v>33</v>
      </c>
      <c r="C5" s="1" t="s">
        <v>19</v>
      </c>
      <c r="D5" s="1">
        <v>3.2</v>
      </c>
      <c r="E5" s="3"/>
      <c r="F5" s="4" t="s">
        <v>74</v>
      </c>
      <c r="G5" s="4"/>
      <c r="J5" s="10"/>
      <c r="K5" s="1">
        <v>300000</v>
      </c>
    </row>
    <row r="6" spans="1:13">
      <c r="A6" s="1">
        <v>1088</v>
      </c>
      <c r="B6" s="1" t="s">
        <v>34</v>
      </c>
      <c r="C6" s="1" t="s">
        <v>19</v>
      </c>
      <c r="D6" s="1">
        <v>17</v>
      </c>
      <c r="E6" s="3"/>
      <c r="F6" s="1" t="s">
        <v>31</v>
      </c>
      <c r="G6" s="1">
        <v>500</v>
      </c>
      <c r="H6" s="1">
        <v>8500</v>
      </c>
      <c r="I6" s="1">
        <v>19.58</v>
      </c>
      <c r="J6" s="10">
        <f>H6/P19</f>
        <v>0.0278492210409056</v>
      </c>
      <c r="K6" s="1">
        <v>300000</v>
      </c>
      <c r="L6" s="2">
        <f t="shared" si="0"/>
        <v>9790</v>
      </c>
      <c r="M6" s="11">
        <f t="shared" si="1"/>
        <v>0.151764705882353</v>
      </c>
    </row>
    <row r="7" spans="1:13">
      <c r="A7" s="1">
        <v>6837</v>
      </c>
      <c r="B7" s="1" t="s">
        <v>36</v>
      </c>
      <c r="C7" s="1" t="s">
        <v>19</v>
      </c>
      <c r="D7" s="1">
        <v>7.5</v>
      </c>
      <c r="E7" s="3"/>
      <c r="F7" s="1" t="s">
        <v>31</v>
      </c>
      <c r="G7" s="1">
        <v>1200</v>
      </c>
      <c r="H7" s="1">
        <v>9000</v>
      </c>
      <c r="I7" s="1">
        <v>10.6</v>
      </c>
      <c r="J7" s="10">
        <f>H7/P19</f>
        <v>0.0294874105139</v>
      </c>
      <c r="K7" s="1">
        <v>300000</v>
      </c>
      <c r="L7" s="2">
        <f t="shared" si="0"/>
        <v>12720</v>
      </c>
      <c r="M7" s="11">
        <f t="shared" si="1"/>
        <v>0.413333333333333</v>
      </c>
    </row>
    <row r="8" spans="1:11">
      <c r="A8" s="1">
        <v>1918</v>
      </c>
      <c r="B8" s="1" t="s">
        <v>75</v>
      </c>
      <c r="C8" s="1" t="s">
        <v>19</v>
      </c>
      <c r="D8" s="1">
        <v>22</v>
      </c>
      <c r="E8" s="3"/>
      <c r="F8" s="4" t="s">
        <v>74</v>
      </c>
      <c r="G8" s="4"/>
      <c r="J8" s="10"/>
      <c r="K8" s="1">
        <v>300000</v>
      </c>
    </row>
    <row r="9" spans="1:11">
      <c r="A9" s="1">
        <v>1816</v>
      </c>
      <c r="B9" s="1" t="s">
        <v>76</v>
      </c>
      <c r="C9" s="1" t="s">
        <v>19</v>
      </c>
      <c r="D9" s="1">
        <v>1.8</v>
      </c>
      <c r="E9" s="3"/>
      <c r="F9" s="4" t="s">
        <v>74</v>
      </c>
      <c r="G9" s="4"/>
      <c r="J9" s="10"/>
      <c r="K9" s="1">
        <v>300000</v>
      </c>
    </row>
    <row r="10" spans="1:13">
      <c r="A10" s="1">
        <v>995</v>
      </c>
      <c r="B10" s="1" t="s">
        <v>37</v>
      </c>
      <c r="C10" s="1" t="s">
        <v>19</v>
      </c>
      <c r="D10" s="1">
        <v>4.5</v>
      </c>
      <c r="E10" s="3"/>
      <c r="F10" s="1" t="s">
        <v>31</v>
      </c>
      <c r="G10" s="1">
        <v>2000</v>
      </c>
      <c r="H10" s="1">
        <v>9000</v>
      </c>
      <c r="I10" s="1">
        <v>5.15</v>
      </c>
      <c r="J10" s="10">
        <f>H10/P19</f>
        <v>0.0294874105139</v>
      </c>
      <c r="K10" s="1">
        <v>300000</v>
      </c>
      <c r="L10" s="2">
        <f>G10*I10</f>
        <v>10300</v>
      </c>
      <c r="M10" s="11">
        <f>L10/H10-1</f>
        <v>0.144444444444444</v>
      </c>
    </row>
    <row r="11" spans="1:11">
      <c r="A11" s="1">
        <v>1928</v>
      </c>
      <c r="B11" s="1" t="s">
        <v>38</v>
      </c>
      <c r="C11" s="1" t="s">
        <v>19</v>
      </c>
      <c r="D11" s="1">
        <v>30</v>
      </c>
      <c r="E11" s="3"/>
      <c r="F11" s="4" t="s">
        <v>74</v>
      </c>
      <c r="G11" s="4"/>
      <c r="J11" s="10"/>
      <c r="K11" s="1">
        <v>300000</v>
      </c>
    </row>
    <row r="12" spans="1:13">
      <c r="A12" s="1">
        <v>656</v>
      </c>
      <c r="B12" s="1" t="s">
        <v>39</v>
      </c>
      <c r="C12" s="1" t="s">
        <v>19</v>
      </c>
      <c r="D12" s="1">
        <v>12</v>
      </c>
      <c r="E12" s="3"/>
      <c r="F12" s="1" t="s">
        <v>31</v>
      </c>
      <c r="G12" s="1">
        <v>500</v>
      </c>
      <c r="H12" s="1">
        <v>6000</v>
      </c>
      <c r="I12" s="1">
        <v>13.34</v>
      </c>
      <c r="J12" s="10">
        <f>H12/P19</f>
        <v>0.0196582736759334</v>
      </c>
      <c r="K12" s="1">
        <v>300000</v>
      </c>
      <c r="L12" s="2">
        <f>G12*I12</f>
        <v>6670</v>
      </c>
      <c r="M12" s="11">
        <f>L12/H12-1</f>
        <v>0.111666666666667</v>
      </c>
    </row>
    <row r="13" spans="1:11">
      <c r="A13" s="1">
        <v>2282</v>
      </c>
      <c r="B13" s="1" t="s">
        <v>42</v>
      </c>
      <c r="C13" s="1" t="s">
        <v>19</v>
      </c>
      <c r="D13" s="1">
        <v>11</v>
      </c>
      <c r="E13" s="3"/>
      <c r="F13" s="4" t="s">
        <v>74</v>
      </c>
      <c r="G13" s="4"/>
      <c r="J13" s="10"/>
      <c r="K13" s="1">
        <v>300000</v>
      </c>
    </row>
    <row r="14" spans="1:11">
      <c r="A14" s="1">
        <v>2039</v>
      </c>
      <c r="B14" s="1" t="s">
        <v>77</v>
      </c>
      <c r="C14" s="1" t="s">
        <v>19</v>
      </c>
      <c r="D14" s="1">
        <v>7</v>
      </c>
      <c r="E14" s="3"/>
      <c r="F14" s="4" t="s">
        <v>74</v>
      </c>
      <c r="G14" s="4"/>
      <c r="J14" s="10"/>
      <c r="K14" s="1">
        <v>300000</v>
      </c>
    </row>
    <row r="15" spans="1:11">
      <c r="A15" s="1">
        <v>288</v>
      </c>
      <c r="B15" s="1" t="s">
        <v>78</v>
      </c>
      <c r="C15" s="1" t="s">
        <v>19</v>
      </c>
      <c r="D15" s="1">
        <v>5</v>
      </c>
      <c r="E15" s="3"/>
      <c r="F15" s="4" t="s">
        <v>74</v>
      </c>
      <c r="G15" s="4"/>
      <c r="J15" s="10"/>
      <c r="K15" s="1">
        <v>300000</v>
      </c>
    </row>
    <row r="16" spans="1:13">
      <c r="A16" s="1">
        <v>2006</v>
      </c>
      <c r="B16" s="1" t="s">
        <v>79</v>
      </c>
      <c r="D16" s="1">
        <v>2</v>
      </c>
      <c r="E16" s="3"/>
      <c r="F16" s="1" t="s">
        <v>31</v>
      </c>
      <c r="G16" s="1">
        <v>4000</v>
      </c>
      <c r="H16" s="1">
        <v>8000</v>
      </c>
      <c r="I16" s="1">
        <v>2.2</v>
      </c>
      <c r="J16" s="10">
        <f>H16/P19</f>
        <v>0.0262110315679111</v>
      </c>
      <c r="K16" s="1">
        <v>300000</v>
      </c>
      <c r="L16" s="2">
        <f>G16*I16</f>
        <v>8800</v>
      </c>
      <c r="M16" s="11">
        <f>L16/H16-1</f>
        <v>0.1</v>
      </c>
    </row>
    <row r="17" spans="1:11">
      <c r="A17" s="1">
        <v>902</v>
      </c>
      <c r="B17" s="1" t="s">
        <v>45</v>
      </c>
      <c r="C17" s="1" t="s">
        <v>19</v>
      </c>
      <c r="D17" s="1">
        <v>4.5</v>
      </c>
      <c r="E17" s="3"/>
      <c r="F17" s="4" t="s">
        <v>74</v>
      </c>
      <c r="G17" s="4"/>
      <c r="J17" s="10"/>
      <c r="K17" s="1">
        <v>300000</v>
      </c>
    </row>
    <row r="18" spans="1:16">
      <c r="A18" s="5">
        <v>165</v>
      </c>
      <c r="B18" s="5" t="s">
        <v>60</v>
      </c>
      <c r="C18" s="1" t="s">
        <v>19</v>
      </c>
      <c r="D18" s="1">
        <v>14</v>
      </c>
      <c r="E18" s="3"/>
      <c r="F18" s="4" t="s">
        <v>74</v>
      </c>
      <c r="G18" s="4"/>
      <c r="J18" s="10"/>
      <c r="N18" s="12" t="s">
        <v>80</v>
      </c>
      <c r="O18" s="6" t="s">
        <v>81</v>
      </c>
      <c r="P18" s="6">
        <f>K20-H20+9400-2000*7.12</f>
        <v>219170</v>
      </c>
    </row>
    <row r="19" spans="1:16">
      <c r="A19" s="5">
        <v>371</v>
      </c>
      <c r="B19" s="5" t="s">
        <v>63</v>
      </c>
      <c r="C19" s="1" t="s">
        <v>19</v>
      </c>
      <c r="D19" s="1">
        <v>4</v>
      </c>
      <c r="E19" s="3"/>
      <c r="F19" s="4" t="s">
        <v>74</v>
      </c>
      <c r="G19" s="4"/>
      <c r="J19" s="10"/>
      <c r="N19" s="12" t="s">
        <v>80</v>
      </c>
      <c r="O19" s="6" t="s">
        <v>65</v>
      </c>
      <c r="P19" s="6">
        <f>P18+L20</f>
        <v>305215</v>
      </c>
    </row>
    <row r="20" spans="5:16">
      <c r="E20" s="3"/>
      <c r="F20" s="6" t="s">
        <v>66</v>
      </c>
      <c r="G20" s="6"/>
      <c r="H20" s="6">
        <f>SUM(H3:H17)</f>
        <v>75990</v>
      </c>
      <c r="I20" s="6"/>
      <c r="J20" s="10">
        <f>H20/K20</f>
        <v>0.2533</v>
      </c>
      <c r="K20" s="1">
        <v>300000</v>
      </c>
      <c r="L20" s="13">
        <f>SUM(L3:L19)</f>
        <v>86045</v>
      </c>
      <c r="M20" s="14">
        <f t="shared" ref="M20:M24" si="2">L20/H20-1</f>
        <v>0.132320042110804</v>
      </c>
      <c r="O20" s="6" t="s">
        <v>82</v>
      </c>
      <c r="P20" s="14">
        <f>(L20-H20)/K20</f>
        <v>0.0335166666666667</v>
      </c>
    </row>
    <row r="21" spans="1:16">
      <c r="A21" s="1" t="s">
        <v>83</v>
      </c>
      <c r="F21" s="1" t="s">
        <v>84</v>
      </c>
      <c r="G21" s="1" t="s">
        <v>6</v>
      </c>
      <c r="H21" s="1" t="s">
        <v>8</v>
      </c>
      <c r="I21" s="1" t="s">
        <v>9</v>
      </c>
      <c r="O21" s="1" t="s">
        <v>67</v>
      </c>
      <c r="P21" s="15">
        <f>L20/P19</f>
        <v>0.281916026407614</v>
      </c>
    </row>
    <row r="22" customHeight="1" spans="1:16">
      <c r="A22" s="1">
        <v>3900</v>
      </c>
      <c r="B22" s="7" t="s">
        <v>85</v>
      </c>
      <c r="C22" s="1" t="s">
        <v>19</v>
      </c>
      <c r="D22" s="1">
        <v>6</v>
      </c>
      <c r="E22" s="8" t="s">
        <v>86</v>
      </c>
      <c r="F22" s="2" t="s">
        <v>31</v>
      </c>
      <c r="G22" s="1">
        <v>1000</v>
      </c>
      <c r="H22" s="1">
        <v>6000</v>
      </c>
      <c r="I22" s="1">
        <v>6.34</v>
      </c>
      <c r="J22" s="10">
        <f>L22/P53</f>
        <v>0.0195281217273455</v>
      </c>
      <c r="K22" s="1">
        <v>300000</v>
      </c>
      <c r="L22" s="2">
        <f t="shared" ref="L22:L24" si="3">G22*I22</f>
        <v>6340</v>
      </c>
      <c r="M22" s="11">
        <f t="shared" si="2"/>
        <v>0.0566666666666666</v>
      </c>
      <c r="P22" t="s">
        <v>87</v>
      </c>
    </row>
    <row r="23" spans="1:13">
      <c r="A23" s="1">
        <v>732</v>
      </c>
      <c r="B23" s="9" t="s">
        <v>88</v>
      </c>
      <c r="C23" s="1" t="s">
        <v>19</v>
      </c>
      <c r="D23" s="1">
        <v>1</v>
      </c>
      <c r="E23" s="8"/>
      <c r="F23" s="2"/>
      <c r="G23" s="1">
        <v>6000</v>
      </c>
      <c r="H23" s="1">
        <v>6000</v>
      </c>
      <c r="I23" s="1">
        <v>1.57</v>
      </c>
      <c r="J23" s="10">
        <f>L23/P53</f>
        <v>0.0290149695065607</v>
      </c>
      <c r="K23" s="1">
        <v>300000</v>
      </c>
      <c r="L23" s="2">
        <f t="shared" si="3"/>
        <v>9420</v>
      </c>
      <c r="M23" s="11">
        <f t="shared" si="2"/>
        <v>0.57</v>
      </c>
    </row>
    <row r="24" spans="1:13">
      <c r="A24" s="1">
        <v>3800</v>
      </c>
      <c r="B24" s="9" t="s">
        <v>89</v>
      </c>
      <c r="C24" s="1" t="s">
        <v>19</v>
      </c>
      <c r="D24" s="1">
        <v>0.5</v>
      </c>
      <c r="E24" s="8"/>
      <c r="F24" s="2"/>
      <c r="G24" s="1">
        <v>12000</v>
      </c>
      <c r="H24" s="1">
        <v>6000</v>
      </c>
      <c r="I24" s="1">
        <v>0.7</v>
      </c>
      <c r="J24" s="10">
        <f>L24/P53</f>
        <v>0.0258732212160414</v>
      </c>
      <c r="K24" s="1">
        <v>300000</v>
      </c>
      <c r="L24" s="2">
        <f t="shared" si="3"/>
        <v>8400</v>
      </c>
      <c r="M24" s="11">
        <f t="shared" si="2"/>
        <v>0.4</v>
      </c>
    </row>
    <row r="25" spans="1:11">
      <c r="A25" s="1">
        <v>1812</v>
      </c>
      <c r="B25" s="9" t="s">
        <v>90</v>
      </c>
      <c r="C25" s="1" t="s">
        <v>19</v>
      </c>
      <c r="D25" s="1">
        <v>4</v>
      </c>
      <c r="E25" s="8"/>
      <c r="F25" s="2"/>
      <c r="G25" s="4" t="s">
        <v>74</v>
      </c>
      <c r="J25" s="10"/>
      <c r="K25" s="1">
        <v>300000</v>
      </c>
    </row>
    <row r="26" spans="1:11">
      <c r="A26" s="1">
        <v>2008</v>
      </c>
      <c r="B26" s="9" t="s">
        <v>91</v>
      </c>
      <c r="D26" s="1">
        <v>0.65</v>
      </c>
      <c r="E26" s="8"/>
      <c r="F26" s="2"/>
      <c r="G26" s="4" t="s">
        <v>74</v>
      </c>
      <c r="J26" s="10"/>
      <c r="K26" s="1">
        <v>300000</v>
      </c>
    </row>
    <row r="27" spans="1:13">
      <c r="A27" s="1">
        <v>6881</v>
      </c>
      <c r="B27" s="9" t="s">
        <v>92</v>
      </c>
      <c r="C27" s="1" t="s">
        <v>19</v>
      </c>
      <c r="D27" s="1">
        <v>3.5</v>
      </c>
      <c r="E27" s="8"/>
      <c r="F27" s="2"/>
      <c r="G27" s="1">
        <v>2000</v>
      </c>
      <c r="H27" s="1">
        <v>7000</v>
      </c>
      <c r="I27" s="1">
        <v>5.69</v>
      </c>
      <c r="J27" s="10">
        <f>L27/P53</f>
        <v>0.0350520544569704</v>
      </c>
      <c r="K27" s="1">
        <v>300000</v>
      </c>
      <c r="L27" s="2">
        <f t="shared" ref="L27:L38" si="4">G27*I27</f>
        <v>11380</v>
      </c>
      <c r="M27" s="11">
        <f t="shared" ref="M27:M38" si="5">L27/H27-1</f>
        <v>0.625714285714286</v>
      </c>
    </row>
    <row r="28" spans="1:11">
      <c r="A28" s="1">
        <v>807</v>
      </c>
      <c r="B28" s="9" t="s">
        <v>93</v>
      </c>
      <c r="D28" s="1">
        <v>1.5</v>
      </c>
      <c r="E28" s="8"/>
      <c r="F28" s="2"/>
      <c r="G28" s="4" t="s">
        <v>74</v>
      </c>
      <c r="J28" s="10"/>
      <c r="K28" s="1">
        <v>300000</v>
      </c>
    </row>
    <row r="29" spans="1:11">
      <c r="A29" s="1">
        <v>2342</v>
      </c>
      <c r="B29" s="9" t="s">
        <v>94</v>
      </c>
      <c r="D29" s="1">
        <v>1.1</v>
      </c>
      <c r="E29" s="8"/>
      <c r="F29" s="2"/>
      <c r="G29" s="4" t="s">
        <v>74</v>
      </c>
      <c r="J29" s="10"/>
      <c r="K29" s="1">
        <v>300000</v>
      </c>
    </row>
    <row r="30" spans="1:13">
      <c r="A30" s="1">
        <v>598</v>
      </c>
      <c r="B30" s="9" t="s">
        <v>95</v>
      </c>
      <c r="C30" s="1" t="s">
        <v>19</v>
      </c>
      <c r="D30" s="1">
        <v>3</v>
      </c>
      <c r="E30" s="8"/>
      <c r="F30" s="2"/>
      <c r="G30" s="1">
        <v>3000</v>
      </c>
      <c r="H30" s="1">
        <v>9000</v>
      </c>
      <c r="I30" s="1">
        <v>3.8</v>
      </c>
      <c r="J30" s="10">
        <f>L30/P53</f>
        <v>0.0351136573646276</v>
      </c>
      <c r="K30" s="1">
        <v>300000</v>
      </c>
      <c r="L30" s="2">
        <f t="shared" si="4"/>
        <v>11400</v>
      </c>
      <c r="M30" s="11">
        <f t="shared" si="5"/>
        <v>0.266666666666667</v>
      </c>
    </row>
    <row r="31" spans="1:13">
      <c r="A31" s="1">
        <v>2799</v>
      </c>
      <c r="B31" s="1" t="s">
        <v>24</v>
      </c>
      <c r="C31" s="1" t="s">
        <v>19</v>
      </c>
      <c r="D31" s="1">
        <v>1.4</v>
      </c>
      <c r="E31" s="8"/>
      <c r="F31" s="2"/>
      <c r="G31" s="1">
        <v>4000</v>
      </c>
      <c r="H31" s="1">
        <v>5600</v>
      </c>
      <c r="I31" s="1">
        <v>1.85</v>
      </c>
      <c r="J31" s="10">
        <f>L31/P53</f>
        <v>0.0227930758331793</v>
      </c>
      <c r="K31" s="1">
        <v>300000</v>
      </c>
      <c r="L31" s="2">
        <f t="shared" si="4"/>
        <v>7400</v>
      </c>
      <c r="M31" s="11">
        <f t="shared" si="5"/>
        <v>0.321428571428571</v>
      </c>
    </row>
    <row r="32" spans="1:13">
      <c r="A32" s="1">
        <v>3399</v>
      </c>
      <c r="B32" s="1" t="s">
        <v>96</v>
      </c>
      <c r="D32" s="1">
        <v>3</v>
      </c>
      <c r="E32" s="8"/>
      <c r="F32" s="2"/>
      <c r="G32" s="1">
        <v>3000</v>
      </c>
      <c r="H32" s="1">
        <v>9000</v>
      </c>
      <c r="I32" s="1">
        <v>3.09</v>
      </c>
      <c r="J32" s="10">
        <f>L32/P53</f>
        <v>0.0285529476991314</v>
      </c>
      <c r="K32" s="1">
        <v>300000</v>
      </c>
      <c r="L32" s="2">
        <f t="shared" si="4"/>
        <v>9270</v>
      </c>
      <c r="M32" s="11">
        <f t="shared" si="5"/>
        <v>0.03</v>
      </c>
    </row>
    <row r="33" spans="1:13">
      <c r="A33" s="1">
        <v>1958</v>
      </c>
      <c r="B33" s="1" t="s">
        <v>97</v>
      </c>
      <c r="C33" s="1" t="s">
        <v>19</v>
      </c>
      <c r="D33" s="1">
        <v>4</v>
      </c>
      <c r="E33" s="8"/>
      <c r="F33" s="2"/>
      <c r="G33" s="1">
        <v>2000</v>
      </c>
      <c r="H33" s="1">
        <v>8000</v>
      </c>
      <c r="I33" s="1">
        <v>4.97</v>
      </c>
      <c r="J33" s="10">
        <f>L33/P53</f>
        <v>0.030616645105649</v>
      </c>
      <c r="K33" s="1">
        <v>300000</v>
      </c>
      <c r="L33" s="2">
        <f t="shared" si="4"/>
        <v>9940</v>
      </c>
      <c r="M33" s="11">
        <f t="shared" si="5"/>
        <v>0.2425</v>
      </c>
    </row>
    <row r="34" spans="1:13">
      <c r="A34" s="1">
        <v>296</v>
      </c>
      <c r="B34" s="1" t="s">
        <v>98</v>
      </c>
      <c r="D34" s="1">
        <v>1.5</v>
      </c>
      <c r="E34" s="8"/>
      <c r="F34" s="2"/>
      <c r="G34" s="1">
        <v>5000</v>
      </c>
      <c r="H34" s="1">
        <v>7500</v>
      </c>
      <c r="I34" s="1">
        <v>1.78</v>
      </c>
      <c r="J34" s="10">
        <f>L34/P53</f>
        <v>0.0274132939074724</v>
      </c>
      <c r="K34" s="1">
        <v>300000</v>
      </c>
      <c r="L34" s="2">
        <f t="shared" si="4"/>
        <v>8900</v>
      </c>
      <c r="M34" s="11">
        <f t="shared" si="5"/>
        <v>0.186666666666667</v>
      </c>
    </row>
    <row r="35" spans="1:13">
      <c r="A35" s="1">
        <v>2698</v>
      </c>
      <c r="B35" s="1" t="s">
        <v>99</v>
      </c>
      <c r="D35" s="1">
        <v>2.5</v>
      </c>
      <c r="E35" s="8"/>
      <c r="F35" s="2"/>
      <c r="G35" s="1">
        <v>2000</v>
      </c>
      <c r="H35" s="1">
        <v>5000</v>
      </c>
      <c r="I35" s="1">
        <v>3.11</v>
      </c>
      <c r="J35" s="10">
        <f>L35/P53</f>
        <v>0.0191585042814021</v>
      </c>
      <c r="K35" s="1">
        <v>300000</v>
      </c>
      <c r="L35" s="2">
        <f t="shared" si="4"/>
        <v>6220</v>
      </c>
      <c r="M35" s="11">
        <f t="shared" si="5"/>
        <v>0.244</v>
      </c>
    </row>
    <row r="36" spans="1:13">
      <c r="A36" s="1">
        <v>2002</v>
      </c>
      <c r="B36" s="9" t="s">
        <v>14</v>
      </c>
      <c r="C36" s="9"/>
      <c r="D36" s="1">
        <v>1.2</v>
      </c>
      <c r="E36" s="8"/>
      <c r="F36" s="2"/>
      <c r="G36" s="1">
        <v>5000</v>
      </c>
      <c r="H36" s="1">
        <v>6000</v>
      </c>
      <c r="I36" s="1">
        <v>1.63</v>
      </c>
      <c r="J36" s="10">
        <f>L36/P53</f>
        <v>0.0251031848703259</v>
      </c>
      <c r="K36" s="1">
        <v>300000</v>
      </c>
      <c r="L36" s="2">
        <f t="shared" si="4"/>
        <v>8150</v>
      </c>
      <c r="M36" s="11">
        <f t="shared" si="5"/>
        <v>0.358333333333333</v>
      </c>
    </row>
    <row r="37" spans="1:13">
      <c r="A37" s="1">
        <v>623</v>
      </c>
      <c r="B37" s="1" t="s">
        <v>100</v>
      </c>
      <c r="D37" s="1">
        <v>1.8</v>
      </c>
      <c r="E37" s="8"/>
      <c r="F37" s="2"/>
      <c r="G37" s="1">
        <v>4000</v>
      </c>
      <c r="H37" s="1">
        <v>7200</v>
      </c>
      <c r="I37" s="1">
        <v>1.85</v>
      </c>
      <c r="J37" s="10">
        <f>L37/P53</f>
        <v>0.0227930758331793</v>
      </c>
      <c r="K37" s="1">
        <v>300000</v>
      </c>
      <c r="L37" s="2">
        <f t="shared" si="4"/>
        <v>7400</v>
      </c>
      <c r="M37" s="11">
        <f t="shared" si="5"/>
        <v>0.0277777777777777</v>
      </c>
    </row>
    <row r="38" spans="1:13">
      <c r="A38" s="1">
        <v>1899</v>
      </c>
      <c r="B38" s="1" t="s">
        <v>101</v>
      </c>
      <c r="D38" s="1">
        <v>2.2</v>
      </c>
      <c r="E38" s="8"/>
      <c r="F38" s="2"/>
      <c r="G38" s="1">
        <v>3000</v>
      </c>
      <c r="H38" s="1">
        <v>6600</v>
      </c>
      <c r="I38" s="1">
        <v>2.4</v>
      </c>
      <c r="J38" s="10">
        <f>L38/P53</f>
        <v>0.0221770467566069</v>
      </c>
      <c r="K38" s="1">
        <v>300000</v>
      </c>
      <c r="L38" s="2">
        <f t="shared" si="4"/>
        <v>7200</v>
      </c>
      <c r="M38" s="11">
        <f t="shared" si="5"/>
        <v>0.0909090909090908</v>
      </c>
    </row>
    <row r="39" spans="1:11">
      <c r="A39" s="1">
        <v>2355</v>
      </c>
      <c r="B39" s="1" t="s">
        <v>102</v>
      </c>
      <c r="D39" s="1">
        <v>4</v>
      </c>
      <c r="E39" s="8"/>
      <c r="F39" s="2"/>
      <c r="G39" s="4" t="s">
        <v>74</v>
      </c>
      <c r="J39" s="10"/>
      <c r="K39" s="1">
        <v>300000</v>
      </c>
    </row>
    <row r="40" spans="1:11">
      <c r="A40" s="1">
        <v>816</v>
      </c>
      <c r="B40" s="1" t="s">
        <v>103</v>
      </c>
      <c r="D40" s="1">
        <v>1.3</v>
      </c>
      <c r="E40" s="8"/>
      <c r="F40" s="2"/>
      <c r="G40" s="4" t="s">
        <v>74</v>
      </c>
      <c r="J40" s="10"/>
      <c r="K40" s="1">
        <v>300000</v>
      </c>
    </row>
    <row r="41" spans="1:11">
      <c r="A41" s="1">
        <v>1045</v>
      </c>
      <c r="B41" s="1" t="s">
        <v>104</v>
      </c>
      <c r="D41" s="1">
        <v>2.5</v>
      </c>
      <c r="E41" s="8"/>
      <c r="F41" s="2"/>
      <c r="G41" s="4" t="s">
        <v>74</v>
      </c>
      <c r="J41" s="10"/>
      <c r="K41" s="1">
        <v>300000</v>
      </c>
    </row>
    <row r="42" spans="1:11">
      <c r="A42" s="1">
        <v>1786</v>
      </c>
      <c r="B42" s="1" t="s">
        <v>105</v>
      </c>
      <c r="D42" s="1">
        <v>1.5</v>
      </c>
      <c r="E42" s="8"/>
      <c r="F42" s="2"/>
      <c r="G42" s="4" t="s">
        <v>74</v>
      </c>
      <c r="J42" s="10"/>
      <c r="K42" s="1">
        <v>300000</v>
      </c>
    </row>
    <row r="43" spans="1:11">
      <c r="A43" s="1">
        <v>981</v>
      </c>
      <c r="B43" s="1" t="s">
        <v>106</v>
      </c>
      <c r="C43" s="1" t="s">
        <v>19</v>
      </c>
      <c r="D43" s="1">
        <v>6</v>
      </c>
      <c r="E43" s="8"/>
      <c r="F43" s="2"/>
      <c r="G43" s="4" t="s">
        <v>74</v>
      </c>
      <c r="J43" s="10"/>
      <c r="K43" s="1">
        <v>300000</v>
      </c>
    </row>
    <row r="44" spans="1:11">
      <c r="A44" s="1">
        <v>1378</v>
      </c>
      <c r="B44" s="1" t="s">
        <v>107</v>
      </c>
      <c r="C44" s="1" t="s">
        <v>19</v>
      </c>
      <c r="D44" s="1">
        <v>4</v>
      </c>
      <c r="E44" s="8"/>
      <c r="F44" s="2"/>
      <c r="G44" s="4" t="s">
        <v>74</v>
      </c>
      <c r="J44" s="10"/>
      <c r="K44" s="1">
        <v>300000</v>
      </c>
    </row>
    <row r="45" spans="1:11">
      <c r="A45" s="1">
        <v>880</v>
      </c>
      <c r="B45" s="1" t="s">
        <v>108</v>
      </c>
      <c r="C45" s="1" t="s">
        <v>19</v>
      </c>
      <c r="D45" s="1">
        <v>6</v>
      </c>
      <c r="E45" s="8"/>
      <c r="F45" s="2"/>
      <c r="G45" s="4" t="s">
        <v>74</v>
      </c>
      <c r="J45" s="10"/>
      <c r="K45" s="1">
        <v>300000</v>
      </c>
    </row>
    <row r="46" spans="1:13">
      <c r="A46" s="1">
        <v>460</v>
      </c>
      <c r="B46" s="1" t="s">
        <v>109</v>
      </c>
      <c r="C46" s="1" t="s">
        <v>19</v>
      </c>
      <c r="D46" s="1">
        <v>1.5</v>
      </c>
      <c r="E46" s="8"/>
      <c r="F46" s="2"/>
      <c r="G46" s="1">
        <v>4000</v>
      </c>
      <c r="H46" s="1">
        <v>6000</v>
      </c>
      <c r="I46" s="1">
        <v>1.69</v>
      </c>
      <c r="J46" s="10">
        <f>L46/P53</f>
        <v>0.0208217827881476</v>
      </c>
      <c r="K46" s="1">
        <v>300000</v>
      </c>
      <c r="L46" s="2">
        <f>G46*I46</f>
        <v>6760</v>
      </c>
      <c r="M46" s="11">
        <f>L46/H46-1</f>
        <v>0.126666666666667</v>
      </c>
    </row>
    <row r="47" spans="1:11">
      <c r="A47" s="1">
        <v>848</v>
      </c>
      <c r="B47" s="1" t="s">
        <v>110</v>
      </c>
      <c r="D47" s="1">
        <v>0.5</v>
      </c>
      <c r="E47" s="8"/>
      <c r="F47" s="2"/>
      <c r="G47" s="4" t="s">
        <v>74</v>
      </c>
      <c r="J47" s="10"/>
      <c r="K47" s="1">
        <v>300000</v>
      </c>
    </row>
    <row r="48" spans="1:11">
      <c r="A48" s="1">
        <v>493</v>
      </c>
      <c r="B48" s="1" t="s">
        <v>111</v>
      </c>
      <c r="C48" s="1" t="s">
        <v>19</v>
      </c>
      <c r="D48" s="1">
        <v>0.5</v>
      </c>
      <c r="E48" s="8"/>
      <c r="F48" s="2"/>
      <c r="G48" s="4" t="s">
        <v>74</v>
      </c>
      <c r="J48" s="10"/>
      <c r="K48" s="1">
        <v>300000</v>
      </c>
    </row>
    <row r="49" spans="1:13">
      <c r="A49" s="1">
        <v>1829</v>
      </c>
      <c r="B49" s="1" t="s">
        <v>112</v>
      </c>
      <c r="D49" s="1">
        <v>3.5</v>
      </c>
      <c r="E49" s="8"/>
      <c r="F49" s="2"/>
      <c r="G49" s="1">
        <v>2000</v>
      </c>
      <c r="H49" s="1">
        <v>7000</v>
      </c>
      <c r="I49" s="1">
        <v>4.19</v>
      </c>
      <c r="J49" s="10">
        <f>L49/P53</f>
        <v>0.0258116183083842</v>
      </c>
      <c r="K49" s="1">
        <v>300000</v>
      </c>
      <c r="L49" s="2">
        <f>G49*I49</f>
        <v>8380</v>
      </c>
      <c r="M49" s="11">
        <f>L49/H49-1</f>
        <v>0.197142857142857</v>
      </c>
    </row>
    <row r="50" spans="1:14">
      <c r="A50" s="5">
        <v>6166</v>
      </c>
      <c r="B50" s="5" t="s">
        <v>113</v>
      </c>
      <c r="C50" s="1" t="s">
        <v>19</v>
      </c>
      <c r="D50" s="1">
        <v>3</v>
      </c>
      <c r="E50" s="8"/>
      <c r="F50" s="2"/>
      <c r="G50" s="4" t="s">
        <v>74</v>
      </c>
      <c r="J50" s="10"/>
      <c r="N50" s="12" t="s">
        <v>80</v>
      </c>
    </row>
    <row r="51" spans="1:14">
      <c r="A51" s="5">
        <v>1963</v>
      </c>
      <c r="B51" s="5" t="s">
        <v>114</v>
      </c>
      <c r="C51" s="1" t="s">
        <v>19</v>
      </c>
      <c r="D51" s="1">
        <v>4</v>
      </c>
      <c r="E51" s="8"/>
      <c r="F51" s="2"/>
      <c r="G51" s="4" t="s">
        <v>74</v>
      </c>
      <c r="J51" s="10"/>
      <c r="N51" s="12" t="s">
        <v>80</v>
      </c>
    </row>
    <row r="52" spans="1:16">
      <c r="A52" s="5">
        <v>998</v>
      </c>
      <c r="B52" s="5" t="s">
        <v>115</v>
      </c>
      <c r="C52" s="1" t="s">
        <v>19</v>
      </c>
      <c r="D52" s="1">
        <v>4.5</v>
      </c>
      <c r="E52" s="8"/>
      <c r="F52" s="2"/>
      <c r="G52" s="4" t="s">
        <v>74</v>
      </c>
      <c r="J52" s="10"/>
      <c r="N52" s="12" t="s">
        <v>80</v>
      </c>
      <c r="O52" s="6" t="s">
        <v>81</v>
      </c>
      <c r="P52" s="6">
        <f>K54-H54</f>
        <v>198100</v>
      </c>
    </row>
    <row r="53" spans="1:16">
      <c r="A53" s="5">
        <v>119</v>
      </c>
      <c r="B53" s="5" t="s">
        <v>23</v>
      </c>
      <c r="C53" s="1" t="s">
        <v>19</v>
      </c>
      <c r="D53" s="1">
        <v>2.5</v>
      </c>
      <c r="E53" s="8"/>
      <c r="F53" s="2"/>
      <c r="G53" s="4" t="s">
        <v>74</v>
      </c>
      <c r="J53" s="10"/>
      <c r="N53" s="12" t="s">
        <v>80</v>
      </c>
      <c r="O53" s="6" t="s">
        <v>65</v>
      </c>
      <c r="P53" s="6">
        <f>P52+L54</f>
        <v>324660</v>
      </c>
    </row>
    <row r="54" spans="7:16">
      <c r="G54" s="6" t="s">
        <v>116</v>
      </c>
      <c r="H54" s="6">
        <f>SUM(H22:H49)</f>
        <v>101900</v>
      </c>
      <c r="I54" s="6"/>
      <c r="J54" s="14">
        <f>H54/K54</f>
        <v>0.339666666666667</v>
      </c>
      <c r="K54" s="6">
        <v>300000</v>
      </c>
      <c r="L54" s="6">
        <f>SUM(L22:L49)</f>
        <v>126560</v>
      </c>
      <c r="M54" s="14">
        <f>L54/H54-1</f>
        <v>0.242001962708538</v>
      </c>
      <c r="O54" s="6" t="s">
        <v>82</v>
      </c>
      <c r="P54" s="14">
        <f>(L54-H54)/K54</f>
        <v>0.0822</v>
      </c>
    </row>
    <row r="55" spans="15:16">
      <c r="O55" s="1" t="s">
        <v>67</v>
      </c>
      <c r="P55" s="15">
        <f>L54/P53</f>
        <v>0.389823199655024</v>
      </c>
    </row>
  </sheetData>
  <mergeCells count="16">
    <mergeCell ref="A1:E1"/>
    <mergeCell ref="F5:G5"/>
    <mergeCell ref="F8:G8"/>
    <mergeCell ref="F9:G9"/>
    <mergeCell ref="F11:G11"/>
    <mergeCell ref="F13:G13"/>
    <mergeCell ref="F14:G14"/>
    <mergeCell ref="F15:G15"/>
    <mergeCell ref="F17:G17"/>
    <mergeCell ref="F18:G18"/>
    <mergeCell ref="F19:G19"/>
    <mergeCell ref="F20:G20"/>
    <mergeCell ref="A21:E21"/>
    <mergeCell ref="E3:E17"/>
    <mergeCell ref="E22:E49"/>
    <mergeCell ref="F22:F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妙半仙</cp:lastModifiedBy>
  <dcterms:created xsi:type="dcterms:W3CDTF">2015-06-05T18:17:00Z</dcterms:created>
  <dcterms:modified xsi:type="dcterms:W3CDTF">2020-02-15T00:48:47Z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