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11"/>
  <workbookPr/>
  <mc:AlternateContent xmlns:mc="http://schemas.openxmlformats.org/markup-compatibility/2006">
    <mc:Choice Requires="x15">
      <x15ac:absPath xmlns:x15ac="http://schemas.microsoft.com/office/spreadsheetml/2010/11/ac" url="C:\Users\walke\AppData\Local\Box\Box Edit\Documents\Bd_XgGyyV0qq1CbCqdVf_w==\"/>
    </mc:Choice>
  </mc:AlternateContent>
  <xr:revisionPtr revIDLastSave="0" documentId="13_ncr:1_{D6030497-6E39-404F-9D12-3041F3B53429}" xr6:coauthVersionLast="45" xr6:coauthVersionMax="45" xr10:uidLastSave="{00000000-0000-0000-0000-000000000000}"/>
  <bookViews>
    <workbookView xWindow="1140" yWindow="1140" windowWidth="14400" windowHeight="7360" firstSheet="16" activeTab="16" xr2:uid="{00000000-000D-0000-FFFF-FFFF00000000}"/>
  </bookViews>
  <sheets>
    <sheet name="notes" sheetId="18" r:id="rId1"/>
    <sheet name="basicInfo" sheetId="1" r:id="rId2"/>
    <sheet name="maturitySched" sheetId="2" r:id="rId3"/>
    <sheet name="bondPurpose" sheetId="5" r:id="rId4"/>
    <sheet name="otherDebt" sheetId="3" r:id="rId5"/>
    <sheet name="longterm" sheetId="4" r:id="rId6"/>
    <sheet name="debtService" sheetId="19" r:id="rId7"/>
    <sheet name="serviceArea" sheetId="8" r:id="rId8"/>
    <sheet name="board" sheetId="6" r:id="rId9"/>
    <sheet name="utilityInfo" sheetId="7" r:id="rId10"/>
    <sheet name="interconnect" sheetId="9" r:id="rId11"/>
    <sheet name="source" sheetId="11" r:id="rId12"/>
    <sheet name="customers" sheetId="10" r:id="rId13"/>
    <sheet name="usage" sheetId="12" r:id="rId14"/>
    <sheet name="unaccounted" sheetId="13" r:id="rId15"/>
    <sheet name="largestCust" sheetId="14" r:id="rId16"/>
    <sheet name="rates" sheetId="17" r:id="rId17"/>
    <sheet name="fiscal" sheetId="16" r:id="rId18"/>
    <sheet name="assets" sheetId="20" r:id="rId19"/>
    <sheet name="revCollect" sheetId="15" r:id="rId20"/>
    <sheet name="financialIndicators" sheetId="21" r:id="rId21"/>
  </sheets>
  <definedNames>
    <definedName name="_xlnm._FilterDatabase" localSheetId="13" hidden="1">usage!$A$1:$K$20</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15" i="21" l="1"/>
  <c r="AF27" i="21" s="1"/>
  <c r="AE15" i="21"/>
  <c r="AE27" i="21" s="1"/>
  <c r="G27" i="21"/>
  <c r="H27" i="21"/>
  <c r="I27" i="21"/>
  <c r="J27" i="21"/>
  <c r="K27" i="21"/>
  <c r="L27" i="21"/>
  <c r="M27" i="21"/>
  <c r="N27" i="21"/>
  <c r="O27" i="21"/>
  <c r="P27" i="21"/>
  <c r="Q27" i="21"/>
  <c r="R27" i="21"/>
  <c r="S27" i="21"/>
  <c r="T27" i="21"/>
  <c r="U27" i="21"/>
  <c r="V27" i="21"/>
  <c r="W27" i="21"/>
  <c r="X27" i="21"/>
  <c r="Y27" i="21"/>
  <c r="Z27" i="21"/>
  <c r="AA27" i="21"/>
  <c r="AB27" i="21"/>
  <c r="AC27" i="21"/>
  <c r="AD27" i="21"/>
  <c r="F27" i="21"/>
  <c r="J15" i="21"/>
  <c r="K15" i="21"/>
  <c r="L15" i="21"/>
  <c r="M15" i="21"/>
  <c r="N15" i="21"/>
  <c r="O15" i="21"/>
  <c r="P15" i="21"/>
  <c r="Q15" i="21"/>
  <c r="R15" i="21"/>
  <c r="S15" i="21"/>
  <c r="T15" i="21"/>
  <c r="U15" i="21"/>
  <c r="V15" i="21"/>
  <c r="W15" i="21"/>
  <c r="X15" i="21"/>
  <c r="Y15" i="21"/>
  <c r="Z15" i="21"/>
  <c r="AA15" i="21"/>
  <c r="AB15" i="21"/>
  <c r="AC15" i="21"/>
  <c r="AD15" i="21"/>
  <c r="I15" i="21"/>
  <c r="F2" i="21" l="1"/>
  <c r="AE23" i="21" l="1"/>
  <c r="AD23" i="21"/>
  <c r="AF14" i="21"/>
  <c r="K14" i="21"/>
  <c r="K25" i="21" s="1"/>
  <c r="K26" i="21" s="1"/>
  <c r="L14" i="21"/>
  <c r="L25" i="21" s="1"/>
  <c r="L26" i="21" s="1"/>
  <c r="M14" i="21"/>
  <c r="M25" i="21" s="1"/>
  <c r="M26" i="21" s="1"/>
  <c r="N14" i="21"/>
  <c r="O14" i="21"/>
  <c r="O25" i="21" s="1"/>
  <c r="O26" i="21" s="1"/>
  <c r="P14" i="21"/>
  <c r="Q14" i="21"/>
  <c r="R14" i="21"/>
  <c r="S14" i="21"/>
  <c r="S26" i="21" s="1"/>
  <c r="T14" i="21"/>
  <c r="U14" i="21"/>
  <c r="U25" i="21" s="1"/>
  <c r="U26" i="21" s="1"/>
  <c r="V14" i="21"/>
  <c r="W14" i="21"/>
  <c r="X14" i="21"/>
  <c r="X25" i="21" s="1"/>
  <c r="X26" i="21" s="1"/>
  <c r="Y14" i="21"/>
  <c r="Z14" i="21"/>
  <c r="AA14" i="21"/>
  <c r="AA25" i="21" s="1"/>
  <c r="AA26" i="21" s="1"/>
  <c r="AB14" i="21"/>
  <c r="AB25" i="21" s="1"/>
  <c r="AB26" i="21" s="1"/>
  <c r="AC14" i="21"/>
  <c r="AC25" i="21" s="1"/>
  <c r="AC26" i="21" s="1"/>
  <c r="AD14" i="21"/>
  <c r="AE14" i="21"/>
  <c r="AF26" i="21"/>
  <c r="J14" i="21"/>
  <c r="G19" i="21"/>
  <c r="H19" i="21"/>
  <c r="I19" i="21"/>
  <c r="J19" i="21"/>
  <c r="K19" i="21"/>
  <c r="L19" i="21"/>
  <c r="M19" i="21"/>
  <c r="N19" i="21"/>
  <c r="O19" i="21"/>
  <c r="P19" i="21"/>
  <c r="Q19" i="21"/>
  <c r="R19" i="21"/>
  <c r="S19" i="21"/>
  <c r="T19" i="21"/>
  <c r="U19" i="21"/>
  <c r="V19" i="21"/>
  <c r="W19" i="21"/>
  <c r="X19" i="21"/>
  <c r="Y19" i="21"/>
  <c r="Z19" i="21"/>
  <c r="AA19" i="21"/>
  <c r="AB19" i="21"/>
  <c r="AC19" i="21"/>
  <c r="AD19" i="21"/>
  <c r="AE19" i="21"/>
  <c r="AF19" i="21"/>
  <c r="AG19" i="21"/>
  <c r="AH19" i="21"/>
  <c r="AI19" i="21"/>
  <c r="AJ19" i="21"/>
  <c r="AK19" i="21"/>
  <c r="AL19" i="21"/>
  <c r="F19" i="21"/>
  <c r="F17" i="21"/>
  <c r="AJ26" i="21"/>
  <c r="AI26" i="21"/>
  <c r="AH26" i="21"/>
  <c r="AG26" i="21"/>
  <c r="W26" i="21"/>
  <c r="V26" i="21"/>
  <c r="T26" i="21"/>
  <c r="I26" i="21"/>
  <c r="G26" i="21"/>
  <c r="AL25" i="21"/>
  <c r="AL26" i="21" s="1"/>
  <c r="AK25" i="21"/>
  <c r="AK26" i="21" s="1"/>
  <c r="AG25" i="21"/>
  <c r="AE25" i="21"/>
  <c r="AE26" i="21" s="1"/>
  <c r="AD25" i="21"/>
  <c r="AD26" i="21" s="1"/>
  <c r="Z25" i="21"/>
  <c r="Z26" i="21" s="1"/>
  <c r="Y25" i="21"/>
  <c r="Y26" i="21" s="1"/>
  <c r="W25" i="21"/>
  <c r="V25" i="21"/>
  <c r="R25" i="21"/>
  <c r="R26" i="21" s="1"/>
  <c r="Q25" i="21"/>
  <c r="Q26" i="21" s="1"/>
  <c r="P25" i="21"/>
  <c r="P26" i="21" s="1"/>
  <c r="N26" i="21"/>
  <c r="J25" i="21"/>
  <c r="J26" i="21" s="1"/>
  <c r="I25" i="21"/>
  <c r="H25" i="21"/>
  <c r="H26" i="21" s="1"/>
  <c r="G25" i="21"/>
  <c r="F25" i="21"/>
  <c r="F26" i="21" s="1"/>
  <c r="AL24" i="21"/>
  <c r="AK24" i="21"/>
  <c r="AJ24" i="21"/>
  <c r="AI24" i="21"/>
  <c r="AH24" i="21"/>
  <c r="AG24" i="21"/>
  <c r="AF24" i="21"/>
  <c r="AE24" i="21"/>
  <c r="AD24" i="21"/>
  <c r="AC24" i="21"/>
  <c r="AB24" i="21"/>
  <c r="AA24" i="21"/>
  <c r="Z24" i="21"/>
  <c r="Y24" i="21"/>
  <c r="X24" i="21"/>
  <c r="W24" i="21"/>
  <c r="V24" i="21"/>
  <c r="U24" i="21"/>
  <c r="T24" i="21"/>
  <c r="S24" i="21"/>
  <c r="R24" i="21"/>
  <c r="Q24" i="21"/>
  <c r="P24" i="21"/>
  <c r="O24" i="21"/>
  <c r="N24" i="21"/>
  <c r="M24" i="21"/>
  <c r="L24" i="21"/>
  <c r="K24" i="21"/>
  <c r="J24" i="21"/>
  <c r="I24" i="21"/>
  <c r="H24" i="21"/>
  <c r="G24" i="21"/>
  <c r="F24" i="21"/>
  <c r="AL23" i="21"/>
  <c r="AK23" i="21"/>
  <c r="AJ23" i="21"/>
  <c r="AI23" i="21"/>
  <c r="AH23" i="21"/>
  <c r="AG23" i="21"/>
  <c r="AF23" i="21"/>
  <c r="AC23" i="21"/>
  <c r="AB23" i="21"/>
  <c r="AA23" i="21"/>
  <c r="Z23" i="21"/>
  <c r="Y23" i="21"/>
  <c r="X23" i="21"/>
  <c r="W23" i="21"/>
  <c r="V23" i="21"/>
  <c r="U23" i="21"/>
  <c r="T23" i="21"/>
  <c r="S23" i="21"/>
  <c r="R23" i="21"/>
  <c r="Q23" i="21"/>
  <c r="P23" i="21"/>
  <c r="O23" i="21"/>
  <c r="N23" i="21"/>
  <c r="M23" i="21"/>
  <c r="L23" i="21"/>
  <c r="K23" i="21"/>
  <c r="J23" i="21"/>
  <c r="I23" i="21"/>
  <c r="H23" i="21"/>
  <c r="G23" i="21"/>
  <c r="F23" i="21"/>
  <c r="AL22" i="21"/>
  <c r="AK22" i="21"/>
  <c r="AJ22" i="21"/>
  <c r="AI22" i="21"/>
  <c r="AH22" i="21"/>
  <c r="AG22" i="21"/>
  <c r="AF22" i="21"/>
  <c r="AE22" i="21"/>
  <c r="AD22" i="21"/>
  <c r="AC22" i="21"/>
  <c r="AB22" i="21"/>
  <c r="AA22" i="21"/>
  <c r="Z22" i="21"/>
  <c r="Y22" i="21"/>
  <c r="X22" i="21"/>
  <c r="W22" i="21"/>
  <c r="V22" i="21"/>
  <c r="U22" i="21"/>
  <c r="T22" i="21"/>
  <c r="S22" i="21"/>
  <c r="R22" i="21"/>
  <c r="Q22" i="21"/>
  <c r="P22" i="21"/>
  <c r="O22" i="21"/>
  <c r="N22" i="21"/>
  <c r="M22" i="21"/>
  <c r="L22" i="21"/>
  <c r="K22" i="21"/>
  <c r="J22" i="21"/>
  <c r="I22" i="21"/>
  <c r="H22" i="21"/>
  <c r="G22" i="21"/>
  <c r="F22" i="21"/>
  <c r="AL21" i="21"/>
  <c r="AK21" i="21"/>
  <c r="AJ21" i="21"/>
  <c r="AI21" i="21"/>
  <c r="AH21" i="21"/>
  <c r="AG21" i="21"/>
  <c r="AF21" i="21"/>
  <c r="AE21" i="21"/>
  <c r="AD21" i="21"/>
  <c r="AC21" i="21"/>
  <c r="AB21" i="21"/>
  <c r="AA21" i="21"/>
  <c r="Z21" i="21"/>
  <c r="Y21" i="21"/>
  <c r="X21" i="21"/>
  <c r="W21" i="21"/>
  <c r="V21" i="21"/>
  <c r="U21" i="21"/>
  <c r="T21" i="21"/>
  <c r="S21" i="21"/>
  <c r="R21" i="21"/>
  <c r="Q21" i="21"/>
  <c r="P21" i="21"/>
  <c r="O21" i="21"/>
  <c r="N21" i="21"/>
  <c r="M21" i="21"/>
  <c r="L21" i="21"/>
  <c r="K21" i="21"/>
  <c r="J21" i="21"/>
  <c r="I21" i="21"/>
  <c r="H21" i="21"/>
  <c r="G21" i="21"/>
  <c r="F21" i="21"/>
  <c r="AL20" i="21"/>
  <c r="AK20" i="21"/>
  <c r="AJ20" i="21"/>
  <c r="AI20" i="21"/>
  <c r="AH20" i="21"/>
  <c r="AG20" i="21"/>
  <c r="AF20" i="21"/>
  <c r="AE20" i="21"/>
  <c r="AD20" i="21"/>
  <c r="AC20" i="21"/>
  <c r="AB20" i="21"/>
  <c r="AA20" i="21"/>
  <c r="Z20" i="21"/>
  <c r="Y20" i="21"/>
  <c r="X20" i="21"/>
  <c r="W20" i="21"/>
  <c r="V20" i="21"/>
  <c r="U20" i="21"/>
  <c r="T20" i="21"/>
  <c r="S20" i="21"/>
  <c r="R20" i="21"/>
  <c r="Q20" i="21"/>
  <c r="P20" i="21"/>
  <c r="O20" i="21"/>
  <c r="N20" i="21"/>
  <c r="M20" i="21"/>
  <c r="L20" i="21"/>
  <c r="K20" i="21"/>
  <c r="J20" i="21"/>
  <c r="I20" i="21"/>
  <c r="H20" i="21"/>
  <c r="G20" i="21"/>
  <c r="F20" i="21"/>
  <c r="AL18" i="21"/>
  <c r="AK18" i="21"/>
  <c r="AJ18" i="21"/>
  <c r="AI18" i="21"/>
  <c r="AH18" i="21"/>
  <c r="AG18" i="21"/>
  <c r="AF18" i="21"/>
  <c r="AE18" i="21"/>
  <c r="AD18" i="21"/>
  <c r="AC18" i="21"/>
  <c r="AB18" i="21"/>
  <c r="AA18" i="21"/>
  <c r="Z18" i="21"/>
  <c r="Y18" i="21"/>
  <c r="X18" i="21"/>
  <c r="W18" i="21"/>
  <c r="V18" i="21"/>
  <c r="U18" i="21"/>
  <c r="T18" i="21"/>
  <c r="S18" i="21"/>
  <c r="R18" i="21"/>
  <c r="Q18" i="21"/>
  <c r="P18" i="21"/>
  <c r="O18" i="21"/>
  <c r="N18" i="21"/>
  <c r="M18" i="21"/>
  <c r="L18" i="21"/>
  <c r="K18" i="21"/>
  <c r="J18" i="21"/>
  <c r="I18" i="21"/>
  <c r="H18" i="21"/>
  <c r="G18" i="21"/>
  <c r="F18" i="21"/>
  <c r="AL17" i="21"/>
  <c r="AK17" i="21"/>
  <c r="AJ17" i="21"/>
  <c r="AI17" i="21"/>
  <c r="AH17" i="21"/>
  <c r="AG17" i="21"/>
  <c r="AF17" i="21"/>
  <c r="AE17" i="21"/>
  <c r="AD17" i="21"/>
  <c r="AC17" i="21"/>
  <c r="AB17" i="21"/>
  <c r="AA17" i="21"/>
  <c r="Z17" i="21"/>
  <c r="Y17" i="21"/>
  <c r="X17" i="21"/>
  <c r="W17" i="21"/>
  <c r="V17" i="21"/>
  <c r="U17" i="21"/>
  <c r="T17" i="21"/>
  <c r="S17" i="21"/>
  <c r="R17" i="21"/>
  <c r="Q17" i="21"/>
  <c r="P17" i="21"/>
  <c r="O17" i="21"/>
  <c r="N17" i="21"/>
  <c r="M17" i="21"/>
  <c r="L17" i="21"/>
  <c r="K17" i="21"/>
  <c r="J17" i="21"/>
  <c r="I17" i="21"/>
  <c r="H17" i="21"/>
  <c r="G17" i="21"/>
  <c r="I5" i="21" l="1"/>
  <c r="F5" i="21"/>
  <c r="H1" i="20"/>
  <c r="I1" i="20"/>
  <c r="J1" i="20" s="1"/>
  <c r="K1" i="20" s="1"/>
  <c r="L1" i="20" s="1"/>
  <c r="M1" i="20" s="1"/>
  <c r="N1" i="20" s="1"/>
  <c r="O1" i="20" s="1"/>
  <c r="P1" i="20" s="1"/>
  <c r="Q1" i="20" s="1"/>
  <c r="R1" i="20" s="1"/>
  <c r="S1" i="20" s="1"/>
  <c r="T1" i="20" s="1"/>
  <c r="U1" i="20" s="1"/>
  <c r="V1" i="20" s="1"/>
  <c r="W1" i="20" s="1"/>
  <c r="X1" i="20" s="1"/>
  <c r="Y1" i="20" s="1"/>
  <c r="Z1" i="20" s="1"/>
  <c r="AA1" i="20" s="1"/>
  <c r="AB1" i="20" s="1"/>
  <c r="AC1" i="20" s="1"/>
  <c r="G1" i="20"/>
  <c r="F1" i="20"/>
  <c r="H2" i="21"/>
  <c r="I2" i="21"/>
  <c r="J2" i="21"/>
  <c r="K2" i="21"/>
  <c r="L2" i="21"/>
  <c r="M2" i="21"/>
  <c r="N2" i="21"/>
  <c r="O2" i="21"/>
  <c r="P2" i="21"/>
  <c r="Q2" i="21"/>
  <c r="R2" i="21"/>
  <c r="S2" i="21"/>
  <c r="T2" i="21"/>
  <c r="U2" i="21"/>
  <c r="V2" i="21"/>
  <c r="W2" i="21"/>
  <c r="X2" i="21"/>
  <c r="Y2" i="21"/>
  <c r="Z2" i="21"/>
  <c r="AA2" i="21"/>
  <c r="AB2" i="21"/>
  <c r="AC2" i="21"/>
  <c r="AD2" i="21"/>
  <c r="AE2" i="21"/>
  <c r="AF2" i="21"/>
  <c r="H3" i="21"/>
  <c r="I3" i="21"/>
  <c r="J3" i="21"/>
  <c r="K3" i="21"/>
  <c r="L3" i="21"/>
  <c r="M3" i="21"/>
  <c r="N3" i="21"/>
  <c r="O3" i="21"/>
  <c r="P3" i="21"/>
  <c r="Q3" i="21"/>
  <c r="R3" i="21"/>
  <c r="S3" i="21"/>
  <c r="T3" i="21"/>
  <c r="U3" i="21"/>
  <c r="V3" i="21"/>
  <c r="W3" i="21"/>
  <c r="X3" i="21"/>
  <c r="Y3" i="21"/>
  <c r="Z3" i="21"/>
  <c r="AA3" i="21"/>
  <c r="AB3" i="21"/>
  <c r="AC3" i="21"/>
  <c r="AD3" i="21"/>
  <c r="AE3" i="21"/>
  <c r="AF3" i="21"/>
  <c r="H4" i="21"/>
  <c r="I4" i="21"/>
  <c r="J4" i="21"/>
  <c r="K4" i="21"/>
  <c r="L4" i="21"/>
  <c r="M4" i="21"/>
  <c r="N4" i="21"/>
  <c r="O4" i="21"/>
  <c r="P4" i="21"/>
  <c r="Q4" i="21"/>
  <c r="R4" i="21"/>
  <c r="S4" i="21"/>
  <c r="T4" i="21"/>
  <c r="U4" i="21"/>
  <c r="V4" i="21"/>
  <c r="W4" i="21"/>
  <c r="X4" i="21"/>
  <c r="Y4" i="21"/>
  <c r="Z4" i="21"/>
  <c r="AA4" i="21"/>
  <c r="AB4" i="21"/>
  <c r="AC4" i="21"/>
  <c r="AD4" i="21"/>
  <c r="AE4" i="21"/>
  <c r="AF4" i="21"/>
  <c r="G2" i="21"/>
  <c r="G3" i="21"/>
  <c r="G4" i="21"/>
  <c r="F3" i="21"/>
  <c r="F4" i="21"/>
  <c r="F6" i="21"/>
  <c r="F7" i="21"/>
  <c r="F8" i="21"/>
  <c r="F9" i="21"/>
  <c r="F10" i="21"/>
  <c r="F11" i="21"/>
  <c r="F12" i="21"/>
  <c r="F13" i="21"/>
  <c r="F14" i="21"/>
  <c r="G2" i="16"/>
  <c r="H2" i="16" s="1"/>
  <c r="I2" i="16" s="1"/>
  <c r="J2" i="16" s="1"/>
  <c r="K2" i="16" s="1"/>
  <c r="L2" i="16" s="1"/>
  <c r="M2" i="16" s="1"/>
  <c r="N2" i="16" s="1"/>
  <c r="O2" i="16" s="1"/>
  <c r="P2" i="16" s="1"/>
  <c r="Q2" i="16" s="1"/>
  <c r="R2" i="16" s="1"/>
  <c r="S2" i="16" s="1"/>
  <c r="T2" i="16" s="1"/>
  <c r="U2" i="16" s="1"/>
  <c r="V2" i="16" s="1"/>
  <c r="W2" i="16" s="1"/>
  <c r="X2" i="16" s="1"/>
  <c r="Y2" i="16" s="1"/>
  <c r="Z2" i="16" s="1"/>
  <c r="AA2" i="16" s="1"/>
  <c r="AB2" i="16" s="1"/>
  <c r="AC2" i="16" s="1"/>
  <c r="AD2" i="16" s="1"/>
  <c r="AE2" i="16" s="1"/>
  <c r="F2" i="16"/>
  <c r="J13" i="21" l="1"/>
  <c r="K13" i="21"/>
  <c r="L13" i="21"/>
  <c r="M13" i="21"/>
  <c r="N13" i="21"/>
  <c r="O13" i="21"/>
  <c r="P13" i="21"/>
  <c r="Q13" i="21"/>
  <c r="R13" i="21"/>
  <c r="S13" i="21"/>
  <c r="T13" i="21"/>
  <c r="U13" i="21"/>
  <c r="V13" i="21"/>
  <c r="W13" i="21"/>
  <c r="X13" i="21"/>
  <c r="Y13" i="21"/>
  <c r="Z13" i="21"/>
  <c r="AA13" i="21"/>
  <c r="AB13" i="21"/>
  <c r="AC13" i="21"/>
  <c r="AD13" i="21"/>
  <c r="AE13" i="21"/>
  <c r="AF13" i="21"/>
  <c r="I13" i="21"/>
  <c r="J12" i="21"/>
  <c r="K12" i="21"/>
  <c r="L12" i="21"/>
  <c r="M12" i="21"/>
  <c r="N12" i="21"/>
  <c r="O12" i="21"/>
  <c r="P12" i="21"/>
  <c r="Q12" i="21"/>
  <c r="R12" i="21"/>
  <c r="S12" i="21"/>
  <c r="T12" i="21"/>
  <c r="U12" i="21"/>
  <c r="V12" i="21"/>
  <c r="W12" i="21"/>
  <c r="X12" i="21"/>
  <c r="Y12" i="21"/>
  <c r="Z12" i="21"/>
  <c r="AA12" i="21"/>
  <c r="AB12" i="21"/>
  <c r="AC12" i="21"/>
  <c r="AD12" i="21"/>
  <c r="AE12" i="21"/>
  <c r="AF12" i="21"/>
  <c r="I12" i="21"/>
  <c r="J11" i="21"/>
  <c r="K11" i="21"/>
  <c r="L11" i="21"/>
  <c r="M11" i="21"/>
  <c r="N11" i="21"/>
  <c r="O11" i="21"/>
  <c r="P11" i="21"/>
  <c r="Q11" i="21"/>
  <c r="R11" i="21"/>
  <c r="S11" i="21"/>
  <c r="T11" i="21"/>
  <c r="U11" i="21"/>
  <c r="V11" i="21"/>
  <c r="W11" i="21"/>
  <c r="X11" i="21"/>
  <c r="Y11" i="21"/>
  <c r="Z11" i="21"/>
  <c r="AA11" i="21"/>
  <c r="AB11" i="21"/>
  <c r="AC11" i="21"/>
  <c r="AD11" i="21"/>
  <c r="AE11" i="21"/>
  <c r="AF11" i="21"/>
  <c r="I11" i="21"/>
  <c r="J10" i="21"/>
  <c r="K10" i="21"/>
  <c r="L10" i="21"/>
  <c r="M10" i="21"/>
  <c r="N10" i="21"/>
  <c r="O10" i="21"/>
  <c r="P10" i="21"/>
  <c r="Q10" i="21"/>
  <c r="R10" i="21"/>
  <c r="S10" i="21"/>
  <c r="T10" i="21"/>
  <c r="U10" i="21"/>
  <c r="V10" i="21"/>
  <c r="W10" i="21"/>
  <c r="X10" i="21"/>
  <c r="Y10" i="21"/>
  <c r="Z10" i="21"/>
  <c r="AA10" i="21"/>
  <c r="AB10" i="21"/>
  <c r="AC10" i="21"/>
  <c r="AD10" i="21"/>
  <c r="AE10" i="21"/>
  <c r="AF10" i="21"/>
  <c r="I10" i="21"/>
  <c r="I9" i="21"/>
  <c r="J9" i="21"/>
  <c r="K9" i="21"/>
  <c r="L9" i="21"/>
  <c r="M9" i="21"/>
  <c r="N9" i="21"/>
  <c r="O9" i="21"/>
  <c r="P9" i="21"/>
  <c r="Q9" i="21"/>
  <c r="R9" i="21"/>
  <c r="S9" i="21"/>
  <c r="T9" i="21"/>
  <c r="U9" i="21"/>
  <c r="V9" i="21"/>
  <c r="W9" i="21"/>
  <c r="X9" i="21"/>
  <c r="Y9" i="21"/>
  <c r="Z9" i="21"/>
  <c r="AA9" i="21"/>
  <c r="AB9" i="21"/>
  <c r="AC9" i="21"/>
  <c r="AD9" i="21"/>
  <c r="AE9" i="21"/>
  <c r="AF9" i="21"/>
  <c r="AB6" i="21"/>
  <c r="AC6" i="21"/>
  <c r="AD6" i="21"/>
  <c r="AE6" i="21"/>
  <c r="AF6" i="21"/>
  <c r="P6" i="21"/>
  <c r="Q6" i="21"/>
  <c r="R6" i="21"/>
  <c r="S6" i="21"/>
  <c r="T6" i="21"/>
  <c r="U6" i="21"/>
  <c r="V6" i="21"/>
  <c r="W6" i="21"/>
  <c r="X6" i="21"/>
  <c r="Y6" i="21"/>
  <c r="Z6" i="21"/>
  <c r="AA6" i="21"/>
  <c r="O6" i="21"/>
  <c r="J5" i="21"/>
  <c r="K5" i="21"/>
  <c r="L5" i="21"/>
  <c r="M5" i="21"/>
  <c r="N5" i="21"/>
  <c r="O5" i="21"/>
  <c r="P5" i="21"/>
  <c r="Q5" i="21"/>
  <c r="R5" i="21"/>
  <c r="S5" i="21"/>
  <c r="T5" i="21"/>
  <c r="U5" i="21"/>
  <c r="V5" i="21"/>
  <c r="W5" i="21"/>
  <c r="X5" i="21"/>
  <c r="Y5" i="21"/>
  <c r="Z5" i="21"/>
  <c r="AA5" i="21"/>
  <c r="AB5" i="21"/>
  <c r="AC5" i="21"/>
  <c r="AD5" i="21"/>
  <c r="AE5" i="21"/>
  <c r="AF5" i="21"/>
  <c r="J8" i="21"/>
  <c r="K8" i="21"/>
  <c r="L8" i="21"/>
  <c r="M8" i="21"/>
  <c r="N8" i="21"/>
  <c r="O8" i="21"/>
  <c r="P8" i="21"/>
  <c r="Q8" i="21"/>
  <c r="R8" i="21"/>
  <c r="S8" i="21"/>
  <c r="T8" i="21"/>
  <c r="U8" i="21"/>
  <c r="V8" i="21"/>
  <c r="W8" i="21"/>
  <c r="X8" i="21"/>
  <c r="Y8" i="21"/>
  <c r="Z8" i="21"/>
  <c r="AA8" i="21"/>
  <c r="AB8" i="21"/>
  <c r="AC8" i="21"/>
  <c r="AD8" i="21"/>
  <c r="AE8" i="21"/>
  <c r="AF8" i="21"/>
  <c r="I8" i="21"/>
  <c r="K7" i="21"/>
  <c r="L7" i="21"/>
  <c r="M7" i="21"/>
  <c r="Q7" i="21"/>
  <c r="R7" i="21"/>
  <c r="S7" i="21"/>
  <c r="T7" i="21"/>
  <c r="U7" i="21"/>
  <c r="V7" i="21"/>
  <c r="W7" i="21"/>
  <c r="X7" i="21"/>
  <c r="Y7" i="21"/>
  <c r="Z7" i="21"/>
  <c r="AA7" i="21"/>
  <c r="AB7" i="21"/>
  <c r="AC7" i="21"/>
  <c r="AD7" i="21"/>
  <c r="AE7" i="21"/>
  <c r="AF7" i="21"/>
  <c r="I146" i="14" l="1"/>
  <c r="H146" i="14"/>
  <c r="J41" i="3"/>
  <c r="AC46" i="20"/>
  <c r="AC48" i="20" s="1"/>
  <c r="AC31" i="20"/>
  <c r="AB46" i="20"/>
  <c r="AB48" i="20" s="1"/>
  <c r="AC43" i="20"/>
  <c r="AB43" i="20"/>
  <c r="AB31" i="20"/>
  <c r="AA46" i="20"/>
  <c r="AA31" i="20"/>
  <c r="Z46" i="20"/>
  <c r="Z48" i="20" s="1"/>
  <c r="Z31" i="20"/>
  <c r="Z36" i="20" s="1"/>
  <c r="Y46" i="20"/>
  <c r="Y31" i="20"/>
  <c r="Y36" i="20" s="1"/>
  <c r="X46" i="20"/>
  <c r="X48" i="20" s="1"/>
  <c r="X31" i="20"/>
  <c r="W31" i="20"/>
  <c r="W46" i="20"/>
  <c r="W48" i="20" s="1"/>
  <c r="V46" i="20"/>
  <c r="V48" i="20" s="1"/>
  <c r="V31" i="20"/>
  <c r="V19" i="20"/>
  <c r="W19" i="20"/>
  <c r="W21" i="20" s="1"/>
  <c r="X19" i="20"/>
  <c r="X21" i="20" s="1"/>
  <c r="Y19" i="20"/>
  <c r="Y21" i="20" s="1"/>
  <c r="Z19" i="20"/>
  <c r="Z21" i="20" s="1"/>
  <c r="AA19" i="20"/>
  <c r="AA21" i="20" s="1"/>
  <c r="AB19" i="20"/>
  <c r="AB21" i="20" s="1"/>
  <c r="AC19" i="20"/>
  <c r="AC21" i="20" s="1"/>
  <c r="Y48" i="20"/>
  <c r="AA48" i="20"/>
  <c r="U46" i="20"/>
  <c r="U48" i="20" s="1"/>
  <c r="V43" i="20"/>
  <c r="W43" i="20"/>
  <c r="X43" i="20"/>
  <c r="Y43" i="20"/>
  <c r="Z43" i="20"/>
  <c r="AA43" i="20"/>
  <c r="U43" i="20"/>
  <c r="U31" i="20"/>
  <c r="U36" i="20" s="1"/>
  <c r="V36" i="20"/>
  <c r="V44" i="20" s="1"/>
  <c r="W36" i="20"/>
  <c r="X36" i="20"/>
  <c r="AA36" i="20"/>
  <c r="AB36" i="20"/>
  <c r="AC36" i="20"/>
  <c r="V16" i="20"/>
  <c r="W16" i="20"/>
  <c r="X16" i="20"/>
  <c r="Y16" i="20"/>
  <c r="Z16" i="20"/>
  <c r="AA16" i="20"/>
  <c r="AB16" i="20"/>
  <c r="AC16" i="20"/>
  <c r="V10" i="20"/>
  <c r="W10" i="20"/>
  <c r="X10" i="20"/>
  <c r="Y10" i="20"/>
  <c r="Z10" i="20"/>
  <c r="AA10" i="20"/>
  <c r="AB10" i="20"/>
  <c r="AC10" i="20"/>
  <c r="V21" i="20"/>
  <c r="W24" i="20"/>
  <c r="X24" i="20"/>
  <c r="Y24" i="20"/>
  <c r="Z24" i="20"/>
  <c r="AA24" i="20"/>
  <c r="AB24" i="20"/>
  <c r="AC24" i="20"/>
  <c r="U24" i="20"/>
  <c r="U19" i="20"/>
  <c r="U21" i="20" s="1"/>
  <c r="P11" i="20"/>
  <c r="P16" i="20" s="1"/>
  <c r="Q11" i="20"/>
  <c r="Q16" i="20" s="1"/>
  <c r="R11" i="20"/>
  <c r="R16" i="20" s="1"/>
  <c r="S11" i="20"/>
  <c r="S16" i="20" s="1"/>
  <c r="U16" i="20"/>
  <c r="T11" i="20"/>
  <c r="U10" i="20"/>
  <c r="T46" i="20"/>
  <c r="T48" i="20" s="1"/>
  <c r="T43" i="20"/>
  <c r="T31" i="20"/>
  <c r="T36" i="20" s="1"/>
  <c r="T24" i="20"/>
  <c r="T19" i="20"/>
  <c r="T21" i="20" s="1"/>
  <c r="T16" i="20"/>
  <c r="T10" i="20"/>
  <c r="S46" i="20"/>
  <c r="S48" i="20" s="1"/>
  <c r="S43" i="20"/>
  <c r="S31" i="20"/>
  <c r="S36" i="20" s="1"/>
  <c r="S19" i="20"/>
  <c r="S21" i="20" s="1"/>
  <c r="S24" i="20"/>
  <c r="S10" i="20"/>
  <c r="R46" i="20"/>
  <c r="R48" i="20" s="1"/>
  <c r="R43" i="20"/>
  <c r="R31" i="20"/>
  <c r="R36" i="20" s="1"/>
  <c r="R24" i="20"/>
  <c r="R19" i="20"/>
  <c r="R21" i="20" s="1"/>
  <c r="R10" i="20"/>
  <c r="J115" i="17"/>
  <c r="I134" i="14"/>
  <c r="H134" i="14"/>
  <c r="D23" i="5"/>
  <c r="D22" i="5"/>
  <c r="D21" i="5"/>
  <c r="D19" i="5"/>
  <c r="Q46" i="20"/>
  <c r="Q48" i="20" s="1"/>
  <c r="P46" i="20"/>
  <c r="P48" i="20" s="1"/>
  <c r="Q43" i="20"/>
  <c r="P43" i="20"/>
  <c r="Q31" i="20"/>
  <c r="Q36" i="20" s="1"/>
  <c r="P31" i="20"/>
  <c r="P36" i="20" s="1"/>
  <c r="Q19" i="20"/>
  <c r="Q21" i="20" s="1"/>
  <c r="P19" i="20"/>
  <c r="P21" i="20" s="1"/>
  <c r="Q24" i="20"/>
  <c r="P24" i="20"/>
  <c r="Q10" i="20"/>
  <c r="P10" i="20"/>
  <c r="M48" i="20"/>
  <c r="L48" i="20"/>
  <c r="K48" i="20"/>
  <c r="M43" i="20"/>
  <c r="L43" i="20"/>
  <c r="K43" i="20"/>
  <c r="L36" i="20"/>
  <c r="M36" i="20"/>
  <c r="K36" i="20"/>
  <c r="G48" i="20"/>
  <c r="F48" i="20"/>
  <c r="G38" i="20"/>
  <c r="F38" i="20"/>
  <c r="G43" i="20"/>
  <c r="F43" i="20"/>
  <c r="G36" i="20"/>
  <c r="F36" i="20"/>
  <c r="M19" i="20"/>
  <c r="M21" i="20" s="1"/>
  <c r="L19" i="20"/>
  <c r="L21" i="20" s="1"/>
  <c r="K19" i="20"/>
  <c r="K21" i="20" s="1"/>
  <c r="M16" i="20"/>
  <c r="L16" i="20"/>
  <c r="K16" i="20"/>
  <c r="M10" i="20"/>
  <c r="P7" i="21" s="1"/>
  <c r="L10" i="20"/>
  <c r="O7" i="21" s="1"/>
  <c r="K10" i="20"/>
  <c r="N7" i="21" s="1"/>
  <c r="F10" i="20"/>
  <c r="I7" i="21" s="1"/>
  <c r="G16" i="20"/>
  <c r="F16" i="20"/>
  <c r="G19" i="20"/>
  <c r="G21" i="20" s="1"/>
  <c r="F19" i="20"/>
  <c r="F21" i="20" s="1"/>
  <c r="G10" i="20"/>
  <c r="J7" i="21" s="1"/>
  <c r="Q44" i="20" l="1"/>
  <c r="Q50" i="20" s="1"/>
  <c r="S26" i="20"/>
  <c r="U26" i="20"/>
  <c r="S44" i="20"/>
  <c r="S50" i="20" s="1"/>
  <c r="T44" i="20"/>
  <c r="R44" i="20"/>
  <c r="R50" i="20" s="1"/>
  <c r="U44" i="20"/>
  <c r="U50" i="20" s="1"/>
  <c r="P44" i="20"/>
  <c r="P50" i="20" s="1"/>
  <c r="T50" i="20"/>
  <c r="Z44" i="20"/>
  <c r="Z50" i="20" s="1"/>
  <c r="Y44" i="20"/>
  <c r="Y50" i="20" s="1"/>
  <c r="X44" i="20"/>
  <c r="X50" i="20" s="1"/>
  <c r="W44" i="20"/>
  <c r="W50" i="20" s="1"/>
  <c r="V50" i="20"/>
  <c r="AC44" i="20"/>
  <c r="AC50" i="20" s="1"/>
  <c r="AA26" i="20"/>
  <c r="Y26" i="20"/>
  <c r="AA44" i="20"/>
  <c r="AA50" i="20" s="1"/>
  <c r="AB44" i="20"/>
  <c r="AB50" i="20" s="1"/>
  <c r="Z26" i="20"/>
  <c r="V26" i="20"/>
  <c r="W26" i="20"/>
  <c r="X26" i="20"/>
  <c r="AC26" i="20"/>
  <c r="AB26" i="20"/>
  <c r="P26" i="20"/>
  <c r="R26" i="20"/>
  <c r="T26" i="20"/>
  <c r="Q26" i="20"/>
  <c r="L44" i="20"/>
  <c r="L50" i="20" s="1"/>
  <c r="M44" i="20"/>
  <c r="M50" i="20" s="1"/>
  <c r="K44" i="20"/>
  <c r="K50" i="20" s="1"/>
  <c r="G44" i="20"/>
  <c r="G50" i="20" s="1"/>
  <c r="F44" i="20"/>
  <c r="F50" i="20" s="1"/>
  <c r="K26" i="20"/>
  <c r="M26" i="20"/>
  <c r="L26" i="20"/>
  <c r="G26" i="20"/>
  <c r="F26" i="20"/>
  <c r="J87" i="2"/>
  <c r="J88" i="2" s="1"/>
  <c r="J89" i="2" s="1"/>
  <c r="J90" i="2" s="1"/>
  <c r="J91" i="2" s="1"/>
  <c r="J92" i="2" s="1"/>
  <c r="J93" i="2" s="1"/>
  <c r="J94" i="2" s="1"/>
  <c r="J95" i="2" s="1"/>
  <c r="J96" i="2" s="1"/>
  <c r="J97" i="2" s="1"/>
  <c r="J98" i="2" s="1"/>
  <c r="J99" i="2" s="1"/>
  <c r="J100" i="2" s="1"/>
  <c r="J101" i="2" s="1"/>
  <c r="J102" i="2" s="1"/>
  <c r="J103" i="2" s="1"/>
  <c r="J104" i="2" s="1"/>
  <c r="J105" i="2" s="1"/>
  <c r="J106" i="2" s="1"/>
  <c r="J107" i="2" s="1"/>
  <c r="J108" i="2" s="1"/>
  <c r="J109" i="2" s="1"/>
  <c r="J110" i="2" s="1"/>
  <c r="J111" i="2" s="1"/>
  <c r="J112" i="2" s="1"/>
  <c r="J113" i="2" s="1"/>
  <c r="J114" i="2" s="1"/>
  <c r="J115" i="2" s="1"/>
  <c r="J116" i="2" s="1"/>
  <c r="J117" i="2" s="1"/>
  <c r="J57" i="2"/>
  <c r="J58" i="2" s="1"/>
  <c r="J59" i="2" s="1"/>
  <c r="J60" i="2" s="1"/>
  <c r="J61" i="2" s="1"/>
  <c r="J62" i="2" s="1"/>
  <c r="J63" i="2" s="1"/>
  <c r="J64" i="2" s="1"/>
  <c r="J65" i="2" s="1"/>
  <c r="J66" i="2" s="1"/>
  <c r="J67" i="2" s="1"/>
  <c r="J68" i="2" s="1"/>
  <c r="J69" i="2" s="1"/>
  <c r="J70" i="2" s="1"/>
  <c r="J71" i="2" s="1"/>
  <c r="J72" i="2" s="1"/>
  <c r="J73" i="2" s="1"/>
  <c r="J74" i="2" s="1"/>
  <c r="J75" i="2" s="1"/>
  <c r="J76" i="2" s="1"/>
  <c r="J77" i="2" s="1"/>
  <c r="J54" i="2"/>
  <c r="J55" i="2" s="1"/>
  <c r="J56" i="2" s="1"/>
  <c r="J78" i="2" l="1"/>
  <c r="J79" i="2" s="1"/>
  <c r="J80" i="2" s="1"/>
  <c r="J81" i="2" s="1"/>
  <c r="J82" i="2" s="1"/>
  <c r="J83" i="2" s="1"/>
  <c r="J84" i="2" s="1"/>
  <c r="J85" i="2" s="1"/>
  <c r="J86" i="2" s="1"/>
  <c r="J104" i="17"/>
  <c r="L113" i="14"/>
  <c r="L114" i="14"/>
  <c r="L115" i="14"/>
  <c r="L116" i="14"/>
  <c r="L117" i="14"/>
  <c r="L118" i="14"/>
  <c r="L119" i="14"/>
  <c r="L120" i="14"/>
  <c r="L121" i="14"/>
  <c r="L112" i="14"/>
  <c r="H121" i="14"/>
  <c r="K121" i="14" s="1"/>
  <c r="H120" i="14"/>
  <c r="K120" i="14" s="1"/>
  <c r="H119" i="14"/>
  <c r="K119" i="14" s="1"/>
  <c r="H118" i="14"/>
  <c r="K118" i="14" s="1"/>
  <c r="H117" i="14"/>
  <c r="K117" i="14" s="1"/>
  <c r="H116" i="14"/>
  <c r="K116" i="14" s="1"/>
  <c r="H115" i="14"/>
  <c r="K115" i="14" s="1"/>
  <c r="H114" i="14"/>
  <c r="K114" i="14" s="1"/>
  <c r="H113" i="14"/>
  <c r="K113" i="14" s="1"/>
  <c r="H112" i="14"/>
  <c r="K112" i="14" s="1"/>
  <c r="I122" i="14"/>
  <c r="L122" i="14" s="1"/>
  <c r="L102" i="14"/>
  <c r="L103" i="14"/>
  <c r="L104" i="14"/>
  <c r="L105" i="14"/>
  <c r="L106" i="14"/>
  <c r="L107" i="14"/>
  <c r="L108" i="14"/>
  <c r="L109" i="14"/>
  <c r="L110" i="14"/>
  <c r="L101" i="14"/>
  <c r="I111" i="14"/>
  <c r="L111" i="14" s="1"/>
  <c r="H110" i="14"/>
  <c r="K110" i="14" s="1"/>
  <c r="H109" i="14"/>
  <c r="K109" i="14" s="1"/>
  <c r="H108" i="14"/>
  <c r="K108" i="14" s="1"/>
  <c r="H107" i="14"/>
  <c r="K107" i="14" s="1"/>
  <c r="H106" i="14"/>
  <c r="K106" i="14" s="1"/>
  <c r="H105" i="14"/>
  <c r="K105" i="14" s="1"/>
  <c r="H104" i="14"/>
  <c r="K104" i="14" s="1"/>
  <c r="H103" i="14"/>
  <c r="K103" i="14" s="1"/>
  <c r="H102" i="14"/>
  <c r="K102" i="14" s="1"/>
  <c r="H101" i="14"/>
  <c r="L91" i="14"/>
  <c r="L92" i="14"/>
  <c r="L93" i="14"/>
  <c r="L94" i="14"/>
  <c r="L95" i="14"/>
  <c r="L96" i="14"/>
  <c r="L97" i="14"/>
  <c r="L98" i="14"/>
  <c r="L99" i="14"/>
  <c r="L90" i="14"/>
  <c r="H99" i="14"/>
  <c r="K99" i="14" s="1"/>
  <c r="H98" i="14"/>
  <c r="K98" i="14" s="1"/>
  <c r="H97" i="14"/>
  <c r="K97" i="14" s="1"/>
  <c r="H96" i="14"/>
  <c r="K96" i="14" s="1"/>
  <c r="H95" i="14"/>
  <c r="K95" i="14" s="1"/>
  <c r="H94" i="14"/>
  <c r="K94" i="14" s="1"/>
  <c r="H93" i="14"/>
  <c r="K93" i="14" s="1"/>
  <c r="H92" i="14"/>
  <c r="K92" i="14" s="1"/>
  <c r="H91" i="14"/>
  <c r="K91" i="14" s="1"/>
  <c r="H90" i="14"/>
  <c r="K90" i="14" s="1"/>
  <c r="I100" i="14"/>
  <c r="L100" i="14" s="1"/>
  <c r="L80" i="14"/>
  <c r="L81" i="14"/>
  <c r="L82" i="14"/>
  <c r="L83" i="14"/>
  <c r="L84" i="14"/>
  <c r="L85" i="14"/>
  <c r="L86" i="14"/>
  <c r="L87" i="14"/>
  <c r="L88" i="14"/>
  <c r="L79" i="14"/>
  <c r="H88" i="14"/>
  <c r="K88" i="14" s="1"/>
  <c r="H87" i="14"/>
  <c r="K87" i="14" s="1"/>
  <c r="H86" i="14"/>
  <c r="K86" i="14" s="1"/>
  <c r="H85" i="14"/>
  <c r="K85" i="14" s="1"/>
  <c r="H84" i="14"/>
  <c r="K84" i="14" s="1"/>
  <c r="H83" i="14"/>
  <c r="K83" i="14" s="1"/>
  <c r="H82" i="14"/>
  <c r="K82" i="14" s="1"/>
  <c r="H81" i="14"/>
  <c r="K81" i="14" s="1"/>
  <c r="H80" i="14"/>
  <c r="K80" i="14" s="1"/>
  <c r="H79" i="14"/>
  <c r="K79" i="14" s="1"/>
  <c r="I89" i="14"/>
  <c r="L89" i="14" s="1"/>
  <c r="L69" i="14"/>
  <c r="L70" i="14"/>
  <c r="L71" i="14"/>
  <c r="L72" i="14"/>
  <c r="L73" i="14"/>
  <c r="L74" i="14"/>
  <c r="L75" i="14"/>
  <c r="L76" i="14"/>
  <c r="L77" i="14"/>
  <c r="L68" i="14"/>
  <c r="H77" i="14"/>
  <c r="K77" i="14" s="1"/>
  <c r="H76" i="14"/>
  <c r="K76" i="14" s="1"/>
  <c r="H75" i="14"/>
  <c r="K75" i="14" s="1"/>
  <c r="H74" i="14"/>
  <c r="K74" i="14" s="1"/>
  <c r="H73" i="14"/>
  <c r="K73" i="14" s="1"/>
  <c r="H72" i="14"/>
  <c r="K72" i="14" s="1"/>
  <c r="H71" i="14"/>
  <c r="K71" i="14" s="1"/>
  <c r="H70" i="14"/>
  <c r="K70" i="14" s="1"/>
  <c r="H69" i="14"/>
  <c r="K69" i="14" s="1"/>
  <c r="H68" i="14"/>
  <c r="K68" i="14" s="1"/>
  <c r="I78" i="14"/>
  <c r="L78" i="14" s="1"/>
  <c r="J28" i="3"/>
  <c r="AD35" i="16"/>
  <c r="AD42" i="16"/>
  <c r="AE35" i="16"/>
  <c r="AE42" i="16" s="1"/>
  <c r="W35" i="16"/>
  <c r="J94" i="17"/>
  <c r="J83" i="17"/>
  <c r="L58" i="14"/>
  <c r="L59" i="14"/>
  <c r="L60" i="14"/>
  <c r="L61" i="14"/>
  <c r="L62" i="14"/>
  <c r="L63" i="14"/>
  <c r="L64" i="14"/>
  <c r="L65" i="14"/>
  <c r="L66" i="14"/>
  <c r="L57" i="14"/>
  <c r="H66" i="14"/>
  <c r="K66" i="14" s="1"/>
  <c r="H65" i="14"/>
  <c r="K65" i="14" s="1"/>
  <c r="H64" i="14"/>
  <c r="K64" i="14" s="1"/>
  <c r="H63" i="14"/>
  <c r="K63" i="14" s="1"/>
  <c r="H62" i="14"/>
  <c r="K62" i="14" s="1"/>
  <c r="H61" i="14"/>
  <c r="K61" i="14" s="1"/>
  <c r="H60" i="14"/>
  <c r="K60" i="14" s="1"/>
  <c r="H59" i="14"/>
  <c r="K59" i="14" s="1"/>
  <c r="H58" i="14"/>
  <c r="K58" i="14" s="1"/>
  <c r="H57" i="14"/>
  <c r="I67" i="14"/>
  <c r="L67" i="14" s="1"/>
  <c r="L47" i="14"/>
  <c r="L48" i="14"/>
  <c r="L49" i="14"/>
  <c r="L50" i="14"/>
  <c r="L51" i="14"/>
  <c r="L52" i="14"/>
  <c r="L53" i="14"/>
  <c r="L54" i="14"/>
  <c r="L55" i="14"/>
  <c r="L46" i="14"/>
  <c r="K47" i="14"/>
  <c r="K48" i="14"/>
  <c r="K49" i="14"/>
  <c r="K50" i="14"/>
  <c r="K51" i="14"/>
  <c r="K52" i="14"/>
  <c r="K53" i="14"/>
  <c r="K54" i="14"/>
  <c r="K55" i="14"/>
  <c r="K46" i="14"/>
  <c r="I56" i="14"/>
  <c r="L56" i="14" s="1"/>
  <c r="H56" i="14"/>
  <c r="K56" i="14" s="1"/>
  <c r="I386" i="12"/>
  <c r="I385" i="12"/>
  <c r="I384" i="12"/>
  <c r="I383" i="12"/>
  <c r="I382" i="12"/>
  <c r="I381" i="12"/>
  <c r="I380" i="12"/>
  <c r="I379" i="12"/>
  <c r="I378" i="12"/>
  <c r="I377" i="12"/>
  <c r="I376" i="12"/>
  <c r="I375" i="12"/>
  <c r="I374" i="12"/>
  <c r="I373" i="12"/>
  <c r="I372" i="12"/>
  <c r="I371" i="12"/>
  <c r="I370" i="12"/>
  <c r="I369" i="12"/>
  <c r="I368" i="12"/>
  <c r="I367" i="12"/>
  <c r="I366" i="12"/>
  <c r="I365" i="12"/>
  <c r="I364" i="12"/>
  <c r="I363" i="12"/>
  <c r="I362" i="12"/>
  <c r="I361" i="12"/>
  <c r="I360" i="12"/>
  <c r="I359" i="12"/>
  <c r="I358" i="12"/>
  <c r="I357" i="12"/>
  <c r="I356" i="12"/>
  <c r="I355" i="12"/>
  <c r="I354" i="12"/>
  <c r="I353" i="12"/>
  <c r="I352" i="12"/>
  <c r="I351" i="12"/>
  <c r="I350" i="12"/>
  <c r="I349" i="12"/>
  <c r="I348" i="12"/>
  <c r="I347" i="12"/>
  <c r="I346" i="12"/>
  <c r="I345" i="12"/>
  <c r="I344" i="12"/>
  <c r="I343" i="12"/>
  <c r="I342" i="12"/>
  <c r="I341" i="12"/>
  <c r="I340" i="12"/>
  <c r="I339" i="12"/>
  <c r="I338" i="12"/>
  <c r="I337" i="12"/>
  <c r="I336" i="12"/>
  <c r="I335" i="12"/>
  <c r="I334" i="12"/>
  <c r="I333" i="12"/>
  <c r="I332" i="12"/>
  <c r="I331" i="12"/>
  <c r="I330" i="12"/>
  <c r="I329" i="12"/>
  <c r="I328" i="12"/>
  <c r="I327" i="12"/>
  <c r="I326" i="12"/>
  <c r="I325" i="12"/>
  <c r="I324" i="12"/>
  <c r="I323" i="12"/>
  <c r="I322" i="12"/>
  <c r="I321" i="12"/>
  <c r="I320" i="12"/>
  <c r="I319" i="12"/>
  <c r="I318" i="12"/>
  <c r="I317" i="12"/>
  <c r="I316" i="12"/>
  <c r="I315" i="12"/>
  <c r="I314" i="12"/>
  <c r="I313" i="12"/>
  <c r="I312" i="12"/>
  <c r="I311" i="12"/>
  <c r="I310" i="12"/>
  <c r="I309" i="12"/>
  <c r="F23" i="13"/>
  <c r="E23" i="13"/>
  <c r="I228" i="12"/>
  <c r="I220" i="12"/>
  <c r="I196" i="12"/>
  <c r="I192" i="12"/>
  <c r="I191" i="12"/>
  <c r="I190" i="12"/>
  <c r="I189" i="12"/>
  <c r="I193" i="12"/>
  <c r="I194" i="12"/>
  <c r="J73" i="17"/>
  <c r="J68" i="17"/>
  <c r="J71" i="17"/>
  <c r="J57" i="17"/>
  <c r="K36" i="14"/>
  <c r="L36" i="14"/>
  <c r="K37" i="14"/>
  <c r="L37" i="14"/>
  <c r="K38" i="14"/>
  <c r="L38" i="14"/>
  <c r="K39" i="14"/>
  <c r="L39" i="14"/>
  <c r="K40" i="14"/>
  <c r="L40" i="14"/>
  <c r="K41" i="14"/>
  <c r="L41" i="14"/>
  <c r="K42" i="14"/>
  <c r="L42" i="14"/>
  <c r="K43" i="14"/>
  <c r="L43" i="14"/>
  <c r="K44" i="14"/>
  <c r="L44" i="14"/>
  <c r="L35" i="14"/>
  <c r="K35" i="14"/>
  <c r="I45" i="14"/>
  <c r="L45" i="14" s="1"/>
  <c r="H45" i="14"/>
  <c r="K45" i="14" s="1"/>
  <c r="J275"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J237" i="12"/>
  <c r="I237" i="12" s="1"/>
  <c r="F22" i="13"/>
  <c r="F21" i="13"/>
  <c r="F20" i="13"/>
  <c r="F19" i="13"/>
  <c r="F18" i="13"/>
  <c r="F17" i="13"/>
  <c r="F16" i="13"/>
  <c r="I195" i="12"/>
  <c r="V42" i="16"/>
  <c r="W42" i="16"/>
  <c r="X42" i="16"/>
  <c r="Y42" i="16"/>
  <c r="Z42" i="16"/>
  <c r="AA42" i="16"/>
  <c r="AB42" i="16"/>
  <c r="AC42" i="16"/>
  <c r="I13" i="3"/>
  <c r="J15" i="3"/>
  <c r="J55" i="17"/>
  <c r="J52" i="17"/>
  <c r="J41" i="17"/>
  <c r="K25" i="14"/>
  <c r="L25" i="14"/>
  <c r="K26" i="14"/>
  <c r="L26" i="14"/>
  <c r="K27" i="14"/>
  <c r="L27" i="14"/>
  <c r="K28" i="14"/>
  <c r="L28" i="14"/>
  <c r="K29" i="14"/>
  <c r="L29" i="14"/>
  <c r="K30" i="14"/>
  <c r="L30" i="14"/>
  <c r="K31" i="14"/>
  <c r="L31" i="14"/>
  <c r="K32" i="14"/>
  <c r="L32" i="14"/>
  <c r="K33" i="14"/>
  <c r="L33" i="14"/>
  <c r="L24" i="14"/>
  <c r="K24" i="14"/>
  <c r="I34" i="14"/>
  <c r="L34" i="14" s="1"/>
  <c r="H34" i="14"/>
  <c r="K34" i="14" s="1"/>
  <c r="L14" i="14"/>
  <c r="L15" i="14"/>
  <c r="L16" i="14"/>
  <c r="L17" i="14"/>
  <c r="L18" i="14"/>
  <c r="L19" i="14"/>
  <c r="L20" i="14"/>
  <c r="L21" i="14"/>
  <c r="L22" i="14"/>
  <c r="L13" i="14"/>
  <c r="I23" i="14"/>
  <c r="L23" i="14" s="1"/>
  <c r="K14" i="14"/>
  <c r="K15" i="14"/>
  <c r="K16" i="14"/>
  <c r="K17" i="14"/>
  <c r="K18" i="14"/>
  <c r="K19" i="14"/>
  <c r="K20" i="14"/>
  <c r="K21" i="14"/>
  <c r="K22" i="14"/>
  <c r="K13" i="14"/>
  <c r="H23" i="14"/>
  <c r="K23" i="14" s="1"/>
  <c r="T42" i="16"/>
  <c r="U41" i="16"/>
  <c r="U42" i="16" s="1"/>
  <c r="S42" i="16"/>
  <c r="R42" i="16"/>
  <c r="F15" i="13"/>
  <c r="F14" i="13"/>
  <c r="F13" i="13"/>
  <c r="F12" i="13"/>
  <c r="F11" i="13"/>
  <c r="F10" i="13"/>
  <c r="F9" i="13"/>
  <c r="F8" i="13"/>
  <c r="E15" i="13"/>
  <c r="E14" i="13"/>
  <c r="E13" i="13"/>
  <c r="E12" i="13"/>
  <c r="E11" i="13"/>
  <c r="E10" i="13"/>
  <c r="E9" i="13"/>
  <c r="E8" i="13"/>
  <c r="I100" i="12"/>
  <c r="I99" i="12"/>
  <c r="I98" i="12"/>
  <c r="I97" i="12"/>
  <c r="I96" i="12"/>
  <c r="I95" i="12"/>
  <c r="I94" i="12"/>
  <c r="I93" i="12"/>
  <c r="I76" i="12"/>
  <c r="K57" i="14" l="1"/>
  <c r="H67" i="14"/>
  <c r="K67" i="14" s="1"/>
  <c r="H122" i="14"/>
  <c r="K122" i="14" s="1"/>
  <c r="H111" i="14"/>
  <c r="K111" i="14" s="1"/>
  <c r="K101" i="14"/>
  <c r="H100" i="14"/>
  <c r="K100" i="14" s="1"/>
  <c r="H89" i="14"/>
  <c r="K89" i="14" s="1"/>
  <c r="H78" i="14"/>
  <c r="K78" i="14" s="1"/>
  <c r="J41" i="2"/>
  <c r="J42" i="2" s="1"/>
  <c r="J43" i="2" s="1"/>
  <c r="J44" i="2" s="1"/>
  <c r="J45" i="2" s="1"/>
  <c r="J46" i="2" s="1"/>
  <c r="J47" i="2" s="1"/>
  <c r="J48" i="2" s="1"/>
  <c r="J49" i="2" s="1"/>
  <c r="J50" i="2" s="1"/>
  <c r="J51" i="2" s="1"/>
  <c r="J52" i="2" s="1"/>
  <c r="J53" i="2" s="1"/>
  <c r="J30" i="17"/>
  <c r="F40" i="4"/>
  <c r="G40" i="4" s="1"/>
  <c r="F39" i="4"/>
  <c r="G39" i="4" s="1"/>
  <c r="F38" i="4"/>
  <c r="G38" i="4" s="1"/>
  <c r="F37" i="4"/>
  <c r="G37" i="4" s="1"/>
  <c r="F36" i="4"/>
  <c r="G36" i="4" s="1"/>
  <c r="F35" i="4"/>
  <c r="G35" i="4" s="1"/>
  <c r="F34" i="4"/>
  <c r="G34" i="4" s="1"/>
  <c r="F33" i="4"/>
  <c r="G33" i="4" s="1"/>
  <c r="F32" i="4"/>
  <c r="G32" i="4" s="1"/>
  <c r="K40" i="2"/>
  <c r="K39" i="2"/>
  <c r="K38" i="2"/>
  <c r="K36" i="2"/>
  <c r="K37" i="2"/>
  <c r="K35" i="2"/>
  <c r="K34" i="2"/>
  <c r="K33" i="2"/>
  <c r="K32" i="2"/>
  <c r="J32" i="2"/>
  <c r="J33" i="2" s="1"/>
  <c r="J34" i="2" s="1"/>
  <c r="J35" i="2" s="1"/>
  <c r="J36" i="2" s="1"/>
  <c r="J37" i="2" s="1"/>
  <c r="J38" i="2" s="1"/>
  <c r="J39" i="2" s="1"/>
  <c r="J40" i="2" s="1"/>
  <c r="I65" i="12"/>
  <c r="I64" i="12"/>
  <c r="I63" i="12"/>
  <c r="I62" i="12"/>
  <c r="I61" i="12"/>
  <c r="I60" i="12"/>
  <c r="H11" i="14"/>
  <c r="H10" i="14"/>
  <c r="H9" i="14"/>
  <c r="H8" i="14"/>
  <c r="H7" i="14"/>
  <c r="H6" i="14"/>
  <c r="H5" i="14"/>
  <c r="H4" i="14"/>
  <c r="H3" i="14"/>
  <c r="H2" i="14"/>
  <c r="J19" i="17"/>
  <c r="O42" i="16"/>
  <c r="N42" i="16"/>
  <c r="M42" i="16"/>
  <c r="G25" i="4"/>
  <c r="G31" i="4"/>
  <c r="F30" i="4"/>
  <c r="G30" i="4" s="1"/>
  <c r="F29" i="4"/>
  <c r="G29" i="4" s="1"/>
  <c r="F28" i="4"/>
  <c r="G28" i="4" s="1"/>
  <c r="F27" i="4"/>
  <c r="G27" i="4" s="1"/>
  <c r="F26" i="4"/>
  <c r="G26" i="4" s="1"/>
  <c r="K30" i="2"/>
  <c r="K29" i="2"/>
  <c r="K28" i="2"/>
  <c r="K27" i="2"/>
  <c r="K26" i="2"/>
  <c r="J25" i="2"/>
  <c r="J26" i="2" s="1"/>
  <c r="J27" i="2" s="1"/>
  <c r="J28" i="2" s="1"/>
  <c r="J29" i="2" s="1"/>
  <c r="J30" i="2" s="1"/>
  <c r="J31" i="2" s="1"/>
  <c r="J4" i="3"/>
  <c r="H12" i="14" l="1"/>
  <c r="J17" i="17" l="1"/>
  <c r="J14" i="17"/>
  <c r="I9" i="12" l="1"/>
  <c r="I33" i="16"/>
  <c r="H33" i="16"/>
  <c r="G33" i="16"/>
  <c r="F33" i="16"/>
  <c r="F21" i="16"/>
  <c r="G21" i="16"/>
  <c r="H21" i="16"/>
  <c r="I21" i="16"/>
  <c r="E21" i="16"/>
  <c r="J3" i="19"/>
  <c r="J4" i="19"/>
  <c r="J5" i="19"/>
  <c r="J2" i="19"/>
  <c r="I2" i="19"/>
  <c r="I3" i="19"/>
  <c r="I4" i="19"/>
  <c r="I5" i="19"/>
  <c r="G3" i="4"/>
  <c r="I3" i="4" s="1"/>
  <c r="G4" i="4"/>
  <c r="I4" i="4" s="1"/>
  <c r="G5" i="4"/>
  <c r="I5" i="4" s="1"/>
  <c r="G6" i="4"/>
  <c r="I6" i="4" s="1"/>
  <c r="G7" i="4"/>
  <c r="I7" i="4" s="1"/>
  <c r="G8" i="4"/>
  <c r="I8" i="4" s="1"/>
  <c r="G9" i="4"/>
  <c r="I9" i="4" s="1"/>
  <c r="G10" i="4"/>
  <c r="I10" i="4" s="1"/>
  <c r="G11" i="4"/>
  <c r="I11" i="4" s="1"/>
  <c r="G12" i="4"/>
  <c r="I12" i="4" s="1"/>
  <c r="G13" i="4"/>
  <c r="I13" i="4" s="1"/>
  <c r="G14" i="4"/>
  <c r="I14" i="4" s="1"/>
  <c r="G15" i="4"/>
  <c r="I15" i="4" s="1"/>
  <c r="G16" i="4"/>
  <c r="I16" i="4" s="1"/>
  <c r="G17" i="4"/>
  <c r="I17" i="4" s="1"/>
  <c r="G18" i="4"/>
  <c r="I18" i="4" s="1"/>
  <c r="G19" i="4"/>
  <c r="I19" i="4" s="1"/>
  <c r="G20" i="4"/>
  <c r="I20" i="4" s="1"/>
  <c r="G21" i="4"/>
  <c r="I21" i="4" s="1"/>
  <c r="G22" i="4"/>
  <c r="I22" i="4" s="1"/>
  <c r="G23" i="4"/>
  <c r="I23" i="4" s="1"/>
  <c r="G24" i="4"/>
  <c r="I24" i="4" s="1"/>
  <c r="G2" i="4"/>
  <c r="I2" i="4" s="1"/>
  <c r="J2" i="2"/>
  <c r="J3" i="2" s="1"/>
  <c r="J4" i="2" s="1"/>
  <c r="J5" i="2" s="1"/>
  <c r="J6" i="2" s="1"/>
  <c r="J7" i="2" s="1"/>
  <c r="J8" i="2" s="1"/>
  <c r="J9" i="2" s="1"/>
  <c r="J10" i="2" s="1"/>
  <c r="J11" i="2" s="1"/>
  <c r="J12" i="2" s="1"/>
  <c r="J13" i="2" s="1"/>
  <c r="J14" i="2" s="1"/>
  <c r="J15" i="2" s="1"/>
  <c r="F43" i="16" l="1"/>
  <c r="I43" i="16"/>
  <c r="H43" i="16"/>
  <c r="G43" i="16"/>
  <c r="J16" i="2"/>
  <c r="J17" i="2" s="1"/>
  <c r="J18" i="2" s="1"/>
  <c r="J19" i="2" s="1"/>
  <c r="J20" i="2" s="1"/>
  <c r="J21" i="2" s="1"/>
  <c r="J22" i="2" s="1"/>
  <c r="J23" i="2" s="1"/>
  <c r="J24" i="2" s="1"/>
  <c r="AE33" i="16"/>
  <c r="Y21" i="16"/>
  <c r="W21" i="16"/>
  <c r="X21" i="16"/>
  <c r="Z21" i="16"/>
  <c r="AA21" i="16"/>
  <c r="AB21" i="16"/>
  <c r="AC21" i="16"/>
  <c r="AD21" i="16"/>
  <c r="AE21" i="16"/>
  <c r="T21" i="16"/>
  <c r="U21" i="16"/>
  <c r="V21" i="16"/>
  <c r="S21" i="16"/>
  <c r="R21" i="16"/>
  <c r="O21" i="16"/>
  <c r="N21" i="16"/>
  <c r="M21" i="16"/>
  <c r="J2" i="17"/>
  <c r="AE34" i="16" l="1"/>
  <c r="AE43" i="16" s="1"/>
  <c r="E33" i="16" l="1"/>
  <c r="M33" i="16"/>
  <c r="M43" i="16" s="1"/>
  <c r="M46" i="16" s="1"/>
  <c r="N45" i="16" s="1"/>
  <c r="N33" i="16"/>
  <c r="N43" i="16" s="1"/>
  <c r="O33" i="16"/>
  <c r="O43" i="16" s="1"/>
  <c r="R33" i="16"/>
  <c r="S33" i="16"/>
  <c r="T33" i="16"/>
  <c r="U33" i="16"/>
  <c r="V33" i="16"/>
  <c r="W33" i="16"/>
  <c r="X33" i="16"/>
  <c r="Y33" i="16"/>
  <c r="Z33" i="16"/>
  <c r="AA33" i="16"/>
  <c r="AB33" i="16"/>
  <c r="AC33" i="16"/>
  <c r="AC34" i="16" s="1"/>
  <c r="AC43" i="16" s="1"/>
  <c r="AD33" i="16"/>
  <c r="N46" i="16" l="1"/>
  <c r="O45" i="16" s="1"/>
  <c r="O46" i="16" s="1"/>
  <c r="W34" i="16"/>
  <c r="W43" i="16" s="1"/>
  <c r="O34" i="16"/>
  <c r="X34" i="16"/>
  <c r="X43" i="16" s="1"/>
  <c r="V34" i="16"/>
  <c r="V43" i="16" s="1"/>
  <c r="N34" i="16"/>
  <c r="Z34" i="16"/>
  <c r="Z43" i="16" s="1"/>
  <c r="Z46" i="16" s="1"/>
  <c r="AA45" i="16" s="1"/>
  <c r="R34" i="16"/>
  <c r="R43" i="16" s="1"/>
  <c r="R46" i="16" s="1"/>
  <c r="S45" i="16" s="1"/>
  <c r="U34" i="16"/>
  <c r="U43" i="16" s="1"/>
  <c r="M34" i="16"/>
  <c r="AB34" i="16"/>
  <c r="AB43" i="16" s="1"/>
  <c r="T34" i="16"/>
  <c r="T43" i="16" s="1"/>
  <c r="Y34" i="16"/>
  <c r="Y43" i="16" s="1"/>
  <c r="AA34" i="16"/>
  <c r="AA43" i="16" s="1"/>
  <c r="S34" i="16"/>
  <c r="S43" i="16" s="1"/>
  <c r="E43" i="16"/>
  <c r="AD34" i="16"/>
  <c r="AD43" i="16" s="1"/>
  <c r="AA46" i="16" l="1"/>
  <c r="AB45" i="16" s="1"/>
  <c r="AB46" i="16" s="1"/>
  <c r="AC45" i="16" s="1"/>
  <c r="AC46" i="16" s="1"/>
  <c r="AD45" i="16" s="1"/>
  <c r="AD46" i="16" s="1"/>
  <c r="AE45" i="16" s="1"/>
  <c r="AE46" i="16" s="1"/>
  <c r="S46" i="16"/>
  <c r="T45" i="16" s="1"/>
  <c r="T46" i="16" s="1"/>
  <c r="U45" i="16" s="1"/>
  <c r="U46" i="16" s="1"/>
  <c r="V45" i="16" s="1"/>
  <c r="V46" i="16" s="1"/>
  <c r="W45" i="16" s="1"/>
  <c r="W46" i="16" s="1"/>
  <c r="X45" i="16" s="1"/>
  <c r="X46" i="16" s="1"/>
  <c r="Y45" i="16" s="1"/>
  <c r="Y46" i="16" s="1"/>
</calcChain>
</file>

<file path=xl/sharedStrings.xml><?xml version="1.0" encoding="utf-8"?>
<sst xmlns="http://schemas.openxmlformats.org/spreadsheetml/2006/main" count="9117" uniqueCount="670">
  <si>
    <t>The Altoona City Authority was created by the City of Altoona in 1946 for the purpose of financing capital improvement projects.</t>
  </si>
  <si>
    <t>The Authority assumed operational responsibility of the water system from the City in 1981 and of the wastewater system in 1986.</t>
  </si>
  <si>
    <t>In 2009, our name was officially changed to the Altoona Water Authority.</t>
  </si>
  <si>
    <t>As such - there are three separate websites to search for bond documents.</t>
  </si>
  <si>
    <t>The budget for the water authority changes dramatically after 2004 - I think water and sewer were reporting funds as separate and not whole? Or something major happened between 2004 and 2007.</t>
  </si>
  <si>
    <t>The Altoona City Authority / Water Division was originally created as a Municipal Financing Authority to handle financing of water and wastewater.</t>
  </si>
  <si>
    <t>In 1953, the Authority was also given the power and responsibility of financing the construction of the Mill Run Dam, as well as other capital improvements with $1,100,000 Water Revenue Bonds.</t>
  </si>
  <si>
    <t>In 1981, the Water Division of the Authority was restructured to operate both as a financing and an operating authority and took  over the operations of the City of Altoona Water Department.</t>
  </si>
  <si>
    <t>In 1981, the Authority pruchased the Blair Gap Water System from the General Waterworks Company and made provisions for the defeasance of two outsanding water revenue bonds.</t>
  </si>
  <si>
    <t>They provide a TON of information on their reservoir systems, treatment plants, water quality, storage and distribution facilities. Have year of infrastructure and capacity data.</t>
  </si>
  <si>
    <t>Their water distribution system map has been entirely digitized into an arcview database (2007).</t>
  </si>
  <si>
    <t>They have the percentage of distrubiton and transmission system by pipe size, number of meters, hydrants, and gate valves.</t>
  </si>
  <si>
    <t>The majority of water lines were installed between 1888 and 1953.</t>
  </si>
  <si>
    <t>Net Yield from reservoirs is lower because of PADEP water allocation requests for conservation.</t>
  </si>
  <si>
    <t>The Altoona City Authority constructed 6 new water treatment facilities in the 1990s (all the Pennvest loans)</t>
  </si>
  <si>
    <t>Had to add filters for previously unfiltered surface reservoirs (Plane Nine, Tipton, Bellwood, Mill Run, Kettle, and homer Gap). I wonder if EPA changed legislation requirements because another utility mentioned the filtration problem… maybe GJWA.</t>
  </si>
  <si>
    <t>In 1993 Hollidaysburg and Bellwood Borough were added to the authority service as bulk customers. The authority aquired their rights to surface sources with the Plane Nine and Bellwood reservoir systems.</t>
  </si>
  <si>
    <t>In 2007 they provide a comparison of utilities with metered consumption (up, down, flat, etc. and revenues… where did they get data….)</t>
  </si>
  <si>
    <t>In 2007 they compare 1982 to 2002… but the revenue doesn't add up with the fiscal documents. Much more revenue reported here than there. Not sure what to do with that.</t>
  </si>
  <si>
    <r>
      <t xml:space="preserve">On March 23, 2017 the Authority entered into a series of agreements with the City of Altoona (the "City"). Pursuant to the Water and Sewer System Asset Conveyance Agreement, the </t>
    </r>
    <r>
      <rPr>
        <sz val="11"/>
        <color rgb="FFFF0000"/>
        <rFont val="Calibri"/>
        <family val="2"/>
        <scheme val="minor"/>
      </rPr>
      <t xml:space="preserve">Authority transferred to the City all right, title and interest in and to the water system and sewer system owned and operated by the Authority. </t>
    </r>
    <r>
      <rPr>
        <sz val="11"/>
        <color theme="1"/>
        <rFont val="Calibri"/>
        <family val="2"/>
        <scheme val="minor"/>
      </rPr>
      <t>Concurrently, the city leased the water and sewer systems to the Authority, giving it lawful possession to operate and set rates for the systems. The lease terms extend throughout the remaining term of all PENNVEST loans, provided that either party may terminate the lease after twenty years, with the consent of PENNVEST. In addition, the City guaranteed all the Authority's outstanding PENNVEST loans and bonds</t>
    </r>
  </si>
  <si>
    <t>Page 10 of Official Statement 2010 document.</t>
  </si>
  <si>
    <t>On March 19, 2009, the Altoona City Authority amended its Articles of Incorporation changing its name</t>
  </si>
  <si>
    <t>to the Altoona Water Authority and extending its term of existence to January 21, 2059, which amendments</t>
  </si>
  <si>
    <t>were filed with the Pennsylvania Department of State on April 8, 2009.</t>
  </si>
  <si>
    <t>For financing purposes the Water System and the Sanitary Sewer System comprise totally separate</t>
  </si>
  <si>
    <t>and independent enterprises, the pledged revenues of which benefit only the one system and not the other.</t>
  </si>
  <si>
    <t>The operations of Sanitary Sewer System are supported, in part, by administrative, personal and</t>
  </si>
  <si>
    <t>equipment services provided by the Water System. The cost of these administrative, personal and equipment</t>
  </si>
  <si>
    <t>charges are charged back to the Sanitary Sewer System and are shown under “Payment for Water Division</t>
  </si>
  <si>
    <t>Services” in Appendix C “Financial Information Pertaining to the Authority—Altoona City Authority Wastewater</t>
  </si>
  <si>
    <t>Division Sewer Operating Fund Budget 2007—Payment for Water Division Service</t>
  </si>
  <si>
    <t>The Authority is a party to an Amended and Restated Cooperation Agreement dated as of October 27,</t>
  </si>
  <si>
    <t>2004 (the “Cooperation Agreement”) with the City of Altoona (the “City”). Pursuant to the Cooperation</t>
  </si>
  <si>
    <t>Agreement, the Authority makes annual payments to the City on November 5th of each year in an amount</t>
  </si>
  <si>
    <t>equal to the lesser of (i) $2,800,000 or (ii) an amount permitted to be paid by applicable state law in effect on</t>
  </si>
  <si>
    <t>the date such payment is made. The Authority payments are for City Services (as defined in the Cooperation</t>
  </si>
  <si>
    <t>Agreement), including, but not limited to, the City furnishing or causing to be furnished to the Authority all</t>
  </si>
  <si>
    <t>public services and facilities of the same nature as furnished to similar authorities and projects in the City,</t>
  </si>
  <si>
    <t>provide drafting services, office space and utilities, computerized mapping system, coordination with land</t>
  </si>
  <si>
    <t>development and subdivision and engineering and survey needs. City Services also include the amortization</t>
  </si>
  <si>
    <t>of certain sewer lines not previously conveyed to the Authority. During the term of the Cooperation</t>
  </si>
  <si>
    <t>Agreement, the Authority shall continue to possess, operate and control the Sanitary Sewer System. The</t>
  </si>
  <si>
    <t>Cooperation Agreement expires on October 27, 2010 unless otherwise extended pursuant to its terms. The</t>
  </si>
  <si>
    <t>expiration of the Cooperation Agreement, in and of itself, will not effect the ownership and operation of the</t>
  </si>
  <si>
    <t>Sanitary Sewer System or the pledge of revenues securing the 2010 Bonds.</t>
  </si>
  <si>
    <t>Because of CWA the NPDES permits have gotten more strict. Estimates are that it will take $20-40 million in upgrades to meet effluent requirements.</t>
  </si>
  <si>
    <t>They also have CSO challenges - no consent decrees yet but the combined system is over 100 years old and may need to replace system in next 25 years.</t>
  </si>
  <si>
    <t>They have one project that is likely to be mandated. The rest are not currently mandated. In general their sewer system is 60-90 years old.</t>
  </si>
  <si>
    <t>PG 24 of Official statement 2010 document.</t>
  </si>
  <si>
    <t>The authority substantially improved the system in 1987-1990 for $85 million. To meet more stringent effluent limits, both treatment plants need to be upgraded.</t>
  </si>
  <si>
    <t>In 2019 Altoona "Defeased" their 2010 bonds - does that mean they no longer need to pay those bonds?</t>
  </si>
  <si>
    <t>PWSID</t>
  </si>
  <si>
    <t>name</t>
  </si>
  <si>
    <t>OSYear</t>
  </si>
  <si>
    <t>WaterSewer</t>
  </si>
  <si>
    <t>bondRatingMoody</t>
  </si>
  <si>
    <t>bondRatingSP</t>
  </si>
  <si>
    <t>systemRating</t>
  </si>
  <si>
    <t>bondAmount</t>
  </si>
  <si>
    <t>startYear</t>
  </si>
  <si>
    <t>endYear</t>
  </si>
  <si>
    <t>series</t>
  </si>
  <si>
    <t>payment</t>
  </si>
  <si>
    <t>rateCovenantCurrent</t>
  </si>
  <si>
    <t>rateCovenantTotal</t>
  </si>
  <si>
    <t>debtSRF</t>
  </si>
  <si>
    <t>openLoop</t>
  </si>
  <si>
    <t>taxable</t>
  </si>
  <si>
    <t>insured</t>
  </si>
  <si>
    <t>notes</t>
  </si>
  <si>
    <t>PA4070023</t>
  </si>
  <si>
    <t>Altoona Water Authority</t>
  </si>
  <si>
    <t>Water</t>
  </si>
  <si>
    <t>NA</t>
  </si>
  <si>
    <t>AAA</t>
  </si>
  <si>
    <t>A</t>
  </si>
  <si>
    <t>Annual</t>
  </si>
  <si>
    <t>10% of initial principal</t>
  </si>
  <si>
    <t>not sure</t>
  </si>
  <si>
    <t>No</t>
  </si>
  <si>
    <t>Financial Guaranteed</t>
  </si>
  <si>
    <t>Sewer</t>
  </si>
  <si>
    <t>Aaa</t>
  </si>
  <si>
    <t>Semi-Annual</t>
  </si>
  <si>
    <t>1/2 of the maximum annual debt service</t>
  </si>
  <si>
    <t>Financial Security Assurance</t>
  </si>
  <si>
    <t>A3</t>
  </si>
  <si>
    <t>lease of max principal in a year, 125% of average debt service requirements, or 10% of the proceeds of the bonds</t>
  </si>
  <si>
    <t>This bond is a "variable rate"</t>
  </si>
  <si>
    <t>max of annual debt service (principal and interest) on all bonds</t>
  </si>
  <si>
    <t>Assured Guaranty Municipal</t>
  </si>
  <si>
    <t>B</t>
  </si>
  <si>
    <t>Yes</t>
  </si>
  <si>
    <t>AA+</t>
  </si>
  <si>
    <t>C</t>
  </si>
  <si>
    <t>bondSeries</t>
  </si>
  <si>
    <t>scheduleType</t>
  </si>
  <si>
    <t>maturityYear</t>
  </si>
  <si>
    <t>month</t>
  </si>
  <si>
    <t>principalAmount</t>
  </si>
  <si>
    <t>couponRate</t>
  </si>
  <si>
    <t>remainingPrincipal</t>
  </si>
  <si>
    <t>interest</t>
  </si>
  <si>
    <t>yieldToMaturity</t>
  </si>
  <si>
    <t>price</t>
  </si>
  <si>
    <t>Maturity Schedule</t>
  </si>
  <si>
    <t>Nov</t>
  </si>
  <si>
    <t>June</t>
  </si>
  <si>
    <t>Dec</t>
  </si>
  <si>
    <t>Mandatory Redemption</t>
  </si>
  <si>
    <t>amount</t>
  </si>
  <si>
    <t>purpose</t>
  </si>
  <si>
    <t>Deposit to refund escrow</t>
  </si>
  <si>
    <t>Bond Insurance Premium</t>
  </si>
  <si>
    <t>Underwriter's Discount</t>
  </si>
  <si>
    <t>Cost of Issuance</t>
  </si>
  <si>
    <t>Debt Service Reserve Fund</t>
  </si>
  <si>
    <t>Cash at Closing</t>
  </si>
  <si>
    <t>Capital Projects</t>
  </si>
  <si>
    <t>Bond Insurance Policy</t>
  </si>
  <si>
    <t>Deposit to refund 1994 Bonds</t>
  </si>
  <si>
    <t>Deposit to refund 1997 Bonds</t>
  </si>
  <si>
    <t>Contingency</t>
  </si>
  <si>
    <t>Project Deposit</t>
  </si>
  <si>
    <t>Deposit to Refund 2004 Bonds</t>
  </si>
  <si>
    <t>Capitalized Interest</t>
  </si>
  <si>
    <t>debtName</t>
  </si>
  <si>
    <t>type</t>
  </si>
  <si>
    <t>aveRate</t>
  </si>
  <si>
    <t>currentRemaining</t>
  </si>
  <si>
    <t>payments</t>
  </si>
  <si>
    <t>Water Revenue Bonds, Series A of 1994</t>
  </si>
  <si>
    <t>Bond</t>
  </si>
  <si>
    <t>Water Revenue Bonds, Series B of 1994</t>
  </si>
  <si>
    <t>Water Revenue Bonds, Series of 1991</t>
  </si>
  <si>
    <t>Pennvest Loan 1989</t>
  </si>
  <si>
    <t>Loan</t>
  </si>
  <si>
    <t>Monthly installmetns of $13,509 for first 32 mothns, then $15,091 for remaining months.</t>
  </si>
  <si>
    <t>Pennvest Loan 1990</t>
  </si>
  <si>
    <t>Monthly payments of $18306 starting Jan of 1993.</t>
  </si>
  <si>
    <t>Pennvest Loan 1992</t>
  </si>
  <si>
    <t>Monthly payments of $47,959 first 40 months, then 180 months at $54,286</t>
  </si>
  <si>
    <t>Pennvest Loan 1993</t>
  </si>
  <si>
    <t>Monthly payments of $26,931 for first 34, then next 180 at $30,048.</t>
  </si>
  <si>
    <t>Pennvest Loan 1994</t>
  </si>
  <si>
    <t>Monthly payments of $70,461 for 324 months</t>
  </si>
  <si>
    <t>Water Revenue Bonds, Series of 1956</t>
  </si>
  <si>
    <t>Mill Run Dam</t>
  </si>
  <si>
    <t>Water Revenue Bonds, Series of 1971</t>
  </si>
  <si>
    <t>Water System Improvements and Original WTP</t>
  </si>
  <si>
    <t>Water Revenue Bonds, Series of 1982</t>
  </si>
  <si>
    <t>Purchase Blair Gap Water System from General Waterworks Corp, Dam Safety Improvements; Redemption of 1971 Water Revenue Bonds</t>
  </si>
  <si>
    <t>Refund Water Revenue Bonds, Series of 1981</t>
  </si>
  <si>
    <t>Water Revenue Bonds, Series of 1986</t>
  </si>
  <si>
    <t>Refund Water Revenue Bonds, Series of 1982</t>
  </si>
  <si>
    <t>Water Revenue Bonds, Series A of 1991</t>
  </si>
  <si>
    <t>Refund Water Revenue Bonds, Series of 1986</t>
  </si>
  <si>
    <t>Refinance Existing Debt and Fund Various Capital Projects</t>
  </si>
  <si>
    <t>Kettle Dam Modifications</t>
  </si>
  <si>
    <t>Plane Nine Dam Modifications</t>
  </si>
  <si>
    <t>Tipton/Plane Nine WTP Phase 1</t>
  </si>
  <si>
    <t>Bellwood WTP Phase II</t>
  </si>
  <si>
    <t>Homer Gap/Kettle WTP; Mill Run WTP; Horseshoe Curve WTP; Lake Altoona Dam Phase III</t>
  </si>
  <si>
    <t>Pennvest Loan 2003</t>
  </si>
  <si>
    <t>Oakton/Prospect Reservoir Replacement</t>
  </si>
  <si>
    <t>Pennvest Loan 2006</t>
  </si>
  <si>
    <t>Park Avenue Extension Water Project</t>
  </si>
  <si>
    <t>Pennvest Loan 2013</t>
  </si>
  <si>
    <t>Pennvest Loan 2010</t>
  </si>
  <si>
    <t>Pennvest Loan 2011</t>
  </si>
  <si>
    <t>Monthly payment sof $32,164</t>
  </si>
  <si>
    <t>Pennvest Loan 2014</t>
  </si>
  <si>
    <t>Monthly payments of $28,120</t>
  </si>
  <si>
    <t>Water Revenue Bonds, Series of 2007</t>
  </si>
  <si>
    <t>Sewer Revenue Bonds, Series B of 2010</t>
  </si>
  <si>
    <t>Sewer Revenue Bonds, Series C of 2010</t>
  </si>
  <si>
    <t>Sewer Revenue Bonds, Series of 1950</t>
  </si>
  <si>
    <t>Easterly Sewage Treatment Plant</t>
  </si>
  <si>
    <t>Sewer Revenue Bonds, Series of 1951</t>
  </si>
  <si>
    <t>Easter WWTP secondary treatment and South Altoona Outfall</t>
  </si>
  <si>
    <t>Sewer Revenue Bonds, Series of 1953</t>
  </si>
  <si>
    <t>Westerly Sewage Treatment Plant</t>
  </si>
  <si>
    <t>Sewer Revenue Bonds, Series of 2003</t>
  </si>
  <si>
    <t>Sewer Revenue Bonds, Series of 2004</t>
  </si>
  <si>
    <t>Pennvest Promissory Note 22522</t>
  </si>
  <si>
    <t>Note</t>
  </si>
  <si>
    <t>Pennvest Promissory Note 25524</t>
  </si>
  <si>
    <t>Water Revenue Bond, Series 2007</t>
  </si>
  <si>
    <t>Refunded 1997 and 1994 Water Revenue Bonds</t>
  </si>
  <si>
    <t>year</t>
  </si>
  <si>
    <t>principal</t>
  </si>
  <si>
    <t>total</t>
  </si>
  <si>
    <t>otherDebt</t>
  </si>
  <si>
    <t>totalDebtService</t>
  </si>
  <si>
    <t>OtherDebt is unrefunded 1994 Series A and B Bonds</t>
  </si>
  <si>
    <t>netIncome</t>
  </si>
  <si>
    <t>netRevenue</t>
  </si>
  <si>
    <t>principalInterest</t>
  </si>
  <si>
    <t>debtServCovNet</t>
  </si>
  <si>
    <t>debtServCovTotal</t>
  </si>
  <si>
    <t>bond</t>
  </si>
  <si>
    <t>rate covenant</t>
  </si>
  <si>
    <t>Must have 120% of annual debt service on all outstanding bonds</t>
  </si>
  <si>
    <t>Must have 100% of annual debt service on all debt</t>
  </si>
  <si>
    <t>Must provide a margin of at least 15% of debt service payments</t>
  </si>
  <si>
    <t>110% of average annual Debt Service Requirements on all Outstanding 2007 Bonds plus</t>
  </si>
  <si>
    <t>water rate covenant</t>
  </si>
  <si>
    <t>110% of average annual Debt Service Requirements on all Outstanding Bonds</t>
  </si>
  <si>
    <t>sewer rate covenant</t>
  </si>
  <si>
    <t>Includes 2010 series A, B, and C Bonds (Does not Include Subordinate Debt)</t>
  </si>
  <si>
    <t>county</t>
  </si>
  <si>
    <t>municipality</t>
  </si>
  <si>
    <t>Blair</t>
  </si>
  <si>
    <t>Altoona</t>
  </si>
  <si>
    <t>City</t>
  </si>
  <si>
    <t>Located in Logan Valley of Blair County</t>
  </si>
  <si>
    <t>Logan</t>
  </si>
  <si>
    <t>Township</t>
  </si>
  <si>
    <t>Allegheny</t>
  </si>
  <si>
    <t>Frankstown</t>
  </si>
  <si>
    <t>Antis</t>
  </si>
  <si>
    <t>Snyder</t>
  </si>
  <si>
    <t>Juniata</t>
  </si>
  <si>
    <t>Bellwood</t>
  </si>
  <si>
    <t>Borough</t>
  </si>
  <si>
    <t>Hollisday</t>
  </si>
  <si>
    <t>Freedom</t>
  </si>
  <si>
    <t>members</t>
  </si>
  <si>
    <t>office</t>
  </si>
  <si>
    <t>termExpire</t>
  </si>
  <si>
    <t>Patrick Fiore</t>
  </si>
  <si>
    <t>Chairman</t>
  </si>
  <si>
    <t>Maurice Lawruk</t>
  </si>
  <si>
    <t>Vice Chairman</t>
  </si>
  <si>
    <t>William Geis</t>
  </si>
  <si>
    <t>Secretary</t>
  </si>
  <si>
    <t>Arthur Wilkin Jr.</t>
  </si>
  <si>
    <t>Treasurer</t>
  </si>
  <si>
    <t>L. Eugene Leapley</t>
  </si>
  <si>
    <t>Assistant Secretary/Treasurer</t>
  </si>
  <si>
    <t>Patrick Dumm</t>
  </si>
  <si>
    <t>James Ruggery</t>
  </si>
  <si>
    <t>David Shields</t>
  </si>
  <si>
    <t>Thomas Martin</t>
  </si>
  <si>
    <t>governance</t>
  </si>
  <si>
    <t>taxingPower</t>
  </si>
  <si>
    <t>manager</t>
  </si>
  <si>
    <t>contractTermYrs</t>
  </si>
  <si>
    <t>contractAmount</t>
  </si>
  <si>
    <t>nEmployees</t>
  </si>
  <si>
    <t>ngoverningMunis</t>
  </si>
  <si>
    <t>nMunis</t>
  </si>
  <si>
    <t>nCounties</t>
  </si>
  <si>
    <t>defaultDebt</t>
  </si>
  <si>
    <t>populationServed</t>
  </si>
  <si>
    <t>meteredConnections</t>
  </si>
  <si>
    <t>pipeMiles</t>
  </si>
  <si>
    <t>areaMi2</t>
  </si>
  <si>
    <t>Altoona City Authority</t>
  </si>
  <si>
    <t>authority</t>
  </si>
  <si>
    <t>None</t>
  </si>
  <si>
    <t>William L. Cochran</t>
  </si>
  <si>
    <t>Serves 40% of Blair County with 7 reservoirs</t>
  </si>
  <si>
    <t>Mark Perry</t>
  </si>
  <si>
    <t>Operates 11 water supply reservoirs serving 60% of Blair County</t>
  </si>
  <si>
    <t>systemName</t>
  </si>
  <si>
    <t>aveVolume_MGD</t>
  </si>
  <si>
    <t>contractVolume_MGD</t>
  </si>
  <si>
    <t>role</t>
  </si>
  <si>
    <t>contractStart</t>
  </si>
  <si>
    <t>contractEnd</t>
  </si>
  <si>
    <t>Regular</t>
  </si>
  <si>
    <t>Sell</t>
  </si>
  <si>
    <t>Based on proportional use of Plane Nine WTP</t>
  </si>
  <si>
    <t>Hollidays</t>
  </si>
  <si>
    <t>Based on proportional use of Bellwood WTP</t>
  </si>
  <si>
    <t>Duncansville</t>
  </si>
  <si>
    <t>Emergency</t>
  </si>
  <si>
    <t>Blair Township</t>
  </si>
  <si>
    <t>Metered Connection</t>
  </si>
  <si>
    <t>Freedom Township</t>
  </si>
  <si>
    <t>Considered "bulk" customers - billed on authority's rate schedule</t>
  </si>
  <si>
    <t>Considered "bulk" customers - billed on authority's rate schedule. Share in debt service and operating costs of Bellwood WTP.</t>
  </si>
  <si>
    <t>Considered "bulk" customers - billed on authority's rate schedule. Share in debt service and operating costs of Plane Nine WTP.</t>
  </si>
  <si>
    <t>Contracts to process bulk sewage deliveries</t>
  </si>
  <si>
    <t>sourceType</t>
  </si>
  <si>
    <t>nameInf</t>
  </si>
  <si>
    <t>infType</t>
  </si>
  <si>
    <t>dateOnline</t>
  </si>
  <si>
    <t>lastUpdate</t>
  </si>
  <si>
    <t>capacityMgal</t>
  </si>
  <si>
    <t>challenges</t>
  </si>
  <si>
    <t>resolutions</t>
  </si>
  <si>
    <t>Surface</t>
  </si>
  <si>
    <t>Plane Nine</t>
  </si>
  <si>
    <t>Reservoir</t>
  </si>
  <si>
    <t>Owns 7 water supply reservoirs and serves over 40% of Blair County Residents with Drinking Water. They own 6 WTP</t>
  </si>
  <si>
    <t>Kettle/Pottsgrove</t>
  </si>
  <si>
    <t>Several reservoirs are affected by mine drainage - creating water quality challenges.</t>
  </si>
  <si>
    <t>Tipton</t>
  </si>
  <si>
    <t>Horseshoe Curve</t>
  </si>
  <si>
    <t>Mill Run</t>
  </si>
  <si>
    <t>Homer Gap</t>
  </si>
  <si>
    <t>Blair Gap</t>
  </si>
  <si>
    <t>Supplmental Supply</t>
  </si>
  <si>
    <t>Groundwater</t>
  </si>
  <si>
    <t>Wellfield</t>
  </si>
  <si>
    <t>Well</t>
  </si>
  <si>
    <t>Owns 11 water supply reservoirs and serves over 60% of Blair County Residents with Drinking Water. They own 7 WTP. Purchased this reservoir in 1981 from Blair Gap Water Supply Company</t>
  </si>
  <si>
    <t>Muleshoe</t>
  </si>
  <si>
    <t>Several reservoirs are affected by mine drainage - creating water quality challenges. Originally a storage dam for Pennsylvania Railroad.</t>
  </si>
  <si>
    <t>Needs spillway upgrade</t>
  </si>
  <si>
    <t>Expected to cost $7.5M in next 10 years</t>
  </si>
  <si>
    <t>Purchased from Blair Gap Water Supply</t>
  </si>
  <si>
    <t>Bulit by PRR Juniata works.</t>
  </si>
  <si>
    <t>Built by Borough of Juniata and owned by Altoona after 1926 incorporation.</t>
  </si>
  <si>
    <t>Primarily used as a settling basin.</t>
  </si>
  <si>
    <t>Purchased in 1981 from Blair Gap Water Supply Company.</t>
  </si>
  <si>
    <t>Purcahsed from Allegheny Water Company in 1905</t>
  </si>
  <si>
    <t>Cochran Impounding Dam</t>
  </si>
  <si>
    <t>Horshoe curve dams: Cochran, Altoona, and Kittanning Paint. Built between 1888 to 1913 with capacity of 1.2 bgal, or 40% of total system capacity.</t>
  </si>
  <si>
    <t>Lake Altoona</t>
  </si>
  <si>
    <t>Kittanning Point</t>
  </si>
  <si>
    <t>groupBy</t>
  </si>
  <si>
    <t>class</t>
  </si>
  <si>
    <t>tier</t>
  </si>
  <si>
    <t>nConnections</t>
  </si>
  <si>
    <t>Customer</t>
  </si>
  <si>
    <t>Residential</t>
  </si>
  <si>
    <t>Commercial</t>
  </si>
  <si>
    <t>Industrial</t>
  </si>
  <si>
    <t>Public</t>
  </si>
  <si>
    <t>Public includes bulk water sales</t>
  </si>
  <si>
    <t>Other Utilities</t>
  </si>
  <si>
    <t>Total</t>
  </si>
  <si>
    <t>Commercial/Institutional</t>
  </si>
  <si>
    <t>Industrial/Bulk</t>
  </si>
  <si>
    <t>Rate Block</t>
  </si>
  <si>
    <t>1-1667 gallons</t>
  </si>
  <si>
    <t>1667-4000 gal</t>
  </si>
  <si>
    <t>30,000-330,000 gal</t>
  </si>
  <si>
    <t>330,000-2,330,000 gal</t>
  </si>
  <si>
    <t>over 2,330,000</t>
  </si>
  <si>
    <t>location</t>
  </si>
  <si>
    <t>volume_MGD</t>
  </si>
  <si>
    <t>annual_MG</t>
  </si>
  <si>
    <t>Capacity</t>
  </si>
  <si>
    <t>Entire</t>
  </si>
  <si>
    <t>Horseshoe Curve WTP</t>
  </si>
  <si>
    <t>Needs major rennovations - planned to upgrade to 11 MGD</t>
  </si>
  <si>
    <t>Plane Nine WTP</t>
  </si>
  <si>
    <t>Tipton WTP</t>
  </si>
  <si>
    <t>Bellwood WTP</t>
  </si>
  <si>
    <t>Kettle WTP</t>
  </si>
  <si>
    <t>Homer Gap WTP</t>
  </si>
  <si>
    <t>31st Street Well Field</t>
  </si>
  <si>
    <t>Total yield of reservoir system is 18.366, WTP is 23 MGD, and safe yield is 14.61 MGD</t>
  </si>
  <si>
    <t>Metered Consumption</t>
  </si>
  <si>
    <t>Unaccounted</t>
  </si>
  <si>
    <t>Treated Water</t>
  </si>
  <si>
    <t>2 treatment plants have an average flow capacity of 17 MGD, but can treat 40 MGD. Almost 7 MGD of excess capacity exists</t>
  </si>
  <si>
    <t>*I'm guessing average monthly usage like in the previous section.</t>
  </si>
  <si>
    <t>Mill Run WTP</t>
  </si>
  <si>
    <t>Andronic Pappas</t>
  </si>
  <si>
    <t>Reservoirs provide 1.8 bgal with a total net yeild of 14.61 MGD. Coupled by well filed for total of 16.61 MGD. Treatment capacity is 28.5 MGD - most use Direct Filtration and Ozone.</t>
  </si>
  <si>
    <t>Within Utility</t>
  </si>
  <si>
    <t>Combined Unbilled and Leaks/Losses Here. Then adjusted on unaccounted Tab</t>
  </si>
  <si>
    <t>Bulk</t>
  </si>
  <si>
    <t>Hollidaysburg</t>
  </si>
  <si>
    <t>Tyrone</t>
  </si>
  <si>
    <t>Systemwide Total</t>
  </si>
  <si>
    <t>grossPercent</t>
  </si>
  <si>
    <t>adjustedPercent</t>
  </si>
  <si>
    <t>method</t>
  </si>
  <si>
    <t>Recorded</t>
  </si>
  <si>
    <t>Unaccounted water loss was 40-50% and Authoirty purchased leak detection equipment in 1990-1991</t>
  </si>
  <si>
    <t>Calculated</t>
  </si>
  <si>
    <t>Gross is unbilled uses + leaks from table 8. Adjusted is leaks only.</t>
  </si>
  <si>
    <t>customer</t>
  </si>
  <si>
    <t>gallons</t>
  </si>
  <si>
    <t>revenue</t>
  </si>
  <si>
    <t>percentMethod</t>
  </si>
  <si>
    <t>percentGal</t>
  </si>
  <si>
    <t>percentRev</t>
  </si>
  <si>
    <t>Norfolk Southern</t>
  </si>
  <si>
    <t>Railroad</t>
  </si>
  <si>
    <t>Estimated from Customer data</t>
  </si>
  <si>
    <t>They give average monthly usage so multiply by 12</t>
  </si>
  <si>
    <t>Altoona Hospital</t>
  </si>
  <si>
    <t>Hospital</t>
  </si>
  <si>
    <t>Altoona Hospital (Bon Secours)</t>
  </si>
  <si>
    <t>Penn State Campus</t>
  </si>
  <si>
    <t>University</t>
  </si>
  <si>
    <t>Vanzandt Medical Center</t>
  </si>
  <si>
    <t>Health Care</t>
  </si>
  <si>
    <t>Valley View Home</t>
  </si>
  <si>
    <t>Senior Home</t>
  </si>
  <si>
    <t>Altoona Housing Authority</t>
  </si>
  <si>
    <t>Housing Authority</t>
  </si>
  <si>
    <t>Holiday Inn</t>
  </si>
  <si>
    <t>Hotel</t>
  </si>
  <si>
    <t>SKF</t>
  </si>
  <si>
    <t>Manufacturing</t>
  </si>
  <si>
    <t>Conrail</t>
  </si>
  <si>
    <t>Based on 2.448B gal and $2.833 in revenues (not sure if just operating or not)</t>
  </si>
  <si>
    <t>Pittsburgh Plate Glass</t>
  </si>
  <si>
    <t>Proctor-Silex</t>
  </si>
  <si>
    <t>Blair Township Water Authority</t>
  </si>
  <si>
    <t>Municipality</t>
  </si>
  <si>
    <t>Veeder-Root</t>
  </si>
  <si>
    <t>Phillips EGC</t>
  </si>
  <si>
    <t>Schwarzenbach Huber</t>
  </si>
  <si>
    <t>Mercy Hospital</t>
  </si>
  <si>
    <t>Small Tube Products</t>
  </si>
  <si>
    <t>Based on 1.882B gal and $12.4 M</t>
  </si>
  <si>
    <t>Delgrosso</t>
  </si>
  <si>
    <t>Amusement Park</t>
  </si>
  <si>
    <t>Union Tank Car Company</t>
  </si>
  <si>
    <t>Muleshoe Trailer Park</t>
  </si>
  <si>
    <t>Mobile Homes</t>
  </si>
  <si>
    <t>Based on 1.5369 Bgal and $17.033M</t>
  </si>
  <si>
    <t>University Pittsburg Medical Center</t>
  </si>
  <si>
    <t>Balfurd Inc</t>
  </si>
  <si>
    <t>Laundry</t>
  </si>
  <si>
    <t>VA Medical Center</t>
  </si>
  <si>
    <t>Keystone Real Estate Group</t>
  </si>
  <si>
    <t>Based on 1.549 Bgal and $18.242M</t>
  </si>
  <si>
    <t>Commonwealth of PA Utility Investor</t>
  </si>
  <si>
    <t>Based on 2.7 GPD and $11.352M</t>
  </si>
  <si>
    <t>GTE Operations Support</t>
  </si>
  <si>
    <t>Hazardous Waste Cleanup</t>
  </si>
  <si>
    <t>Hillview Health Care</t>
  </si>
  <si>
    <t>Based on 2.968 GDP and $9.539M</t>
  </si>
  <si>
    <t>Fresenius Medical Care</t>
  </si>
  <si>
    <t>Based on 2.933 GDP and $9.514M</t>
  </si>
  <si>
    <t>Based on 2.953 GDP and $9753M</t>
  </si>
  <si>
    <t>Monarch Carpet Cleaners</t>
  </si>
  <si>
    <t>Based on 2.815 GDP and $10.239M</t>
  </si>
  <si>
    <t>Based on 2.744 GDP and $10.840M</t>
  </si>
  <si>
    <t>VA Hospital</t>
  </si>
  <si>
    <t>Evergreen Manor</t>
  </si>
  <si>
    <t>Apartment</t>
  </si>
  <si>
    <t>Delta Quaries</t>
  </si>
  <si>
    <t>Mining</t>
  </si>
  <si>
    <t>IDA (Green Avenue)</t>
  </si>
  <si>
    <t>Unknown</t>
  </si>
  <si>
    <t>Altoona School District</t>
  </si>
  <si>
    <t>School</t>
  </si>
  <si>
    <t>Olive Garden</t>
  </si>
  <si>
    <t>Restaurant</t>
  </si>
  <si>
    <t>IDA (Kettle Street)</t>
  </si>
  <si>
    <t>rateYear</t>
  </si>
  <si>
    <t>yearSet</t>
  </si>
  <si>
    <t>billFrequency</t>
  </si>
  <si>
    <t>charges</t>
  </si>
  <si>
    <t>chargeType</t>
  </si>
  <si>
    <t>classUnit</t>
  </si>
  <si>
    <t>gallonsIncluded</t>
  </si>
  <si>
    <t>supplySystem</t>
  </si>
  <si>
    <t>cost</t>
  </si>
  <si>
    <t>costUnit</t>
  </si>
  <si>
    <t>Monthly</t>
  </si>
  <si>
    <t>Flat Charge</t>
  </si>
  <si>
    <t>Meter Size</t>
  </si>
  <si>
    <t>inches</t>
  </si>
  <si>
    <t>flat fee</t>
  </si>
  <si>
    <t>Provide cost in CF and Gallons - just recorded gallons here</t>
  </si>
  <si>
    <t>Consumption Charge</t>
  </si>
  <si>
    <t>Gallons per month</t>
  </si>
  <si>
    <t>per 1000 gallons</t>
  </si>
  <si>
    <t>over 2333000</t>
  </si>
  <si>
    <t>CF per month</t>
  </si>
  <si>
    <t>CF</t>
  </si>
  <si>
    <t>per CF</t>
  </si>
  <si>
    <t>Provided for residential</t>
  </si>
  <si>
    <t>Volume</t>
  </si>
  <si>
    <t>Capital Surcharge</t>
  </si>
  <si>
    <t>per CF in excess of established minimum</t>
  </si>
  <si>
    <t>*Combined Water/Sewer… can break out with audit statements</t>
  </si>
  <si>
    <t>These statements don't include depreciation but match earlier ones.</t>
  </si>
  <si>
    <t>Supplement with Financial statements</t>
  </si>
  <si>
    <t>category</t>
  </si>
  <si>
    <t>subcategory</t>
  </si>
  <si>
    <t>Revenues</t>
  </si>
  <si>
    <t>Water/Sewer Rentals</t>
  </si>
  <si>
    <t>Installation &amp; Renewals</t>
  </si>
  <si>
    <t>Meter Sales, Shut-offs</t>
  </si>
  <si>
    <t>Timber, Oil, Gas, Coal Sales</t>
  </si>
  <si>
    <t>Fire Hydrant &amp; Line Rentals</t>
  </si>
  <si>
    <t>Final Readings</t>
  </si>
  <si>
    <t>Intermunicipal Reimbursements</t>
  </si>
  <si>
    <t>Other Rentals / Bad Debt Recovery</t>
  </si>
  <si>
    <t>Interest Income</t>
  </si>
  <si>
    <t>Service to Wastewater Division</t>
  </si>
  <si>
    <t>Service to Other Utilities</t>
  </si>
  <si>
    <t>Federal Grants</t>
  </si>
  <si>
    <t>Miscellaneous</t>
  </si>
  <si>
    <t>Septic Hauler Fees</t>
  </si>
  <si>
    <t>Total Operating Revenues</t>
  </si>
  <si>
    <t>Expenses</t>
  </si>
  <si>
    <t>Administrative</t>
  </si>
  <si>
    <t>Billing and Collections</t>
  </si>
  <si>
    <t>Purification &amp; Distribution</t>
  </si>
  <si>
    <t>Meter Division</t>
  </si>
  <si>
    <t>Maintenance</t>
  </si>
  <si>
    <t>Fringe Benefits &amp; insurance</t>
  </si>
  <si>
    <t>Debt Service</t>
  </si>
  <si>
    <t>Capital Expenditures</t>
  </si>
  <si>
    <t>Studies and Engineering Costs</t>
  </si>
  <si>
    <t>Depreciation</t>
  </si>
  <si>
    <t>Other</t>
  </si>
  <si>
    <t>Total Operating Expenses</t>
  </si>
  <si>
    <t>Net Income</t>
  </si>
  <si>
    <t>Revenue - Expense</t>
  </si>
  <si>
    <t>Other Income and Expenses</t>
  </si>
  <si>
    <t>Contributed Capital</t>
  </si>
  <si>
    <t>Intergovernmental</t>
  </si>
  <si>
    <t>Interest Expense</t>
  </si>
  <si>
    <t>Amortization</t>
  </si>
  <si>
    <t>Disposition of Fixed Assets</t>
  </si>
  <si>
    <t>Total Nonoperating</t>
  </si>
  <si>
    <t>Total Net Income</t>
  </si>
  <si>
    <t>Adjustment</t>
  </si>
  <si>
    <t>Retained Earnings</t>
  </si>
  <si>
    <t>Retained Earnings - Start of Year</t>
  </si>
  <si>
    <t>Retained Earnings - End of Year</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</si>
  <si>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</si>
  <si>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</si>
  <si>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</si>
  <si>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</si>
  <si>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</si>
  <si>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</si>
  <si>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</si>
  <si>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</si>
  <si>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</si>
  <si>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</si>
  <si>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</si>
  <si>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</si>
  <si>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</si>
  <si>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</si>
  <si>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</si>
  <si>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</si>
  <si>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</si>
  <si>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</si>
  <si>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</si>
  <si>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</si>
  <si>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</si>
  <si>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</si>
  <si>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</si>
  <si>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</si>
  <si>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y2018</t>
  </si>
  <si>
    <t>Current Assets</t>
  </si>
  <si>
    <t>Cash</t>
  </si>
  <si>
    <t>Accounts Receivable - Billed</t>
  </si>
  <si>
    <t>Accrued Intersest Receivable</t>
  </si>
  <si>
    <t>Prepaid Expenses</t>
  </si>
  <si>
    <t>Government Funds</t>
  </si>
  <si>
    <t>Investments, At Cost</t>
  </si>
  <si>
    <t>-</t>
  </si>
  <si>
    <t>Total Assets</t>
  </si>
  <si>
    <t>Restricted Assets</t>
  </si>
  <si>
    <t>Construction Fund (Investments)</t>
  </si>
  <si>
    <t>Debt Service Fund</t>
  </si>
  <si>
    <t>Surplus and retirement account</t>
  </si>
  <si>
    <t>Revenue funds</t>
  </si>
  <si>
    <t>Total Restricted Assets</t>
  </si>
  <si>
    <t>Fixed Assets</t>
  </si>
  <si>
    <t>Property</t>
  </si>
  <si>
    <t>Accumulated depreciation</t>
  </si>
  <si>
    <t>Property Less Depreciation</t>
  </si>
  <si>
    <t>Capital Assets in Construction</t>
  </si>
  <si>
    <t>Total Fixed Assets</t>
  </si>
  <si>
    <t>Other Assets</t>
  </si>
  <si>
    <t>Contributions Receivable</t>
  </si>
  <si>
    <t>Right to Use Asset net</t>
  </si>
  <si>
    <t>Total Other Assets</t>
  </si>
  <si>
    <t>Deferred</t>
  </si>
  <si>
    <t>Deferred Outflow of Resources due to Pensions</t>
  </si>
  <si>
    <t>Current Liabilities</t>
  </si>
  <si>
    <t>Accounts payable</t>
  </si>
  <si>
    <t>Accrued interest expense</t>
  </si>
  <si>
    <t>Accrued payroll (vacation or absences)</t>
  </si>
  <si>
    <t>Escrow deposits</t>
  </si>
  <si>
    <t>Current Portion of Debt Payable</t>
  </si>
  <si>
    <t>City Lease Obligation</t>
  </si>
  <si>
    <t>Line of Credit</t>
  </si>
  <si>
    <t>Due to Plant Fund</t>
  </si>
  <si>
    <t>Total Current Liabilities</t>
  </si>
  <si>
    <t>Longterm Liabilities</t>
  </si>
  <si>
    <t>Water Revenue Bonds</t>
  </si>
  <si>
    <t>Pennvest Loans Payable</t>
  </si>
  <si>
    <t>Note Payable</t>
  </si>
  <si>
    <t>Other - Pension and GASB 68</t>
  </si>
  <si>
    <t>Unamoritzed interest</t>
  </si>
  <si>
    <t>Total Longterm Debt</t>
  </si>
  <si>
    <t>Total Liabilities</t>
  </si>
  <si>
    <t>Fund Equity</t>
  </si>
  <si>
    <t>Contributed Capital / Invested in Capital Assets Net of Related Debt</t>
  </si>
  <si>
    <t>Reserved</t>
  </si>
  <si>
    <t>Unreserved</t>
  </si>
  <si>
    <t>Total Fund Equity</t>
  </si>
  <si>
    <t>Deferred Inflow Resources</t>
  </si>
  <si>
    <t>Total Liabilities and Fund Equity</t>
  </si>
  <si>
    <t>amountBilled</t>
  </si>
  <si>
    <t>uncollected</t>
  </si>
  <si>
    <t>percentCollected</t>
  </si>
  <si>
    <t>Line Item</t>
  </si>
  <si>
    <t>Notes</t>
  </si>
  <si>
    <t>[1]</t>
  </si>
  <si>
    <t>Enter as shown in the Total Operating Revenues line</t>
  </si>
  <si>
    <t xml:space="preserve"> </t>
  </si>
  <si>
    <t>[2]</t>
  </si>
  <si>
    <t>Enter as shown in the Total Operating Expenses line</t>
  </si>
  <si>
    <t>[3]</t>
  </si>
  <si>
    <t>Depreciation &amp; Amortization Expenses</t>
  </si>
  <si>
    <t>Depreciation and amortization are listed as a line item within Operating Expenses</t>
  </si>
  <si>
    <t>[4]</t>
  </si>
  <si>
    <t>Debt Principal Payments</t>
  </si>
  <si>
    <t>Enter $0 if there were no debt service payments</t>
  </si>
  <si>
    <t>Debt Interest Payments</t>
  </si>
  <si>
    <t>[4b]</t>
  </si>
  <si>
    <t>Current Assets, excluding inventories, restricted cash, prepaids</t>
  </si>
  <si>
    <t>[5]</t>
  </si>
  <si>
    <t>Total Current Assets minus all inventories, prepaid items and any kind of restricted cash or restricted assets that cannot be used to pay for Current Liabilities</t>
  </si>
  <si>
    <t>Current Liabilities, excluding deposits &amp; bond anticipation notes</t>
  </si>
  <si>
    <t>[6]</t>
  </si>
  <si>
    <t>Total Current Liabilities minus all refundable deposits and bond anticipation notes</t>
  </si>
  <si>
    <t>Unrestricted Cash &amp; Investments</t>
  </si>
  <si>
    <t>[7]</t>
  </si>
  <si>
    <t>Unrestricted Cash &amp; Investments (and Cash Equivalents) is listed as a line item within Current Assets</t>
  </si>
  <si>
    <t>Total Accumulated Depreciation</t>
  </si>
  <si>
    <t>[8]</t>
  </si>
  <si>
    <t>Total accumulated depreciation on capital assets being depreciated (buildings, equipment, other improvements) is usually shown in the Detail Notes on Capital Assets.</t>
  </si>
  <si>
    <t>Total Depreciable Capital Assets</t>
  </si>
  <si>
    <t>[9]</t>
  </si>
  <si>
    <t>Enter the total value of capital assets being depreciated (buildings, equipment, othre improvements) only. Often listed in Detail Notes on Capital Assets.</t>
  </si>
  <si>
    <t>[10]</t>
  </si>
  <si>
    <t>[11]</t>
  </si>
  <si>
    <t>Capital Spending</t>
  </si>
  <si>
    <t>[12]</t>
  </si>
  <si>
    <t>Enter Current PPE less Prior PPE + Depreciation</t>
  </si>
  <si>
    <t>[13]</t>
  </si>
  <si>
    <t>Total Debt</t>
  </si>
  <si>
    <t>Indicators</t>
  </si>
  <si>
    <t>Formula</t>
  </si>
  <si>
    <t>Operating Ratio (including depreciation)</t>
  </si>
  <si>
    <r>
      <rPr>
        <u/>
        <sz val="11"/>
        <color theme="1"/>
        <rFont val="Calibri"/>
        <family val="2"/>
        <scheme val="minor"/>
      </rPr>
      <t xml:space="preserve">_[1]_ </t>
    </r>
    <r>
      <rPr>
        <sz val="11"/>
        <color theme="1"/>
        <rFont val="Calibri"/>
        <family val="2"/>
        <scheme val="minor"/>
      </rPr>
      <t xml:space="preserve">
[2]</t>
    </r>
  </si>
  <si>
    <t>Operating Ratio (not including depreciation)</t>
  </si>
  <si>
    <r>
      <t>___</t>
    </r>
    <r>
      <rPr>
        <u/>
        <sz val="11"/>
        <color theme="1"/>
        <rFont val="Calibri"/>
        <family val="2"/>
        <scheme val="minor"/>
      </rPr>
      <t>[1]</t>
    </r>
    <r>
      <rPr>
        <sz val="11"/>
        <color theme="1"/>
        <rFont val="Calibri"/>
        <family val="2"/>
        <scheme val="minor"/>
      </rPr>
      <t xml:space="preserve">___
 [2] - [3] </t>
    </r>
  </si>
  <si>
    <t>Debt Service coverage ratio</t>
  </si>
  <si>
    <r>
      <t xml:space="preserve">_[1] -  [2] + [3] _
</t>
    </r>
    <r>
      <rPr>
        <sz val="11"/>
        <color theme="1"/>
        <rFont val="Calibri"/>
        <family val="2"/>
        <scheme val="minor"/>
      </rPr>
      <t>[4] + [4b]</t>
    </r>
  </si>
  <si>
    <t>Quick Ratio</t>
  </si>
  <si>
    <r>
      <t xml:space="preserve">_[5]_
</t>
    </r>
    <r>
      <rPr>
        <sz val="11"/>
        <color theme="1"/>
        <rFont val="Calibri"/>
        <family val="2"/>
        <scheme val="minor"/>
      </rPr>
      <t>[6]</t>
    </r>
  </si>
  <si>
    <t>Days cash on hand</t>
  </si>
  <si>
    <r>
      <t xml:space="preserve">____[7]____
</t>
    </r>
    <r>
      <rPr>
        <sz val="11"/>
        <color theme="1"/>
        <rFont val="Calibri"/>
        <family val="2"/>
        <scheme val="minor"/>
      </rPr>
      <t>(([2] - [3])/365)</t>
    </r>
  </si>
  <si>
    <t>Percent of capital assets depreciated</t>
  </si>
  <si>
    <r>
      <t xml:space="preserve">_[8]_
</t>
    </r>
    <r>
      <rPr>
        <sz val="11"/>
        <color theme="1"/>
        <rFont val="Calibri"/>
        <family val="2"/>
        <scheme val="minor"/>
      </rPr>
      <t>[9]</t>
    </r>
  </si>
  <si>
    <t>Debt to Equity Ratio</t>
  </si>
  <si>
    <r>
      <t>__</t>
    </r>
    <r>
      <rPr>
        <u/>
        <sz val="11"/>
        <color theme="1"/>
        <rFont val="Calibri"/>
        <family val="2"/>
        <scheme val="minor"/>
      </rPr>
      <t>[11]</t>
    </r>
    <r>
      <rPr>
        <sz val="11"/>
        <color theme="1"/>
        <rFont val="Calibri"/>
        <family val="2"/>
        <scheme val="minor"/>
      </rPr>
      <t>__
( [10] - [11])</t>
    </r>
  </si>
  <si>
    <t>*</t>
  </si>
  <si>
    <t>Average plant age</t>
  </si>
  <si>
    <r>
      <t xml:space="preserve">_[8]_
</t>
    </r>
    <r>
      <rPr>
        <sz val="11"/>
        <color theme="1"/>
        <rFont val="Calibri"/>
        <family val="2"/>
        <scheme val="minor"/>
      </rPr>
      <t>[3]</t>
    </r>
  </si>
  <si>
    <t>**</t>
  </si>
  <si>
    <t>CapEx</t>
  </si>
  <si>
    <t>Replacement ratio</t>
  </si>
  <si>
    <r>
      <rPr>
        <u/>
        <sz val="11"/>
        <color theme="1"/>
        <rFont val="Calibri"/>
        <family val="2"/>
        <scheme val="minor"/>
      </rPr>
      <t xml:space="preserve">_CapEx_
</t>
    </r>
    <r>
      <rPr>
        <sz val="11"/>
        <color theme="1"/>
        <rFont val="Calibri"/>
        <family val="2"/>
        <scheme val="minor"/>
      </rPr>
      <t>[3]</t>
    </r>
  </si>
  <si>
    <t>Debt to Assets Ratio</t>
  </si>
  <si>
    <r>
      <t xml:space="preserve">_[13]_
</t>
    </r>
    <r>
      <rPr>
        <sz val="11"/>
        <color theme="1"/>
        <rFont val="Calibri"/>
        <family val="2"/>
        <scheme val="minor"/>
      </rPr>
      <t xml:space="preserve">  [10]</t>
    </r>
  </si>
  <si>
    <t>*in cases where accumulated depcreciation is not available, calculate as: 35 - (net PPE / annual depreciation expense)</t>
  </si>
  <si>
    <t>**can also look in cash flow statement for capex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</si>
</sst>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3" formatCode="_(* #,##0.00_);_(* \(#,##0.00\);_(* &quot;-&quot;??_);_(@_)"/>
    <numFmt numFmtId="164" formatCode="_(* #,##0_);_(* \(#,##0\);_(* &quot;-&quot;??_);_(@_)"/>
    <numFmt numFmtId="165" formatCode="0.000"/>
    <numFmt numFmtId="166" formatCode="0.0"/>
  </numFmts>
  <fonts count="10">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sz val="8"/>
      <color rgb="FF000000"/>
      <name val="Arial"/>
      <family val="2"/>
    </font>
    <font>
      <sz val="12"/>
      <color theme="1"/>
      <name val="Calibri"/>
      <family val="2"/>
      <scheme val="minor"/>
    </font>
    <font>
      <sz val="12"/>
      <color theme="1" tint="0.34998626667073579"/>
      <name val="Calibri"/>
      <family val="2"/>
      <scheme val="minor"/>
    </font>
    <font>
      <b/>
      <sz val="12"/>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9">
    <xf numFmtId="0" fontId="0" fillId="0" borderId="0" xfId="0"/>
    <xf numFmtId="0" fontId="0" fillId="2" borderId="0" xfId="0" applyFill="1"/>
    <xf numFmtId="0" fontId="3" fillId="2" borderId="1" xfId="0" applyFont="1" applyFill="1" applyBorder="1" applyAlignment="1">
      <alignment horizontal="center"/>
    </xf>
    <xf numFmtId="1" fontId="3" fillId="2" borderId="1" xfId="0" applyNumberFormat="1" applyFont="1" applyFill="1" applyBorder="1" applyAlignment="1">
      <alignment horizontal="center"/>
    </xf>
    <xf numFmtId="0" fontId="3" fillId="2" borderId="1" xfId="0" applyFont="1" applyFill="1" applyBorder="1" applyAlignment="1"/>
    <xf numFmtId="164" fontId="3" fillId="2" borderId="1" xfId="1" applyNumberFormat="1" applyFont="1" applyFill="1" applyBorder="1"/>
    <xf numFmtId="0" fontId="3" fillId="2" borderId="1" xfId="0" applyFont="1" applyFill="1" applyBorder="1"/>
    <xf numFmtId="164" fontId="3" fillId="2" borderId="1" xfId="1" applyNumberFormat="1" applyFont="1" applyFill="1" applyBorder="1" applyAlignment="1">
      <alignment horizontal="center"/>
    </xf>
    <xf numFmtId="0" fontId="3" fillId="2" borderId="0" xfId="0" applyFont="1" applyFill="1"/>
    <xf numFmtId="164" fontId="3" fillId="2" borderId="1" xfId="1" applyNumberFormat="1" applyFont="1" applyFill="1" applyBorder="1" applyAlignment="1"/>
    <xf numFmtId="2" fontId="3" fillId="2" borderId="1" xfId="1" applyNumberFormat="1" applyFont="1" applyFill="1" applyBorder="1" applyAlignment="1">
      <alignment horizontal="center" vertical="center"/>
    </xf>
    <xf numFmtId="164" fontId="0" fillId="2" borderId="0" xfId="1" applyNumberFormat="1" applyFont="1" applyFill="1" applyAlignment="1">
      <alignment horizontal="center"/>
    </xf>
    <xf numFmtId="164" fontId="3" fillId="3" borderId="0" xfId="1" applyNumberFormat="1" applyFont="1" applyFill="1" applyAlignment="1">
      <alignment horizontal="center"/>
    </xf>
    <xf numFmtId="164" fontId="0" fillId="2" borderId="0" xfId="1" applyNumberFormat="1" applyFont="1" applyFill="1"/>
    <xf numFmtId="164" fontId="2" fillId="2" borderId="0" xfId="1" applyNumberFormat="1" applyFont="1" applyFill="1"/>
    <xf numFmtId="164" fontId="3" fillId="2" borderId="0" xfId="1" applyNumberFormat="1" applyFont="1" applyFill="1" applyAlignment="1">
      <alignment horizontal="center"/>
    </xf>
    <xf numFmtId="164" fontId="3" fillId="2" borderId="0" xfId="1" applyNumberFormat="1" applyFont="1" applyFill="1"/>
    <xf numFmtId="164" fontId="1" fillId="2" borderId="0" xfId="1" applyNumberFormat="1" applyFont="1" applyFill="1"/>
    <xf numFmtId="2" fontId="0" fillId="2" borderId="0" xfId="0" applyNumberFormat="1" applyFill="1"/>
    <xf numFmtId="0" fontId="0" fillId="2" borderId="0" xfId="0" applyFont="1" applyFill="1"/>
    <xf numFmtId="164" fontId="1" fillId="2" borderId="0" xfId="1" applyNumberFormat="1" applyFont="1" applyFill="1" applyBorder="1" applyAlignment="1">
      <alignment horizontal="center"/>
    </xf>
    <xf numFmtId="0" fontId="0" fillId="2" borderId="0" xfId="0" applyFont="1" applyFill="1" applyBorder="1"/>
    <xf numFmtId="164" fontId="1" fillId="2" borderId="0" xfId="1" applyNumberFormat="1" applyFont="1" applyFill="1" applyBorder="1"/>
    <xf numFmtId="0" fontId="0" fillId="2" borderId="0" xfId="0" applyFill="1" applyAlignment="1">
      <alignment horizontal="center"/>
    </xf>
    <xf numFmtId="0" fontId="4" fillId="2" borderId="0" xfId="0" applyFont="1" applyFill="1"/>
    <xf numFmtId="2" fontId="3" fillId="2" borderId="1" xfId="0" applyNumberFormat="1" applyFont="1" applyFill="1" applyBorder="1" applyAlignment="1">
      <alignment horizontal="center"/>
    </xf>
    <xf numFmtId="2" fontId="0" fillId="2" borderId="0" xfId="0" applyNumberFormat="1" applyFont="1" applyFill="1" applyBorder="1" applyAlignment="1">
      <alignment horizontal="center"/>
    </xf>
    <xf numFmtId="2" fontId="0" fillId="2" borderId="0" xfId="0" applyNumberFormat="1" applyFill="1" applyAlignment="1">
      <alignment horizontal="center"/>
    </xf>
    <xf numFmtId="3" fontId="0" fillId="2" borderId="0" xfId="0" applyNumberFormat="1" applyFill="1"/>
    <xf numFmtId="0" fontId="0" fillId="4" borderId="0" xfId="0" applyFill="1"/>
    <xf numFmtId="0" fontId="5" fillId="2" borderId="0" xfId="0" applyFont="1" applyFill="1" applyAlignment="1">
      <alignment vertical="center" wrapText="1"/>
    </xf>
    <xf numFmtId="164" fontId="1" fillId="2" borderId="0" xfId="1" applyNumberFormat="1" applyFont="1" applyFill="1" applyAlignment="1">
      <alignment horizontal="center"/>
    </xf>
    <xf numFmtId="0" fontId="3" fillId="3" borderId="0" xfId="0" applyFont="1" applyFill="1"/>
    <xf numFmtId="0" fontId="0" fillId="3" borderId="0" xfId="0" applyFill="1"/>
    <xf numFmtId="165" fontId="0" fillId="2" borderId="0" xfId="0" applyNumberFormat="1" applyFill="1"/>
    <xf numFmtId="0" fontId="0" fillId="2" borderId="1" xfId="0" applyFill="1" applyBorder="1"/>
    <xf numFmtId="164" fontId="0" fillId="2" borderId="0" xfId="0" applyNumberFormat="1" applyFill="1"/>
    <xf numFmtId="4" fontId="0" fillId="2" borderId="0" xfId="0" applyNumberFormat="1" applyFill="1"/>
    <xf numFmtId="0" fontId="3" fillId="2" borderId="1" xfId="0" applyFont="1" applyFill="1" applyBorder="1" applyAlignment="1">
      <alignment vertical="center"/>
    </xf>
    <xf numFmtId="0" fontId="3" fillId="2" borderId="1" xfId="0" applyFont="1" applyFill="1" applyBorder="1" applyAlignment="1">
      <alignment horizontal="center" vertical="center"/>
    </xf>
    <xf numFmtId="0" fontId="3" fillId="0" borderId="1" xfId="0" applyFont="1" applyBorder="1"/>
    <xf numFmtId="0" fontId="6" fillId="0" borderId="0" xfId="0" applyFont="1"/>
    <xf numFmtId="0" fontId="7" fillId="0" borderId="0" xfId="0" applyFont="1" applyAlignment="1">
      <alignment horizontal="left" indent="1"/>
    </xf>
    <xf numFmtId="164" fontId="0" fillId="0" borderId="0" xfId="1" applyNumberFormat="1" applyFont="1"/>
    <xf numFmtId="0" fontId="8" fillId="0" borderId="1" xfId="0" applyFont="1" applyBorder="1"/>
    <xf numFmtId="0" fontId="3" fillId="0" borderId="0" xfId="0" applyFont="1"/>
    <xf numFmtId="0" fontId="0" fillId="0" borderId="0" xfId="0" applyAlignment="1">
      <alignment horizontal="center" vertical="center" wrapText="1"/>
    </xf>
    <xf numFmtId="2" fontId="0" fillId="0" borderId="0" xfId="0" applyNumberFormat="1"/>
    <xf numFmtId="0" fontId="9" fillId="0" borderId="0" xfId="0" applyFont="1" applyAlignment="1">
      <alignment horizontal="center" vertical="center" wrapText="1"/>
    </xf>
    <xf numFmtId="1" fontId="0" fillId="0" borderId="0" xfId="0" applyNumberFormat="1"/>
    <xf numFmtId="9" fontId="0" fillId="0" borderId="0" xfId="2" applyFont="1"/>
    <xf numFmtId="166" fontId="0" fillId="0" borderId="0" xfId="0" applyNumberFormat="1"/>
    <xf numFmtId="0" fontId="0" fillId="0" borderId="0" xfId="0" applyAlignment="1">
      <alignment horizontal="center" vertical="center"/>
    </xf>
    <xf numFmtId="0" fontId="0" fillId="0" borderId="0" xfId="0" applyAlignment="1">
      <alignment wrapText="1"/>
    </xf>
    <xf numFmtId="0" fontId="0" fillId="0" borderId="0" xfId="0" applyAlignment="1">
      <alignment horizontal="center"/>
    </xf>
    <xf numFmtId="12" fontId="3" fillId="2" borderId="1" xfId="1" applyNumberFormat="1" applyFont="1" applyFill="1" applyBorder="1" applyAlignment="1">
      <alignment horizontal="center"/>
    </xf>
    <xf numFmtId="12" fontId="3" fillId="3" borderId="0" xfId="1" applyNumberFormat="1" applyFont="1" applyFill="1" applyAlignment="1">
      <alignment horizontal="center"/>
    </xf>
    <xf numFmtId="6" fontId="0" fillId="0" borderId="0" xfId="0" applyNumberFormat="1"/>
    <xf numFmtId="165" fontId="0" fillId="0" borderId="0" xfId="0" applyNumberForma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75462</xdr:colOff>
      <xdr:row>27</xdr:row>
      <xdr:rowOff>137160</xdr:rowOff>
    </xdr:from>
    <xdr:to>
      <xdr:col>6</xdr:col>
      <xdr:colOff>228600</xdr:colOff>
      <xdr:row>58</xdr:row>
      <xdr:rowOff>16946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75462" y="5539740"/>
          <a:ext cx="5662398" cy="55490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97"/>
  <sheetViews>
    <sheetView topLeftCell="A53" workbookViewId="0">
      <selection activeCell="B95" sqref="B95"/>
    </sheetView>
  </sheetViews>
  <sheetFormatPr defaultColWidth="8.85546875" defaultRowHeight="14.45"/>
  <cols>
    <col min="1" max="1" width="19.5703125" style="1" customWidth="1"/>
    <col min="2" max="3" width="8.85546875" style="1"/>
    <col min="4" max="4" width="21.42578125" style="1" customWidth="1"/>
    <col min="5" max="5" width="8.85546875" style="1"/>
    <col min="6" max="6" width="12.42578125" style="1" customWidth="1"/>
    <col min="7" max="16384" width="8.85546875" style="1"/>
  </cols>
  <sheetData>
    <row r="2" spans="1:6" ht="50.1">
      <c r="A2" s="30" t="s">
        <v>0</v>
      </c>
      <c r="D2" s="30" t="s">
        <v>1</v>
      </c>
      <c r="F2" s="30" t="s">
        <v>2</v>
      </c>
    </row>
    <row r="3" spans="1:6">
      <c r="A3"/>
    </row>
    <row r="4" spans="1:6">
      <c r="A4" s="29" t="s">
        <v>3</v>
      </c>
      <c r="B4" s="29"/>
      <c r="C4" s="29"/>
      <c r="D4" s="29"/>
      <c r="E4" s="29"/>
      <c r="F4" s="29"/>
    </row>
    <row r="5" spans="1:6">
      <c r="A5" t="s">
        <v>4</v>
      </c>
    </row>
    <row r="7" spans="1:6">
      <c r="A7" s="1" t="s">
        <v>5</v>
      </c>
    </row>
    <row r="8" spans="1:6">
      <c r="A8" s="1" t="s">
        <v>6</v>
      </c>
    </row>
    <row r="9" spans="1:6">
      <c r="A9" s="1" t="s">
        <v>7</v>
      </c>
    </row>
    <row r="10" spans="1:6">
      <c r="A10" s="1" t="s">
        <v>8</v>
      </c>
    </row>
    <row r="14" spans="1:6" s="33" customFormat="1">
      <c r="A14" s="32" t="s">
        <v>9</v>
      </c>
    </row>
    <row r="15" spans="1:6">
      <c r="A15" s="1" t="s">
        <v>10</v>
      </c>
    </row>
    <row r="16" spans="1:6">
      <c r="A16" s="1" t="s">
        <v>11</v>
      </c>
    </row>
    <row r="17" spans="1:6">
      <c r="A17" s="1" t="s">
        <v>12</v>
      </c>
    </row>
    <row r="19" spans="1:6">
      <c r="A19" s="1" t="s">
        <v>13</v>
      </c>
    </row>
    <row r="20" spans="1:6">
      <c r="A20" s="1" t="s">
        <v>14</v>
      </c>
    </row>
    <row r="21" spans="1:6">
      <c r="A21" s="1" t="s">
        <v>15</v>
      </c>
    </row>
    <row r="22" spans="1:6">
      <c r="A22" s="1" t="s">
        <v>16</v>
      </c>
    </row>
    <row r="25" spans="1:6">
      <c r="A25" s="1" t="s">
        <v>17</v>
      </c>
    </row>
    <row r="27" spans="1:6">
      <c r="A27" s="1" t="s">
        <v>18</v>
      </c>
    </row>
    <row r="31" spans="1:6">
      <c r="A31" s="24"/>
      <c r="B31" s="24"/>
      <c r="C31" s="24"/>
      <c r="D31" s="24"/>
      <c r="E31" s="24"/>
      <c r="F31" s="24"/>
    </row>
    <row r="61" spans="1:1">
      <c r="A61" t="s">
        <v>19</v>
      </c>
    </row>
    <row r="63" spans="1:1">
      <c r="A63" s="8" t="s">
        <v>20</v>
      </c>
    </row>
    <row r="64" spans="1:1">
      <c r="A64" s="1" t="s">
        <v>21</v>
      </c>
    </row>
    <row r="65" spans="1:1">
      <c r="A65" s="1" t="s">
        <v>22</v>
      </c>
    </row>
    <row r="66" spans="1:1">
      <c r="A66" s="1" t="s">
        <v>23</v>
      </c>
    </row>
    <row r="67" spans="1:1">
      <c r="A67" s="1" t="s">
        <v>24</v>
      </c>
    </row>
    <row r="68" spans="1:1">
      <c r="A68" s="1" t="s">
        <v>25</v>
      </c>
    </row>
    <row r="69" spans="1:1">
      <c r="A69" s="1" t="s">
        <v>26</v>
      </c>
    </row>
    <row r="70" spans="1:1">
      <c r="A70" s="1" t="s">
        <v>27</v>
      </c>
    </row>
    <row r="71" spans="1:1">
      <c r="A71" s="1" t="s">
        <v>28</v>
      </c>
    </row>
    <row r="72" spans="1:1">
      <c r="A72" s="1" t="s">
        <v>29</v>
      </c>
    </row>
    <row r="73" spans="1:1">
      <c r="A73" s="1" t="s">
        <v>30</v>
      </c>
    </row>
    <row r="75" spans="1:1">
      <c r="A75" s="1" t="s">
        <v>31</v>
      </c>
    </row>
    <row r="76" spans="1:1">
      <c r="A76" s="1" t="s">
        <v>32</v>
      </c>
    </row>
    <row r="77" spans="1:1">
      <c r="A77" s="1" t="s">
        <v>33</v>
      </c>
    </row>
    <row r="78" spans="1:1">
      <c r="A78" s="1" t="s">
        <v>34</v>
      </c>
    </row>
    <row r="79" spans="1:1">
      <c r="A79" s="1" t="s">
        <v>35</v>
      </c>
    </row>
    <row r="80" spans="1:1">
      <c r="A80" s="1" t="s">
        <v>36</v>
      </c>
    </row>
    <row r="81" spans="1:1">
      <c r="A81" s="1" t="s">
        <v>37</v>
      </c>
    </row>
    <row r="82" spans="1:1">
      <c r="A82" s="1" t="s">
        <v>38</v>
      </c>
    </row>
    <row r="83" spans="1:1">
      <c r="A83" s="1" t="s">
        <v>39</v>
      </c>
    </row>
    <row r="84" spans="1:1">
      <c r="A84" s="1" t="s">
        <v>40</v>
      </c>
    </row>
    <row r="85" spans="1:1">
      <c r="A85" s="1" t="s">
        <v>41</v>
      </c>
    </row>
    <row r="86" spans="1:1">
      <c r="A86" s="1" t="s">
        <v>42</v>
      </c>
    </row>
    <row r="87" spans="1:1">
      <c r="A87" s="1" t="s">
        <v>43</v>
      </c>
    </row>
    <row r="88" spans="1:1">
      <c r="A88" s="1" t="s">
        <v>44</v>
      </c>
    </row>
    <row r="91" spans="1:1">
      <c r="A91" s="1" t="s">
        <v>45</v>
      </c>
    </row>
    <row r="92" spans="1:1">
      <c r="A92" s="1" t="s">
        <v>46</v>
      </c>
    </row>
    <row r="93" spans="1:1">
      <c r="A93" s="1" t="s">
        <v>47</v>
      </c>
    </row>
    <row r="94" spans="1:1">
      <c r="A94" s="8" t="s">
        <v>48</v>
      </c>
    </row>
    <row r="95" spans="1:1">
      <c r="A95" s="1" t="s">
        <v>49</v>
      </c>
    </row>
    <row r="97" spans="1:1">
      <c r="A97" s="1" t="s">
        <v>50</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6"/>
  <sheetViews>
    <sheetView topLeftCell="E1" workbookViewId="0">
      <selection activeCell="H7" sqref="H7"/>
    </sheetView>
  </sheetViews>
  <sheetFormatPr defaultColWidth="8.85546875" defaultRowHeight="14.45"/>
  <cols>
    <col min="1" max="1" width="8.85546875" style="1"/>
    <col min="2" max="2" width="15.5703125" style="1" customWidth="1"/>
    <col min="3" max="16384" width="8.85546875" style="1"/>
  </cols>
  <sheetData>
    <row r="1" spans="1:20">
      <c r="A1" s="2" t="s">
        <v>51</v>
      </c>
      <c r="B1" s="2" t="s">
        <v>52</v>
      </c>
      <c r="C1" s="2" t="s">
        <v>53</v>
      </c>
      <c r="D1" s="2" t="s">
        <v>59</v>
      </c>
      <c r="E1" s="2" t="s">
        <v>54</v>
      </c>
      <c r="F1" s="2" t="s">
        <v>244</v>
      </c>
      <c r="G1" s="2" t="s">
        <v>245</v>
      </c>
      <c r="H1" s="6" t="s">
        <v>246</v>
      </c>
      <c r="I1" s="2" t="s">
        <v>247</v>
      </c>
      <c r="J1" s="2" t="s">
        <v>248</v>
      </c>
      <c r="K1" s="2" t="s">
        <v>249</v>
      </c>
      <c r="L1" s="2" t="s">
        <v>250</v>
      </c>
      <c r="M1" s="2" t="s">
        <v>251</v>
      </c>
      <c r="N1" s="2" t="s">
        <v>252</v>
      </c>
      <c r="O1" s="2" t="s">
        <v>253</v>
      </c>
      <c r="P1" s="2" t="s">
        <v>254</v>
      </c>
      <c r="Q1" s="2" t="s">
        <v>255</v>
      </c>
      <c r="R1" s="2" t="s">
        <v>256</v>
      </c>
      <c r="S1" s="2" t="s">
        <v>257</v>
      </c>
      <c r="T1" s="6" t="s">
        <v>69</v>
      </c>
    </row>
    <row r="2" spans="1:20">
      <c r="A2" s="1" t="s">
        <v>70</v>
      </c>
      <c r="B2" s="1" t="s">
        <v>258</v>
      </c>
      <c r="C2" s="1">
        <v>1997</v>
      </c>
      <c r="D2" s="1">
        <v>1948</v>
      </c>
      <c r="E2" s="1" t="s">
        <v>72</v>
      </c>
      <c r="F2" s="1" t="s">
        <v>259</v>
      </c>
      <c r="G2" s="1" t="s">
        <v>260</v>
      </c>
      <c r="H2" s="1" t="s">
        <v>261</v>
      </c>
      <c r="M2" s="1">
        <v>10</v>
      </c>
      <c r="N2" s="1">
        <v>1</v>
      </c>
      <c r="Q2" s="1">
        <v>21560</v>
      </c>
      <c r="R2" s="1">
        <v>300</v>
      </c>
      <c r="T2" s="1" t="s">
        <v>262</v>
      </c>
    </row>
    <row r="3" spans="1:20">
      <c r="A3" s="1" t="s">
        <v>70</v>
      </c>
      <c r="B3" s="1" t="s">
        <v>258</v>
      </c>
      <c r="C3" s="1">
        <v>2003</v>
      </c>
      <c r="D3" s="1">
        <v>1948</v>
      </c>
      <c r="E3" s="1" t="s">
        <v>81</v>
      </c>
      <c r="F3" s="1" t="s">
        <v>259</v>
      </c>
      <c r="G3" s="1" t="s">
        <v>260</v>
      </c>
      <c r="H3" s="1" t="s">
        <v>73</v>
      </c>
      <c r="K3" s="1">
        <v>142</v>
      </c>
      <c r="M3" s="1">
        <v>3</v>
      </c>
      <c r="N3" s="1">
        <v>1</v>
      </c>
      <c r="Q3" s="1">
        <v>20000</v>
      </c>
      <c r="R3" s="1">
        <v>325</v>
      </c>
    </row>
    <row r="4" spans="1:20">
      <c r="A4" s="1" t="s">
        <v>70</v>
      </c>
      <c r="B4" s="1" t="s">
        <v>258</v>
      </c>
      <c r="C4" s="1">
        <v>2004</v>
      </c>
      <c r="D4" s="1">
        <v>1948</v>
      </c>
      <c r="E4" s="1" t="s">
        <v>81</v>
      </c>
      <c r="F4" s="1" t="s">
        <v>259</v>
      </c>
      <c r="G4" s="1" t="s">
        <v>260</v>
      </c>
      <c r="H4" s="1" t="s">
        <v>73</v>
      </c>
      <c r="K4" s="1">
        <v>142</v>
      </c>
      <c r="M4" s="1">
        <v>3</v>
      </c>
      <c r="N4" s="1">
        <v>1</v>
      </c>
      <c r="Q4" s="1">
        <v>20000</v>
      </c>
      <c r="R4" s="1">
        <v>325</v>
      </c>
    </row>
    <row r="5" spans="1:20">
      <c r="A5" s="1" t="s">
        <v>70</v>
      </c>
      <c r="B5" s="1" t="s">
        <v>71</v>
      </c>
      <c r="C5" s="1">
        <v>2007</v>
      </c>
      <c r="D5" s="1">
        <v>1948</v>
      </c>
      <c r="E5" s="1" t="s">
        <v>72</v>
      </c>
      <c r="F5" s="1" t="s">
        <v>259</v>
      </c>
      <c r="G5" s="1" t="s">
        <v>260</v>
      </c>
      <c r="H5" s="1" t="s">
        <v>263</v>
      </c>
      <c r="M5" s="1">
        <v>10</v>
      </c>
      <c r="N5" s="1">
        <v>1</v>
      </c>
      <c r="Q5" s="1">
        <v>75000</v>
      </c>
      <c r="R5" s="1">
        <v>383</v>
      </c>
      <c r="T5" s="1" t="s">
        <v>264</v>
      </c>
    </row>
    <row r="6" spans="1:20">
      <c r="A6" s="1" t="s">
        <v>70</v>
      </c>
      <c r="B6" s="1" t="s">
        <v>71</v>
      </c>
      <c r="C6" s="1">
        <v>2010</v>
      </c>
      <c r="D6" s="1">
        <v>1948</v>
      </c>
      <c r="E6" s="1" t="s">
        <v>81</v>
      </c>
      <c r="F6" s="1" t="s">
        <v>259</v>
      </c>
      <c r="G6" s="1" t="s">
        <v>260</v>
      </c>
      <c r="H6" s="1" t="s">
        <v>263</v>
      </c>
      <c r="M6" s="1">
        <v>3</v>
      </c>
      <c r="N6" s="1">
        <v>1</v>
      </c>
      <c r="Q6" s="1">
        <v>20000</v>
      </c>
      <c r="R6" s="1">
        <v>233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1"/>
  <sheetViews>
    <sheetView workbookViewId="0">
      <selection activeCell="J11" sqref="J11"/>
    </sheetView>
  </sheetViews>
  <sheetFormatPr defaultColWidth="8.85546875" defaultRowHeight="14.45"/>
  <cols>
    <col min="1" max="1" width="10.140625" style="1" bestFit="1" customWidth="1"/>
    <col min="2" max="4" width="8.85546875" style="1"/>
    <col min="5" max="5" width="15.85546875" style="1" bestFit="1" customWidth="1"/>
    <col min="6" max="6" width="20.42578125" style="1" bestFit="1" customWidth="1"/>
    <col min="7" max="16384" width="8.85546875" style="1"/>
  </cols>
  <sheetData>
    <row r="1" spans="1:11">
      <c r="A1" s="2" t="s">
        <v>51</v>
      </c>
      <c r="B1" s="2" t="s">
        <v>53</v>
      </c>
      <c r="C1" s="2" t="s">
        <v>54</v>
      </c>
      <c r="D1" s="2" t="s">
        <v>265</v>
      </c>
      <c r="E1" s="2" t="s">
        <v>266</v>
      </c>
      <c r="F1" s="2" t="s">
        <v>267</v>
      </c>
      <c r="G1" s="2" t="s">
        <v>127</v>
      </c>
      <c r="H1" s="2" t="s">
        <v>268</v>
      </c>
      <c r="I1" s="2" t="s">
        <v>269</v>
      </c>
      <c r="J1" s="2" t="s">
        <v>270</v>
      </c>
      <c r="K1" s="2" t="s">
        <v>69</v>
      </c>
    </row>
    <row r="2" spans="1:11">
      <c r="A2" s="1" t="s">
        <v>70</v>
      </c>
      <c r="B2" s="1">
        <v>1997</v>
      </c>
      <c r="C2" s="1" t="s">
        <v>72</v>
      </c>
      <c r="D2" s="1" t="s">
        <v>223</v>
      </c>
      <c r="G2" s="1" t="s">
        <v>271</v>
      </c>
      <c r="H2" s="1" t="s">
        <v>272</v>
      </c>
      <c r="I2" s="1">
        <v>1992</v>
      </c>
      <c r="K2" s="1" t="s">
        <v>273</v>
      </c>
    </row>
    <row r="3" spans="1:11">
      <c r="A3" s="1" t="s">
        <v>70</v>
      </c>
      <c r="B3" s="1">
        <v>1997</v>
      </c>
      <c r="C3" s="1" t="s">
        <v>72</v>
      </c>
      <c r="D3" s="1" t="s">
        <v>274</v>
      </c>
      <c r="G3" s="1" t="s">
        <v>271</v>
      </c>
      <c r="H3" s="1" t="s">
        <v>272</v>
      </c>
      <c r="I3" s="1">
        <v>1992</v>
      </c>
      <c r="K3" s="1" t="s">
        <v>275</v>
      </c>
    </row>
    <row r="4" spans="1:11">
      <c r="A4" s="1" t="s">
        <v>70</v>
      </c>
      <c r="B4" s="1">
        <v>1997</v>
      </c>
      <c r="C4" s="1" t="s">
        <v>72</v>
      </c>
      <c r="D4" s="1" t="s">
        <v>276</v>
      </c>
      <c r="G4" s="1" t="s">
        <v>277</v>
      </c>
      <c r="H4" s="1" t="s">
        <v>272</v>
      </c>
      <c r="I4" s="1">
        <v>1992</v>
      </c>
    </row>
    <row r="5" spans="1:11">
      <c r="A5" s="1" t="s">
        <v>70</v>
      </c>
      <c r="B5" s="1">
        <v>2007</v>
      </c>
      <c r="C5" s="1" t="s">
        <v>72</v>
      </c>
      <c r="D5" s="1" t="s">
        <v>278</v>
      </c>
      <c r="E5" s="1">
        <v>0.21</v>
      </c>
      <c r="F5" s="1">
        <v>0.45</v>
      </c>
      <c r="G5" s="1" t="s">
        <v>271</v>
      </c>
      <c r="H5" s="1" t="s">
        <v>272</v>
      </c>
      <c r="I5" s="1">
        <v>1992</v>
      </c>
      <c r="K5" s="1" t="s">
        <v>279</v>
      </c>
    </row>
    <row r="6" spans="1:11">
      <c r="A6" s="1" t="s">
        <v>70</v>
      </c>
      <c r="B6" s="1">
        <v>2007</v>
      </c>
      <c r="C6" s="1" t="s">
        <v>72</v>
      </c>
      <c r="D6" s="1" t="s">
        <v>280</v>
      </c>
      <c r="F6" s="1">
        <v>0.109</v>
      </c>
      <c r="G6" s="1" t="s">
        <v>271</v>
      </c>
      <c r="H6" s="1" t="s">
        <v>272</v>
      </c>
      <c r="I6" s="1">
        <v>2003</v>
      </c>
      <c r="K6" s="1" t="s">
        <v>279</v>
      </c>
    </row>
    <row r="7" spans="1:11">
      <c r="A7" s="1" t="s">
        <v>70</v>
      </c>
      <c r="B7" s="1">
        <v>2007</v>
      </c>
      <c r="C7" s="1" t="s">
        <v>72</v>
      </c>
      <c r="D7" s="1" t="s">
        <v>276</v>
      </c>
      <c r="E7" s="1">
        <v>2E-3</v>
      </c>
      <c r="F7" s="1">
        <v>4.0000000000000001E-3</v>
      </c>
      <c r="G7" s="1" t="s">
        <v>277</v>
      </c>
      <c r="H7" s="1" t="s">
        <v>272</v>
      </c>
      <c r="I7" s="1">
        <v>1992</v>
      </c>
      <c r="K7" s="1" t="s">
        <v>281</v>
      </c>
    </row>
    <row r="8" spans="1:11">
      <c r="A8" s="1" t="s">
        <v>70</v>
      </c>
      <c r="B8" s="1">
        <v>2007</v>
      </c>
      <c r="C8" s="1" t="s">
        <v>72</v>
      </c>
      <c r="D8" s="1" t="s">
        <v>223</v>
      </c>
      <c r="E8" s="1">
        <v>0.28999999999999998</v>
      </c>
      <c r="F8" s="1">
        <v>0.85</v>
      </c>
      <c r="G8" s="1" t="s">
        <v>271</v>
      </c>
      <c r="H8" s="1" t="s">
        <v>272</v>
      </c>
      <c r="I8" s="1">
        <v>1992</v>
      </c>
      <c r="K8" s="1" t="s">
        <v>282</v>
      </c>
    </row>
    <row r="9" spans="1:11">
      <c r="A9" s="1" t="s">
        <v>70</v>
      </c>
      <c r="B9" s="1">
        <v>2007</v>
      </c>
      <c r="C9" s="1" t="s">
        <v>72</v>
      </c>
      <c r="D9" s="1" t="s">
        <v>274</v>
      </c>
      <c r="E9" s="1">
        <v>0.78900000000000003</v>
      </c>
      <c r="F9" s="1">
        <v>1.45</v>
      </c>
      <c r="G9" s="1" t="s">
        <v>271</v>
      </c>
      <c r="H9" s="1" t="s">
        <v>272</v>
      </c>
      <c r="I9" s="1">
        <v>1992</v>
      </c>
      <c r="K9" s="1" t="s">
        <v>283</v>
      </c>
    </row>
    <row r="10" spans="1:11">
      <c r="A10" s="1" t="s">
        <v>70</v>
      </c>
      <c r="B10" s="1">
        <v>2010</v>
      </c>
      <c r="C10" s="1" t="s">
        <v>81</v>
      </c>
      <c r="D10" s="1" t="s">
        <v>216</v>
      </c>
      <c r="K10" s="1" t="s">
        <v>284</v>
      </c>
    </row>
    <row r="11" spans="1:11">
      <c r="A11" s="1" t="s">
        <v>70</v>
      </c>
      <c r="B11" s="1">
        <v>2010</v>
      </c>
      <c r="C11" s="1" t="s">
        <v>81</v>
      </c>
      <c r="D11" s="1" t="s">
        <v>218</v>
      </c>
      <c r="K11" s="1" t="s">
        <v>284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4"/>
  <sheetViews>
    <sheetView workbookViewId="0">
      <selection sqref="A1:L1"/>
    </sheetView>
  </sheetViews>
  <sheetFormatPr defaultColWidth="8.85546875" defaultRowHeight="14.45"/>
  <cols>
    <col min="1" max="1" width="10.140625" style="1" bestFit="1" customWidth="1"/>
    <col min="2" max="16384" width="8.85546875" style="1"/>
  </cols>
  <sheetData>
    <row r="1" spans="1:12">
      <c r="A1" s="2" t="s">
        <v>51</v>
      </c>
      <c r="B1" s="2" t="s">
        <v>52</v>
      </c>
      <c r="C1" s="2" t="s">
        <v>53</v>
      </c>
      <c r="D1" s="6" t="s">
        <v>285</v>
      </c>
      <c r="E1" s="6" t="s">
        <v>286</v>
      </c>
      <c r="F1" s="6" t="s">
        <v>287</v>
      </c>
      <c r="G1" s="6" t="s">
        <v>288</v>
      </c>
      <c r="H1" s="6" t="s">
        <v>289</v>
      </c>
      <c r="I1" s="6" t="s">
        <v>290</v>
      </c>
      <c r="J1" s="6" t="s">
        <v>291</v>
      </c>
      <c r="K1" s="6" t="s">
        <v>292</v>
      </c>
      <c r="L1" s="6" t="s">
        <v>69</v>
      </c>
    </row>
    <row r="2" spans="1:12">
      <c r="A2" s="1" t="s">
        <v>70</v>
      </c>
      <c r="B2" s="1" t="s">
        <v>71</v>
      </c>
      <c r="C2" s="1">
        <v>1997</v>
      </c>
      <c r="D2" s="1" t="s">
        <v>293</v>
      </c>
      <c r="E2" s="1" t="s">
        <v>294</v>
      </c>
      <c r="F2" s="1" t="s">
        <v>295</v>
      </c>
      <c r="L2" s="1" t="s">
        <v>296</v>
      </c>
    </row>
    <row r="3" spans="1:12">
      <c r="A3" s="1" t="s">
        <v>70</v>
      </c>
      <c r="B3" s="1" t="s">
        <v>71</v>
      </c>
      <c r="C3" s="1">
        <v>1997</v>
      </c>
      <c r="D3" s="1" t="s">
        <v>293</v>
      </c>
      <c r="E3" s="1" t="s">
        <v>297</v>
      </c>
      <c r="F3" s="1" t="s">
        <v>295</v>
      </c>
      <c r="L3" s="1" t="s">
        <v>298</v>
      </c>
    </row>
    <row r="4" spans="1:12">
      <c r="A4" s="1" t="s">
        <v>70</v>
      </c>
      <c r="B4" s="1" t="s">
        <v>71</v>
      </c>
      <c r="C4" s="1">
        <v>1997</v>
      </c>
      <c r="D4" s="1" t="s">
        <v>293</v>
      </c>
      <c r="E4" s="1" t="s">
        <v>223</v>
      </c>
      <c r="F4" s="1" t="s">
        <v>295</v>
      </c>
    </row>
    <row r="5" spans="1:12">
      <c r="A5" s="1" t="s">
        <v>70</v>
      </c>
      <c r="B5" s="1" t="s">
        <v>71</v>
      </c>
      <c r="C5" s="1">
        <v>1997</v>
      </c>
      <c r="D5" s="1" t="s">
        <v>293</v>
      </c>
      <c r="E5" s="1" t="s">
        <v>299</v>
      </c>
      <c r="F5" s="1" t="s">
        <v>295</v>
      </c>
    </row>
    <row r="6" spans="1:12">
      <c r="A6" s="1" t="s">
        <v>70</v>
      </c>
      <c r="B6" s="1" t="s">
        <v>71</v>
      </c>
      <c r="C6" s="1">
        <v>1997</v>
      </c>
      <c r="D6" s="1" t="s">
        <v>293</v>
      </c>
      <c r="E6" s="1" t="s">
        <v>300</v>
      </c>
      <c r="F6" s="1" t="s">
        <v>295</v>
      </c>
    </row>
    <row r="7" spans="1:12">
      <c r="A7" s="1" t="s">
        <v>70</v>
      </c>
      <c r="B7" s="1" t="s">
        <v>71</v>
      </c>
      <c r="C7" s="1">
        <v>1997</v>
      </c>
      <c r="D7" s="1" t="s">
        <v>293</v>
      </c>
      <c r="E7" s="1" t="s">
        <v>301</v>
      </c>
      <c r="F7" s="1" t="s">
        <v>295</v>
      </c>
    </row>
    <row r="8" spans="1:12">
      <c r="A8" s="1" t="s">
        <v>70</v>
      </c>
      <c r="B8" s="1" t="s">
        <v>71</v>
      </c>
      <c r="C8" s="1">
        <v>1997</v>
      </c>
      <c r="D8" s="1" t="s">
        <v>293</v>
      </c>
      <c r="E8" s="1" t="s">
        <v>302</v>
      </c>
      <c r="F8" s="1" t="s">
        <v>295</v>
      </c>
    </row>
    <row r="9" spans="1:12">
      <c r="A9" s="1" t="s">
        <v>70</v>
      </c>
      <c r="B9" s="1" t="s">
        <v>71</v>
      </c>
      <c r="C9" s="1">
        <v>1997</v>
      </c>
      <c r="D9" s="1" t="s">
        <v>293</v>
      </c>
      <c r="E9" s="1" t="s">
        <v>303</v>
      </c>
      <c r="F9" s="1" t="s">
        <v>295</v>
      </c>
      <c r="L9" s="1" t="s">
        <v>304</v>
      </c>
    </row>
    <row r="10" spans="1:12">
      <c r="A10" s="1" t="s">
        <v>70</v>
      </c>
      <c r="B10" s="1" t="s">
        <v>71</v>
      </c>
      <c r="C10" s="1">
        <v>1997</v>
      </c>
      <c r="D10" s="1" t="s">
        <v>293</v>
      </c>
      <c r="E10" s="1" t="s">
        <v>218</v>
      </c>
      <c r="F10" s="1" t="s">
        <v>295</v>
      </c>
      <c r="L10" s="1" t="s">
        <v>304</v>
      </c>
    </row>
    <row r="11" spans="1:12">
      <c r="A11" s="1" t="s">
        <v>70</v>
      </c>
      <c r="B11" s="1" t="s">
        <v>71</v>
      </c>
      <c r="C11" s="1">
        <v>1997</v>
      </c>
      <c r="D11" s="1" t="s">
        <v>305</v>
      </c>
      <c r="E11" s="1" t="s">
        <v>306</v>
      </c>
      <c r="F11" s="1" t="s">
        <v>307</v>
      </c>
      <c r="G11" s="1">
        <v>1970</v>
      </c>
      <c r="L11" s="1" t="s">
        <v>304</v>
      </c>
    </row>
    <row r="12" spans="1:12">
      <c r="A12" s="1" t="s">
        <v>70</v>
      </c>
      <c r="B12" s="1" t="s">
        <v>71</v>
      </c>
      <c r="C12" s="1">
        <v>2007</v>
      </c>
      <c r="D12" s="1" t="s">
        <v>293</v>
      </c>
      <c r="E12" s="1" t="s">
        <v>294</v>
      </c>
      <c r="F12" s="1" t="s">
        <v>295</v>
      </c>
      <c r="G12" s="1">
        <v>1907</v>
      </c>
      <c r="H12" s="1">
        <v>1993</v>
      </c>
      <c r="I12" s="1">
        <v>119</v>
      </c>
      <c r="L12" s="1" t="s">
        <v>308</v>
      </c>
    </row>
    <row r="13" spans="1:12">
      <c r="A13" s="1" t="s">
        <v>70</v>
      </c>
      <c r="B13" s="1" t="s">
        <v>71</v>
      </c>
      <c r="C13" s="1">
        <v>2007</v>
      </c>
      <c r="D13" s="1" t="s">
        <v>293</v>
      </c>
      <c r="E13" s="1" t="s">
        <v>309</v>
      </c>
      <c r="F13" s="1" t="s">
        <v>295</v>
      </c>
      <c r="G13" s="1">
        <v>1956</v>
      </c>
      <c r="I13" s="1">
        <v>75</v>
      </c>
    </row>
    <row r="14" spans="1:12">
      <c r="A14" s="1" t="s">
        <v>70</v>
      </c>
      <c r="B14" s="1" t="s">
        <v>71</v>
      </c>
      <c r="C14" s="1">
        <v>2007</v>
      </c>
      <c r="D14" s="1" t="s">
        <v>293</v>
      </c>
      <c r="E14" s="1" t="s">
        <v>297</v>
      </c>
      <c r="F14" s="1" t="s">
        <v>295</v>
      </c>
      <c r="G14" s="1">
        <v>1875</v>
      </c>
      <c r="H14" s="1">
        <v>1990</v>
      </c>
      <c r="I14" s="1">
        <v>188</v>
      </c>
      <c r="L14" s="1" t="s">
        <v>310</v>
      </c>
    </row>
    <row r="15" spans="1:12">
      <c r="A15" s="1" t="s">
        <v>70</v>
      </c>
      <c r="B15" s="1" t="s">
        <v>71</v>
      </c>
      <c r="C15" s="1">
        <v>2007</v>
      </c>
      <c r="D15" s="1" t="s">
        <v>293</v>
      </c>
      <c r="E15" s="1" t="s">
        <v>223</v>
      </c>
      <c r="F15" s="1" t="s">
        <v>295</v>
      </c>
      <c r="G15" s="1">
        <v>1920</v>
      </c>
      <c r="H15" s="1">
        <v>1945</v>
      </c>
      <c r="I15" s="1">
        <v>315</v>
      </c>
      <c r="J15" s="1" t="s">
        <v>311</v>
      </c>
      <c r="K15" s="1" t="s">
        <v>312</v>
      </c>
      <c r="L15" s="1" t="s">
        <v>313</v>
      </c>
    </row>
    <row r="16" spans="1:12">
      <c r="A16" s="1" t="s">
        <v>70</v>
      </c>
      <c r="B16" s="1" t="s">
        <v>71</v>
      </c>
      <c r="C16" s="1">
        <v>2007</v>
      </c>
      <c r="D16" s="1" t="s">
        <v>293</v>
      </c>
      <c r="E16" s="1" t="s">
        <v>299</v>
      </c>
      <c r="F16" s="1" t="s">
        <v>295</v>
      </c>
      <c r="G16" s="1">
        <v>1924</v>
      </c>
      <c r="H16" s="1">
        <v>2005</v>
      </c>
      <c r="I16" s="1">
        <v>320</v>
      </c>
      <c r="L16" s="1" t="s">
        <v>314</v>
      </c>
    </row>
    <row r="17" spans="1:12">
      <c r="A17" s="1" t="s">
        <v>70</v>
      </c>
      <c r="B17" s="1" t="s">
        <v>71</v>
      </c>
      <c r="C17" s="1">
        <v>2007</v>
      </c>
      <c r="D17" s="1" t="s">
        <v>293</v>
      </c>
      <c r="E17" s="1" t="s">
        <v>301</v>
      </c>
      <c r="F17" s="1" t="s">
        <v>295</v>
      </c>
      <c r="G17" s="1">
        <v>1956</v>
      </c>
      <c r="I17" s="1">
        <v>519</v>
      </c>
    </row>
    <row r="18" spans="1:12">
      <c r="A18" s="1" t="s">
        <v>70</v>
      </c>
      <c r="B18" s="1" t="s">
        <v>71</v>
      </c>
      <c r="C18" s="1">
        <v>2007</v>
      </c>
      <c r="D18" s="1" t="s">
        <v>293</v>
      </c>
      <c r="E18" s="1" t="s">
        <v>302</v>
      </c>
      <c r="F18" s="1" t="s">
        <v>295</v>
      </c>
      <c r="G18" s="1">
        <v>1913</v>
      </c>
      <c r="H18" s="1">
        <v>1984</v>
      </c>
      <c r="I18" s="1">
        <v>27</v>
      </c>
      <c r="L18" s="1" t="s">
        <v>315</v>
      </c>
    </row>
    <row r="19" spans="1:12">
      <c r="A19" s="1" t="s">
        <v>70</v>
      </c>
      <c r="B19" s="1" t="s">
        <v>71</v>
      </c>
      <c r="C19" s="1">
        <v>2007</v>
      </c>
      <c r="D19" s="1" t="s">
        <v>293</v>
      </c>
      <c r="E19" s="1" t="s">
        <v>303</v>
      </c>
      <c r="F19" s="1" t="s">
        <v>295</v>
      </c>
      <c r="G19" s="1">
        <v>1907</v>
      </c>
      <c r="H19" s="1">
        <v>2004</v>
      </c>
      <c r="I19" s="1">
        <v>27</v>
      </c>
      <c r="J19" s="1" t="s">
        <v>316</v>
      </c>
      <c r="L19" s="1" t="s">
        <v>317</v>
      </c>
    </row>
    <row r="20" spans="1:12">
      <c r="A20" s="1" t="s">
        <v>70</v>
      </c>
      <c r="B20" s="1" t="s">
        <v>71</v>
      </c>
      <c r="C20" s="1">
        <v>2007</v>
      </c>
      <c r="D20" s="1" t="s">
        <v>293</v>
      </c>
      <c r="E20" s="1" t="s">
        <v>218</v>
      </c>
      <c r="F20" s="1" t="s">
        <v>295</v>
      </c>
      <c r="G20" s="1">
        <v>1905</v>
      </c>
      <c r="H20" s="1">
        <v>1964</v>
      </c>
      <c r="I20" s="1">
        <v>50</v>
      </c>
      <c r="L20" s="1" t="s">
        <v>318</v>
      </c>
    </row>
    <row r="21" spans="1:12">
      <c r="A21" s="1" t="s">
        <v>70</v>
      </c>
      <c r="B21" s="1" t="s">
        <v>71</v>
      </c>
      <c r="C21" s="1">
        <v>2007</v>
      </c>
      <c r="D21" s="1" t="s">
        <v>293</v>
      </c>
      <c r="E21" s="1" t="s">
        <v>319</v>
      </c>
      <c r="F21" s="1" t="s">
        <v>295</v>
      </c>
      <c r="G21" s="1">
        <v>1913</v>
      </c>
      <c r="H21" s="1">
        <v>1988</v>
      </c>
      <c r="I21" s="1">
        <v>315</v>
      </c>
      <c r="L21" s="1" t="s">
        <v>320</v>
      </c>
    </row>
    <row r="22" spans="1:12">
      <c r="A22" s="1" t="s">
        <v>70</v>
      </c>
      <c r="B22" s="1" t="s">
        <v>71</v>
      </c>
      <c r="C22" s="1">
        <v>2007</v>
      </c>
      <c r="D22" s="1" t="s">
        <v>293</v>
      </c>
      <c r="E22" s="1" t="s">
        <v>321</v>
      </c>
      <c r="F22" s="1" t="s">
        <v>295</v>
      </c>
      <c r="G22" s="1">
        <v>1913</v>
      </c>
      <c r="H22" s="1">
        <v>1999</v>
      </c>
      <c r="I22" s="1">
        <v>836</v>
      </c>
      <c r="L22" s="1" t="s">
        <v>320</v>
      </c>
    </row>
    <row r="23" spans="1:12">
      <c r="A23" s="1" t="s">
        <v>70</v>
      </c>
      <c r="B23" s="1" t="s">
        <v>71</v>
      </c>
      <c r="C23" s="1">
        <v>2007</v>
      </c>
      <c r="D23" s="1" t="s">
        <v>293</v>
      </c>
      <c r="E23" s="1" t="s">
        <v>322</v>
      </c>
      <c r="F23" s="1" t="s">
        <v>295</v>
      </c>
      <c r="G23" s="1">
        <v>1887</v>
      </c>
      <c r="H23" s="1">
        <v>1985</v>
      </c>
      <c r="I23" s="1">
        <v>53</v>
      </c>
      <c r="J23" s="1" t="s">
        <v>316</v>
      </c>
      <c r="L23" s="1" t="s">
        <v>320</v>
      </c>
    </row>
    <row r="24" spans="1:12">
      <c r="A24" s="1" t="s">
        <v>70</v>
      </c>
      <c r="B24" s="1" t="s">
        <v>71</v>
      </c>
      <c r="C24" s="1">
        <v>2007</v>
      </c>
      <c r="D24" s="1" t="s">
        <v>305</v>
      </c>
      <c r="E24" s="1" t="s">
        <v>306</v>
      </c>
      <c r="F24" s="1" t="s">
        <v>307</v>
      </c>
      <c r="G24" s="1">
        <v>1970</v>
      </c>
      <c r="L24" s="1" t="s">
        <v>304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79"/>
  <sheetViews>
    <sheetView topLeftCell="A48" workbookViewId="0">
      <selection activeCell="J62" sqref="J62"/>
    </sheetView>
  </sheetViews>
  <sheetFormatPr defaultColWidth="8.85546875" defaultRowHeight="14.45"/>
  <cols>
    <col min="1" max="1" width="10.140625" style="1" bestFit="1" customWidth="1"/>
    <col min="2" max="4" width="8.85546875" style="1"/>
    <col min="5" max="5" width="14.42578125" style="1" customWidth="1"/>
    <col min="6" max="16384" width="8.85546875" style="1"/>
  </cols>
  <sheetData>
    <row r="1" spans="1:10">
      <c r="A1" s="2" t="s">
        <v>51</v>
      </c>
      <c r="B1" s="2" t="s">
        <v>52</v>
      </c>
      <c r="C1" s="2" t="s">
        <v>53</v>
      </c>
      <c r="D1" s="2" t="s">
        <v>54</v>
      </c>
      <c r="E1" s="6" t="s">
        <v>323</v>
      </c>
      <c r="F1" s="6" t="s">
        <v>324</v>
      </c>
      <c r="G1" s="6" t="s">
        <v>325</v>
      </c>
      <c r="H1" s="2" t="s">
        <v>189</v>
      </c>
      <c r="I1" s="6" t="s">
        <v>326</v>
      </c>
      <c r="J1" s="6" t="s">
        <v>69</v>
      </c>
    </row>
    <row r="2" spans="1:10">
      <c r="A2" s="1" t="s">
        <v>70</v>
      </c>
      <c r="B2" s="1" t="s">
        <v>71</v>
      </c>
      <c r="C2" s="1">
        <v>1997</v>
      </c>
      <c r="D2" s="1" t="s">
        <v>72</v>
      </c>
      <c r="E2" s="1" t="s">
        <v>327</v>
      </c>
      <c r="F2" s="1" t="s">
        <v>328</v>
      </c>
      <c r="G2" s="1" t="s">
        <v>73</v>
      </c>
      <c r="H2" s="1">
        <v>1991</v>
      </c>
      <c r="I2" s="1">
        <v>20757</v>
      </c>
    </row>
    <row r="3" spans="1:10">
      <c r="A3" s="1" t="s">
        <v>70</v>
      </c>
      <c r="B3" s="1" t="s">
        <v>71</v>
      </c>
      <c r="C3" s="1">
        <v>1997</v>
      </c>
      <c r="D3" s="1" t="s">
        <v>72</v>
      </c>
      <c r="E3" s="1" t="s">
        <v>327</v>
      </c>
      <c r="F3" s="1" t="s">
        <v>329</v>
      </c>
      <c r="G3" s="1" t="s">
        <v>73</v>
      </c>
      <c r="H3" s="1">
        <v>1991</v>
      </c>
      <c r="I3" s="1">
        <v>1456</v>
      </c>
    </row>
    <row r="4" spans="1:10">
      <c r="A4" s="1" t="s">
        <v>70</v>
      </c>
      <c r="B4" s="1" t="s">
        <v>71</v>
      </c>
      <c r="C4" s="1">
        <v>1997</v>
      </c>
      <c r="D4" s="1" t="s">
        <v>72</v>
      </c>
      <c r="E4" s="1" t="s">
        <v>327</v>
      </c>
      <c r="F4" s="1" t="s">
        <v>330</v>
      </c>
      <c r="G4" s="1" t="s">
        <v>73</v>
      </c>
      <c r="H4" s="1">
        <v>1991</v>
      </c>
      <c r="I4" s="1">
        <v>59</v>
      </c>
    </row>
    <row r="5" spans="1:10">
      <c r="A5" s="1" t="s">
        <v>70</v>
      </c>
      <c r="B5" s="1" t="s">
        <v>71</v>
      </c>
      <c r="C5" s="1">
        <v>1997</v>
      </c>
      <c r="D5" s="1" t="s">
        <v>72</v>
      </c>
      <c r="E5" s="1" t="s">
        <v>327</v>
      </c>
      <c r="F5" s="1" t="s">
        <v>331</v>
      </c>
      <c r="G5" s="1" t="s">
        <v>73</v>
      </c>
      <c r="H5" s="1">
        <v>1991</v>
      </c>
      <c r="I5" s="1">
        <v>192</v>
      </c>
      <c r="J5" s="1" t="s">
        <v>332</v>
      </c>
    </row>
    <row r="6" spans="1:10">
      <c r="A6" s="1" t="s">
        <v>70</v>
      </c>
      <c r="B6" s="1" t="s">
        <v>71</v>
      </c>
      <c r="C6" s="1">
        <v>1997</v>
      </c>
      <c r="D6" s="1" t="s">
        <v>72</v>
      </c>
      <c r="E6" s="1" t="s">
        <v>327</v>
      </c>
      <c r="F6" s="1" t="s">
        <v>333</v>
      </c>
      <c r="G6" s="1" t="s">
        <v>73</v>
      </c>
      <c r="H6" s="1">
        <v>1991</v>
      </c>
      <c r="I6" s="1" t="s">
        <v>73</v>
      </c>
    </row>
    <row r="7" spans="1:10">
      <c r="A7" s="1" t="s">
        <v>70</v>
      </c>
      <c r="B7" s="1" t="s">
        <v>71</v>
      </c>
      <c r="C7" s="1">
        <v>1997</v>
      </c>
      <c r="D7" s="1" t="s">
        <v>72</v>
      </c>
      <c r="E7" s="1" t="s">
        <v>334</v>
      </c>
      <c r="F7" s="1" t="s">
        <v>334</v>
      </c>
      <c r="G7" s="1" t="s">
        <v>73</v>
      </c>
      <c r="H7" s="1">
        <v>1991</v>
      </c>
      <c r="I7" s="1">
        <v>22464</v>
      </c>
    </row>
    <row r="8" spans="1:10">
      <c r="A8" s="1" t="s">
        <v>70</v>
      </c>
      <c r="B8" s="1" t="s">
        <v>71</v>
      </c>
      <c r="C8" s="1">
        <v>2007</v>
      </c>
      <c r="D8" s="1" t="s">
        <v>72</v>
      </c>
      <c r="E8" s="1" t="s">
        <v>334</v>
      </c>
      <c r="F8" s="1" t="s">
        <v>334</v>
      </c>
      <c r="G8" s="1" t="s">
        <v>73</v>
      </c>
      <c r="H8" s="1">
        <v>2002</v>
      </c>
      <c r="I8" s="1">
        <v>23160</v>
      </c>
    </row>
    <row r="9" spans="1:10">
      <c r="A9" s="1" t="s">
        <v>70</v>
      </c>
      <c r="B9" s="1" t="s">
        <v>71</v>
      </c>
      <c r="C9" s="1">
        <v>2007</v>
      </c>
      <c r="D9" s="1" t="s">
        <v>72</v>
      </c>
      <c r="E9" s="1" t="s">
        <v>334</v>
      </c>
      <c r="F9" s="1" t="s">
        <v>334</v>
      </c>
      <c r="G9" s="1" t="s">
        <v>73</v>
      </c>
      <c r="H9" s="1">
        <v>2003</v>
      </c>
      <c r="I9" s="1">
        <v>23132</v>
      </c>
    </row>
    <row r="10" spans="1:10">
      <c r="A10" s="1" t="s">
        <v>70</v>
      </c>
      <c r="B10" s="1" t="s">
        <v>71</v>
      </c>
      <c r="C10" s="1">
        <v>2007</v>
      </c>
      <c r="D10" s="1" t="s">
        <v>72</v>
      </c>
      <c r="E10" s="1" t="s">
        <v>334</v>
      </c>
      <c r="F10" s="1" t="s">
        <v>334</v>
      </c>
      <c r="G10" s="1" t="s">
        <v>73</v>
      </c>
      <c r="H10" s="1">
        <v>2004</v>
      </c>
      <c r="I10" s="1">
        <v>23160</v>
      </c>
    </row>
    <row r="11" spans="1:10">
      <c r="A11" s="1" t="s">
        <v>70</v>
      </c>
      <c r="B11" s="1" t="s">
        <v>71</v>
      </c>
      <c r="C11" s="1">
        <v>2007</v>
      </c>
      <c r="D11" s="1" t="s">
        <v>72</v>
      </c>
      <c r="E11" s="1" t="s">
        <v>334</v>
      </c>
      <c r="F11" s="1" t="s">
        <v>334</v>
      </c>
      <c r="G11" s="1" t="s">
        <v>73</v>
      </c>
      <c r="H11" s="1">
        <v>2005</v>
      </c>
      <c r="I11" s="1">
        <v>23063</v>
      </c>
    </row>
    <row r="12" spans="1:10">
      <c r="A12" s="1" t="s">
        <v>70</v>
      </c>
      <c r="B12" s="1" t="s">
        <v>71</v>
      </c>
      <c r="C12" s="1">
        <v>2007</v>
      </c>
      <c r="D12" s="1" t="s">
        <v>72</v>
      </c>
      <c r="E12" s="1" t="s">
        <v>334</v>
      </c>
      <c r="F12" s="1" t="s">
        <v>334</v>
      </c>
      <c r="G12" s="1" t="s">
        <v>73</v>
      </c>
      <c r="H12" s="1">
        <v>2006</v>
      </c>
      <c r="I12" s="1">
        <v>23018</v>
      </c>
    </row>
    <row r="13" spans="1:10">
      <c r="A13" s="1" t="s">
        <v>70</v>
      </c>
      <c r="B13" s="1" t="s">
        <v>71</v>
      </c>
      <c r="C13" s="1">
        <v>2007</v>
      </c>
      <c r="D13" s="1" t="s">
        <v>72</v>
      </c>
      <c r="E13" s="1" t="s">
        <v>334</v>
      </c>
      <c r="F13" s="1" t="s">
        <v>334</v>
      </c>
      <c r="G13" s="1" t="s">
        <v>73</v>
      </c>
      <c r="H13" s="1">
        <v>2007</v>
      </c>
      <c r="I13" s="1">
        <v>23049</v>
      </c>
    </row>
    <row r="14" spans="1:10">
      <c r="A14" s="1" t="s">
        <v>70</v>
      </c>
      <c r="B14" s="1" t="s">
        <v>71</v>
      </c>
      <c r="C14" s="1">
        <v>2007</v>
      </c>
      <c r="D14" s="1" t="s">
        <v>72</v>
      </c>
      <c r="E14" s="1" t="s">
        <v>327</v>
      </c>
      <c r="F14" s="1" t="s">
        <v>328</v>
      </c>
      <c r="G14" s="1" t="s">
        <v>73</v>
      </c>
      <c r="H14" s="1">
        <v>1982</v>
      </c>
      <c r="I14" s="1">
        <v>20993</v>
      </c>
    </row>
    <row r="15" spans="1:10">
      <c r="A15" s="1" t="s">
        <v>70</v>
      </c>
      <c r="B15" s="1" t="s">
        <v>71</v>
      </c>
      <c r="C15" s="1">
        <v>2007</v>
      </c>
      <c r="D15" s="1" t="s">
        <v>72</v>
      </c>
      <c r="E15" s="1" t="s">
        <v>327</v>
      </c>
      <c r="F15" s="1" t="s">
        <v>335</v>
      </c>
      <c r="G15" s="1" t="s">
        <v>73</v>
      </c>
      <c r="H15" s="1">
        <v>1982</v>
      </c>
      <c r="I15" s="1">
        <v>1639</v>
      </c>
    </row>
    <row r="16" spans="1:10">
      <c r="A16" s="1" t="s">
        <v>70</v>
      </c>
      <c r="B16" s="1" t="s">
        <v>71</v>
      </c>
      <c r="C16" s="1">
        <v>2007</v>
      </c>
      <c r="D16" s="1" t="s">
        <v>72</v>
      </c>
      <c r="E16" s="1" t="s">
        <v>327</v>
      </c>
      <c r="F16" s="1" t="s">
        <v>336</v>
      </c>
      <c r="G16" s="1" t="s">
        <v>73</v>
      </c>
      <c r="H16" s="1">
        <v>1982</v>
      </c>
      <c r="I16" s="1">
        <v>80</v>
      </c>
    </row>
    <row r="17" spans="1:9">
      <c r="A17" s="1" t="s">
        <v>70</v>
      </c>
      <c r="B17" s="1" t="s">
        <v>71</v>
      </c>
      <c r="C17" s="1">
        <v>2007</v>
      </c>
      <c r="D17" s="1" t="s">
        <v>72</v>
      </c>
      <c r="E17" s="1" t="s">
        <v>334</v>
      </c>
      <c r="F17" s="1" t="s">
        <v>334</v>
      </c>
      <c r="G17" s="1" t="s">
        <v>73</v>
      </c>
      <c r="H17" s="1">
        <v>1982</v>
      </c>
      <c r="I17" s="1">
        <v>22712</v>
      </c>
    </row>
    <row r="18" spans="1:9">
      <c r="A18" s="1" t="s">
        <v>70</v>
      </c>
      <c r="B18" s="1" t="s">
        <v>71</v>
      </c>
      <c r="C18" s="1">
        <v>2007</v>
      </c>
      <c r="D18" s="1" t="s">
        <v>72</v>
      </c>
      <c r="E18" s="1" t="s">
        <v>327</v>
      </c>
      <c r="F18" s="1" t="s">
        <v>328</v>
      </c>
      <c r="G18" s="1" t="s">
        <v>73</v>
      </c>
      <c r="H18" s="1">
        <v>2002</v>
      </c>
      <c r="I18" s="1">
        <v>21374</v>
      </c>
    </row>
    <row r="19" spans="1:9">
      <c r="A19" s="1" t="s">
        <v>70</v>
      </c>
      <c r="B19" s="1" t="s">
        <v>71</v>
      </c>
      <c r="C19" s="1">
        <v>2007</v>
      </c>
      <c r="D19" s="1" t="s">
        <v>72</v>
      </c>
      <c r="E19" s="1" t="s">
        <v>327</v>
      </c>
      <c r="F19" s="1" t="s">
        <v>335</v>
      </c>
      <c r="G19" s="1" t="s">
        <v>73</v>
      </c>
      <c r="H19" s="1">
        <v>2002</v>
      </c>
      <c r="I19" s="1">
        <v>1716</v>
      </c>
    </row>
    <row r="20" spans="1:9">
      <c r="A20" s="1" t="s">
        <v>70</v>
      </c>
      <c r="B20" s="1" t="s">
        <v>71</v>
      </c>
      <c r="C20" s="1">
        <v>2007</v>
      </c>
      <c r="D20" s="1" t="s">
        <v>72</v>
      </c>
      <c r="E20" s="1" t="s">
        <v>327</v>
      </c>
      <c r="F20" s="1" t="s">
        <v>336</v>
      </c>
      <c r="G20" s="1" t="s">
        <v>73</v>
      </c>
      <c r="H20" s="1">
        <v>2002</v>
      </c>
      <c r="I20" s="1">
        <v>70</v>
      </c>
    </row>
    <row r="21" spans="1:9">
      <c r="A21" s="1" t="s">
        <v>70</v>
      </c>
      <c r="B21" s="1" t="s">
        <v>71</v>
      </c>
      <c r="C21" s="1">
        <v>2007</v>
      </c>
      <c r="D21" s="1" t="s">
        <v>72</v>
      </c>
      <c r="E21" s="1" t="s">
        <v>334</v>
      </c>
      <c r="F21" s="1" t="s">
        <v>334</v>
      </c>
      <c r="G21" s="1" t="s">
        <v>73</v>
      </c>
      <c r="H21" s="1">
        <v>2002</v>
      </c>
      <c r="I21" s="1">
        <v>23160</v>
      </c>
    </row>
    <row r="22" spans="1:9">
      <c r="A22" s="1" t="s">
        <v>70</v>
      </c>
      <c r="B22" s="1" t="s">
        <v>71</v>
      </c>
      <c r="C22" s="1">
        <v>2007</v>
      </c>
      <c r="D22" s="1" t="s">
        <v>72</v>
      </c>
      <c r="E22" s="1" t="s">
        <v>337</v>
      </c>
      <c r="F22" s="1" t="s">
        <v>334</v>
      </c>
      <c r="G22" s="1" t="s">
        <v>338</v>
      </c>
      <c r="H22" s="1">
        <v>1982</v>
      </c>
      <c r="I22" s="1">
        <v>4209</v>
      </c>
    </row>
    <row r="23" spans="1:9">
      <c r="A23" s="1" t="s">
        <v>70</v>
      </c>
      <c r="B23" s="1" t="s">
        <v>71</v>
      </c>
      <c r="C23" s="1">
        <v>2007</v>
      </c>
      <c r="D23" s="1" t="s">
        <v>72</v>
      </c>
      <c r="E23" s="1" t="s">
        <v>337</v>
      </c>
      <c r="F23" s="1" t="s">
        <v>334</v>
      </c>
      <c r="G23" s="1" t="s">
        <v>339</v>
      </c>
      <c r="H23" s="1">
        <v>1982</v>
      </c>
      <c r="I23" s="1">
        <v>8184</v>
      </c>
    </row>
    <row r="24" spans="1:9">
      <c r="A24" s="1" t="s">
        <v>70</v>
      </c>
      <c r="B24" s="1" t="s">
        <v>71</v>
      </c>
      <c r="C24" s="1">
        <v>2007</v>
      </c>
      <c r="D24" s="1" t="s">
        <v>72</v>
      </c>
      <c r="E24" s="1" t="s">
        <v>337</v>
      </c>
      <c r="F24" s="1" t="s">
        <v>334</v>
      </c>
      <c r="G24" s="1" t="s">
        <v>340</v>
      </c>
      <c r="H24" s="1">
        <v>1982</v>
      </c>
      <c r="I24" s="1">
        <v>10079</v>
      </c>
    </row>
    <row r="25" spans="1:9">
      <c r="A25" s="1" t="s">
        <v>70</v>
      </c>
      <c r="B25" s="1" t="s">
        <v>71</v>
      </c>
      <c r="C25" s="1">
        <v>2007</v>
      </c>
      <c r="D25" s="1" t="s">
        <v>72</v>
      </c>
      <c r="E25" s="1" t="s">
        <v>337</v>
      </c>
      <c r="F25" s="1" t="s">
        <v>334</v>
      </c>
      <c r="G25" s="1" t="s">
        <v>340</v>
      </c>
      <c r="H25" s="1">
        <v>1982</v>
      </c>
      <c r="I25" s="1">
        <v>207</v>
      </c>
    </row>
    <row r="26" spans="1:9">
      <c r="A26" s="1" t="s">
        <v>70</v>
      </c>
      <c r="B26" s="1" t="s">
        <v>71</v>
      </c>
      <c r="C26" s="1">
        <v>2007</v>
      </c>
      <c r="D26" s="1" t="s">
        <v>72</v>
      </c>
      <c r="E26" s="1" t="s">
        <v>337</v>
      </c>
      <c r="F26" s="1" t="s">
        <v>334</v>
      </c>
      <c r="G26" s="1" t="s">
        <v>341</v>
      </c>
      <c r="H26" s="1">
        <v>1982</v>
      </c>
      <c r="I26" s="1">
        <v>33</v>
      </c>
    </row>
    <row r="27" spans="1:9">
      <c r="A27" s="1" t="s">
        <v>70</v>
      </c>
      <c r="B27" s="1" t="s">
        <v>71</v>
      </c>
      <c r="C27" s="1">
        <v>2007</v>
      </c>
      <c r="D27" s="1" t="s">
        <v>72</v>
      </c>
      <c r="E27" s="1" t="s">
        <v>337</v>
      </c>
      <c r="F27" s="1" t="s">
        <v>334</v>
      </c>
      <c r="G27" s="1" t="s">
        <v>342</v>
      </c>
      <c r="H27" s="1">
        <v>1982</v>
      </c>
      <c r="I27" s="1">
        <v>0</v>
      </c>
    </row>
    <row r="28" spans="1:9">
      <c r="A28" s="1" t="s">
        <v>70</v>
      </c>
      <c r="B28" s="1" t="s">
        <v>71</v>
      </c>
      <c r="C28" s="1">
        <v>2007</v>
      </c>
      <c r="D28" s="1" t="s">
        <v>72</v>
      </c>
      <c r="E28" s="1" t="s">
        <v>337</v>
      </c>
      <c r="F28" s="1" t="s">
        <v>334</v>
      </c>
      <c r="G28" s="1" t="s">
        <v>338</v>
      </c>
      <c r="H28" s="1">
        <v>2002</v>
      </c>
      <c r="I28" s="1">
        <v>4723</v>
      </c>
    </row>
    <row r="29" spans="1:9">
      <c r="A29" s="1" t="s">
        <v>70</v>
      </c>
      <c r="B29" s="1" t="s">
        <v>71</v>
      </c>
      <c r="C29" s="1">
        <v>2007</v>
      </c>
      <c r="D29" s="1" t="s">
        <v>72</v>
      </c>
      <c r="E29" s="1" t="s">
        <v>337</v>
      </c>
      <c r="F29" s="1" t="s">
        <v>334</v>
      </c>
      <c r="G29" s="1" t="s">
        <v>339</v>
      </c>
      <c r="H29" s="1">
        <v>2002</v>
      </c>
      <c r="I29" s="1">
        <v>9296</v>
      </c>
    </row>
    <row r="30" spans="1:9">
      <c r="A30" s="1" t="s">
        <v>70</v>
      </c>
      <c r="B30" s="1" t="s">
        <v>71</v>
      </c>
      <c r="C30" s="1">
        <v>2007</v>
      </c>
      <c r="D30" s="1" t="s">
        <v>72</v>
      </c>
      <c r="E30" s="1" t="s">
        <v>337</v>
      </c>
      <c r="F30" s="1" t="s">
        <v>334</v>
      </c>
      <c r="G30" s="1" t="s">
        <v>340</v>
      </c>
      <c r="H30" s="1">
        <v>2002</v>
      </c>
      <c r="I30" s="1">
        <v>8804</v>
      </c>
    </row>
    <row r="31" spans="1:9">
      <c r="A31" s="1" t="s">
        <v>70</v>
      </c>
      <c r="B31" s="1" t="s">
        <v>71</v>
      </c>
      <c r="C31" s="1">
        <v>2007</v>
      </c>
      <c r="D31" s="1" t="s">
        <v>72</v>
      </c>
      <c r="E31" s="1" t="s">
        <v>337</v>
      </c>
      <c r="F31" s="1" t="s">
        <v>334</v>
      </c>
      <c r="G31" s="1" t="s">
        <v>340</v>
      </c>
      <c r="H31" s="1">
        <v>2002</v>
      </c>
      <c r="I31" s="1">
        <v>308</v>
      </c>
    </row>
    <row r="32" spans="1:9">
      <c r="A32" s="1" t="s">
        <v>70</v>
      </c>
      <c r="B32" s="1" t="s">
        <v>71</v>
      </c>
      <c r="C32" s="1">
        <v>2007</v>
      </c>
      <c r="D32" s="1" t="s">
        <v>72</v>
      </c>
      <c r="E32" s="1" t="s">
        <v>337</v>
      </c>
      <c r="F32" s="1" t="s">
        <v>334</v>
      </c>
      <c r="G32" s="1" t="s">
        <v>341</v>
      </c>
      <c r="H32" s="1">
        <v>2002</v>
      </c>
      <c r="I32" s="1">
        <v>26</v>
      </c>
    </row>
    <row r="33" spans="1:9">
      <c r="A33" s="1" t="s">
        <v>70</v>
      </c>
      <c r="B33" s="1" t="s">
        <v>71</v>
      </c>
      <c r="C33" s="1">
        <v>2007</v>
      </c>
      <c r="D33" s="1" t="s">
        <v>72</v>
      </c>
      <c r="E33" s="1" t="s">
        <v>337</v>
      </c>
      <c r="F33" s="1" t="s">
        <v>334</v>
      </c>
      <c r="G33" s="1" t="s">
        <v>342</v>
      </c>
      <c r="H33" s="1">
        <v>2002</v>
      </c>
      <c r="I33" s="1">
        <v>3</v>
      </c>
    </row>
    <row r="34" spans="1:9">
      <c r="A34" s="1" t="s">
        <v>70</v>
      </c>
      <c r="B34" s="1" t="s">
        <v>71</v>
      </c>
      <c r="C34" s="1">
        <v>2007</v>
      </c>
      <c r="D34" s="1" t="s">
        <v>72</v>
      </c>
      <c r="E34" s="1" t="s">
        <v>337</v>
      </c>
      <c r="F34" s="1" t="s">
        <v>328</v>
      </c>
      <c r="G34" s="1" t="s">
        <v>338</v>
      </c>
      <c r="H34" s="1">
        <v>2002</v>
      </c>
      <c r="I34" s="1">
        <v>4140</v>
      </c>
    </row>
    <row r="35" spans="1:9">
      <c r="A35" s="1" t="s">
        <v>70</v>
      </c>
      <c r="B35" s="1" t="s">
        <v>71</v>
      </c>
      <c r="C35" s="1">
        <v>2007</v>
      </c>
      <c r="D35" s="1" t="s">
        <v>72</v>
      </c>
      <c r="E35" s="1" t="s">
        <v>337</v>
      </c>
      <c r="F35" s="1" t="s">
        <v>328</v>
      </c>
      <c r="G35" s="1" t="s">
        <v>339</v>
      </c>
      <c r="H35" s="1">
        <v>2002</v>
      </c>
      <c r="I35" s="1">
        <v>8959</v>
      </c>
    </row>
    <row r="36" spans="1:9">
      <c r="A36" s="1" t="s">
        <v>70</v>
      </c>
      <c r="B36" s="1" t="s">
        <v>71</v>
      </c>
      <c r="C36" s="1">
        <v>2007</v>
      </c>
      <c r="D36" s="1" t="s">
        <v>72</v>
      </c>
      <c r="E36" s="1" t="s">
        <v>337</v>
      </c>
      <c r="F36" s="1" t="s">
        <v>328</v>
      </c>
      <c r="G36" s="1" t="s">
        <v>340</v>
      </c>
      <c r="H36" s="1">
        <v>2002</v>
      </c>
      <c r="I36" s="1">
        <v>8190</v>
      </c>
    </row>
    <row r="37" spans="1:9">
      <c r="A37" s="1" t="s">
        <v>70</v>
      </c>
      <c r="B37" s="1" t="s">
        <v>71</v>
      </c>
      <c r="C37" s="1">
        <v>2007</v>
      </c>
      <c r="D37" s="1" t="s">
        <v>72</v>
      </c>
      <c r="E37" s="1" t="s">
        <v>337</v>
      </c>
      <c r="F37" s="1" t="s">
        <v>328</v>
      </c>
      <c r="G37" s="1" t="s">
        <v>340</v>
      </c>
      <c r="H37" s="1">
        <v>2002</v>
      </c>
      <c r="I37" s="1">
        <v>80</v>
      </c>
    </row>
    <row r="38" spans="1:9">
      <c r="A38" s="1" t="s">
        <v>70</v>
      </c>
      <c r="B38" s="1" t="s">
        <v>71</v>
      </c>
      <c r="C38" s="1">
        <v>2007</v>
      </c>
      <c r="D38" s="1" t="s">
        <v>72</v>
      </c>
      <c r="E38" s="1" t="s">
        <v>337</v>
      </c>
      <c r="F38" s="1" t="s">
        <v>328</v>
      </c>
      <c r="G38" s="1" t="s">
        <v>341</v>
      </c>
      <c r="H38" s="1">
        <v>2002</v>
      </c>
      <c r="I38" s="1">
        <v>5</v>
      </c>
    </row>
    <row r="39" spans="1:9">
      <c r="A39" s="1" t="s">
        <v>70</v>
      </c>
      <c r="B39" s="1" t="s">
        <v>71</v>
      </c>
      <c r="C39" s="1">
        <v>2007</v>
      </c>
      <c r="D39" s="1" t="s">
        <v>72</v>
      </c>
      <c r="E39" s="1" t="s">
        <v>337</v>
      </c>
      <c r="F39" s="1" t="s">
        <v>328</v>
      </c>
      <c r="G39" s="1" t="s">
        <v>342</v>
      </c>
      <c r="H39" s="1">
        <v>2002</v>
      </c>
      <c r="I39" s="1">
        <v>0</v>
      </c>
    </row>
    <row r="40" spans="1:9">
      <c r="A40" s="1" t="s">
        <v>70</v>
      </c>
      <c r="B40" s="1" t="s">
        <v>71</v>
      </c>
      <c r="C40" s="1">
        <v>2007</v>
      </c>
      <c r="D40" s="1" t="s">
        <v>72</v>
      </c>
      <c r="E40" s="1" t="s">
        <v>337</v>
      </c>
      <c r="F40" s="1" t="s">
        <v>329</v>
      </c>
      <c r="G40" s="1" t="s">
        <v>338</v>
      </c>
      <c r="H40" s="1">
        <v>2002</v>
      </c>
      <c r="I40" s="1">
        <v>524</v>
      </c>
    </row>
    <row r="41" spans="1:9">
      <c r="A41" s="1" t="s">
        <v>70</v>
      </c>
      <c r="B41" s="1" t="s">
        <v>71</v>
      </c>
      <c r="C41" s="1">
        <v>2007</v>
      </c>
      <c r="D41" s="1" t="s">
        <v>72</v>
      </c>
      <c r="E41" s="1" t="s">
        <v>337</v>
      </c>
      <c r="F41" s="1" t="s">
        <v>329</v>
      </c>
      <c r="G41" s="1" t="s">
        <v>339</v>
      </c>
      <c r="H41" s="1">
        <v>2002</v>
      </c>
      <c r="I41" s="1">
        <v>300</v>
      </c>
    </row>
    <row r="42" spans="1:9">
      <c r="A42" s="1" t="s">
        <v>70</v>
      </c>
      <c r="B42" s="1" t="s">
        <v>71</v>
      </c>
      <c r="C42" s="1">
        <v>2007</v>
      </c>
      <c r="D42" s="1" t="s">
        <v>72</v>
      </c>
      <c r="E42" s="1" t="s">
        <v>337</v>
      </c>
      <c r="F42" s="1" t="s">
        <v>329</v>
      </c>
      <c r="G42" s="1" t="s">
        <v>340</v>
      </c>
      <c r="H42" s="1">
        <v>2002</v>
      </c>
      <c r="I42" s="1">
        <v>536</v>
      </c>
    </row>
    <row r="43" spans="1:9">
      <c r="A43" s="1" t="s">
        <v>70</v>
      </c>
      <c r="B43" s="1" t="s">
        <v>71</v>
      </c>
      <c r="C43" s="1">
        <v>2007</v>
      </c>
      <c r="D43" s="1" t="s">
        <v>72</v>
      </c>
      <c r="E43" s="1" t="s">
        <v>337</v>
      </c>
      <c r="F43" s="1" t="s">
        <v>329</v>
      </c>
      <c r="G43" s="1" t="s">
        <v>340</v>
      </c>
      <c r="H43" s="1">
        <v>2002</v>
      </c>
      <c r="I43" s="1">
        <v>162</v>
      </c>
    </row>
    <row r="44" spans="1:9">
      <c r="A44" s="1" t="s">
        <v>70</v>
      </c>
      <c r="B44" s="1" t="s">
        <v>71</v>
      </c>
      <c r="C44" s="1">
        <v>2007</v>
      </c>
      <c r="D44" s="1" t="s">
        <v>72</v>
      </c>
      <c r="E44" s="1" t="s">
        <v>337</v>
      </c>
      <c r="F44" s="1" t="s">
        <v>329</v>
      </c>
      <c r="G44" s="1" t="s">
        <v>341</v>
      </c>
      <c r="H44" s="1">
        <v>2002</v>
      </c>
      <c r="I44" s="1">
        <v>6</v>
      </c>
    </row>
    <row r="45" spans="1:9">
      <c r="A45" s="1" t="s">
        <v>70</v>
      </c>
      <c r="B45" s="1" t="s">
        <v>71</v>
      </c>
      <c r="C45" s="1">
        <v>2007</v>
      </c>
      <c r="D45" s="1" t="s">
        <v>72</v>
      </c>
      <c r="E45" s="1" t="s">
        <v>337</v>
      </c>
      <c r="F45" s="1" t="s">
        <v>329</v>
      </c>
      <c r="G45" s="1" t="s">
        <v>342</v>
      </c>
      <c r="H45" s="1">
        <v>2002</v>
      </c>
      <c r="I45" s="1">
        <v>0</v>
      </c>
    </row>
    <row r="46" spans="1:9">
      <c r="A46" s="1" t="s">
        <v>70</v>
      </c>
      <c r="B46" s="1" t="s">
        <v>71</v>
      </c>
      <c r="C46" s="1">
        <v>2007</v>
      </c>
      <c r="D46" s="1" t="s">
        <v>72</v>
      </c>
      <c r="E46" s="1" t="s">
        <v>337</v>
      </c>
      <c r="F46" s="1" t="s">
        <v>331</v>
      </c>
      <c r="G46" s="1" t="s">
        <v>338</v>
      </c>
      <c r="H46" s="1">
        <v>2002</v>
      </c>
      <c r="I46" s="1">
        <v>48</v>
      </c>
    </row>
    <row r="47" spans="1:9">
      <c r="A47" s="1" t="s">
        <v>70</v>
      </c>
      <c r="B47" s="1" t="s">
        <v>71</v>
      </c>
      <c r="C47" s="1">
        <v>2007</v>
      </c>
      <c r="D47" s="1" t="s">
        <v>72</v>
      </c>
      <c r="E47" s="1" t="s">
        <v>337</v>
      </c>
      <c r="F47" s="1" t="s">
        <v>331</v>
      </c>
      <c r="G47" s="1" t="s">
        <v>339</v>
      </c>
      <c r="H47" s="1">
        <v>2002</v>
      </c>
      <c r="I47" s="1">
        <v>30</v>
      </c>
    </row>
    <row r="48" spans="1:9">
      <c r="A48" s="1" t="s">
        <v>70</v>
      </c>
      <c r="B48" s="1" t="s">
        <v>71</v>
      </c>
      <c r="C48" s="1">
        <v>2007</v>
      </c>
      <c r="D48" s="1" t="s">
        <v>72</v>
      </c>
      <c r="E48" s="1" t="s">
        <v>337</v>
      </c>
      <c r="F48" s="1" t="s">
        <v>331</v>
      </c>
      <c r="G48" s="1" t="s">
        <v>340</v>
      </c>
      <c r="H48" s="1">
        <v>2002</v>
      </c>
      <c r="I48" s="1">
        <v>59</v>
      </c>
    </row>
    <row r="49" spans="1:9">
      <c r="A49" s="1" t="s">
        <v>70</v>
      </c>
      <c r="B49" s="1" t="s">
        <v>71</v>
      </c>
      <c r="C49" s="1">
        <v>2007</v>
      </c>
      <c r="D49" s="1" t="s">
        <v>72</v>
      </c>
      <c r="E49" s="1" t="s">
        <v>337</v>
      </c>
      <c r="F49" s="1" t="s">
        <v>331</v>
      </c>
      <c r="G49" s="1" t="s">
        <v>340</v>
      </c>
      <c r="H49" s="1">
        <v>2002</v>
      </c>
      <c r="I49" s="1">
        <v>41</v>
      </c>
    </row>
    <row r="50" spans="1:9">
      <c r="A50" s="1" t="s">
        <v>70</v>
      </c>
      <c r="B50" s="1" t="s">
        <v>71</v>
      </c>
      <c r="C50" s="1">
        <v>2007</v>
      </c>
      <c r="D50" s="1" t="s">
        <v>72</v>
      </c>
      <c r="E50" s="1" t="s">
        <v>337</v>
      </c>
      <c r="F50" s="1" t="s">
        <v>331</v>
      </c>
      <c r="G50" s="1" t="s">
        <v>341</v>
      </c>
      <c r="H50" s="1">
        <v>2002</v>
      </c>
      <c r="I50" s="1">
        <v>10</v>
      </c>
    </row>
    <row r="51" spans="1:9">
      <c r="A51" s="1" t="s">
        <v>70</v>
      </c>
      <c r="B51" s="1" t="s">
        <v>71</v>
      </c>
      <c r="C51" s="1">
        <v>2007</v>
      </c>
      <c r="D51" s="1" t="s">
        <v>72</v>
      </c>
      <c r="E51" s="1" t="s">
        <v>337</v>
      </c>
      <c r="F51" s="1" t="s">
        <v>331</v>
      </c>
      <c r="G51" s="1" t="s">
        <v>342</v>
      </c>
      <c r="H51" s="1">
        <v>2002</v>
      </c>
      <c r="I51" s="1">
        <v>0</v>
      </c>
    </row>
    <row r="52" spans="1:9">
      <c r="A52" s="1" t="s">
        <v>70</v>
      </c>
      <c r="B52" s="1" t="s">
        <v>71</v>
      </c>
      <c r="C52" s="1">
        <v>2007</v>
      </c>
      <c r="D52" s="1" t="s">
        <v>72</v>
      </c>
      <c r="E52" s="1" t="s">
        <v>337</v>
      </c>
      <c r="F52" s="1" t="s">
        <v>333</v>
      </c>
      <c r="G52" s="1" t="s">
        <v>338</v>
      </c>
      <c r="H52" s="1">
        <v>2002</v>
      </c>
      <c r="I52" s="1">
        <v>0</v>
      </c>
    </row>
    <row r="53" spans="1:9">
      <c r="A53" s="1" t="s">
        <v>70</v>
      </c>
      <c r="B53" s="1" t="s">
        <v>71</v>
      </c>
      <c r="C53" s="1">
        <v>2007</v>
      </c>
      <c r="D53" s="1" t="s">
        <v>72</v>
      </c>
      <c r="E53" s="1" t="s">
        <v>337</v>
      </c>
      <c r="F53" s="1" t="s">
        <v>333</v>
      </c>
      <c r="G53" s="1" t="s">
        <v>339</v>
      </c>
      <c r="H53" s="1">
        <v>2002</v>
      </c>
      <c r="I53" s="1">
        <v>0</v>
      </c>
    </row>
    <row r="54" spans="1:9">
      <c r="A54" s="1" t="s">
        <v>70</v>
      </c>
      <c r="B54" s="1" t="s">
        <v>71</v>
      </c>
      <c r="C54" s="1">
        <v>2007</v>
      </c>
      <c r="D54" s="1" t="s">
        <v>72</v>
      </c>
      <c r="E54" s="1" t="s">
        <v>337</v>
      </c>
      <c r="F54" s="1" t="s">
        <v>333</v>
      </c>
      <c r="G54" s="1" t="s">
        <v>340</v>
      </c>
      <c r="H54" s="1">
        <v>2002</v>
      </c>
      <c r="I54" s="1">
        <v>0</v>
      </c>
    </row>
    <row r="55" spans="1:9">
      <c r="A55" s="1" t="s">
        <v>70</v>
      </c>
      <c r="B55" s="1" t="s">
        <v>71</v>
      </c>
      <c r="C55" s="1">
        <v>2007</v>
      </c>
      <c r="D55" s="1" t="s">
        <v>72</v>
      </c>
      <c r="E55" s="1" t="s">
        <v>337</v>
      </c>
      <c r="F55" s="1" t="s">
        <v>333</v>
      </c>
      <c r="G55" s="1" t="s">
        <v>340</v>
      </c>
      <c r="H55" s="1">
        <v>2002</v>
      </c>
      <c r="I55" s="1">
        <v>2</v>
      </c>
    </row>
    <row r="56" spans="1:9">
      <c r="A56" s="1" t="s">
        <v>70</v>
      </c>
      <c r="B56" s="1" t="s">
        <v>71</v>
      </c>
      <c r="C56" s="1">
        <v>2007</v>
      </c>
      <c r="D56" s="1" t="s">
        <v>72</v>
      </c>
      <c r="E56" s="1" t="s">
        <v>337</v>
      </c>
      <c r="F56" s="1" t="s">
        <v>333</v>
      </c>
      <c r="G56" s="1" t="s">
        <v>341</v>
      </c>
      <c r="H56" s="1">
        <v>2002</v>
      </c>
      <c r="I56" s="1">
        <v>0</v>
      </c>
    </row>
    <row r="57" spans="1:9">
      <c r="A57" s="1" t="s">
        <v>70</v>
      </c>
      <c r="B57" s="1" t="s">
        <v>71</v>
      </c>
      <c r="C57" s="1">
        <v>2007</v>
      </c>
      <c r="D57" s="1" t="s">
        <v>72</v>
      </c>
      <c r="E57" s="1" t="s">
        <v>337</v>
      </c>
      <c r="F57" s="1" t="s">
        <v>333</v>
      </c>
      <c r="G57" s="1" t="s">
        <v>342</v>
      </c>
      <c r="H57" s="1">
        <v>2002</v>
      </c>
      <c r="I57" s="1">
        <v>1</v>
      </c>
    </row>
    <row r="58" spans="1:9">
      <c r="A58" s="1" t="s">
        <v>70</v>
      </c>
      <c r="B58" s="1" t="s">
        <v>71</v>
      </c>
      <c r="C58" s="1" t="s">
        <v>73</v>
      </c>
      <c r="D58" s="1" t="s">
        <v>72</v>
      </c>
      <c r="E58" s="1" t="s">
        <v>334</v>
      </c>
      <c r="F58" s="1" t="s">
        <v>334</v>
      </c>
      <c r="G58" s="1" t="s">
        <v>73</v>
      </c>
      <c r="H58" s="1">
        <v>2011</v>
      </c>
      <c r="I58" s="1">
        <v>22901</v>
      </c>
    </row>
    <row r="59" spans="1:9">
      <c r="A59" s="1" t="s">
        <v>70</v>
      </c>
      <c r="B59" s="1" t="s">
        <v>71</v>
      </c>
      <c r="C59" s="1" t="s">
        <v>73</v>
      </c>
      <c r="D59" s="1" t="s">
        <v>72</v>
      </c>
      <c r="E59" s="1" t="s">
        <v>334</v>
      </c>
      <c r="F59" s="1" t="s">
        <v>334</v>
      </c>
      <c r="G59" s="1" t="s">
        <v>73</v>
      </c>
      <c r="H59" s="1">
        <v>2012</v>
      </c>
      <c r="I59" s="1">
        <v>22915</v>
      </c>
    </row>
    <row r="60" spans="1:9">
      <c r="A60" s="1" t="s">
        <v>70</v>
      </c>
      <c r="B60" s="1" t="s">
        <v>71</v>
      </c>
      <c r="C60" s="1" t="s">
        <v>73</v>
      </c>
      <c r="D60" s="1" t="s">
        <v>72</v>
      </c>
      <c r="E60" s="1" t="s">
        <v>334</v>
      </c>
      <c r="F60" s="1" t="s">
        <v>334</v>
      </c>
      <c r="G60" s="1" t="s">
        <v>73</v>
      </c>
      <c r="H60" s="1">
        <v>2013</v>
      </c>
      <c r="I60" s="1">
        <v>22931</v>
      </c>
    </row>
    <row r="61" spans="1:9">
      <c r="A61" s="1" t="s">
        <v>70</v>
      </c>
      <c r="B61" s="1" t="s">
        <v>71</v>
      </c>
      <c r="C61" s="1" t="s">
        <v>73</v>
      </c>
      <c r="D61" s="1" t="s">
        <v>72</v>
      </c>
      <c r="E61" s="1" t="s">
        <v>334</v>
      </c>
      <c r="F61" s="1" t="s">
        <v>334</v>
      </c>
      <c r="G61" s="1" t="s">
        <v>73</v>
      </c>
      <c r="H61" s="1">
        <v>2014</v>
      </c>
      <c r="I61" s="1">
        <v>22911</v>
      </c>
    </row>
    <row r="62" spans="1:9">
      <c r="A62" s="1" t="s">
        <v>70</v>
      </c>
      <c r="B62" s="1" t="s">
        <v>71</v>
      </c>
      <c r="C62" s="1" t="s">
        <v>73</v>
      </c>
      <c r="D62" s="1" t="s">
        <v>72</v>
      </c>
      <c r="E62" s="1" t="s">
        <v>334</v>
      </c>
      <c r="F62" s="1" t="s">
        <v>334</v>
      </c>
      <c r="G62" s="1" t="s">
        <v>73</v>
      </c>
      <c r="H62" s="1">
        <v>2015</v>
      </c>
      <c r="I62" s="1">
        <v>22881</v>
      </c>
    </row>
    <row r="63" spans="1:9">
      <c r="A63" s="1" t="s">
        <v>70</v>
      </c>
      <c r="B63" s="1" t="s">
        <v>71</v>
      </c>
      <c r="C63" s="1" t="s">
        <v>73</v>
      </c>
      <c r="D63" s="1" t="s">
        <v>72</v>
      </c>
      <c r="E63" s="1" t="s">
        <v>334</v>
      </c>
      <c r="F63" s="1" t="s">
        <v>334</v>
      </c>
      <c r="G63" s="1" t="s">
        <v>73</v>
      </c>
      <c r="H63" s="1">
        <v>2016</v>
      </c>
      <c r="I63" s="1">
        <v>22856</v>
      </c>
    </row>
    <row r="64" spans="1:9">
      <c r="A64" s="1" t="s">
        <v>70</v>
      </c>
      <c r="B64" s="1" t="s">
        <v>71</v>
      </c>
      <c r="C64" s="1" t="s">
        <v>73</v>
      </c>
      <c r="D64" s="1" t="s">
        <v>72</v>
      </c>
      <c r="E64" s="1" t="s">
        <v>334</v>
      </c>
      <c r="F64" s="1" t="s">
        <v>334</v>
      </c>
      <c r="G64" s="1" t="s">
        <v>73</v>
      </c>
      <c r="H64" s="1">
        <v>2017</v>
      </c>
      <c r="I64" s="1">
        <v>22810</v>
      </c>
    </row>
    <row r="65" spans="1:9">
      <c r="A65" s="1" t="s">
        <v>70</v>
      </c>
      <c r="B65" s="1" t="s">
        <v>71</v>
      </c>
      <c r="C65" s="1" t="s">
        <v>73</v>
      </c>
      <c r="D65" s="1" t="s">
        <v>72</v>
      </c>
      <c r="E65" s="1" t="s">
        <v>334</v>
      </c>
      <c r="F65" s="1" t="s">
        <v>334</v>
      </c>
      <c r="G65" s="1" t="s">
        <v>73</v>
      </c>
      <c r="H65" s="1">
        <v>2018</v>
      </c>
      <c r="I65" s="1">
        <v>22794</v>
      </c>
    </row>
    <row r="66" spans="1:9">
      <c r="A66" s="1" t="s">
        <v>70</v>
      </c>
      <c r="B66" s="1" t="s">
        <v>71</v>
      </c>
      <c r="C66" s="1">
        <v>2010</v>
      </c>
      <c r="D66" s="1" t="s">
        <v>81</v>
      </c>
      <c r="E66" s="1" t="s">
        <v>334</v>
      </c>
      <c r="F66" s="1" t="s">
        <v>334</v>
      </c>
      <c r="G66" s="1" t="s">
        <v>73</v>
      </c>
      <c r="H66" s="1">
        <v>2004</v>
      </c>
      <c r="I66" s="1">
        <v>18840</v>
      </c>
    </row>
    <row r="67" spans="1:9">
      <c r="A67" s="1" t="s">
        <v>70</v>
      </c>
      <c r="B67" s="1" t="s">
        <v>71</v>
      </c>
      <c r="C67" s="1">
        <v>2010</v>
      </c>
      <c r="D67" s="1" t="s">
        <v>81</v>
      </c>
      <c r="E67" s="1" t="s">
        <v>334</v>
      </c>
      <c r="F67" s="1" t="s">
        <v>334</v>
      </c>
      <c r="G67" s="1" t="s">
        <v>73</v>
      </c>
      <c r="H67" s="1">
        <v>2005</v>
      </c>
      <c r="I67" s="1">
        <v>18679</v>
      </c>
    </row>
    <row r="68" spans="1:9">
      <c r="A68" s="1" t="s">
        <v>70</v>
      </c>
      <c r="B68" s="1" t="s">
        <v>71</v>
      </c>
      <c r="C68" s="1">
        <v>2010</v>
      </c>
      <c r="D68" s="1" t="s">
        <v>81</v>
      </c>
      <c r="E68" s="1" t="s">
        <v>334</v>
      </c>
      <c r="F68" s="1" t="s">
        <v>334</v>
      </c>
      <c r="G68" s="1" t="s">
        <v>73</v>
      </c>
      <c r="H68" s="1">
        <v>2006</v>
      </c>
      <c r="I68" s="1">
        <v>18645</v>
      </c>
    </row>
    <row r="69" spans="1:9">
      <c r="A69" s="1" t="s">
        <v>70</v>
      </c>
      <c r="B69" s="1" t="s">
        <v>71</v>
      </c>
      <c r="C69" s="1">
        <v>2010</v>
      </c>
      <c r="D69" s="1" t="s">
        <v>81</v>
      </c>
      <c r="E69" s="1" t="s">
        <v>334</v>
      </c>
      <c r="F69" s="1" t="s">
        <v>334</v>
      </c>
      <c r="G69" s="1" t="s">
        <v>73</v>
      </c>
      <c r="H69" s="1">
        <v>2007</v>
      </c>
      <c r="I69" s="1">
        <v>18424</v>
      </c>
    </row>
    <row r="70" spans="1:9">
      <c r="A70" s="1" t="s">
        <v>70</v>
      </c>
      <c r="B70" s="1" t="s">
        <v>71</v>
      </c>
      <c r="C70" s="1">
        <v>2010</v>
      </c>
      <c r="D70" s="1" t="s">
        <v>81</v>
      </c>
      <c r="E70" s="1" t="s">
        <v>334</v>
      </c>
      <c r="F70" s="1" t="s">
        <v>334</v>
      </c>
      <c r="G70" s="1" t="s">
        <v>73</v>
      </c>
      <c r="H70" s="1">
        <v>2008</v>
      </c>
      <c r="I70" s="1">
        <v>18597</v>
      </c>
    </row>
    <row r="71" spans="1:9">
      <c r="A71" s="1" t="s">
        <v>70</v>
      </c>
      <c r="B71" s="1" t="s">
        <v>71</v>
      </c>
      <c r="C71" s="1">
        <v>2010</v>
      </c>
      <c r="D71" s="1" t="s">
        <v>81</v>
      </c>
      <c r="E71" s="1" t="s">
        <v>334</v>
      </c>
      <c r="F71" s="1" t="s">
        <v>334</v>
      </c>
      <c r="G71" s="1" t="s">
        <v>73</v>
      </c>
      <c r="H71" s="1">
        <v>2009</v>
      </c>
      <c r="I71" s="1">
        <v>18534</v>
      </c>
    </row>
    <row r="72" spans="1:9">
      <c r="A72" s="1" t="s">
        <v>70</v>
      </c>
      <c r="B72" s="1" t="s">
        <v>71</v>
      </c>
      <c r="C72" s="1" t="s">
        <v>73</v>
      </c>
      <c r="D72" s="1" t="s">
        <v>81</v>
      </c>
      <c r="E72" s="1" t="s">
        <v>334</v>
      </c>
      <c r="F72" s="1" t="s">
        <v>334</v>
      </c>
      <c r="G72" s="1" t="s">
        <v>73</v>
      </c>
      <c r="H72" s="1">
        <v>2011</v>
      </c>
      <c r="I72" s="1">
        <v>18527</v>
      </c>
    </row>
    <row r="73" spans="1:9">
      <c r="A73" s="1" t="s">
        <v>70</v>
      </c>
      <c r="B73" s="1" t="s">
        <v>71</v>
      </c>
      <c r="C73" s="1" t="s">
        <v>73</v>
      </c>
      <c r="D73" s="1" t="s">
        <v>81</v>
      </c>
      <c r="E73" s="1" t="s">
        <v>334</v>
      </c>
      <c r="F73" s="1" t="s">
        <v>334</v>
      </c>
      <c r="G73" s="1" t="s">
        <v>73</v>
      </c>
      <c r="H73" s="1">
        <v>2012</v>
      </c>
      <c r="I73" s="1">
        <v>18488</v>
      </c>
    </row>
    <row r="74" spans="1:9">
      <c r="A74" s="1" t="s">
        <v>70</v>
      </c>
      <c r="B74" s="1" t="s">
        <v>71</v>
      </c>
      <c r="C74" s="1" t="s">
        <v>73</v>
      </c>
      <c r="D74" s="1" t="s">
        <v>81</v>
      </c>
      <c r="E74" s="1" t="s">
        <v>334</v>
      </c>
      <c r="F74" s="1" t="s">
        <v>334</v>
      </c>
      <c r="G74" s="1" t="s">
        <v>73</v>
      </c>
      <c r="H74" s="1">
        <v>2013</v>
      </c>
      <c r="I74" s="1">
        <v>18323</v>
      </c>
    </row>
    <row r="75" spans="1:9">
      <c r="A75" s="1" t="s">
        <v>70</v>
      </c>
      <c r="B75" s="1" t="s">
        <v>71</v>
      </c>
      <c r="C75" s="1" t="s">
        <v>73</v>
      </c>
      <c r="D75" s="1" t="s">
        <v>81</v>
      </c>
      <c r="E75" s="1" t="s">
        <v>334</v>
      </c>
      <c r="F75" s="1" t="s">
        <v>334</v>
      </c>
      <c r="G75" s="1" t="s">
        <v>73</v>
      </c>
      <c r="H75" s="1">
        <v>2014</v>
      </c>
      <c r="I75" s="1">
        <v>18368</v>
      </c>
    </row>
    <row r="76" spans="1:9">
      <c r="A76" s="1" t="s">
        <v>70</v>
      </c>
      <c r="B76" s="1" t="s">
        <v>71</v>
      </c>
      <c r="C76" s="1" t="s">
        <v>73</v>
      </c>
      <c r="D76" s="1" t="s">
        <v>81</v>
      </c>
      <c r="E76" s="1" t="s">
        <v>334</v>
      </c>
      <c r="F76" s="1" t="s">
        <v>334</v>
      </c>
      <c r="G76" s="1" t="s">
        <v>73</v>
      </c>
      <c r="H76" s="1">
        <v>2015</v>
      </c>
      <c r="I76" s="1">
        <v>18307</v>
      </c>
    </row>
    <row r="77" spans="1:9">
      <c r="A77" s="1" t="s">
        <v>70</v>
      </c>
      <c r="B77" s="1" t="s">
        <v>71</v>
      </c>
      <c r="C77" s="1" t="s">
        <v>73</v>
      </c>
      <c r="D77" s="1" t="s">
        <v>81</v>
      </c>
      <c r="E77" s="1" t="s">
        <v>334</v>
      </c>
      <c r="F77" s="1" t="s">
        <v>334</v>
      </c>
      <c r="G77" s="1" t="s">
        <v>73</v>
      </c>
      <c r="H77" s="1">
        <v>2016</v>
      </c>
      <c r="I77" s="1">
        <v>18317</v>
      </c>
    </row>
    <row r="78" spans="1:9">
      <c r="A78" s="1" t="s">
        <v>70</v>
      </c>
      <c r="B78" s="1" t="s">
        <v>71</v>
      </c>
      <c r="C78" s="1" t="s">
        <v>73</v>
      </c>
      <c r="D78" s="1" t="s">
        <v>81</v>
      </c>
      <c r="E78" s="1" t="s">
        <v>334</v>
      </c>
      <c r="F78" s="1" t="s">
        <v>334</v>
      </c>
      <c r="G78" s="1" t="s">
        <v>73</v>
      </c>
      <c r="H78" s="1">
        <v>2017</v>
      </c>
      <c r="I78" s="1">
        <v>18280</v>
      </c>
    </row>
    <row r="79" spans="1:9">
      <c r="A79" s="1" t="s">
        <v>70</v>
      </c>
      <c r="B79" s="1" t="s">
        <v>71</v>
      </c>
      <c r="C79" s="1" t="s">
        <v>73</v>
      </c>
      <c r="D79" s="1" t="s">
        <v>81</v>
      </c>
      <c r="E79" s="1" t="s">
        <v>334</v>
      </c>
      <c r="F79" s="1" t="s">
        <v>334</v>
      </c>
      <c r="G79" s="1" t="s">
        <v>73</v>
      </c>
      <c r="H79" s="1">
        <v>2018</v>
      </c>
      <c r="I79" s="1">
        <v>18249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392"/>
  <sheetViews>
    <sheetView topLeftCell="A368" workbookViewId="0">
      <selection activeCell="I392" sqref="I392"/>
    </sheetView>
  </sheetViews>
  <sheetFormatPr defaultColWidth="8.85546875" defaultRowHeight="14.45"/>
  <cols>
    <col min="1" max="1" width="10.140625" style="1" bestFit="1" customWidth="1"/>
    <col min="2" max="4" width="8.85546875" style="1"/>
    <col min="5" max="5" width="14.42578125" style="1" customWidth="1"/>
    <col min="6" max="6" width="12.140625" style="1" customWidth="1"/>
    <col min="7" max="7" width="19.5703125" style="1" customWidth="1"/>
    <col min="8" max="8" width="8.85546875" style="1"/>
    <col min="9" max="9" width="8.85546875" style="34"/>
    <col min="10" max="10" width="11" style="1" bestFit="1" customWidth="1"/>
    <col min="11" max="16384" width="8.85546875" style="1"/>
  </cols>
  <sheetData>
    <row r="1" spans="1:11">
      <c r="A1" s="2" t="s">
        <v>51</v>
      </c>
      <c r="B1" s="2" t="s">
        <v>52</v>
      </c>
      <c r="C1" s="2" t="s">
        <v>53</v>
      </c>
      <c r="D1" s="2" t="s">
        <v>54</v>
      </c>
      <c r="E1" s="2" t="s">
        <v>323</v>
      </c>
      <c r="F1" s="2" t="s">
        <v>343</v>
      </c>
      <c r="G1" s="2" t="s">
        <v>324</v>
      </c>
      <c r="H1" s="2" t="s">
        <v>189</v>
      </c>
      <c r="I1" s="2" t="s">
        <v>344</v>
      </c>
      <c r="J1" s="6" t="s">
        <v>345</v>
      </c>
      <c r="K1" s="6" t="s">
        <v>69</v>
      </c>
    </row>
    <row r="2" spans="1:11">
      <c r="A2" s="1" t="s">
        <v>70</v>
      </c>
      <c r="B2" s="1" t="s">
        <v>71</v>
      </c>
      <c r="C2" s="1">
        <v>1997</v>
      </c>
      <c r="D2" s="1" t="s">
        <v>72</v>
      </c>
      <c r="E2" s="1" t="s">
        <v>346</v>
      </c>
      <c r="F2" s="1" t="s">
        <v>347</v>
      </c>
      <c r="G2" s="1" t="s">
        <v>348</v>
      </c>
      <c r="H2" s="1">
        <v>1996</v>
      </c>
      <c r="I2" s="34">
        <v>7</v>
      </c>
      <c r="J2" s="1" t="s">
        <v>73</v>
      </c>
      <c r="K2" s="1" t="s">
        <v>349</v>
      </c>
    </row>
    <row r="3" spans="1:11">
      <c r="A3" s="1" t="s">
        <v>70</v>
      </c>
      <c r="B3" s="1" t="s">
        <v>71</v>
      </c>
      <c r="C3" s="1">
        <v>1997</v>
      </c>
      <c r="D3" s="1" t="s">
        <v>72</v>
      </c>
      <c r="E3" s="1" t="s">
        <v>346</v>
      </c>
      <c r="F3" s="1" t="s">
        <v>347</v>
      </c>
      <c r="G3" s="1" t="s">
        <v>350</v>
      </c>
      <c r="H3" s="1">
        <v>1996</v>
      </c>
      <c r="I3" s="34">
        <v>4</v>
      </c>
      <c r="J3" s="1" t="s">
        <v>73</v>
      </c>
    </row>
    <row r="4" spans="1:11">
      <c r="A4" s="1" t="s">
        <v>70</v>
      </c>
      <c r="B4" s="1" t="s">
        <v>71</v>
      </c>
      <c r="C4" s="1">
        <v>1997</v>
      </c>
      <c r="D4" s="1" t="s">
        <v>72</v>
      </c>
      <c r="E4" s="1" t="s">
        <v>346</v>
      </c>
      <c r="F4" s="1" t="s">
        <v>347</v>
      </c>
      <c r="G4" s="1" t="s">
        <v>351</v>
      </c>
      <c r="H4" s="1">
        <v>1996</v>
      </c>
      <c r="I4" s="34">
        <v>4</v>
      </c>
      <c r="J4" s="1" t="s">
        <v>73</v>
      </c>
    </row>
    <row r="5" spans="1:11">
      <c r="A5" s="1" t="s">
        <v>70</v>
      </c>
      <c r="B5" s="1" t="s">
        <v>71</v>
      </c>
      <c r="C5" s="1">
        <v>1997</v>
      </c>
      <c r="D5" s="1" t="s">
        <v>72</v>
      </c>
      <c r="E5" s="1" t="s">
        <v>346</v>
      </c>
      <c r="F5" s="1" t="s">
        <v>347</v>
      </c>
      <c r="G5" s="1" t="s">
        <v>352</v>
      </c>
      <c r="H5" s="1">
        <v>1996</v>
      </c>
      <c r="I5" s="34">
        <v>5</v>
      </c>
      <c r="J5" s="1" t="s">
        <v>73</v>
      </c>
    </row>
    <row r="6" spans="1:11">
      <c r="A6" s="1" t="s">
        <v>70</v>
      </c>
      <c r="B6" s="1" t="s">
        <v>71</v>
      </c>
      <c r="C6" s="1">
        <v>1997</v>
      </c>
      <c r="D6" s="1" t="s">
        <v>72</v>
      </c>
      <c r="E6" s="1" t="s">
        <v>346</v>
      </c>
      <c r="F6" s="1" t="s">
        <v>347</v>
      </c>
      <c r="G6" s="1" t="s">
        <v>353</v>
      </c>
      <c r="H6" s="1">
        <v>1996</v>
      </c>
      <c r="I6" s="34">
        <v>2</v>
      </c>
      <c r="J6" s="1" t="s">
        <v>73</v>
      </c>
    </row>
    <row r="7" spans="1:11">
      <c r="A7" s="1" t="s">
        <v>70</v>
      </c>
      <c r="B7" s="1" t="s">
        <v>71</v>
      </c>
      <c r="C7" s="1">
        <v>1997</v>
      </c>
      <c r="D7" s="1" t="s">
        <v>72</v>
      </c>
      <c r="E7" s="1" t="s">
        <v>346</v>
      </c>
      <c r="F7" s="1" t="s">
        <v>347</v>
      </c>
      <c r="G7" s="1" t="s">
        <v>354</v>
      </c>
      <c r="H7" s="1">
        <v>1996</v>
      </c>
      <c r="I7" s="34">
        <v>1</v>
      </c>
      <c r="J7" s="1" t="s">
        <v>73</v>
      </c>
    </row>
    <row r="8" spans="1:11">
      <c r="A8" s="1" t="s">
        <v>70</v>
      </c>
      <c r="B8" s="1" t="s">
        <v>71</v>
      </c>
      <c r="C8" s="1">
        <v>1997</v>
      </c>
      <c r="D8" s="1" t="s">
        <v>72</v>
      </c>
      <c r="E8" s="1" t="s">
        <v>346</v>
      </c>
      <c r="F8" s="1" t="s">
        <v>347</v>
      </c>
      <c r="G8" s="1" t="s">
        <v>355</v>
      </c>
      <c r="H8" s="1">
        <v>1996</v>
      </c>
      <c r="I8" s="34">
        <v>1</v>
      </c>
      <c r="J8" s="1" t="s">
        <v>73</v>
      </c>
    </row>
    <row r="9" spans="1:11">
      <c r="A9" s="1" t="s">
        <v>70</v>
      </c>
      <c r="B9" s="1" t="s">
        <v>71</v>
      </c>
      <c r="C9" s="1">
        <v>1997</v>
      </c>
      <c r="D9" s="1" t="s">
        <v>72</v>
      </c>
      <c r="E9" s="1" t="s">
        <v>346</v>
      </c>
      <c r="F9" s="1" t="s">
        <v>347</v>
      </c>
      <c r="G9" s="1" t="s">
        <v>334</v>
      </c>
      <c r="H9" s="1">
        <v>1996</v>
      </c>
      <c r="I9" s="34">
        <f>14.61+1</f>
        <v>15.61</v>
      </c>
      <c r="J9" s="1" t="s">
        <v>73</v>
      </c>
      <c r="K9" s="1" t="s">
        <v>356</v>
      </c>
    </row>
    <row r="10" spans="1:11">
      <c r="A10" s="1" t="s">
        <v>70</v>
      </c>
      <c r="B10" s="1" t="s">
        <v>71</v>
      </c>
      <c r="C10" s="1">
        <v>1997</v>
      </c>
      <c r="D10" s="1" t="s">
        <v>72</v>
      </c>
      <c r="E10" s="1" t="s">
        <v>357</v>
      </c>
      <c r="F10" s="1" t="s">
        <v>347</v>
      </c>
      <c r="G10" s="1" t="s">
        <v>328</v>
      </c>
      <c r="H10" s="1">
        <v>1991</v>
      </c>
      <c r="I10" s="34">
        <v>3.3050000000000002</v>
      </c>
      <c r="J10" s="1" t="s">
        <v>73</v>
      </c>
    </row>
    <row r="11" spans="1:11">
      <c r="A11" s="1" t="s">
        <v>70</v>
      </c>
      <c r="B11" s="1" t="s">
        <v>71</v>
      </c>
      <c r="C11" s="1">
        <v>1997</v>
      </c>
      <c r="D11" s="1" t="s">
        <v>72</v>
      </c>
      <c r="E11" s="1" t="s">
        <v>357</v>
      </c>
      <c r="F11" s="1" t="s">
        <v>347</v>
      </c>
      <c r="G11" s="1" t="s">
        <v>329</v>
      </c>
      <c r="H11" s="1">
        <v>1991</v>
      </c>
      <c r="I11" s="34">
        <v>1.07</v>
      </c>
      <c r="J11" s="1" t="s">
        <v>73</v>
      </c>
    </row>
    <row r="12" spans="1:11">
      <c r="A12" s="1" t="s">
        <v>70</v>
      </c>
      <c r="B12" s="1" t="s">
        <v>71</v>
      </c>
      <c r="C12" s="1">
        <v>1997</v>
      </c>
      <c r="D12" s="1" t="s">
        <v>72</v>
      </c>
      <c r="E12" s="1" t="s">
        <v>357</v>
      </c>
      <c r="F12" s="1" t="s">
        <v>347</v>
      </c>
      <c r="G12" s="1" t="s">
        <v>330</v>
      </c>
      <c r="H12" s="1">
        <v>1991</v>
      </c>
      <c r="I12" s="34">
        <v>1.3360000000000001</v>
      </c>
      <c r="J12" s="1" t="s">
        <v>73</v>
      </c>
    </row>
    <row r="13" spans="1:11">
      <c r="A13" s="1" t="s">
        <v>70</v>
      </c>
      <c r="B13" s="1" t="s">
        <v>71</v>
      </c>
      <c r="C13" s="1">
        <v>1997</v>
      </c>
      <c r="D13" s="1" t="s">
        <v>72</v>
      </c>
      <c r="E13" s="1" t="s">
        <v>357</v>
      </c>
      <c r="F13" s="1" t="s">
        <v>347</v>
      </c>
      <c r="G13" s="1" t="s">
        <v>331</v>
      </c>
      <c r="H13" s="1">
        <v>1991</v>
      </c>
      <c r="I13" s="34">
        <v>0.65300000000000002</v>
      </c>
      <c r="J13" s="1" t="s">
        <v>73</v>
      </c>
    </row>
    <row r="14" spans="1:11">
      <c r="A14" s="1" t="s">
        <v>70</v>
      </c>
      <c r="B14" s="1" t="s">
        <v>71</v>
      </c>
      <c r="C14" s="1">
        <v>1997</v>
      </c>
      <c r="D14" s="1" t="s">
        <v>72</v>
      </c>
      <c r="E14" s="1" t="s">
        <v>357</v>
      </c>
      <c r="F14" s="1" t="s">
        <v>347</v>
      </c>
      <c r="G14" s="1" t="s">
        <v>333</v>
      </c>
      <c r="H14" s="1">
        <v>1991</v>
      </c>
      <c r="I14" s="34">
        <v>0</v>
      </c>
      <c r="J14" s="1" t="s">
        <v>73</v>
      </c>
    </row>
    <row r="15" spans="1:11">
      <c r="A15" s="1" t="s">
        <v>70</v>
      </c>
      <c r="B15" s="1" t="s">
        <v>71</v>
      </c>
      <c r="C15" s="1">
        <v>1997</v>
      </c>
      <c r="D15" s="1" t="s">
        <v>72</v>
      </c>
      <c r="E15" s="1" t="s">
        <v>357</v>
      </c>
      <c r="F15" s="1" t="s">
        <v>347</v>
      </c>
      <c r="G15" s="1" t="s">
        <v>334</v>
      </c>
      <c r="H15" s="1">
        <v>1991</v>
      </c>
      <c r="I15" s="34">
        <v>6.3639999999999999</v>
      </c>
      <c r="J15" s="1" t="s">
        <v>73</v>
      </c>
    </row>
    <row r="16" spans="1:11">
      <c r="A16" s="1" t="s">
        <v>70</v>
      </c>
      <c r="B16" s="1" t="s">
        <v>71</v>
      </c>
      <c r="C16" s="1">
        <v>1997</v>
      </c>
      <c r="D16" s="1" t="s">
        <v>72</v>
      </c>
      <c r="E16" s="1" t="s">
        <v>357</v>
      </c>
      <c r="F16" s="1" t="s">
        <v>347</v>
      </c>
      <c r="G16" s="1" t="s">
        <v>358</v>
      </c>
      <c r="H16" s="1">
        <v>1991</v>
      </c>
      <c r="I16" s="34">
        <v>4.7460000000000004</v>
      </c>
      <c r="J16" s="1" t="s">
        <v>73</v>
      </c>
    </row>
    <row r="17" spans="1:10">
      <c r="A17" s="1" t="s">
        <v>70</v>
      </c>
      <c r="B17" s="1" t="s">
        <v>71</v>
      </c>
      <c r="C17" s="1">
        <v>1997</v>
      </c>
      <c r="D17" s="1" t="s">
        <v>72</v>
      </c>
      <c r="E17" s="1" t="s">
        <v>359</v>
      </c>
      <c r="F17" s="1" t="s">
        <v>347</v>
      </c>
      <c r="G17" s="1" t="s">
        <v>334</v>
      </c>
      <c r="H17" s="1">
        <v>1991</v>
      </c>
      <c r="I17" s="34">
        <v>11.11</v>
      </c>
      <c r="J17" s="1" t="s">
        <v>73</v>
      </c>
    </row>
    <row r="18" spans="1:10">
      <c r="A18" s="1" t="s">
        <v>70</v>
      </c>
      <c r="B18" s="1" t="s">
        <v>71</v>
      </c>
      <c r="C18" s="1">
        <v>1997</v>
      </c>
      <c r="D18" s="1" t="s">
        <v>72</v>
      </c>
      <c r="E18" s="1" t="s">
        <v>357</v>
      </c>
      <c r="F18" s="1" t="s">
        <v>347</v>
      </c>
      <c r="G18" s="1" t="s">
        <v>328</v>
      </c>
      <c r="H18" s="1">
        <v>1992</v>
      </c>
      <c r="I18" s="34">
        <v>3.2829999999999999</v>
      </c>
      <c r="J18" s="1" t="s">
        <v>73</v>
      </c>
    </row>
    <row r="19" spans="1:10">
      <c r="A19" s="1" t="s">
        <v>70</v>
      </c>
      <c r="B19" s="1" t="s">
        <v>71</v>
      </c>
      <c r="C19" s="1">
        <v>1997</v>
      </c>
      <c r="D19" s="1" t="s">
        <v>72</v>
      </c>
      <c r="E19" s="1" t="s">
        <v>357</v>
      </c>
      <c r="F19" s="1" t="s">
        <v>347</v>
      </c>
      <c r="G19" s="1" t="s">
        <v>329</v>
      </c>
      <c r="H19" s="1">
        <v>1992</v>
      </c>
      <c r="I19" s="34">
        <v>0.89100000000000001</v>
      </c>
      <c r="J19" s="1" t="s">
        <v>73</v>
      </c>
    </row>
    <row r="20" spans="1:10">
      <c r="A20" s="1" t="s">
        <v>70</v>
      </c>
      <c r="B20" s="1" t="s">
        <v>71</v>
      </c>
      <c r="C20" s="1">
        <v>1997</v>
      </c>
      <c r="D20" s="1" t="s">
        <v>72</v>
      </c>
      <c r="E20" s="1" t="s">
        <v>357</v>
      </c>
      <c r="F20" s="1" t="s">
        <v>347</v>
      </c>
      <c r="G20" s="1" t="s">
        <v>330</v>
      </c>
      <c r="H20" s="1">
        <v>1992</v>
      </c>
      <c r="I20" s="34">
        <v>1.165</v>
      </c>
      <c r="J20" s="1" t="s">
        <v>73</v>
      </c>
    </row>
    <row r="21" spans="1:10">
      <c r="A21" s="1" t="s">
        <v>70</v>
      </c>
      <c r="B21" s="1" t="s">
        <v>71</v>
      </c>
      <c r="C21" s="1">
        <v>1997</v>
      </c>
      <c r="D21" s="1" t="s">
        <v>72</v>
      </c>
      <c r="E21" s="1" t="s">
        <v>357</v>
      </c>
      <c r="F21" s="1" t="s">
        <v>347</v>
      </c>
      <c r="G21" s="1" t="s">
        <v>331</v>
      </c>
      <c r="H21" s="1">
        <v>1992</v>
      </c>
      <c r="I21" s="34">
        <v>0.67</v>
      </c>
      <c r="J21" s="1" t="s">
        <v>73</v>
      </c>
    </row>
    <row r="22" spans="1:10">
      <c r="A22" s="1" t="s">
        <v>70</v>
      </c>
      <c r="B22" s="1" t="s">
        <v>71</v>
      </c>
      <c r="C22" s="1">
        <v>1997</v>
      </c>
      <c r="D22" s="1" t="s">
        <v>72</v>
      </c>
      <c r="E22" s="1" t="s">
        <v>357</v>
      </c>
      <c r="F22" s="1" t="s">
        <v>347</v>
      </c>
      <c r="G22" s="1" t="s">
        <v>333</v>
      </c>
      <c r="H22" s="1">
        <v>1992</v>
      </c>
      <c r="I22" s="34">
        <v>0</v>
      </c>
      <c r="J22" s="1" t="s">
        <v>73</v>
      </c>
    </row>
    <row r="23" spans="1:10">
      <c r="A23" s="1" t="s">
        <v>70</v>
      </c>
      <c r="B23" s="1" t="s">
        <v>71</v>
      </c>
      <c r="C23" s="1">
        <v>1997</v>
      </c>
      <c r="D23" s="1" t="s">
        <v>72</v>
      </c>
      <c r="E23" s="1" t="s">
        <v>357</v>
      </c>
      <c r="F23" s="1" t="s">
        <v>347</v>
      </c>
      <c r="G23" s="1" t="s">
        <v>334</v>
      </c>
      <c r="H23" s="1">
        <v>1992</v>
      </c>
      <c r="I23" s="34">
        <v>6.0090000000000003</v>
      </c>
      <c r="J23" s="1" t="s">
        <v>73</v>
      </c>
    </row>
    <row r="24" spans="1:10">
      <c r="A24" s="1" t="s">
        <v>70</v>
      </c>
      <c r="B24" s="1" t="s">
        <v>71</v>
      </c>
      <c r="C24" s="1">
        <v>1997</v>
      </c>
      <c r="D24" s="1" t="s">
        <v>72</v>
      </c>
      <c r="E24" s="1" t="s">
        <v>357</v>
      </c>
      <c r="F24" s="1" t="s">
        <v>347</v>
      </c>
      <c r="G24" s="1" t="s">
        <v>358</v>
      </c>
      <c r="H24" s="1">
        <v>1992</v>
      </c>
      <c r="I24" s="34">
        <v>4.6219999999999999</v>
      </c>
      <c r="J24" s="1" t="s">
        <v>73</v>
      </c>
    </row>
    <row r="25" spans="1:10">
      <c r="A25" s="1" t="s">
        <v>70</v>
      </c>
      <c r="B25" s="1" t="s">
        <v>71</v>
      </c>
      <c r="C25" s="1">
        <v>1997</v>
      </c>
      <c r="D25" s="1" t="s">
        <v>72</v>
      </c>
      <c r="E25" s="1" t="s">
        <v>359</v>
      </c>
      <c r="F25" s="1" t="s">
        <v>347</v>
      </c>
      <c r="G25" s="1" t="s">
        <v>334</v>
      </c>
      <c r="H25" s="1">
        <v>1992</v>
      </c>
      <c r="I25" s="34">
        <v>10.631</v>
      </c>
      <c r="J25" s="1" t="s">
        <v>73</v>
      </c>
    </row>
    <row r="26" spans="1:10">
      <c r="A26" s="1" t="s">
        <v>70</v>
      </c>
      <c r="B26" s="1" t="s">
        <v>71</v>
      </c>
      <c r="C26" s="1">
        <v>1997</v>
      </c>
      <c r="D26" s="1" t="s">
        <v>72</v>
      </c>
      <c r="E26" s="1" t="s">
        <v>357</v>
      </c>
      <c r="F26" s="1" t="s">
        <v>347</v>
      </c>
      <c r="G26" s="1" t="s">
        <v>328</v>
      </c>
      <c r="H26" s="1">
        <v>1993</v>
      </c>
      <c r="I26" s="34">
        <v>3.407</v>
      </c>
      <c r="J26" s="1" t="s">
        <v>73</v>
      </c>
    </row>
    <row r="27" spans="1:10">
      <c r="A27" s="1" t="s">
        <v>70</v>
      </c>
      <c r="B27" s="1" t="s">
        <v>71</v>
      </c>
      <c r="C27" s="1">
        <v>1997</v>
      </c>
      <c r="D27" s="1" t="s">
        <v>72</v>
      </c>
      <c r="E27" s="1" t="s">
        <v>357</v>
      </c>
      <c r="F27" s="1" t="s">
        <v>347</v>
      </c>
      <c r="G27" s="1" t="s">
        <v>329</v>
      </c>
      <c r="H27" s="1">
        <v>1993</v>
      </c>
      <c r="I27" s="34">
        <v>0.89300000000000002</v>
      </c>
      <c r="J27" s="1" t="s">
        <v>73</v>
      </c>
    </row>
    <row r="28" spans="1:10">
      <c r="A28" s="1" t="s">
        <v>70</v>
      </c>
      <c r="B28" s="1" t="s">
        <v>71</v>
      </c>
      <c r="C28" s="1">
        <v>1997</v>
      </c>
      <c r="D28" s="1" t="s">
        <v>72</v>
      </c>
      <c r="E28" s="1" t="s">
        <v>357</v>
      </c>
      <c r="F28" s="1" t="s">
        <v>347</v>
      </c>
      <c r="G28" s="1" t="s">
        <v>330</v>
      </c>
      <c r="H28" s="1">
        <v>1993</v>
      </c>
      <c r="I28" s="34">
        <v>1.1759999999999999</v>
      </c>
      <c r="J28" s="1" t="s">
        <v>73</v>
      </c>
    </row>
    <row r="29" spans="1:10">
      <c r="A29" s="1" t="s">
        <v>70</v>
      </c>
      <c r="B29" s="1" t="s">
        <v>71</v>
      </c>
      <c r="C29" s="1">
        <v>1997</v>
      </c>
      <c r="D29" s="1" t="s">
        <v>72</v>
      </c>
      <c r="E29" s="1" t="s">
        <v>357</v>
      </c>
      <c r="F29" s="1" t="s">
        <v>347</v>
      </c>
      <c r="G29" s="1" t="s">
        <v>331</v>
      </c>
      <c r="H29" s="1">
        <v>1993</v>
      </c>
      <c r="I29" s="34">
        <v>0.66400000000000003</v>
      </c>
      <c r="J29" s="1" t="s">
        <v>73</v>
      </c>
    </row>
    <row r="30" spans="1:10">
      <c r="A30" s="1" t="s">
        <v>70</v>
      </c>
      <c r="B30" s="1" t="s">
        <v>71</v>
      </c>
      <c r="C30" s="1">
        <v>1997</v>
      </c>
      <c r="D30" s="1" t="s">
        <v>72</v>
      </c>
      <c r="E30" s="1" t="s">
        <v>357</v>
      </c>
      <c r="F30" s="1" t="s">
        <v>347</v>
      </c>
      <c r="G30" s="1" t="s">
        <v>333</v>
      </c>
      <c r="H30" s="1">
        <v>1993</v>
      </c>
      <c r="I30" s="34">
        <v>0</v>
      </c>
      <c r="J30" s="1" t="s">
        <v>73</v>
      </c>
    </row>
    <row r="31" spans="1:10">
      <c r="A31" s="1" t="s">
        <v>70</v>
      </c>
      <c r="B31" s="1" t="s">
        <v>71</v>
      </c>
      <c r="C31" s="1">
        <v>1997</v>
      </c>
      <c r="D31" s="1" t="s">
        <v>72</v>
      </c>
      <c r="E31" s="1" t="s">
        <v>357</v>
      </c>
      <c r="F31" s="1" t="s">
        <v>347</v>
      </c>
      <c r="G31" s="1" t="s">
        <v>334</v>
      </c>
      <c r="H31" s="1">
        <v>1993</v>
      </c>
      <c r="I31" s="34">
        <v>6.14</v>
      </c>
      <c r="J31" s="1" t="s">
        <v>73</v>
      </c>
    </row>
    <row r="32" spans="1:10">
      <c r="A32" s="1" t="s">
        <v>70</v>
      </c>
      <c r="B32" s="1" t="s">
        <v>71</v>
      </c>
      <c r="C32" s="1">
        <v>1997</v>
      </c>
      <c r="D32" s="1" t="s">
        <v>72</v>
      </c>
      <c r="E32" s="1" t="s">
        <v>357</v>
      </c>
      <c r="F32" s="1" t="s">
        <v>347</v>
      </c>
      <c r="G32" s="1" t="s">
        <v>358</v>
      </c>
      <c r="H32" s="1">
        <v>1993</v>
      </c>
      <c r="I32" s="34">
        <v>4.9930000000000003</v>
      </c>
      <c r="J32" s="1" t="s">
        <v>73</v>
      </c>
    </row>
    <row r="33" spans="1:10">
      <c r="A33" s="1" t="s">
        <v>70</v>
      </c>
      <c r="B33" s="1" t="s">
        <v>71</v>
      </c>
      <c r="C33" s="1">
        <v>1997</v>
      </c>
      <c r="D33" s="1" t="s">
        <v>72</v>
      </c>
      <c r="E33" s="1" t="s">
        <v>359</v>
      </c>
      <c r="F33" s="1" t="s">
        <v>347</v>
      </c>
      <c r="G33" s="1" t="s">
        <v>334</v>
      </c>
      <c r="H33" s="1">
        <v>1993</v>
      </c>
      <c r="I33" s="34">
        <v>11.132999999999999</v>
      </c>
      <c r="J33" s="1" t="s">
        <v>73</v>
      </c>
    </row>
    <row r="34" spans="1:10">
      <c r="A34" s="1" t="s">
        <v>70</v>
      </c>
      <c r="B34" s="1" t="s">
        <v>71</v>
      </c>
      <c r="C34" s="1">
        <v>1997</v>
      </c>
      <c r="D34" s="1" t="s">
        <v>72</v>
      </c>
      <c r="E34" s="1" t="s">
        <v>357</v>
      </c>
      <c r="F34" s="1" t="s">
        <v>347</v>
      </c>
      <c r="G34" s="1" t="s">
        <v>328</v>
      </c>
      <c r="H34" s="1">
        <v>1994</v>
      </c>
      <c r="I34" s="34">
        <v>3.387</v>
      </c>
      <c r="J34" s="1" t="s">
        <v>73</v>
      </c>
    </row>
    <row r="35" spans="1:10">
      <c r="A35" s="1" t="s">
        <v>70</v>
      </c>
      <c r="B35" s="1" t="s">
        <v>71</v>
      </c>
      <c r="C35" s="1">
        <v>1997</v>
      </c>
      <c r="D35" s="1" t="s">
        <v>72</v>
      </c>
      <c r="E35" s="1" t="s">
        <v>357</v>
      </c>
      <c r="F35" s="1" t="s">
        <v>347</v>
      </c>
      <c r="G35" s="1" t="s">
        <v>329</v>
      </c>
      <c r="H35" s="1">
        <v>1994</v>
      </c>
      <c r="I35" s="34">
        <v>0.90600000000000003</v>
      </c>
      <c r="J35" s="1" t="s">
        <v>73</v>
      </c>
    </row>
    <row r="36" spans="1:10">
      <c r="A36" s="1" t="s">
        <v>70</v>
      </c>
      <c r="B36" s="1" t="s">
        <v>71</v>
      </c>
      <c r="C36" s="1">
        <v>1997</v>
      </c>
      <c r="D36" s="1" t="s">
        <v>72</v>
      </c>
      <c r="E36" s="1" t="s">
        <v>357</v>
      </c>
      <c r="F36" s="1" t="s">
        <v>347</v>
      </c>
      <c r="G36" s="1" t="s">
        <v>330</v>
      </c>
      <c r="H36" s="1">
        <v>1994</v>
      </c>
      <c r="I36" s="34">
        <v>1.1930000000000001</v>
      </c>
      <c r="J36" s="1" t="s">
        <v>73</v>
      </c>
    </row>
    <row r="37" spans="1:10">
      <c r="A37" s="1" t="s">
        <v>70</v>
      </c>
      <c r="B37" s="1" t="s">
        <v>71</v>
      </c>
      <c r="C37" s="1">
        <v>1997</v>
      </c>
      <c r="D37" s="1" t="s">
        <v>72</v>
      </c>
      <c r="E37" s="1" t="s">
        <v>357</v>
      </c>
      <c r="F37" s="1" t="s">
        <v>347</v>
      </c>
      <c r="G37" s="1" t="s">
        <v>331</v>
      </c>
      <c r="H37" s="1">
        <v>1994</v>
      </c>
      <c r="I37" s="34">
        <v>0.64</v>
      </c>
      <c r="J37" s="1" t="s">
        <v>73</v>
      </c>
    </row>
    <row r="38" spans="1:10">
      <c r="A38" s="1" t="s">
        <v>70</v>
      </c>
      <c r="B38" s="1" t="s">
        <v>71</v>
      </c>
      <c r="C38" s="1">
        <v>1997</v>
      </c>
      <c r="D38" s="1" t="s">
        <v>72</v>
      </c>
      <c r="E38" s="1" t="s">
        <v>357</v>
      </c>
      <c r="F38" s="1" t="s">
        <v>347</v>
      </c>
      <c r="G38" s="1" t="s">
        <v>333</v>
      </c>
      <c r="H38" s="1">
        <v>1994</v>
      </c>
      <c r="I38" s="34">
        <v>1.6950000000000001</v>
      </c>
      <c r="J38" s="1" t="s">
        <v>73</v>
      </c>
    </row>
    <row r="39" spans="1:10">
      <c r="A39" s="1" t="s">
        <v>70</v>
      </c>
      <c r="B39" s="1" t="s">
        <v>71</v>
      </c>
      <c r="C39" s="1">
        <v>1997</v>
      </c>
      <c r="D39" s="1" t="s">
        <v>72</v>
      </c>
      <c r="E39" s="1" t="s">
        <v>357</v>
      </c>
      <c r="F39" s="1" t="s">
        <v>347</v>
      </c>
      <c r="G39" s="1" t="s">
        <v>334</v>
      </c>
      <c r="H39" s="1">
        <v>1994</v>
      </c>
      <c r="I39" s="34">
        <v>7.8209999999999997</v>
      </c>
      <c r="J39" s="1" t="s">
        <v>73</v>
      </c>
    </row>
    <row r="40" spans="1:10">
      <c r="A40" s="1" t="s">
        <v>70</v>
      </c>
      <c r="B40" s="1" t="s">
        <v>71</v>
      </c>
      <c r="C40" s="1">
        <v>1997</v>
      </c>
      <c r="D40" s="1" t="s">
        <v>72</v>
      </c>
      <c r="E40" s="1" t="s">
        <v>357</v>
      </c>
      <c r="F40" s="1" t="s">
        <v>347</v>
      </c>
      <c r="G40" s="1" t="s">
        <v>358</v>
      </c>
      <c r="H40" s="1">
        <v>1994</v>
      </c>
      <c r="I40" s="34">
        <v>4.125</v>
      </c>
      <c r="J40" s="1" t="s">
        <v>73</v>
      </c>
    </row>
    <row r="41" spans="1:10">
      <c r="A41" s="1" t="s">
        <v>70</v>
      </c>
      <c r="B41" s="1" t="s">
        <v>71</v>
      </c>
      <c r="C41" s="1">
        <v>1997</v>
      </c>
      <c r="D41" s="1" t="s">
        <v>72</v>
      </c>
      <c r="E41" s="1" t="s">
        <v>359</v>
      </c>
      <c r="F41" s="1" t="s">
        <v>347</v>
      </c>
      <c r="G41" s="1" t="s">
        <v>334</v>
      </c>
      <c r="H41" s="1">
        <v>1994</v>
      </c>
      <c r="I41" s="34">
        <v>11.946</v>
      </c>
      <c r="J41" s="1" t="s">
        <v>73</v>
      </c>
    </row>
    <row r="42" spans="1:10">
      <c r="A42" s="1" t="s">
        <v>70</v>
      </c>
      <c r="B42" s="1" t="s">
        <v>71</v>
      </c>
      <c r="C42" s="1">
        <v>1997</v>
      </c>
      <c r="D42" s="1" t="s">
        <v>72</v>
      </c>
      <c r="E42" s="1" t="s">
        <v>357</v>
      </c>
      <c r="F42" s="1" t="s">
        <v>347</v>
      </c>
      <c r="G42" s="1" t="s">
        <v>328</v>
      </c>
      <c r="H42" s="1">
        <v>1995</v>
      </c>
      <c r="I42" s="34">
        <v>3.391</v>
      </c>
      <c r="J42" s="1" t="s">
        <v>73</v>
      </c>
    </row>
    <row r="43" spans="1:10">
      <c r="A43" s="1" t="s">
        <v>70</v>
      </c>
      <c r="B43" s="1" t="s">
        <v>71</v>
      </c>
      <c r="C43" s="1">
        <v>1997</v>
      </c>
      <c r="D43" s="1" t="s">
        <v>72</v>
      </c>
      <c r="E43" s="1" t="s">
        <v>357</v>
      </c>
      <c r="F43" s="1" t="s">
        <v>347</v>
      </c>
      <c r="G43" s="1" t="s">
        <v>329</v>
      </c>
      <c r="H43" s="1">
        <v>1995</v>
      </c>
      <c r="I43" s="34">
        <v>0.9</v>
      </c>
      <c r="J43" s="1" t="s">
        <v>73</v>
      </c>
    </row>
    <row r="44" spans="1:10">
      <c r="A44" s="1" t="s">
        <v>70</v>
      </c>
      <c r="B44" s="1" t="s">
        <v>71</v>
      </c>
      <c r="C44" s="1">
        <v>1997</v>
      </c>
      <c r="D44" s="1" t="s">
        <v>72</v>
      </c>
      <c r="E44" s="1" t="s">
        <v>357</v>
      </c>
      <c r="F44" s="1" t="s">
        <v>347</v>
      </c>
      <c r="G44" s="1" t="s">
        <v>330</v>
      </c>
      <c r="H44" s="1">
        <v>1995</v>
      </c>
      <c r="I44" s="34">
        <v>0.92600000000000005</v>
      </c>
      <c r="J44" s="1" t="s">
        <v>73</v>
      </c>
    </row>
    <row r="45" spans="1:10">
      <c r="A45" s="1" t="s">
        <v>70</v>
      </c>
      <c r="B45" s="1" t="s">
        <v>71</v>
      </c>
      <c r="C45" s="1">
        <v>1997</v>
      </c>
      <c r="D45" s="1" t="s">
        <v>72</v>
      </c>
      <c r="E45" s="1" t="s">
        <v>357</v>
      </c>
      <c r="F45" s="1" t="s">
        <v>347</v>
      </c>
      <c r="G45" s="1" t="s">
        <v>331</v>
      </c>
      <c r="H45" s="1">
        <v>1995</v>
      </c>
      <c r="I45" s="34">
        <v>0.68799999999999994</v>
      </c>
      <c r="J45" s="1" t="s">
        <v>73</v>
      </c>
    </row>
    <row r="46" spans="1:10">
      <c r="A46" s="1" t="s">
        <v>70</v>
      </c>
      <c r="B46" s="1" t="s">
        <v>71</v>
      </c>
      <c r="C46" s="1">
        <v>1997</v>
      </c>
      <c r="D46" s="1" t="s">
        <v>72</v>
      </c>
      <c r="E46" s="1" t="s">
        <v>357</v>
      </c>
      <c r="F46" s="1" t="s">
        <v>347</v>
      </c>
      <c r="G46" s="1" t="s">
        <v>333</v>
      </c>
      <c r="H46" s="1">
        <v>1995</v>
      </c>
      <c r="I46" s="34">
        <v>1.385</v>
      </c>
      <c r="J46" s="1" t="s">
        <v>73</v>
      </c>
    </row>
    <row r="47" spans="1:10">
      <c r="A47" s="1" t="s">
        <v>70</v>
      </c>
      <c r="B47" s="1" t="s">
        <v>71</v>
      </c>
      <c r="C47" s="1">
        <v>1997</v>
      </c>
      <c r="D47" s="1" t="s">
        <v>72</v>
      </c>
      <c r="E47" s="1" t="s">
        <v>357</v>
      </c>
      <c r="F47" s="1" t="s">
        <v>347</v>
      </c>
      <c r="G47" s="1" t="s">
        <v>334</v>
      </c>
      <c r="H47" s="1">
        <v>1995</v>
      </c>
      <c r="I47" s="34">
        <v>7.29</v>
      </c>
      <c r="J47" s="1" t="s">
        <v>73</v>
      </c>
    </row>
    <row r="48" spans="1:10">
      <c r="A48" s="1" t="s">
        <v>70</v>
      </c>
      <c r="B48" s="1" t="s">
        <v>71</v>
      </c>
      <c r="C48" s="1">
        <v>1997</v>
      </c>
      <c r="D48" s="1" t="s">
        <v>72</v>
      </c>
      <c r="E48" s="1" t="s">
        <v>357</v>
      </c>
      <c r="F48" s="1" t="s">
        <v>347</v>
      </c>
      <c r="G48" s="1" t="s">
        <v>358</v>
      </c>
      <c r="H48" s="1">
        <v>1995</v>
      </c>
      <c r="I48" s="34">
        <v>3.7280000000000002</v>
      </c>
      <c r="J48" s="1" t="s">
        <v>73</v>
      </c>
    </row>
    <row r="49" spans="1:11">
      <c r="A49" s="1" t="s">
        <v>70</v>
      </c>
      <c r="B49" s="1" t="s">
        <v>71</v>
      </c>
      <c r="C49" s="1">
        <v>1997</v>
      </c>
      <c r="D49" s="1" t="s">
        <v>72</v>
      </c>
      <c r="E49" s="1" t="s">
        <v>359</v>
      </c>
      <c r="F49" s="1" t="s">
        <v>347</v>
      </c>
      <c r="G49" s="1" t="s">
        <v>334</v>
      </c>
      <c r="H49" s="1">
        <v>1995</v>
      </c>
      <c r="I49" s="34">
        <v>16.527000000000001</v>
      </c>
      <c r="J49" s="1" t="s">
        <v>73</v>
      </c>
    </row>
    <row r="50" spans="1:11">
      <c r="A50" s="1" t="s">
        <v>70</v>
      </c>
      <c r="B50" s="1" t="s">
        <v>71</v>
      </c>
      <c r="C50" s="1">
        <v>1997</v>
      </c>
      <c r="D50" s="1" t="s">
        <v>72</v>
      </c>
      <c r="E50" s="1" t="s">
        <v>357</v>
      </c>
      <c r="F50" s="1" t="s">
        <v>347</v>
      </c>
      <c r="G50" s="1" t="s">
        <v>328</v>
      </c>
      <c r="H50" s="1">
        <v>1996</v>
      </c>
      <c r="I50" s="34">
        <v>3.3740000000000001</v>
      </c>
      <c r="J50" s="1" t="s">
        <v>73</v>
      </c>
    </row>
    <row r="51" spans="1:11">
      <c r="A51" s="1" t="s">
        <v>70</v>
      </c>
      <c r="B51" s="1" t="s">
        <v>71</v>
      </c>
      <c r="C51" s="1">
        <v>1997</v>
      </c>
      <c r="D51" s="1" t="s">
        <v>72</v>
      </c>
      <c r="E51" s="1" t="s">
        <v>357</v>
      </c>
      <c r="F51" s="1" t="s">
        <v>347</v>
      </c>
      <c r="G51" s="1" t="s">
        <v>329</v>
      </c>
      <c r="H51" s="1">
        <v>1996</v>
      </c>
      <c r="I51" s="34">
        <v>0.88700000000000001</v>
      </c>
      <c r="J51" s="1" t="s">
        <v>73</v>
      </c>
    </row>
    <row r="52" spans="1:11">
      <c r="A52" s="1" t="s">
        <v>70</v>
      </c>
      <c r="B52" s="1" t="s">
        <v>71</v>
      </c>
      <c r="C52" s="1">
        <v>1997</v>
      </c>
      <c r="D52" s="1" t="s">
        <v>72</v>
      </c>
      <c r="E52" s="1" t="s">
        <v>357</v>
      </c>
      <c r="F52" s="1" t="s">
        <v>347</v>
      </c>
      <c r="G52" s="1" t="s">
        <v>330</v>
      </c>
      <c r="H52" s="1">
        <v>1996</v>
      </c>
      <c r="I52" s="34">
        <v>0.753</v>
      </c>
      <c r="J52" s="1" t="s">
        <v>73</v>
      </c>
    </row>
    <row r="53" spans="1:11">
      <c r="A53" s="1" t="s">
        <v>70</v>
      </c>
      <c r="B53" s="1" t="s">
        <v>71</v>
      </c>
      <c r="C53" s="1">
        <v>1997</v>
      </c>
      <c r="D53" s="1" t="s">
        <v>72</v>
      </c>
      <c r="E53" s="1" t="s">
        <v>357</v>
      </c>
      <c r="F53" s="1" t="s">
        <v>347</v>
      </c>
      <c r="G53" s="1" t="s">
        <v>331</v>
      </c>
      <c r="H53" s="1">
        <v>1996</v>
      </c>
      <c r="I53" s="34">
        <v>0.64500000000000002</v>
      </c>
      <c r="J53" s="1" t="s">
        <v>73</v>
      </c>
    </row>
    <row r="54" spans="1:11">
      <c r="A54" s="1" t="s">
        <v>70</v>
      </c>
      <c r="B54" s="1" t="s">
        <v>71</v>
      </c>
      <c r="C54" s="1">
        <v>1997</v>
      </c>
      <c r="D54" s="1" t="s">
        <v>72</v>
      </c>
      <c r="E54" s="1" t="s">
        <v>357</v>
      </c>
      <c r="F54" s="1" t="s">
        <v>347</v>
      </c>
      <c r="G54" s="1" t="s">
        <v>333</v>
      </c>
      <c r="H54" s="1">
        <v>1996</v>
      </c>
      <c r="I54" s="34">
        <v>1.163</v>
      </c>
      <c r="J54" s="1" t="s">
        <v>73</v>
      </c>
    </row>
    <row r="55" spans="1:11">
      <c r="A55" s="1" t="s">
        <v>70</v>
      </c>
      <c r="B55" s="1" t="s">
        <v>71</v>
      </c>
      <c r="C55" s="1">
        <v>1997</v>
      </c>
      <c r="D55" s="1" t="s">
        <v>72</v>
      </c>
      <c r="E55" s="1" t="s">
        <v>357</v>
      </c>
      <c r="F55" s="1" t="s">
        <v>347</v>
      </c>
      <c r="G55" s="1" t="s">
        <v>334</v>
      </c>
      <c r="H55" s="1">
        <v>1996</v>
      </c>
      <c r="I55" s="34">
        <v>6.8220000000000001</v>
      </c>
      <c r="J55" s="1" t="s">
        <v>73</v>
      </c>
    </row>
    <row r="56" spans="1:11">
      <c r="A56" s="1" t="s">
        <v>70</v>
      </c>
      <c r="B56" s="1" t="s">
        <v>71</v>
      </c>
      <c r="C56" s="1">
        <v>1997</v>
      </c>
      <c r="D56" s="1" t="s">
        <v>72</v>
      </c>
      <c r="E56" s="1" t="s">
        <v>357</v>
      </c>
      <c r="F56" s="1" t="s">
        <v>347</v>
      </c>
      <c r="G56" s="1" t="s">
        <v>358</v>
      </c>
      <c r="H56" s="1">
        <v>1996</v>
      </c>
      <c r="I56" s="34">
        <v>4.3959999999999999</v>
      </c>
      <c r="J56" s="1" t="s">
        <v>73</v>
      </c>
    </row>
    <row r="57" spans="1:11">
      <c r="A57" s="1" t="s">
        <v>70</v>
      </c>
      <c r="B57" s="1" t="s">
        <v>71</v>
      </c>
      <c r="C57" s="1">
        <v>1997</v>
      </c>
      <c r="D57" s="1" t="s">
        <v>72</v>
      </c>
      <c r="E57" s="1" t="s">
        <v>359</v>
      </c>
      <c r="F57" s="1" t="s">
        <v>347</v>
      </c>
      <c r="G57" s="1" t="s">
        <v>334</v>
      </c>
      <c r="H57" s="1">
        <v>1996</v>
      </c>
      <c r="I57" s="34">
        <v>11.218</v>
      </c>
      <c r="J57" s="1" t="s">
        <v>73</v>
      </c>
    </row>
    <row r="58" spans="1:11">
      <c r="A58" s="1" t="s">
        <v>70</v>
      </c>
      <c r="B58" s="1" t="s">
        <v>71</v>
      </c>
      <c r="C58" s="1">
        <v>2003</v>
      </c>
      <c r="D58" s="1" t="s">
        <v>81</v>
      </c>
      <c r="E58" s="1" t="s">
        <v>346</v>
      </c>
      <c r="F58" s="1" t="s">
        <v>347</v>
      </c>
      <c r="G58" s="1" t="s">
        <v>334</v>
      </c>
      <c r="H58" s="1">
        <v>2002</v>
      </c>
      <c r="I58" s="34">
        <v>40</v>
      </c>
      <c r="J58" s="1" t="s">
        <v>73</v>
      </c>
      <c r="K58" s="1" t="s">
        <v>360</v>
      </c>
    </row>
    <row r="59" spans="1:11">
      <c r="A59" s="1" t="s">
        <v>70</v>
      </c>
      <c r="B59" s="1" t="s">
        <v>71</v>
      </c>
      <c r="C59" s="1">
        <v>2003</v>
      </c>
      <c r="D59" s="1" t="s">
        <v>81</v>
      </c>
      <c r="E59" s="1" t="s">
        <v>359</v>
      </c>
      <c r="F59" s="1" t="s">
        <v>347</v>
      </c>
      <c r="G59" s="1" t="s">
        <v>334</v>
      </c>
      <c r="H59" s="1">
        <v>2002</v>
      </c>
      <c r="I59" s="34">
        <v>17</v>
      </c>
      <c r="J59" s="1" t="s">
        <v>73</v>
      </c>
    </row>
    <row r="60" spans="1:11">
      <c r="A60" s="1" t="s">
        <v>70</v>
      </c>
      <c r="B60" s="1" t="s">
        <v>71</v>
      </c>
      <c r="C60" s="1">
        <v>2003</v>
      </c>
      <c r="D60" s="1" t="s">
        <v>81</v>
      </c>
      <c r="E60" s="1" t="s">
        <v>357</v>
      </c>
      <c r="F60" s="1" t="s">
        <v>347</v>
      </c>
      <c r="G60" s="1" t="s">
        <v>328</v>
      </c>
      <c r="H60" s="1">
        <v>2001</v>
      </c>
      <c r="I60" s="34">
        <f t="shared" ref="I60:I65" si="0">J60/1000000/12</f>
        <v>9.8644215000000006</v>
      </c>
      <c r="J60" s="1">
        <v>118373058</v>
      </c>
      <c r="K60" s="1" t="s">
        <v>361</v>
      </c>
    </row>
    <row r="61" spans="1:11">
      <c r="A61" s="1" t="s">
        <v>70</v>
      </c>
      <c r="B61" s="1" t="s">
        <v>71</v>
      </c>
      <c r="C61" s="1">
        <v>2003</v>
      </c>
      <c r="D61" s="1" t="s">
        <v>81</v>
      </c>
      <c r="E61" s="1" t="s">
        <v>357</v>
      </c>
      <c r="F61" s="1" t="s">
        <v>347</v>
      </c>
      <c r="G61" s="1" t="s">
        <v>329</v>
      </c>
      <c r="H61" s="1">
        <v>2001</v>
      </c>
      <c r="I61" s="34">
        <f t="shared" si="0"/>
        <v>2.2992070833333336</v>
      </c>
      <c r="J61" s="1">
        <v>27590485</v>
      </c>
    </row>
    <row r="62" spans="1:11">
      <c r="A62" s="1" t="s">
        <v>70</v>
      </c>
      <c r="B62" s="1" t="s">
        <v>71</v>
      </c>
      <c r="C62" s="1">
        <v>2003</v>
      </c>
      <c r="D62" s="1" t="s">
        <v>81</v>
      </c>
      <c r="E62" s="1" t="s">
        <v>357</v>
      </c>
      <c r="F62" s="1" t="s">
        <v>347</v>
      </c>
      <c r="G62" s="1" t="s">
        <v>330</v>
      </c>
      <c r="H62" s="1">
        <v>2001</v>
      </c>
      <c r="I62" s="34">
        <f t="shared" si="0"/>
        <v>0.94486566666666671</v>
      </c>
      <c r="J62" s="1">
        <v>11338388</v>
      </c>
    </row>
    <row r="63" spans="1:11">
      <c r="A63" s="1" t="s">
        <v>70</v>
      </c>
      <c r="B63" s="1" t="s">
        <v>71</v>
      </c>
      <c r="C63" s="1">
        <v>2003</v>
      </c>
      <c r="D63" s="1" t="s">
        <v>81</v>
      </c>
      <c r="E63" s="1" t="s">
        <v>357</v>
      </c>
      <c r="F63" s="1" t="s">
        <v>347</v>
      </c>
      <c r="G63" s="1" t="s">
        <v>328</v>
      </c>
      <c r="H63" s="1">
        <v>2002</v>
      </c>
      <c r="I63" s="34">
        <f t="shared" si="0"/>
        <v>9.8587376666666664</v>
      </c>
      <c r="J63" s="1">
        <v>118304852</v>
      </c>
    </row>
    <row r="64" spans="1:11">
      <c r="A64" s="1" t="s">
        <v>70</v>
      </c>
      <c r="B64" s="1" t="s">
        <v>71</v>
      </c>
      <c r="C64" s="1">
        <v>2003</v>
      </c>
      <c r="D64" s="1" t="s">
        <v>81</v>
      </c>
      <c r="E64" s="1" t="s">
        <v>357</v>
      </c>
      <c r="F64" s="1" t="s">
        <v>347</v>
      </c>
      <c r="G64" s="1" t="s">
        <v>329</v>
      </c>
      <c r="H64" s="1">
        <v>2002</v>
      </c>
      <c r="I64" s="34">
        <f t="shared" si="0"/>
        <v>2.2362009166666668</v>
      </c>
      <c r="J64" s="1">
        <v>26834411</v>
      </c>
    </row>
    <row r="65" spans="1:11">
      <c r="A65" s="1" t="s">
        <v>70</v>
      </c>
      <c r="B65" s="1" t="s">
        <v>71</v>
      </c>
      <c r="C65" s="1">
        <v>2003</v>
      </c>
      <c r="D65" s="1" t="s">
        <v>81</v>
      </c>
      <c r="E65" s="1" t="s">
        <v>357</v>
      </c>
      <c r="F65" s="1" t="s">
        <v>347</v>
      </c>
      <c r="G65" s="1" t="s">
        <v>330</v>
      </c>
      <c r="H65" s="1">
        <v>2002</v>
      </c>
      <c r="I65" s="34">
        <f t="shared" si="0"/>
        <v>0.71292124999999995</v>
      </c>
      <c r="J65" s="1">
        <v>8555055</v>
      </c>
    </row>
    <row r="66" spans="1:11">
      <c r="A66" s="1" t="s">
        <v>70</v>
      </c>
      <c r="B66" s="1" t="s">
        <v>71</v>
      </c>
      <c r="C66" s="1">
        <v>2004</v>
      </c>
      <c r="D66" s="1" t="s">
        <v>81</v>
      </c>
      <c r="E66" s="1" t="s">
        <v>346</v>
      </c>
      <c r="F66" s="1" t="s">
        <v>347</v>
      </c>
      <c r="G66" s="1" t="s">
        <v>334</v>
      </c>
      <c r="H66" s="1">
        <v>2003</v>
      </c>
      <c r="I66" s="34">
        <v>40</v>
      </c>
      <c r="J66" s="1" t="s">
        <v>73</v>
      </c>
      <c r="K66" s="1" t="s">
        <v>360</v>
      </c>
    </row>
    <row r="67" spans="1:11">
      <c r="A67" s="1" t="s">
        <v>70</v>
      </c>
      <c r="B67" s="1" t="s">
        <v>71</v>
      </c>
      <c r="C67" s="1">
        <v>2004</v>
      </c>
      <c r="D67" s="1" t="s">
        <v>81</v>
      </c>
      <c r="E67" s="1" t="s">
        <v>359</v>
      </c>
      <c r="F67" s="1" t="s">
        <v>347</v>
      </c>
      <c r="G67" s="1" t="s">
        <v>334</v>
      </c>
      <c r="H67" s="1">
        <v>2003</v>
      </c>
      <c r="I67" s="34">
        <v>17</v>
      </c>
      <c r="J67" s="1" t="s">
        <v>73</v>
      </c>
    </row>
    <row r="68" spans="1:11">
      <c r="A68" s="1" t="s">
        <v>70</v>
      </c>
      <c r="B68" s="1" t="s">
        <v>71</v>
      </c>
      <c r="C68" s="1">
        <v>2007</v>
      </c>
      <c r="D68" s="1" t="s">
        <v>72</v>
      </c>
      <c r="E68" s="1" t="s">
        <v>346</v>
      </c>
      <c r="F68" s="1" t="s">
        <v>347</v>
      </c>
      <c r="G68" s="1" t="s">
        <v>362</v>
      </c>
      <c r="H68" s="1">
        <v>2007</v>
      </c>
      <c r="I68" s="34">
        <v>5</v>
      </c>
      <c r="J68" s="1" t="s">
        <v>73</v>
      </c>
    </row>
    <row r="69" spans="1:11">
      <c r="A69" s="1" t="s">
        <v>70</v>
      </c>
      <c r="B69" s="1" t="s">
        <v>71</v>
      </c>
      <c r="C69" s="1">
        <v>2007</v>
      </c>
      <c r="D69" s="1" t="s">
        <v>72</v>
      </c>
      <c r="E69" s="1" t="s">
        <v>346</v>
      </c>
      <c r="F69" s="1" t="s">
        <v>347</v>
      </c>
      <c r="G69" s="1" t="s">
        <v>350</v>
      </c>
      <c r="H69" s="1">
        <v>2007</v>
      </c>
      <c r="I69" s="34">
        <v>4</v>
      </c>
      <c r="J69" s="1" t="s">
        <v>73</v>
      </c>
    </row>
    <row r="70" spans="1:11">
      <c r="A70" s="1" t="s">
        <v>70</v>
      </c>
      <c r="B70" s="1" t="s">
        <v>71</v>
      </c>
      <c r="C70" s="1">
        <v>2007</v>
      </c>
      <c r="D70" s="1" t="s">
        <v>72</v>
      </c>
      <c r="E70" s="1" t="s">
        <v>346</v>
      </c>
      <c r="F70" s="1" t="s">
        <v>347</v>
      </c>
      <c r="G70" s="1" t="s">
        <v>351</v>
      </c>
      <c r="H70" s="1">
        <v>2007</v>
      </c>
      <c r="I70" s="34">
        <v>4</v>
      </c>
      <c r="J70" s="1" t="s">
        <v>73</v>
      </c>
    </row>
    <row r="71" spans="1:11">
      <c r="A71" s="1" t="s">
        <v>70</v>
      </c>
      <c r="B71" s="1" t="s">
        <v>71</v>
      </c>
      <c r="C71" s="1">
        <v>2007</v>
      </c>
      <c r="D71" s="1" t="s">
        <v>72</v>
      </c>
      <c r="E71" s="1" t="s">
        <v>346</v>
      </c>
      <c r="F71" s="1" t="s">
        <v>347</v>
      </c>
      <c r="G71" s="1" t="s">
        <v>352</v>
      </c>
      <c r="H71" s="1">
        <v>2007</v>
      </c>
      <c r="I71" s="34">
        <v>5</v>
      </c>
      <c r="J71" s="1" t="s">
        <v>73</v>
      </c>
    </row>
    <row r="72" spans="1:11">
      <c r="A72" s="1" t="s">
        <v>70</v>
      </c>
      <c r="B72" s="1" t="s">
        <v>71</v>
      </c>
      <c r="C72" s="1">
        <v>2007</v>
      </c>
      <c r="D72" s="1" t="s">
        <v>72</v>
      </c>
      <c r="E72" s="1" t="s">
        <v>346</v>
      </c>
      <c r="F72" s="1" t="s">
        <v>347</v>
      </c>
      <c r="G72" s="1" t="s">
        <v>353</v>
      </c>
      <c r="H72" s="1">
        <v>2007</v>
      </c>
      <c r="I72" s="34">
        <v>2</v>
      </c>
      <c r="J72" s="1" t="s">
        <v>73</v>
      </c>
    </row>
    <row r="73" spans="1:11">
      <c r="A73" s="1" t="s">
        <v>70</v>
      </c>
      <c r="B73" s="1" t="s">
        <v>71</v>
      </c>
      <c r="C73" s="1">
        <v>2007</v>
      </c>
      <c r="D73" s="1" t="s">
        <v>72</v>
      </c>
      <c r="E73" s="1" t="s">
        <v>346</v>
      </c>
      <c r="F73" s="1" t="s">
        <v>347</v>
      </c>
      <c r="G73" s="1" t="s">
        <v>354</v>
      </c>
      <c r="H73" s="1">
        <v>2007</v>
      </c>
      <c r="I73" s="34">
        <v>1</v>
      </c>
      <c r="J73" s="1" t="s">
        <v>73</v>
      </c>
    </row>
    <row r="74" spans="1:11">
      <c r="A74" s="1" t="s">
        <v>70</v>
      </c>
      <c r="B74" s="1" t="s">
        <v>71</v>
      </c>
      <c r="C74" s="1">
        <v>2007</v>
      </c>
      <c r="D74" s="1" t="s">
        <v>72</v>
      </c>
      <c r="E74" s="1" t="s">
        <v>346</v>
      </c>
      <c r="F74" s="1" t="s">
        <v>347</v>
      </c>
      <c r="G74" s="1" t="s">
        <v>363</v>
      </c>
      <c r="H74" s="1">
        <v>2007</v>
      </c>
      <c r="I74" s="34">
        <v>7.5</v>
      </c>
      <c r="J74" s="1" t="s">
        <v>73</v>
      </c>
    </row>
    <row r="75" spans="1:11">
      <c r="A75" s="1" t="s">
        <v>70</v>
      </c>
      <c r="B75" s="1" t="s">
        <v>71</v>
      </c>
      <c r="C75" s="1">
        <v>2007</v>
      </c>
      <c r="D75" s="1" t="s">
        <v>72</v>
      </c>
      <c r="E75" s="1" t="s">
        <v>346</v>
      </c>
      <c r="F75" s="1" t="s">
        <v>347</v>
      </c>
      <c r="G75" s="1" t="s">
        <v>355</v>
      </c>
      <c r="H75" s="1">
        <v>2007</v>
      </c>
      <c r="I75" s="34">
        <v>1</v>
      </c>
      <c r="J75" s="1" t="s">
        <v>73</v>
      </c>
    </row>
    <row r="76" spans="1:11">
      <c r="A76" s="1" t="s">
        <v>70</v>
      </c>
      <c r="B76" s="1" t="s">
        <v>71</v>
      </c>
      <c r="C76" s="1">
        <v>2007</v>
      </c>
      <c r="D76" s="1" t="s">
        <v>72</v>
      </c>
      <c r="E76" s="1" t="s">
        <v>346</v>
      </c>
      <c r="F76" s="1" t="s">
        <v>347</v>
      </c>
      <c r="G76" s="1" t="s">
        <v>334</v>
      </c>
      <c r="H76" s="1">
        <v>2007</v>
      </c>
      <c r="I76" s="34">
        <f>14.61+1</f>
        <v>15.61</v>
      </c>
      <c r="J76" s="1" t="s">
        <v>73</v>
      </c>
      <c r="K76" s="1" t="s">
        <v>364</v>
      </c>
    </row>
    <row r="77" spans="1:11">
      <c r="A77" s="1" t="s">
        <v>70</v>
      </c>
      <c r="B77" s="1" t="s">
        <v>71</v>
      </c>
      <c r="C77" s="1">
        <v>2007</v>
      </c>
      <c r="D77" s="1" t="s">
        <v>72</v>
      </c>
      <c r="E77" s="1" t="s">
        <v>357</v>
      </c>
      <c r="F77" s="1" t="s">
        <v>347</v>
      </c>
      <c r="G77" s="1" t="s">
        <v>365</v>
      </c>
      <c r="H77" s="1">
        <v>2000</v>
      </c>
      <c r="I77" s="34">
        <v>5.16</v>
      </c>
      <c r="J77" s="1" t="s">
        <v>73</v>
      </c>
    </row>
    <row r="78" spans="1:11">
      <c r="A78" s="1" t="s">
        <v>70</v>
      </c>
      <c r="B78" s="1" t="s">
        <v>71</v>
      </c>
      <c r="C78" s="1">
        <v>2007</v>
      </c>
      <c r="D78" s="1" t="s">
        <v>72</v>
      </c>
      <c r="E78" s="1" t="s">
        <v>357</v>
      </c>
      <c r="F78" s="1" t="s">
        <v>347</v>
      </c>
      <c r="G78" s="1" t="s">
        <v>365</v>
      </c>
      <c r="H78" s="1">
        <v>2001</v>
      </c>
      <c r="I78" s="34">
        <v>4.9610000000000003</v>
      </c>
      <c r="J78" s="1" t="s">
        <v>73</v>
      </c>
    </row>
    <row r="79" spans="1:11">
      <c r="A79" s="1" t="s">
        <v>70</v>
      </c>
      <c r="B79" s="1" t="s">
        <v>71</v>
      </c>
      <c r="C79" s="1">
        <v>2007</v>
      </c>
      <c r="D79" s="1" t="s">
        <v>72</v>
      </c>
      <c r="E79" s="1" t="s">
        <v>357</v>
      </c>
      <c r="F79" s="1" t="s">
        <v>347</v>
      </c>
      <c r="G79" s="1" t="s">
        <v>365</v>
      </c>
      <c r="H79" s="1">
        <v>2002</v>
      </c>
      <c r="I79" s="34">
        <v>4.9569999999999999</v>
      </c>
      <c r="J79" s="1" t="s">
        <v>73</v>
      </c>
    </row>
    <row r="80" spans="1:11">
      <c r="A80" s="1" t="s">
        <v>70</v>
      </c>
      <c r="B80" s="1" t="s">
        <v>71</v>
      </c>
      <c r="C80" s="1">
        <v>2007</v>
      </c>
      <c r="D80" s="1" t="s">
        <v>72</v>
      </c>
      <c r="E80" s="1" t="s">
        <v>357</v>
      </c>
      <c r="F80" s="1" t="s">
        <v>347</v>
      </c>
      <c r="G80" s="1" t="s">
        <v>365</v>
      </c>
      <c r="H80" s="1">
        <v>2003</v>
      </c>
      <c r="I80" s="34">
        <v>4.8789999999999996</v>
      </c>
      <c r="J80" s="1" t="s">
        <v>73</v>
      </c>
    </row>
    <row r="81" spans="1:11">
      <c r="A81" s="1" t="s">
        <v>70</v>
      </c>
      <c r="B81" s="1" t="s">
        <v>71</v>
      </c>
      <c r="C81" s="1">
        <v>2007</v>
      </c>
      <c r="D81" s="1" t="s">
        <v>72</v>
      </c>
      <c r="E81" s="1" t="s">
        <v>357</v>
      </c>
      <c r="F81" s="1" t="s">
        <v>347</v>
      </c>
      <c r="G81" s="1" t="s">
        <v>365</v>
      </c>
      <c r="H81" s="1">
        <v>2004</v>
      </c>
      <c r="I81" s="34">
        <v>4.9550000000000001</v>
      </c>
      <c r="J81" s="1" t="s">
        <v>73</v>
      </c>
    </row>
    <row r="82" spans="1:11">
      <c r="A82" s="1" t="s">
        <v>70</v>
      </c>
      <c r="B82" s="1" t="s">
        <v>71</v>
      </c>
      <c r="C82" s="1">
        <v>2007</v>
      </c>
      <c r="D82" s="1" t="s">
        <v>72</v>
      </c>
      <c r="E82" s="1" t="s">
        <v>357</v>
      </c>
      <c r="F82" s="1" t="s">
        <v>347</v>
      </c>
      <c r="G82" s="1" t="s">
        <v>365</v>
      </c>
      <c r="H82" s="1">
        <v>2005</v>
      </c>
      <c r="I82" s="34">
        <v>4.8529999999999998</v>
      </c>
      <c r="J82" s="1" t="s">
        <v>73</v>
      </c>
    </row>
    <row r="83" spans="1:11">
      <c r="A83" s="1" t="s">
        <v>70</v>
      </c>
      <c r="B83" s="1" t="s">
        <v>71</v>
      </c>
      <c r="C83" s="1">
        <v>2007</v>
      </c>
      <c r="D83" s="1" t="s">
        <v>72</v>
      </c>
      <c r="E83" s="1" t="s">
        <v>357</v>
      </c>
      <c r="F83" s="1" t="s">
        <v>347</v>
      </c>
      <c r="G83" s="1" t="s">
        <v>365</v>
      </c>
      <c r="H83" s="1">
        <v>2006</v>
      </c>
      <c r="I83" s="34">
        <v>4.6929999999999996</v>
      </c>
      <c r="J83" s="1" t="s">
        <v>73</v>
      </c>
    </row>
    <row r="84" spans="1:11">
      <c r="A84" s="1" t="s">
        <v>70</v>
      </c>
      <c r="B84" s="1" t="s">
        <v>71</v>
      </c>
      <c r="C84" s="1">
        <v>2007</v>
      </c>
      <c r="D84" s="1" t="s">
        <v>72</v>
      </c>
      <c r="E84" s="1" t="s">
        <v>357</v>
      </c>
      <c r="F84" s="1" t="s">
        <v>347</v>
      </c>
      <c r="G84" s="1" t="s">
        <v>365</v>
      </c>
      <c r="H84" s="1">
        <v>2007</v>
      </c>
      <c r="I84" s="34">
        <v>4.51</v>
      </c>
      <c r="J84" s="1" t="s">
        <v>73</v>
      </c>
    </row>
    <row r="85" spans="1:11">
      <c r="A85" s="1" t="s">
        <v>70</v>
      </c>
      <c r="B85" s="1" t="s">
        <v>71</v>
      </c>
      <c r="C85" s="1">
        <v>2007</v>
      </c>
      <c r="D85" s="1" t="s">
        <v>72</v>
      </c>
      <c r="E85" s="1" t="s">
        <v>357</v>
      </c>
      <c r="F85" s="1" t="s">
        <v>347</v>
      </c>
      <c r="G85" s="1" t="s">
        <v>333</v>
      </c>
      <c r="H85" s="1">
        <v>2000</v>
      </c>
      <c r="I85" s="34">
        <v>1.3959999999999999</v>
      </c>
      <c r="J85" s="1" t="s">
        <v>73</v>
      </c>
    </row>
    <row r="86" spans="1:11">
      <c r="A86" s="1" t="s">
        <v>70</v>
      </c>
      <c r="B86" s="1" t="s">
        <v>71</v>
      </c>
      <c r="C86" s="1">
        <v>2007</v>
      </c>
      <c r="D86" s="1" t="s">
        <v>72</v>
      </c>
      <c r="E86" s="1" t="s">
        <v>357</v>
      </c>
      <c r="F86" s="1" t="s">
        <v>347</v>
      </c>
      <c r="G86" s="1" t="s">
        <v>333</v>
      </c>
      <c r="H86" s="1">
        <v>2001</v>
      </c>
      <c r="I86" s="34">
        <v>1.3180000000000001</v>
      </c>
      <c r="J86" s="1" t="s">
        <v>73</v>
      </c>
    </row>
    <row r="87" spans="1:11">
      <c r="A87" s="1" t="s">
        <v>70</v>
      </c>
      <c r="B87" s="1" t="s">
        <v>71</v>
      </c>
      <c r="C87" s="1">
        <v>2007</v>
      </c>
      <c r="D87" s="1" t="s">
        <v>72</v>
      </c>
      <c r="E87" s="1" t="s">
        <v>357</v>
      </c>
      <c r="F87" s="1" t="s">
        <v>347</v>
      </c>
      <c r="G87" s="1" t="s">
        <v>333</v>
      </c>
      <c r="H87" s="1">
        <v>2002</v>
      </c>
      <c r="I87" s="34">
        <v>1.2969999999999999</v>
      </c>
      <c r="J87" s="1" t="s">
        <v>73</v>
      </c>
    </row>
    <row r="88" spans="1:11">
      <c r="A88" s="1" t="s">
        <v>70</v>
      </c>
      <c r="B88" s="1" t="s">
        <v>71</v>
      </c>
      <c r="C88" s="1">
        <v>2007</v>
      </c>
      <c r="D88" s="1" t="s">
        <v>72</v>
      </c>
      <c r="E88" s="1" t="s">
        <v>357</v>
      </c>
      <c r="F88" s="1" t="s">
        <v>347</v>
      </c>
      <c r="G88" s="1" t="s">
        <v>333</v>
      </c>
      <c r="H88" s="1">
        <v>2003</v>
      </c>
      <c r="I88" s="34">
        <v>1.33</v>
      </c>
      <c r="J88" s="1" t="s">
        <v>73</v>
      </c>
    </row>
    <row r="89" spans="1:11">
      <c r="A89" s="1" t="s">
        <v>70</v>
      </c>
      <c r="B89" s="1" t="s">
        <v>71</v>
      </c>
      <c r="C89" s="1">
        <v>2007</v>
      </c>
      <c r="D89" s="1" t="s">
        <v>72</v>
      </c>
      <c r="E89" s="1" t="s">
        <v>357</v>
      </c>
      <c r="F89" s="1" t="s">
        <v>347</v>
      </c>
      <c r="G89" s="1" t="s">
        <v>333</v>
      </c>
      <c r="H89" s="1">
        <v>2004</v>
      </c>
      <c r="I89" s="34">
        <v>1.3819999999999999</v>
      </c>
      <c r="J89" s="1" t="s">
        <v>73</v>
      </c>
    </row>
    <row r="90" spans="1:11">
      <c r="A90" s="1" t="s">
        <v>70</v>
      </c>
      <c r="B90" s="1" t="s">
        <v>71</v>
      </c>
      <c r="C90" s="1">
        <v>2007</v>
      </c>
      <c r="D90" s="1" t="s">
        <v>72</v>
      </c>
      <c r="E90" s="1" t="s">
        <v>357</v>
      </c>
      <c r="F90" s="1" t="s">
        <v>347</v>
      </c>
      <c r="G90" s="1" t="s">
        <v>333</v>
      </c>
      <c r="H90" s="1">
        <v>2005</v>
      </c>
      <c r="I90" s="34">
        <v>1.4510000000000001</v>
      </c>
      <c r="J90" s="1" t="s">
        <v>73</v>
      </c>
    </row>
    <row r="91" spans="1:11">
      <c r="A91" s="1" t="s">
        <v>70</v>
      </c>
      <c r="B91" s="1" t="s">
        <v>71</v>
      </c>
      <c r="C91" s="1">
        <v>2007</v>
      </c>
      <c r="D91" s="1" t="s">
        <v>72</v>
      </c>
      <c r="E91" s="1" t="s">
        <v>357</v>
      </c>
      <c r="F91" s="1" t="s">
        <v>347</v>
      </c>
      <c r="G91" s="1" t="s">
        <v>333</v>
      </c>
      <c r="H91" s="1">
        <v>2006</v>
      </c>
      <c r="I91" s="34">
        <v>1.3140000000000001</v>
      </c>
      <c r="J91" s="1" t="s">
        <v>73</v>
      </c>
    </row>
    <row r="92" spans="1:11">
      <c r="A92" s="1" t="s">
        <v>70</v>
      </c>
      <c r="B92" s="1" t="s">
        <v>71</v>
      </c>
      <c r="C92" s="1">
        <v>2007</v>
      </c>
      <c r="D92" s="1" t="s">
        <v>72</v>
      </c>
      <c r="E92" s="1" t="s">
        <v>357</v>
      </c>
      <c r="F92" s="1" t="s">
        <v>347</v>
      </c>
      <c r="G92" s="1" t="s">
        <v>333</v>
      </c>
      <c r="H92" s="1">
        <v>2007</v>
      </c>
      <c r="I92" s="34">
        <v>1.27</v>
      </c>
      <c r="J92" s="1" t="s">
        <v>73</v>
      </c>
    </row>
    <row r="93" spans="1:11">
      <c r="A93" s="1" t="s">
        <v>70</v>
      </c>
      <c r="B93" s="1" t="s">
        <v>71</v>
      </c>
      <c r="C93" s="1">
        <v>2007</v>
      </c>
      <c r="D93" s="1" t="s">
        <v>72</v>
      </c>
      <c r="E93" s="1" t="s">
        <v>357</v>
      </c>
      <c r="F93" s="1" t="s">
        <v>347</v>
      </c>
      <c r="G93" s="1" t="s">
        <v>358</v>
      </c>
      <c r="H93" s="1">
        <v>2000</v>
      </c>
      <c r="I93" s="34">
        <f>0.05+5.097</f>
        <v>5.1470000000000002</v>
      </c>
      <c r="J93" s="1" t="s">
        <v>73</v>
      </c>
      <c r="K93" s="1" t="s">
        <v>366</v>
      </c>
    </row>
    <row r="94" spans="1:11">
      <c r="A94" s="1" t="s">
        <v>70</v>
      </c>
      <c r="B94" s="1" t="s">
        <v>71</v>
      </c>
      <c r="C94" s="1">
        <v>2007</v>
      </c>
      <c r="D94" s="1" t="s">
        <v>72</v>
      </c>
      <c r="E94" s="1" t="s">
        <v>357</v>
      </c>
      <c r="F94" s="1" t="s">
        <v>347</v>
      </c>
      <c r="G94" s="1" t="s">
        <v>358</v>
      </c>
      <c r="H94" s="1">
        <v>2001</v>
      </c>
      <c r="I94" s="34">
        <f>0.779+0.4898</f>
        <v>1.2688000000000001</v>
      </c>
      <c r="J94" s="1" t="s">
        <v>73</v>
      </c>
    </row>
    <row r="95" spans="1:11">
      <c r="A95" s="1" t="s">
        <v>70</v>
      </c>
      <c r="B95" s="1" t="s">
        <v>71</v>
      </c>
      <c r="C95" s="1">
        <v>2007</v>
      </c>
      <c r="D95" s="1" t="s">
        <v>72</v>
      </c>
      <c r="E95" s="1" t="s">
        <v>357</v>
      </c>
      <c r="F95" s="1" t="s">
        <v>347</v>
      </c>
      <c r="G95" s="1" t="s">
        <v>358</v>
      </c>
      <c r="H95" s="1">
        <v>2002</v>
      </c>
      <c r="I95" s="34">
        <f>0.618+4.499</f>
        <v>5.117</v>
      </c>
      <c r="J95" s="1" t="s">
        <v>73</v>
      </c>
    </row>
    <row r="96" spans="1:11">
      <c r="A96" s="1" t="s">
        <v>70</v>
      </c>
      <c r="B96" s="1" t="s">
        <v>71</v>
      </c>
      <c r="C96" s="1">
        <v>2007</v>
      </c>
      <c r="D96" s="1" t="s">
        <v>72</v>
      </c>
      <c r="E96" s="1" t="s">
        <v>357</v>
      </c>
      <c r="F96" s="1" t="s">
        <v>347</v>
      </c>
      <c r="G96" s="1" t="s">
        <v>358</v>
      </c>
      <c r="H96" s="1">
        <v>2003</v>
      </c>
      <c r="I96" s="34">
        <f>0.826+4.33</f>
        <v>5.1559999999999997</v>
      </c>
      <c r="J96" s="1" t="s">
        <v>73</v>
      </c>
    </row>
    <row r="97" spans="1:10">
      <c r="A97" s="1" t="s">
        <v>70</v>
      </c>
      <c r="B97" s="1" t="s">
        <v>71</v>
      </c>
      <c r="C97" s="1">
        <v>2007</v>
      </c>
      <c r="D97" s="1" t="s">
        <v>72</v>
      </c>
      <c r="E97" s="1" t="s">
        <v>357</v>
      </c>
      <c r="F97" s="1" t="s">
        <v>347</v>
      </c>
      <c r="G97" s="1" t="s">
        <v>358</v>
      </c>
      <c r="H97" s="1">
        <v>2004</v>
      </c>
      <c r="I97" s="34">
        <f>0.817+4.647</f>
        <v>5.4640000000000004</v>
      </c>
      <c r="J97" s="1" t="s">
        <v>73</v>
      </c>
    </row>
    <row r="98" spans="1:10">
      <c r="A98" s="1" t="s">
        <v>70</v>
      </c>
      <c r="B98" s="1" t="s">
        <v>71</v>
      </c>
      <c r="C98" s="1">
        <v>2007</v>
      </c>
      <c r="D98" s="1" t="s">
        <v>72</v>
      </c>
      <c r="E98" s="1" t="s">
        <v>357</v>
      </c>
      <c r="F98" s="1" t="s">
        <v>347</v>
      </c>
      <c r="G98" s="1" t="s">
        <v>358</v>
      </c>
      <c r="H98" s="1">
        <v>2005</v>
      </c>
      <c r="I98" s="34">
        <f>0.793+4.444</f>
        <v>5.2370000000000001</v>
      </c>
      <c r="J98" s="1" t="s">
        <v>73</v>
      </c>
    </row>
    <row r="99" spans="1:10">
      <c r="A99" s="1" t="s">
        <v>70</v>
      </c>
      <c r="B99" s="1" t="s">
        <v>71</v>
      </c>
      <c r="C99" s="1">
        <v>2007</v>
      </c>
      <c r="D99" s="1" t="s">
        <v>72</v>
      </c>
      <c r="E99" s="1" t="s">
        <v>357</v>
      </c>
      <c r="F99" s="1" t="s">
        <v>347</v>
      </c>
      <c r="G99" s="1" t="s">
        <v>358</v>
      </c>
      <c r="H99" s="1">
        <v>2006</v>
      </c>
      <c r="I99" s="34">
        <f>0.773+4.35</f>
        <v>5.1229999999999993</v>
      </c>
      <c r="J99" s="1" t="s">
        <v>73</v>
      </c>
    </row>
    <row r="100" spans="1:10">
      <c r="A100" s="1" t="s">
        <v>70</v>
      </c>
      <c r="B100" s="1" t="s">
        <v>71</v>
      </c>
      <c r="C100" s="1">
        <v>2007</v>
      </c>
      <c r="D100" s="1" t="s">
        <v>72</v>
      </c>
      <c r="E100" s="1" t="s">
        <v>357</v>
      </c>
      <c r="F100" s="1" t="s">
        <v>347</v>
      </c>
      <c r="G100" s="1" t="s">
        <v>358</v>
      </c>
      <c r="H100" s="1">
        <v>2007</v>
      </c>
      <c r="I100" s="34">
        <f>1.956+4.304</f>
        <v>6.26</v>
      </c>
      <c r="J100" s="1" t="s">
        <v>73</v>
      </c>
    </row>
    <row r="101" spans="1:10">
      <c r="A101" s="1" t="s">
        <v>70</v>
      </c>
      <c r="B101" s="1" t="s">
        <v>71</v>
      </c>
      <c r="C101" s="1">
        <v>2007</v>
      </c>
      <c r="D101" s="1" t="s">
        <v>72</v>
      </c>
      <c r="E101" s="1" t="s">
        <v>357</v>
      </c>
      <c r="F101" s="1" t="s">
        <v>347</v>
      </c>
      <c r="G101" s="1" t="s">
        <v>334</v>
      </c>
      <c r="H101" s="1">
        <v>2000</v>
      </c>
      <c r="I101" s="34">
        <v>6.556</v>
      </c>
      <c r="J101" s="1" t="s">
        <v>73</v>
      </c>
    </row>
    <row r="102" spans="1:10">
      <c r="A102" s="1" t="s">
        <v>70</v>
      </c>
      <c r="B102" s="1" t="s">
        <v>71</v>
      </c>
      <c r="C102" s="1">
        <v>2007</v>
      </c>
      <c r="D102" s="1" t="s">
        <v>72</v>
      </c>
      <c r="E102" s="1" t="s">
        <v>357</v>
      </c>
      <c r="F102" s="1" t="s">
        <v>347</v>
      </c>
      <c r="G102" s="1" t="s">
        <v>334</v>
      </c>
      <c r="H102" s="1">
        <v>2001</v>
      </c>
      <c r="I102" s="34">
        <v>6.2789999999999999</v>
      </c>
      <c r="J102" s="1" t="s">
        <v>73</v>
      </c>
    </row>
    <row r="103" spans="1:10">
      <c r="A103" s="1" t="s">
        <v>70</v>
      </c>
      <c r="B103" s="1" t="s">
        <v>71</v>
      </c>
      <c r="C103" s="1">
        <v>2007</v>
      </c>
      <c r="D103" s="1" t="s">
        <v>72</v>
      </c>
      <c r="E103" s="1" t="s">
        <v>357</v>
      </c>
      <c r="F103" s="1" t="s">
        <v>347</v>
      </c>
      <c r="G103" s="1" t="s">
        <v>334</v>
      </c>
      <c r="H103" s="1">
        <v>2002</v>
      </c>
      <c r="I103" s="34">
        <v>6.2539999999999996</v>
      </c>
      <c r="J103" s="1" t="s">
        <v>73</v>
      </c>
    </row>
    <row r="104" spans="1:10">
      <c r="A104" s="1" t="s">
        <v>70</v>
      </c>
      <c r="B104" s="1" t="s">
        <v>71</v>
      </c>
      <c r="C104" s="1">
        <v>2007</v>
      </c>
      <c r="D104" s="1" t="s">
        <v>72</v>
      </c>
      <c r="E104" s="1" t="s">
        <v>357</v>
      </c>
      <c r="F104" s="1" t="s">
        <v>347</v>
      </c>
      <c r="G104" s="1" t="s">
        <v>334</v>
      </c>
      <c r="H104" s="1">
        <v>2003</v>
      </c>
      <c r="I104" s="34">
        <v>6.2089999999999996</v>
      </c>
      <c r="J104" s="1" t="s">
        <v>73</v>
      </c>
    </row>
    <row r="105" spans="1:10">
      <c r="A105" s="1" t="s">
        <v>70</v>
      </c>
      <c r="B105" s="1" t="s">
        <v>71</v>
      </c>
      <c r="C105" s="1">
        <v>2007</v>
      </c>
      <c r="D105" s="1" t="s">
        <v>72</v>
      </c>
      <c r="E105" s="1" t="s">
        <v>357</v>
      </c>
      <c r="F105" s="1" t="s">
        <v>347</v>
      </c>
      <c r="G105" s="1" t="s">
        <v>334</v>
      </c>
      <c r="H105" s="1">
        <v>2004</v>
      </c>
      <c r="I105" s="34">
        <v>6.3369999999999997</v>
      </c>
      <c r="J105" s="1" t="s">
        <v>73</v>
      </c>
    </row>
    <row r="106" spans="1:10">
      <c r="A106" s="1" t="s">
        <v>70</v>
      </c>
      <c r="B106" s="1" t="s">
        <v>71</v>
      </c>
      <c r="C106" s="1">
        <v>2007</v>
      </c>
      <c r="D106" s="1" t="s">
        <v>72</v>
      </c>
      <c r="E106" s="1" t="s">
        <v>357</v>
      </c>
      <c r="F106" s="1" t="s">
        <v>347</v>
      </c>
      <c r="G106" s="1" t="s">
        <v>334</v>
      </c>
      <c r="H106" s="1">
        <v>2005</v>
      </c>
      <c r="I106" s="34">
        <v>6.3040000000000003</v>
      </c>
      <c r="J106" s="1" t="s">
        <v>73</v>
      </c>
    </row>
    <row r="107" spans="1:10">
      <c r="A107" s="1" t="s">
        <v>70</v>
      </c>
      <c r="B107" s="1" t="s">
        <v>71</v>
      </c>
      <c r="C107" s="1">
        <v>2007</v>
      </c>
      <c r="D107" s="1" t="s">
        <v>72</v>
      </c>
      <c r="E107" s="1" t="s">
        <v>357</v>
      </c>
      <c r="F107" s="1" t="s">
        <v>347</v>
      </c>
      <c r="G107" s="1" t="s">
        <v>334</v>
      </c>
      <c r="H107" s="1">
        <v>2006</v>
      </c>
      <c r="I107" s="34">
        <v>6.0069999999999997</v>
      </c>
      <c r="J107" s="1" t="s">
        <v>73</v>
      </c>
    </row>
    <row r="108" spans="1:10">
      <c r="A108" s="1" t="s">
        <v>70</v>
      </c>
      <c r="B108" s="1" t="s">
        <v>71</v>
      </c>
      <c r="C108" s="1">
        <v>2007</v>
      </c>
      <c r="D108" s="1" t="s">
        <v>72</v>
      </c>
      <c r="E108" s="1" t="s">
        <v>357</v>
      </c>
      <c r="F108" s="1" t="s">
        <v>347</v>
      </c>
      <c r="G108" s="1" t="s">
        <v>334</v>
      </c>
      <c r="H108" s="1">
        <v>2007</v>
      </c>
      <c r="I108" s="34">
        <v>5.7799999999999994</v>
      </c>
      <c r="J108" s="1" t="s">
        <v>73</v>
      </c>
    </row>
    <row r="109" spans="1:10">
      <c r="A109" s="1" t="s">
        <v>70</v>
      </c>
      <c r="B109" s="1" t="s">
        <v>71</v>
      </c>
      <c r="C109" s="1">
        <v>2007</v>
      </c>
      <c r="D109" s="1" t="s">
        <v>72</v>
      </c>
      <c r="E109" s="1" t="s">
        <v>359</v>
      </c>
      <c r="F109" s="1" t="s">
        <v>347</v>
      </c>
      <c r="G109" s="1" t="s">
        <v>334</v>
      </c>
      <c r="H109" s="1">
        <v>2000</v>
      </c>
      <c r="I109" s="34">
        <v>11.648</v>
      </c>
      <c r="J109" s="1" t="s">
        <v>73</v>
      </c>
    </row>
    <row r="110" spans="1:10">
      <c r="A110" s="1" t="s">
        <v>70</v>
      </c>
      <c r="B110" s="1" t="s">
        <v>71</v>
      </c>
      <c r="C110" s="1">
        <v>2007</v>
      </c>
      <c r="D110" s="1" t="s">
        <v>72</v>
      </c>
      <c r="E110" s="1" t="s">
        <v>359</v>
      </c>
      <c r="F110" s="1" t="s">
        <v>347</v>
      </c>
      <c r="G110" s="1" t="s">
        <v>334</v>
      </c>
      <c r="H110" s="1">
        <v>2001</v>
      </c>
      <c r="I110" s="34">
        <v>11.956</v>
      </c>
      <c r="J110" s="1" t="s">
        <v>73</v>
      </c>
    </row>
    <row r="111" spans="1:10">
      <c r="A111" s="1" t="s">
        <v>70</v>
      </c>
      <c r="B111" s="1" t="s">
        <v>71</v>
      </c>
      <c r="C111" s="1">
        <v>2007</v>
      </c>
      <c r="D111" s="1" t="s">
        <v>72</v>
      </c>
      <c r="E111" s="1" t="s">
        <v>359</v>
      </c>
      <c r="F111" s="1" t="s">
        <v>347</v>
      </c>
      <c r="G111" s="1" t="s">
        <v>334</v>
      </c>
      <c r="H111" s="1">
        <v>2002</v>
      </c>
      <c r="I111" s="34">
        <v>11.37</v>
      </c>
      <c r="J111" s="1" t="s">
        <v>73</v>
      </c>
    </row>
    <row r="112" spans="1:10">
      <c r="A112" s="1" t="s">
        <v>70</v>
      </c>
      <c r="B112" s="1" t="s">
        <v>71</v>
      </c>
      <c r="C112" s="1">
        <v>2007</v>
      </c>
      <c r="D112" s="1" t="s">
        <v>72</v>
      </c>
      <c r="E112" s="1" t="s">
        <v>359</v>
      </c>
      <c r="F112" s="1" t="s">
        <v>347</v>
      </c>
      <c r="G112" s="1" t="s">
        <v>334</v>
      </c>
      <c r="H112" s="1">
        <v>2003</v>
      </c>
      <c r="I112" s="34">
        <v>11.365</v>
      </c>
      <c r="J112" s="1" t="s">
        <v>73</v>
      </c>
    </row>
    <row r="113" spans="1:10">
      <c r="A113" s="1" t="s">
        <v>70</v>
      </c>
      <c r="B113" s="1" t="s">
        <v>71</v>
      </c>
      <c r="C113" s="1">
        <v>2007</v>
      </c>
      <c r="D113" s="1" t="s">
        <v>72</v>
      </c>
      <c r="E113" s="1" t="s">
        <v>359</v>
      </c>
      <c r="F113" s="1" t="s">
        <v>347</v>
      </c>
      <c r="G113" s="1" t="s">
        <v>334</v>
      </c>
      <c r="H113" s="1">
        <v>2004</v>
      </c>
      <c r="I113" s="34">
        <v>11.801</v>
      </c>
      <c r="J113" s="1" t="s">
        <v>73</v>
      </c>
    </row>
    <row r="114" spans="1:10">
      <c r="A114" s="1" t="s">
        <v>70</v>
      </c>
      <c r="B114" s="1" t="s">
        <v>71</v>
      </c>
      <c r="C114" s="1">
        <v>2007</v>
      </c>
      <c r="D114" s="1" t="s">
        <v>72</v>
      </c>
      <c r="E114" s="1" t="s">
        <v>359</v>
      </c>
      <c r="F114" s="1" t="s">
        <v>347</v>
      </c>
      <c r="G114" s="1" t="s">
        <v>334</v>
      </c>
      <c r="H114" s="1">
        <v>2005</v>
      </c>
      <c r="I114" s="34">
        <v>11.541</v>
      </c>
      <c r="J114" s="1" t="s">
        <v>73</v>
      </c>
    </row>
    <row r="115" spans="1:10">
      <c r="A115" s="1" t="s">
        <v>70</v>
      </c>
      <c r="B115" s="1" t="s">
        <v>71</v>
      </c>
      <c r="C115" s="1">
        <v>2007</v>
      </c>
      <c r="D115" s="1" t="s">
        <v>72</v>
      </c>
      <c r="E115" s="1" t="s">
        <v>359</v>
      </c>
      <c r="F115" s="1" t="s">
        <v>347</v>
      </c>
      <c r="G115" s="1" t="s">
        <v>334</v>
      </c>
      <c r="H115" s="1">
        <v>2006</v>
      </c>
      <c r="I115" s="34">
        <v>11.13</v>
      </c>
      <c r="J115" s="1" t="s">
        <v>73</v>
      </c>
    </row>
    <row r="116" spans="1:10">
      <c r="A116" s="1" t="s">
        <v>70</v>
      </c>
      <c r="B116" s="1" t="s">
        <v>71</v>
      </c>
      <c r="C116" s="1">
        <v>2007</v>
      </c>
      <c r="D116" s="1" t="s">
        <v>72</v>
      </c>
      <c r="E116" s="1" t="s">
        <v>359</v>
      </c>
      <c r="F116" s="1" t="s">
        <v>347</v>
      </c>
      <c r="G116" s="1" t="s">
        <v>334</v>
      </c>
      <c r="H116" s="1">
        <v>2007</v>
      </c>
      <c r="I116" s="34">
        <v>12.04</v>
      </c>
      <c r="J116" s="1" t="s">
        <v>73</v>
      </c>
    </row>
    <row r="117" spans="1:10">
      <c r="A117" s="1" t="s">
        <v>70</v>
      </c>
      <c r="B117" s="1" t="s">
        <v>71</v>
      </c>
      <c r="C117" s="1">
        <v>2007</v>
      </c>
      <c r="D117" s="1" t="s">
        <v>72</v>
      </c>
      <c r="E117" s="1" t="s">
        <v>357</v>
      </c>
      <c r="F117" s="1" t="s">
        <v>213</v>
      </c>
      <c r="G117" s="1" t="s">
        <v>328</v>
      </c>
      <c r="H117" s="1">
        <v>2002</v>
      </c>
      <c r="I117" s="34">
        <v>2.4068339999999999</v>
      </c>
      <c r="J117" s="1" t="s">
        <v>73</v>
      </c>
    </row>
    <row r="118" spans="1:10">
      <c r="A118" s="1" t="s">
        <v>70</v>
      </c>
      <c r="B118" s="1" t="s">
        <v>71</v>
      </c>
      <c r="C118" s="1">
        <v>2007</v>
      </c>
      <c r="D118" s="1" t="s">
        <v>72</v>
      </c>
      <c r="E118" s="1" t="s">
        <v>357</v>
      </c>
      <c r="F118" s="1" t="s">
        <v>213</v>
      </c>
      <c r="G118" s="1" t="s">
        <v>329</v>
      </c>
      <c r="H118" s="1">
        <v>2002</v>
      </c>
      <c r="I118" s="34">
        <v>0.37586399999999998</v>
      </c>
      <c r="J118" s="1" t="s">
        <v>73</v>
      </c>
    </row>
    <row r="119" spans="1:10">
      <c r="A119" s="1" t="s">
        <v>70</v>
      </c>
      <c r="B119" s="1" t="s">
        <v>71</v>
      </c>
      <c r="C119" s="1">
        <v>2007</v>
      </c>
      <c r="D119" s="1" t="s">
        <v>72</v>
      </c>
      <c r="E119" s="1" t="s">
        <v>357</v>
      </c>
      <c r="F119" s="1" t="s">
        <v>213</v>
      </c>
      <c r="G119" s="1" t="s">
        <v>330</v>
      </c>
      <c r="H119" s="1">
        <v>2002</v>
      </c>
      <c r="I119" s="34">
        <v>0.30860900000000002</v>
      </c>
      <c r="J119" s="1" t="s">
        <v>73</v>
      </c>
    </row>
    <row r="120" spans="1:10">
      <c r="A120" s="1" t="s">
        <v>70</v>
      </c>
      <c r="B120" s="1" t="s">
        <v>71</v>
      </c>
      <c r="C120" s="1">
        <v>2007</v>
      </c>
      <c r="D120" s="1" t="s">
        <v>72</v>
      </c>
      <c r="E120" s="1" t="s">
        <v>357</v>
      </c>
      <c r="F120" s="1" t="s">
        <v>213</v>
      </c>
      <c r="G120" s="1" t="s">
        <v>331</v>
      </c>
      <c r="H120" s="1">
        <v>2002</v>
      </c>
      <c r="I120" s="34">
        <v>0.35271999999999998</v>
      </c>
      <c r="J120" s="1" t="s">
        <v>73</v>
      </c>
    </row>
    <row r="121" spans="1:10">
      <c r="A121" s="1" t="s">
        <v>70</v>
      </c>
      <c r="B121" s="1" t="s">
        <v>71</v>
      </c>
      <c r="C121" s="1">
        <v>2007</v>
      </c>
      <c r="D121" s="1" t="s">
        <v>72</v>
      </c>
      <c r="E121" s="1" t="s">
        <v>357</v>
      </c>
      <c r="F121" s="1" t="s">
        <v>213</v>
      </c>
      <c r="G121" s="1" t="s">
        <v>367</v>
      </c>
      <c r="H121" s="1">
        <v>2002</v>
      </c>
      <c r="I121" s="34">
        <v>0</v>
      </c>
      <c r="J121" s="1" t="s">
        <v>73</v>
      </c>
    </row>
    <row r="122" spans="1:10">
      <c r="A122" s="1" t="s">
        <v>70</v>
      </c>
      <c r="B122" s="1" t="s">
        <v>71</v>
      </c>
      <c r="C122" s="1">
        <v>2007</v>
      </c>
      <c r="D122" s="1" t="s">
        <v>72</v>
      </c>
      <c r="E122" s="1" t="s">
        <v>357</v>
      </c>
      <c r="F122" s="1" t="s">
        <v>213</v>
      </c>
      <c r="G122" s="1" t="s">
        <v>334</v>
      </c>
      <c r="H122" s="1">
        <v>2002</v>
      </c>
      <c r="I122" s="34">
        <v>3.4440270000000002</v>
      </c>
      <c r="J122" s="1" t="s">
        <v>73</v>
      </c>
    </row>
    <row r="123" spans="1:10">
      <c r="A123" s="1" t="s">
        <v>70</v>
      </c>
      <c r="B123" s="1" t="s">
        <v>71</v>
      </c>
      <c r="C123" s="1">
        <v>2007</v>
      </c>
      <c r="D123" s="1" t="s">
        <v>72</v>
      </c>
      <c r="E123" s="1" t="s">
        <v>357</v>
      </c>
      <c r="F123" s="1" t="s">
        <v>216</v>
      </c>
      <c r="G123" s="1" t="s">
        <v>328</v>
      </c>
      <c r="H123" s="1">
        <v>2002</v>
      </c>
      <c r="I123" s="34">
        <v>0.23141600000000001</v>
      </c>
      <c r="J123" s="1" t="s">
        <v>73</v>
      </c>
    </row>
    <row r="124" spans="1:10">
      <c r="A124" s="1" t="s">
        <v>70</v>
      </c>
      <c r="B124" s="1" t="s">
        <v>71</v>
      </c>
      <c r="C124" s="1">
        <v>2007</v>
      </c>
      <c r="D124" s="1" t="s">
        <v>72</v>
      </c>
      <c r="E124" s="1" t="s">
        <v>357</v>
      </c>
      <c r="F124" s="1" t="s">
        <v>216</v>
      </c>
      <c r="G124" s="1" t="s">
        <v>329</v>
      </c>
      <c r="H124" s="1">
        <v>2002</v>
      </c>
      <c r="I124" s="34">
        <v>2.8492700000000002</v>
      </c>
      <c r="J124" s="1" t="s">
        <v>73</v>
      </c>
    </row>
    <row r="125" spans="1:10">
      <c r="A125" s="1" t="s">
        <v>70</v>
      </c>
      <c r="B125" s="1" t="s">
        <v>71</v>
      </c>
      <c r="C125" s="1">
        <v>2007</v>
      </c>
      <c r="D125" s="1" t="s">
        <v>72</v>
      </c>
      <c r="E125" s="1" t="s">
        <v>357</v>
      </c>
      <c r="F125" s="1" t="s">
        <v>216</v>
      </c>
      <c r="G125" s="1" t="s">
        <v>330</v>
      </c>
      <c r="H125" s="1">
        <v>2002</v>
      </c>
      <c r="I125" s="34">
        <v>2.0569E-2</v>
      </c>
      <c r="J125" s="1" t="s">
        <v>73</v>
      </c>
    </row>
    <row r="126" spans="1:10">
      <c r="A126" s="1" t="s">
        <v>70</v>
      </c>
      <c r="B126" s="1" t="s">
        <v>71</v>
      </c>
      <c r="C126" s="1">
        <v>2007</v>
      </c>
      <c r="D126" s="1" t="s">
        <v>72</v>
      </c>
      <c r="E126" s="1" t="s">
        <v>357</v>
      </c>
      <c r="F126" s="1" t="s">
        <v>216</v>
      </c>
      <c r="G126" s="1" t="s">
        <v>331</v>
      </c>
      <c r="H126" s="1">
        <v>2002</v>
      </c>
      <c r="I126" s="34">
        <v>6.4009999999999997E-2</v>
      </c>
      <c r="J126" s="1" t="s">
        <v>73</v>
      </c>
    </row>
    <row r="127" spans="1:10">
      <c r="A127" s="1" t="s">
        <v>70</v>
      </c>
      <c r="B127" s="1" t="s">
        <v>71</v>
      </c>
      <c r="C127" s="1">
        <v>2007</v>
      </c>
      <c r="D127" s="1" t="s">
        <v>72</v>
      </c>
      <c r="E127" s="1" t="s">
        <v>357</v>
      </c>
      <c r="F127" s="1" t="s">
        <v>216</v>
      </c>
      <c r="G127" s="1" t="s">
        <v>367</v>
      </c>
      <c r="H127" s="1">
        <v>2002</v>
      </c>
      <c r="I127" s="34">
        <v>0</v>
      </c>
      <c r="J127" s="1" t="s">
        <v>73</v>
      </c>
    </row>
    <row r="128" spans="1:10">
      <c r="A128" s="1" t="s">
        <v>70</v>
      </c>
      <c r="B128" s="1" t="s">
        <v>71</v>
      </c>
      <c r="C128" s="1">
        <v>2007</v>
      </c>
      <c r="D128" s="1" t="s">
        <v>72</v>
      </c>
      <c r="E128" s="1" t="s">
        <v>357</v>
      </c>
      <c r="F128" s="1" t="s">
        <v>216</v>
      </c>
      <c r="G128" s="1" t="s">
        <v>334</v>
      </c>
      <c r="H128" s="1">
        <v>2002</v>
      </c>
      <c r="I128" s="34">
        <v>0.60092199999999996</v>
      </c>
      <c r="J128" s="1" t="s">
        <v>73</v>
      </c>
    </row>
    <row r="129" spans="1:10">
      <c r="A129" s="1" t="s">
        <v>70</v>
      </c>
      <c r="B129" s="1" t="s">
        <v>71</v>
      </c>
      <c r="C129" s="1">
        <v>2007</v>
      </c>
      <c r="D129" s="1" t="s">
        <v>72</v>
      </c>
      <c r="E129" s="1" t="s">
        <v>357</v>
      </c>
      <c r="F129" s="1" t="s">
        <v>218</v>
      </c>
      <c r="G129" s="1" t="s">
        <v>328</v>
      </c>
      <c r="H129" s="1">
        <v>2002</v>
      </c>
      <c r="I129" s="34">
        <v>0.15564</v>
      </c>
      <c r="J129" s="1" t="s">
        <v>73</v>
      </c>
    </row>
    <row r="130" spans="1:10">
      <c r="A130" s="1" t="s">
        <v>70</v>
      </c>
      <c r="B130" s="1" t="s">
        <v>71</v>
      </c>
      <c r="C130" s="1">
        <v>2007</v>
      </c>
      <c r="D130" s="1" t="s">
        <v>72</v>
      </c>
      <c r="E130" s="1" t="s">
        <v>357</v>
      </c>
      <c r="F130" s="1" t="s">
        <v>218</v>
      </c>
      <c r="G130" s="1" t="s">
        <v>329</v>
      </c>
      <c r="H130" s="1">
        <v>2002</v>
      </c>
      <c r="I130" s="34">
        <v>0.134966</v>
      </c>
      <c r="J130" s="1" t="s">
        <v>73</v>
      </c>
    </row>
    <row r="131" spans="1:10">
      <c r="A131" s="1" t="s">
        <v>70</v>
      </c>
      <c r="B131" s="1" t="s">
        <v>71</v>
      </c>
      <c r="C131" s="1">
        <v>2007</v>
      </c>
      <c r="D131" s="1" t="s">
        <v>72</v>
      </c>
      <c r="E131" s="1" t="s">
        <v>357</v>
      </c>
      <c r="F131" s="1" t="s">
        <v>218</v>
      </c>
      <c r="G131" s="1" t="s">
        <v>330</v>
      </c>
      <c r="H131" s="1">
        <v>2002</v>
      </c>
      <c r="I131" s="34">
        <v>3.7268000000000003E-2</v>
      </c>
      <c r="J131" s="1" t="s">
        <v>73</v>
      </c>
    </row>
    <row r="132" spans="1:10">
      <c r="A132" s="1" t="s">
        <v>70</v>
      </c>
      <c r="B132" s="1" t="s">
        <v>71</v>
      </c>
      <c r="C132" s="1">
        <v>2007</v>
      </c>
      <c r="D132" s="1" t="s">
        <v>72</v>
      </c>
      <c r="E132" s="1" t="s">
        <v>357</v>
      </c>
      <c r="F132" s="1" t="s">
        <v>218</v>
      </c>
      <c r="G132" s="1" t="s">
        <v>331</v>
      </c>
      <c r="H132" s="1">
        <v>2002</v>
      </c>
      <c r="I132" s="34">
        <v>5.33E-2</v>
      </c>
      <c r="J132" s="1" t="s">
        <v>73</v>
      </c>
    </row>
    <row r="133" spans="1:10">
      <c r="A133" s="1" t="s">
        <v>70</v>
      </c>
      <c r="B133" s="1" t="s">
        <v>71</v>
      </c>
      <c r="C133" s="1">
        <v>2007</v>
      </c>
      <c r="D133" s="1" t="s">
        <v>72</v>
      </c>
      <c r="E133" s="1" t="s">
        <v>357</v>
      </c>
      <c r="F133" s="1" t="s">
        <v>218</v>
      </c>
      <c r="G133" s="1" t="s">
        <v>367</v>
      </c>
      <c r="H133" s="1">
        <v>2002</v>
      </c>
      <c r="I133" s="34">
        <v>2.0955999999999999E-2</v>
      </c>
      <c r="J133" s="1" t="s">
        <v>73</v>
      </c>
    </row>
    <row r="134" spans="1:10">
      <c r="A134" s="1" t="s">
        <v>70</v>
      </c>
      <c r="B134" s="1" t="s">
        <v>71</v>
      </c>
      <c r="C134" s="1">
        <v>2007</v>
      </c>
      <c r="D134" s="1" t="s">
        <v>72</v>
      </c>
      <c r="E134" s="1" t="s">
        <v>357</v>
      </c>
      <c r="F134" s="1" t="s">
        <v>218</v>
      </c>
      <c r="G134" s="1" t="s">
        <v>334</v>
      </c>
      <c r="H134" s="1">
        <v>2002</v>
      </c>
      <c r="I134" s="34">
        <v>0.40212999999999999</v>
      </c>
      <c r="J134" s="1" t="s">
        <v>73</v>
      </c>
    </row>
    <row r="135" spans="1:10">
      <c r="A135" s="1" t="s">
        <v>70</v>
      </c>
      <c r="B135" s="1" t="s">
        <v>71</v>
      </c>
      <c r="C135" s="1">
        <v>2007</v>
      </c>
      <c r="D135" s="1" t="s">
        <v>72</v>
      </c>
      <c r="E135" s="1" t="s">
        <v>357</v>
      </c>
      <c r="F135" s="1" t="s">
        <v>219</v>
      </c>
      <c r="G135" s="1" t="s">
        <v>328</v>
      </c>
      <c r="H135" s="1">
        <v>2002</v>
      </c>
      <c r="I135" s="34">
        <v>5.8918999999999999E-2</v>
      </c>
      <c r="J135" s="1" t="s">
        <v>73</v>
      </c>
    </row>
    <row r="136" spans="1:10">
      <c r="A136" s="1" t="s">
        <v>70</v>
      </c>
      <c r="B136" s="1" t="s">
        <v>71</v>
      </c>
      <c r="C136" s="1">
        <v>2007</v>
      </c>
      <c r="D136" s="1" t="s">
        <v>72</v>
      </c>
      <c r="E136" s="1" t="s">
        <v>357</v>
      </c>
      <c r="F136" s="1" t="s">
        <v>219</v>
      </c>
      <c r="G136" s="1" t="s">
        <v>329</v>
      </c>
      <c r="H136" s="1">
        <v>2002</v>
      </c>
      <c r="I136" s="34">
        <v>3.2759999999999998E-3</v>
      </c>
      <c r="J136" s="1" t="s">
        <v>73</v>
      </c>
    </row>
    <row r="137" spans="1:10">
      <c r="A137" s="1" t="s">
        <v>70</v>
      </c>
      <c r="B137" s="1" t="s">
        <v>71</v>
      </c>
      <c r="C137" s="1">
        <v>2007</v>
      </c>
      <c r="D137" s="1" t="s">
        <v>72</v>
      </c>
      <c r="E137" s="1" t="s">
        <v>357</v>
      </c>
      <c r="F137" s="1" t="s">
        <v>219</v>
      </c>
      <c r="G137" s="1" t="s">
        <v>330</v>
      </c>
      <c r="H137" s="1">
        <v>2002</v>
      </c>
      <c r="I137" s="34">
        <v>3.6804000000000003E-2</v>
      </c>
      <c r="J137" s="1" t="s">
        <v>73</v>
      </c>
    </row>
    <row r="138" spans="1:10">
      <c r="A138" s="1" t="s">
        <v>70</v>
      </c>
      <c r="B138" s="1" t="s">
        <v>71</v>
      </c>
      <c r="C138" s="1">
        <v>2007</v>
      </c>
      <c r="D138" s="1" t="s">
        <v>72</v>
      </c>
      <c r="E138" s="1" t="s">
        <v>357</v>
      </c>
      <c r="F138" s="1" t="s">
        <v>219</v>
      </c>
      <c r="G138" s="1" t="s">
        <v>331</v>
      </c>
      <c r="H138" s="1">
        <v>2002</v>
      </c>
      <c r="I138" s="34">
        <v>0</v>
      </c>
      <c r="J138" s="1" t="s">
        <v>73</v>
      </c>
    </row>
    <row r="139" spans="1:10">
      <c r="A139" s="1" t="s">
        <v>70</v>
      </c>
      <c r="B139" s="1" t="s">
        <v>71</v>
      </c>
      <c r="C139" s="1">
        <v>2007</v>
      </c>
      <c r="D139" s="1" t="s">
        <v>72</v>
      </c>
      <c r="E139" s="1" t="s">
        <v>357</v>
      </c>
      <c r="F139" s="1" t="s">
        <v>219</v>
      </c>
      <c r="G139" s="1" t="s">
        <v>367</v>
      </c>
      <c r="H139" s="1">
        <v>2002</v>
      </c>
      <c r="I139" s="34">
        <v>0</v>
      </c>
      <c r="J139" s="1" t="s">
        <v>73</v>
      </c>
    </row>
    <row r="140" spans="1:10">
      <c r="A140" s="1" t="s">
        <v>70</v>
      </c>
      <c r="B140" s="1" t="s">
        <v>71</v>
      </c>
      <c r="C140" s="1">
        <v>2007</v>
      </c>
      <c r="D140" s="1" t="s">
        <v>72</v>
      </c>
      <c r="E140" s="1" t="s">
        <v>357</v>
      </c>
      <c r="F140" s="1" t="s">
        <v>219</v>
      </c>
      <c r="G140" s="1" t="s">
        <v>334</v>
      </c>
      <c r="H140" s="1">
        <v>2002</v>
      </c>
      <c r="I140" s="34">
        <v>9.8999000000000004E-2</v>
      </c>
      <c r="J140" s="1" t="s">
        <v>73</v>
      </c>
    </row>
    <row r="141" spans="1:10">
      <c r="A141" s="1" t="s">
        <v>70</v>
      </c>
      <c r="B141" s="1" t="s">
        <v>71</v>
      </c>
      <c r="C141" s="1">
        <v>2007</v>
      </c>
      <c r="D141" s="1" t="s">
        <v>72</v>
      </c>
      <c r="E141" s="1" t="s">
        <v>357</v>
      </c>
      <c r="F141" s="1" t="s">
        <v>220</v>
      </c>
      <c r="G141" s="1" t="s">
        <v>328</v>
      </c>
      <c r="H141" s="1">
        <v>2002</v>
      </c>
      <c r="I141" s="34">
        <v>0.106222</v>
      </c>
      <c r="J141" s="1" t="s">
        <v>73</v>
      </c>
    </row>
    <row r="142" spans="1:10">
      <c r="A142" s="1" t="s">
        <v>70</v>
      </c>
      <c r="B142" s="1" t="s">
        <v>71</v>
      </c>
      <c r="C142" s="1">
        <v>2007</v>
      </c>
      <c r="D142" s="1" t="s">
        <v>72</v>
      </c>
      <c r="E142" s="1" t="s">
        <v>357</v>
      </c>
      <c r="F142" s="1" t="s">
        <v>220</v>
      </c>
      <c r="G142" s="1" t="s">
        <v>329</v>
      </c>
      <c r="H142" s="1">
        <v>2002</v>
      </c>
      <c r="I142" s="34">
        <v>6.1003000000000002E-2</v>
      </c>
      <c r="J142" s="1" t="s">
        <v>73</v>
      </c>
    </row>
    <row r="143" spans="1:10">
      <c r="A143" s="1" t="s">
        <v>70</v>
      </c>
      <c r="B143" s="1" t="s">
        <v>71</v>
      </c>
      <c r="C143" s="1">
        <v>2007</v>
      </c>
      <c r="D143" s="1" t="s">
        <v>72</v>
      </c>
      <c r="E143" s="1" t="s">
        <v>357</v>
      </c>
      <c r="F143" s="1" t="s">
        <v>220</v>
      </c>
      <c r="G143" s="1" t="s">
        <v>330</v>
      </c>
      <c r="H143" s="1">
        <v>2002</v>
      </c>
      <c r="I143" s="34">
        <v>0.16972100000000001</v>
      </c>
      <c r="J143" s="1" t="s">
        <v>73</v>
      </c>
    </row>
    <row r="144" spans="1:10">
      <c r="A144" s="1" t="s">
        <v>70</v>
      </c>
      <c r="B144" s="1" t="s">
        <v>71</v>
      </c>
      <c r="C144" s="1">
        <v>2007</v>
      </c>
      <c r="D144" s="1" t="s">
        <v>72</v>
      </c>
      <c r="E144" s="1" t="s">
        <v>357</v>
      </c>
      <c r="F144" s="1" t="s">
        <v>220</v>
      </c>
      <c r="G144" s="1" t="s">
        <v>331</v>
      </c>
      <c r="H144" s="1">
        <v>2002</v>
      </c>
      <c r="I144" s="34">
        <v>8.0099999999999995E-4</v>
      </c>
      <c r="J144" s="1" t="s">
        <v>73</v>
      </c>
    </row>
    <row r="145" spans="1:10">
      <c r="A145" s="1" t="s">
        <v>70</v>
      </c>
      <c r="B145" s="1" t="s">
        <v>71</v>
      </c>
      <c r="C145" s="1">
        <v>2007</v>
      </c>
      <c r="D145" s="1" t="s">
        <v>72</v>
      </c>
      <c r="E145" s="1" t="s">
        <v>357</v>
      </c>
      <c r="F145" s="1" t="s">
        <v>220</v>
      </c>
      <c r="G145" s="1" t="s">
        <v>367</v>
      </c>
      <c r="H145" s="1">
        <v>2002</v>
      </c>
      <c r="I145" s="34">
        <v>0</v>
      </c>
      <c r="J145" s="1" t="s">
        <v>73</v>
      </c>
    </row>
    <row r="146" spans="1:10">
      <c r="A146" s="1" t="s">
        <v>70</v>
      </c>
      <c r="B146" s="1" t="s">
        <v>71</v>
      </c>
      <c r="C146" s="1">
        <v>2007</v>
      </c>
      <c r="D146" s="1" t="s">
        <v>72</v>
      </c>
      <c r="E146" s="1" t="s">
        <v>357</v>
      </c>
      <c r="F146" s="1" t="s">
        <v>220</v>
      </c>
      <c r="G146" s="1" t="s">
        <v>334</v>
      </c>
      <c r="H146" s="1">
        <v>2002</v>
      </c>
      <c r="I146" s="34">
        <v>0.33774700000000002</v>
      </c>
      <c r="J146" s="1" t="s">
        <v>73</v>
      </c>
    </row>
    <row r="147" spans="1:10">
      <c r="A147" s="1" t="s">
        <v>70</v>
      </c>
      <c r="B147" s="1" t="s">
        <v>71</v>
      </c>
      <c r="C147" s="1">
        <v>2007</v>
      </c>
      <c r="D147" s="1" t="s">
        <v>72</v>
      </c>
      <c r="E147" s="1" t="s">
        <v>357</v>
      </c>
      <c r="F147" s="1" t="s">
        <v>212</v>
      </c>
      <c r="G147" s="1" t="s">
        <v>328</v>
      </c>
      <c r="H147" s="1">
        <v>2002</v>
      </c>
      <c r="I147" s="34">
        <v>0</v>
      </c>
      <c r="J147" s="1" t="s">
        <v>73</v>
      </c>
    </row>
    <row r="148" spans="1:10">
      <c r="A148" s="1" t="s">
        <v>70</v>
      </c>
      <c r="B148" s="1" t="s">
        <v>71</v>
      </c>
      <c r="C148" s="1">
        <v>2007</v>
      </c>
      <c r="D148" s="1" t="s">
        <v>72</v>
      </c>
      <c r="E148" s="1" t="s">
        <v>357</v>
      </c>
      <c r="F148" s="1" t="s">
        <v>212</v>
      </c>
      <c r="G148" s="1" t="s">
        <v>329</v>
      </c>
      <c r="H148" s="1">
        <v>2002</v>
      </c>
      <c r="I148" s="34">
        <v>3.741E-3</v>
      </c>
      <c r="J148" s="1" t="s">
        <v>73</v>
      </c>
    </row>
    <row r="149" spans="1:10">
      <c r="A149" s="1" t="s">
        <v>70</v>
      </c>
      <c r="B149" s="1" t="s">
        <v>71</v>
      </c>
      <c r="C149" s="1">
        <v>2007</v>
      </c>
      <c r="D149" s="1" t="s">
        <v>72</v>
      </c>
      <c r="E149" s="1" t="s">
        <v>357</v>
      </c>
      <c r="F149" s="1" t="s">
        <v>212</v>
      </c>
      <c r="G149" s="1" t="s">
        <v>330</v>
      </c>
      <c r="H149" s="1">
        <v>2002</v>
      </c>
      <c r="I149" s="34">
        <v>1.044E-2</v>
      </c>
      <c r="J149" s="1" t="s">
        <v>73</v>
      </c>
    </row>
    <row r="150" spans="1:10">
      <c r="A150" s="1" t="s">
        <v>70</v>
      </c>
      <c r="B150" s="1" t="s">
        <v>71</v>
      </c>
      <c r="C150" s="1">
        <v>2007</v>
      </c>
      <c r="D150" s="1" t="s">
        <v>72</v>
      </c>
      <c r="E150" s="1" t="s">
        <v>357</v>
      </c>
      <c r="F150" s="1" t="s">
        <v>212</v>
      </c>
      <c r="G150" s="1" t="s">
        <v>331</v>
      </c>
      <c r="H150" s="1">
        <v>2002</v>
      </c>
      <c r="I150" s="34">
        <v>0</v>
      </c>
      <c r="J150" s="1" t="s">
        <v>73</v>
      </c>
    </row>
    <row r="151" spans="1:10">
      <c r="A151" s="1" t="s">
        <v>70</v>
      </c>
      <c r="B151" s="1" t="s">
        <v>71</v>
      </c>
      <c r="C151" s="1">
        <v>2007</v>
      </c>
      <c r="D151" s="1" t="s">
        <v>72</v>
      </c>
      <c r="E151" s="1" t="s">
        <v>357</v>
      </c>
      <c r="F151" s="1" t="s">
        <v>212</v>
      </c>
      <c r="G151" s="1" t="s">
        <v>367</v>
      </c>
      <c r="H151" s="1">
        <v>2002</v>
      </c>
      <c r="I151" s="34">
        <v>0.19603599999999999</v>
      </c>
      <c r="J151" s="1" t="s">
        <v>73</v>
      </c>
    </row>
    <row r="152" spans="1:10">
      <c r="A152" s="1" t="s">
        <v>70</v>
      </c>
      <c r="B152" s="1" t="s">
        <v>71</v>
      </c>
      <c r="C152" s="1">
        <v>2007</v>
      </c>
      <c r="D152" s="1" t="s">
        <v>72</v>
      </c>
      <c r="E152" s="1" t="s">
        <v>357</v>
      </c>
      <c r="F152" s="1" t="s">
        <v>212</v>
      </c>
      <c r="G152" s="1" t="s">
        <v>334</v>
      </c>
      <c r="H152" s="1">
        <v>2002</v>
      </c>
      <c r="I152" s="34">
        <v>0.21021799999999999</v>
      </c>
      <c r="J152" s="1" t="s">
        <v>73</v>
      </c>
    </row>
    <row r="153" spans="1:10">
      <c r="A153" s="1" t="s">
        <v>70</v>
      </c>
      <c r="B153" s="1" t="s">
        <v>71</v>
      </c>
      <c r="C153" s="1">
        <v>2007</v>
      </c>
      <c r="D153" s="1" t="s">
        <v>72</v>
      </c>
      <c r="E153" s="1" t="s">
        <v>357</v>
      </c>
      <c r="F153" s="1" t="s">
        <v>221</v>
      </c>
      <c r="G153" s="1" t="s">
        <v>328</v>
      </c>
      <c r="H153" s="1">
        <v>2002</v>
      </c>
      <c r="I153" s="34">
        <v>3.4562000000000002E-2</v>
      </c>
      <c r="J153" s="1" t="s">
        <v>73</v>
      </c>
    </row>
    <row r="154" spans="1:10">
      <c r="A154" s="1" t="s">
        <v>70</v>
      </c>
      <c r="B154" s="1" t="s">
        <v>71</v>
      </c>
      <c r="C154" s="1">
        <v>2007</v>
      </c>
      <c r="D154" s="1" t="s">
        <v>72</v>
      </c>
      <c r="E154" s="1" t="s">
        <v>357</v>
      </c>
      <c r="F154" s="1" t="s">
        <v>221</v>
      </c>
      <c r="G154" s="1" t="s">
        <v>329</v>
      </c>
      <c r="H154" s="1">
        <v>2002</v>
      </c>
      <c r="I154" s="34">
        <v>2.575E-3</v>
      </c>
      <c r="J154" s="1" t="s">
        <v>73</v>
      </c>
    </row>
    <row r="155" spans="1:10">
      <c r="A155" s="1" t="s">
        <v>70</v>
      </c>
      <c r="B155" s="1" t="s">
        <v>71</v>
      </c>
      <c r="C155" s="1">
        <v>2007</v>
      </c>
      <c r="D155" s="1" t="s">
        <v>72</v>
      </c>
      <c r="E155" s="1" t="s">
        <v>357</v>
      </c>
      <c r="F155" s="1" t="s">
        <v>221</v>
      </c>
      <c r="G155" s="1" t="s">
        <v>330</v>
      </c>
      <c r="H155" s="1">
        <v>2002</v>
      </c>
      <c r="I155" s="34">
        <v>2.4000000000000001E-5</v>
      </c>
      <c r="J155" s="1" t="s">
        <v>73</v>
      </c>
    </row>
    <row r="156" spans="1:10">
      <c r="A156" s="1" t="s">
        <v>70</v>
      </c>
      <c r="B156" s="1" t="s">
        <v>71</v>
      </c>
      <c r="C156" s="1">
        <v>2007</v>
      </c>
      <c r="D156" s="1" t="s">
        <v>72</v>
      </c>
      <c r="E156" s="1" t="s">
        <v>357</v>
      </c>
      <c r="F156" s="1" t="s">
        <v>221</v>
      </c>
      <c r="G156" s="1" t="s">
        <v>331</v>
      </c>
      <c r="H156" s="1">
        <v>2002</v>
      </c>
      <c r="I156" s="34">
        <v>1.2E-5</v>
      </c>
      <c r="J156" s="1" t="s">
        <v>73</v>
      </c>
    </row>
    <row r="157" spans="1:10">
      <c r="A157" s="1" t="s">
        <v>70</v>
      </c>
      <c r="B157" s="1" t="s">
        <v>71</v>
      </c>
      <c r="C157" s="1">
        <v>2007</v>
      </c>
      <c r="D157" s="1" t="s">
        <v>72</v>
      </c>
      <c r="E157" s="1" t="s">
        <v>357</v>
      </c>
      <c r="F157" s="1" t="s">
        <v>221</v>
      </c>
      <c r="G157" s="1" t="s">
        <v>367</v>
      </c>
      <c r="H157" s="1">
        <v>2002</v>
      </c>
      <c r="I157" s="34">
        <v>0</v>
      </c>
      <c r="J157" s="1" t="s">
        <v>73</v>
      </c>
    </row>
    <row r="158" spans="1:10">
      <c r="A158" s="1" t="s">
        <v>70</v>
      </c>
      <c r="B158" s="1" t="s">
        <v>71</v>
      </c>
      <c r="C158" s="1">
        <v>2007</v>
      </c>
      <c r="D158" s="1" t="s">
        <v>72</v>
      </c>
      <c r="E158" s="1" t="s">
        <v>357</v>
      </c>
      <c r="F158" s="1" t="s">
        <v>221</v>
      </c>
      <c r="G158" s="1" t="s">
        <v>334</v>
      </c>
      <c r="H158" s="1">
        <v>2002</v>
      </c>
      <c r="I158" s="34">
        <v>3.7172999999999998E-2</v>
      </c>
      <c r="J158" s="1" t="s">
        <v>73</v>
      </c>
    </row>
    <row r="159" spans="1:10">
      <c r="A159" s="1" t="s">
        <v>70</v>
      </c>
      <c r="B159" s="1" t="s">
        <v>71</v>
      </c>
      <c r="C159" s="1">
        <v>2007</v>
      </c>
      <c r="D159" s="1" t="s">
        <v>72</v>
      </c>
      <c r="E159" s="1" t="s">
        <v>357</v>
      </c>
      <c r="F159" s="1" t="s">
        <v>222</v>
      </c>
      <c r="G159" s="1" t="s">
        <v>328</v>
      </c>
      <c r="H159" s="1">
        <v>2002</v>
      </c>
      <c r="I159" s="34">
        <v>3.6697E-2</v>
      </c>
      <c r="J159" s="1" t="s">
        <v>73</v>
      </c>
    </row>
    <row r="160" spans="1:10">
      <c r="A160" s="1" t="s">
        <v>70</v>
      </c>
      <c r="B160" s="1" t="s">
        <v>71</v>
      </c>
      <c r="C160" s="1">
        <v>2007</v>
      </c>
      <c r="D160" s="1" t="s">
        <v>72</v>
      </c>
      <c r="E160" s="1" t="s">
        <v>357</v>
      </c>
      <c r="F160" s="1" t="s">
        <v>222</v>
      </c>
      <c r="G160" s="1" t="s">
        <v>329</v>
      </c>
      <c r="H160" s="1">
        <v>2002</v>
      </c>
      <c r="I160" s="34">
        <v>3.8149999999999998E-3</v>
      </c>
      <c r="J160" s="1" t="s">
        <v>73</v>
      </c>
    </row>
    <row r="161" spans="1:10">
      <c r="A161" s="1" t="s">
        <v>70</v>
      </c>
      <c r="B161" s="1" t="s">
        <v>71</v>
      </c>
      <c r="C161" s="1">
        <v>2007</v>
      </c>
      <c r="D161" s="1" t="s">
        <v>72</v>
      </c>
      <c r="E161" s="1" t="s">
        <v>357</v>
      </c>
      <c r="F161" s="1" t="s">
        <v>222</v>
      </c>
      <c r="G161" s="1" t="s">
        <v>330</v>
      </c>
      <c r="H161" s="1">
        <v>2002</v>
      </c>
      <c r="I161" s="34">
        <v>0</v>
      </c>
      <c r="J161" s="1" t="s">
        <v>73</v>
      </c>
    </row>
    <row r="162" spans="1:10">
      <c r="A162" s="1" t="s">
        <v>70</v>
      </c>
      <c r="B162" s="1" t="s">
        <v>71</v>
      </c>
      <c r="C162" s="1">
        <v>2007</v>
      </c>
      <c r="D162" s="1" t="s">
        <v>72</v>
      </c>
      <c r="E162" s="1" t="s">
        <v>357</v>
      </c>
      <c r="F162" s="1" t="s">
        <v>222</v>
      </c>
      <c r="G162" s="1" t="s">
        <v>331</v>
      </c>
      <c r="H162" s="1">
        <v>2002</v>
      </c>
      <c r="I162" s="34">
        <v>0</v>
      </c>
      <c r="J162" s="1" t="s">
        <v>73</v>
      </c>
    </row>
    <row r="163" spans="1:10">
      <c r="A163" s="1" t="s">
        <v>70</v>
      </c>
      <c r="B163" s="1" t="s">
        <v>71</v>
      </c>
      <c r="C163" s="1">
        <v>2007</v>
      </c>
      <c r="D163" s="1" t="s">
        <v>72</v>
      </c>
      <c r="E163" s="1" t="s">
        <v>357</v>
      </c>
      <c r="F163" s="1" t="s">
        <v>222</v>
      </c>
      <c r="G163" s="1" t="s">
        <v>367</v>
      </c>
      <c r="H163" s="1">
        <v>2002</v>
      </c>
      <c r="I163" s="34">
        <v>1.1069999999999999E-3</v>
      </c>
      <c r="J163" s="1" t="s">
        <v>73</v>
      </c>
    </row>
    <row r="164" spans="1:10">
      <c r="A164" s="1" t="s">
        <v>70</v>
      </c>
      <c r="B164" s="1" t="s">
        <v>71</v>
      </c>
      <c r="C164" s="1">
        <v>2007</v>
      </c>
      <c r="D164" s="1" t="s">
        <v>72</v>
      </c>
      <c r="E164" s="1" t="s">
        <v>357</v>
      </c>
      <c r="F164" s="1" t="s">
        <v>222</v>
      </c>
      <c r="G164" s="1" t="s">
        <v>334</v>
      </c>
      <c r="H164" s="1">
        <v>2002</v>
      </c>
      <c r="I164" s="34">
        <v>4.1619000000000003E-2</v>
      </c>
      <c r="J164" s="1" t="s">
        <v>73</v>
      </c>
    </row>
    <row r="165" spans="1:10">
      <c r="A165" s="1" t="s">
        <v>70</v>
      </c>
      <c r="B165" s="1" t="s">
        <v>71</v>
      </c>
      <c r="C165" s="1">
        <v>2007</v>
      </c>
      <c r="D165" s="1" t="s">
        <v>72</v>
      </c>
      <c r="E165" s="1" t="s">
        <v>357</v>
      </c>
      <c r="F165" s="1" t="s">
        <v>276</v>
      </c>
      <c r="G165" s="1" t="s">
        <v>328</v>
      </c>
      <c r="H165" s="1">
        <v>2002</v>
      </c>
      <c r="I165" s="34">
        <v>2.05E-4</v>
      </c>
      <c r="J165" s="1" t="s">
        <v>73</v>
      </c>
    </row>
    <row r="166" spans="1:10">
      <c r="A166" s="1" t="s">
        <v>70</v>
      </c>
      <c r="B166" s="1" t="s">
        <v>71</v>
      </c>
      <c r="C166" s="1">
        <v>2007</v>
      </c>
      <c r="D166" s="1" t="s">
        <v>72</v>
      </c>
      <c r="E166" s="1" t="s">
        <v>357</v>
      </c>
      <c r="F166" s="1" t="s">
        <v>276</v>
      </c>
      <c r="G166" s="1" t="s">
        <v>329</v>
      </c>
      <c r="H166" s="1">
        <v>2002</v>
      </c>
      <c r="I166" s="34">
        <v>1.5169999999999999E-3</v>
      </c>
      <c r="J166" s="1" t="s">
        <v>73</v>
      </c>
    </row>
    <row r="167" spans="1:10">
      <c r="A167" s="1" t="s">
        <v>70</v>
      </c>
      <c r="B167" s="1" t="s">
        <v>71</v>
      </c>
      <c r="C167" s="1">
        <v>2007</v>
      </c>
      <c r="D167" s="1" t="s">
        <v>72</v>
      </c>
      <c r="E167" s="1" t="s">
        <v>357</v>
      </c>
      <c r="F167" s="1" t="s">
        <v>276</v>
      </c>
      <c r="G167" s="1" t="s">
        <v>330</v>
      </c>
      <c r="H167" s="1">
        <v>2002</v>
      </c>
      <c r="I167" s="34">
        <v>0</v>
      </c>
      <c r="J167" s="1" t="s">
        <v>73</v>
      </c>
    </row>
    <row r="168" spans="1:10">
      <c r="A168" s="1" t="s">
        <v>70</v>
      </c>
      <c r="B168" s="1" t="s">
        <v>71</v>
      </c>
      <c r="C168" s="1">
        <v>2007</v>
      </c>
      <c r="D168" s="1" t="s">
        <v>72</v>
      </c>
      <c r="E168" s="1" t="s">
        <v>357</v>
      </c>
      <c r="F168" s="1" t="s">
        <v>276</v>
      </c>
      <c r="G168" s="1" t="s">
        <v>331</v>
      </c>
      <c r="H168" s="1">
        <v>2002</v>
      </c>
      <c r="I168" s="34">
        <v>0</v>
      </c>
      <c r="J168" s="1" t="s">
        <v>73</v>
      </c>
    </row>
    <row r="169" spans="1:10">
      <c r="A169" s="1" t="s">
        <v>70</v>
      </c>
      <c r="B169" s="1" t="s">
        <v>71</v>
      </c>
      <c r="C169" s="1">
        <v>2007</v>
      </c>
      <c r="D169" s="1" t="s">
        <v>72</v>
      </c>
      <c r="E169" s="1" t="s">
        <v>357</v>
      </c>
      <c r="F169" s="1" t="s">
        <v>276</v>
      </c>
      <c r="G169" s="1" t="s">
        <v>367</v>
      </c>
      <c r="H169" s="1">
        <v>2002</v>
      </c>
      <c r="I169" s="34">
        <v>0</v>
      </c>
      <c r="J169" s="1" t="s">
        <v>73</v>
      </c>
    </row>
    <row r="170" spans="1:10">
      <c r="A170" s="1" t="s">
        <v>70</v>
      </c>
      <c r="B170" s="1" t="s">
        <v>71</v>
      </c>
      <c r="C170" s="1">
        <v>2007</v>
      </c>
      <c r="D170" s="1" t="s">
        <v>72</v>
      </c>
      <c r="E170" s="1" t="s">
        <v>357</v>
      </c>
      <c r="F170" s="1" t="s">
        <v>276</v>
      </c>
      <c r="G170" s="1" t="s">
        <v>334</v>
      </c>
      <c r="H170" s="1">
        <v>2002</v>
      </c>
      <c r="I170" s="34">
        <v>1.722E-3</v>
      </c>
      <c r="J170" s="1" t="s">
        <v>73</v>
      </c>
    </row>
    <row r="171" spans="1:10">
      <c r="A171" s="1" t="s">
        <v>70</v>
      </c>
      <c r="B171" s="1" t="s">
        <v>71</v>
      </c>
      <c r="C171" s="1">
        <v>2007</v>
      </c>
      <c r="D171" s="1" t="s">
        <v>72</v>
      </c>
      <c r="E171" s="1" t="s">
        <v>357</v>
      </c>
      <c r="F171" s="1" t="s">
        <v>368</v>
      </c>
      <c r="G171" s="1" t="s">
        <v>328</v>
      </c>
      <c r="H171" s="1">
        <v>2002</v>
      </c>
      <c r="I171" s="34">
        <v>0</v>
      </c>
      <c r="J171" s="1" t="s">
        <v>73</v>
      </c>
    </row>
    <row r="172" spans="1:10">
      <c r="A172" s="1" t="s">
        <v>70</v>
      </c>
      <c r="B172" s="1" t="s">
        <v>71</v>
      </c>
      <c r="C172" s="1">
        <v>2007</v>
      </c>
      <c r="D172" s="1" t="s">
        <v>72</v>
      </c>
      <c r="E172" s="1" t="s">
        <v>357</v>
      </c>
      <c r="F172" s="1" t="s">
        <v>368</v>
      </c>
      <c r="G172" s="1" t="s">
        <v>329</v>
      </c>
      <c r="H172" s="1">
        <v>2002</v>
      </c>
      <c r="I172" s="34">
        <v>0</v>
      </c>
      <c r="J172" s="1" t="s">
        <v>73</v>
      </c>
    </row>
    <row r="173" spans="1:10">
      <c r="A173" s="1" t="s">
        <v>70</v>
      </c>
      <c r="B173" s="1" t="s">
        <v>71</v>
      </c>
      <c r="C173" s="1">
        <v>2007</v>
      </c>
      <c r="D173" s="1" t="s">
        <v>72</v>
      </c>
      <c r="E173" s="1" t="s">
        <v>357</v>
      </c>
      <c r="F173" s="1" t="s">
        <v>368</v>
      </c>
      <c r="G173" s="1" t="s">
        <v>330</v>
      </c>
      <c r="H173" s="1">
        <v>2002</v>
      </c>
      <c r="I173" s="34">
        <v>0</v>
      </c>
      <c r="J173" s="1" t="s">
        <v>73</v>
      </c>
    </row>
    <row r="174" spans="1:10">
      <c r="A174" s="1" t="s">
        <v>70</v>
      </c>
      <c r="B174" s="1" t="s">
        <v>71</v>
      </c>
      <c r="C174" s="1">
        <v>2007</v>
      </c>
      <c r="D174" s="1" t="s">
        <v>72</v>
      </c>
      <c r="E174" s="1" t="s">
        <v>357</v>
      </c>
      <c r="F174" s="1" t="s">
        <v>368</v>
      </c>
      <c r="G174" s="1" t="s">
        <v>331</v>
      </c>
      <c r="H174" s="1">
        <v>2002</v>
      </c>
      <c r="I174" s="34">
        <v>0</v>
      </c>
      <c r="J174" s="1" t="s">
        <v>73</v>
      </c>
    </row>
    <row r="175" spans="1:10">
      <c r="A175" s="1" t="s">
        <v>70</v>
      </c>
      <c r="B175" s="1" t="s">
        <v>71</v>
      </c>
      <c r="C175" s="1">
        <v>2007</v>
      </c>
      <c r="D175" s="1" t="s">
        <v>72</v>
      </c>
      <c r="E175" s="1" t="s">
        <v>357</v>
      </c>
      <c r="F175" s="1" t="s">
        <v>368</v>
      </c>
      <c r="G175" s="1" t="s">
        <v>367</v>
      </c>
      <c r="H175" s="1">
        <v>2002</v>
      </c>
      <c r="I175" s="34">
        <v>0.78906399999999999</v>
      </c>
      <c r="J175" s="1" t="s">
        <v>73</v>
      </c>
    </row>
    <row r="176" spans="1:10">
      <c r="A176" s="1" t="s">
        <v>70</v>
      </c>
      <c r="B176" s="1" t="s">
        <v>71</v>
      </c>
      <c r="C176" s="1">
        <v>2007</v>
      </c>
      <c r="D176" s="1" t="s">
        <v>72</v>
      </c>
      <c r="E176" s="1" t="s">
        <v>357</v>
      </c>
      <c r="F176" s="1" t="s">
        <v>368</v>
      </c>
      <c r="G176" s="1" t="s">
        <v>334</v>
      </c>
      <c r="H176" s="1">
        <v>2002</v>
      </c>
      <c r="I176" s="34">
        <v>0.78906399999999999</v>
      </c>
      <c r="J176" s="1" t="s">
        <v>73</v>
      </c>
    </row>
    <row r="177" spans="1:10">
      <c r="A177" s="1" t="s">
        <v>70</v>
      </c>
      <c r="B177" s="1" t="s">
        <v>71</v>
      </c>
      <c r="C177" s="1">
        <v>2007</v>
      </c>
      <c r="D177" s="1" t="s">
        <v>72</v>
      </c>
      <c r="E177" s="1" t="s">
        <v>357</v>
      </c>
      <c r="F177" s="1" t="s">
        <v>223</v>
      </c>
      <c r="G177" s="1" t="s">
        <v>328</v>
      </c>
      <c r="H177" s="1">
        <v>2002</v>
      </c>
      <c r="I177" s="34">
        <v>2.7300000000000002E-4</v>
      </c>
      <c r="J177" s="1" t="s">
        <v>73</v>
      </c>
    </row>
    <row r="178" spans="1:10">
      <c r="A178" s="1" t="s">
        <v>70</v>
      </c>
      <c r="B178" s="1" t="s">
        <v>71</v>
      </c>
      <c r="C178" s="1">
        <v>2007</v>
      </c>
      <c r="D178" s="1" t="s">
        <v>72</v>
      </c>
      <c r="E178" s="1" t="s">
        <v>357</v>
      </c>
      <c r="F178" s="1" t="s">
        <v>223</v>
      </c>
      <c r="G178" s="1" t="s">
        <v>329</v>
      </c>
      <c r="H178" s="1">
        <v>2002</v>
      </c>
      <c r="I178" s="34">
        <v>0</v>
      </c>
      <c r="J178" s="1" t="s">
        <v>73</v>
      </c>
    </row>
    <row r="179" spans="1:10">
      <c r="A179" s="1" t="s">
        <v>70</v>
      </c>
      <c r="B179" s="1" t="s">
        <v>71</v>
      </c>
      <c r="C179" s="1">
        <v>2007</v>
      </c>
      <c r="D179" s="1" t="s">
        <v>72</v>
      </c>
      <c r="E179" s="1" t="s">
        <v>357</v>
      </c>
      <c r="F179" s="1" t="s">
        <v>223</v>
      </c>
      <c r="G179" s="1" t="s">
        <v>330</v>
      </c>
      <c r="H179" s="1">
        <v>2002</v>
      </c>
      <c r="I179" s="34">
        <v>0</v>
      </c>
      <c r="J179" s="1" t="s">
        <v>73</v>
      </c>
    </row>
    <row r="180" spans="1:10">
      <c r="A180" s="1" t="s">
        <v>70</v>
      </c>
      <c r="B180" s="1" t="s">
        <v>71</v>
      </c>
      <c r="C180" s="1">
        <v>2007</v>
      </c>
      <c r="D180" s="1" t="s">
        <v>72</v>
      </c>
      <c r="E180" s="1" t="s">
        <v>357</v>
      </c>
      <c r="F180" s="1" t="s">
        <v>223</v>
      </c>
      <c r="G180" s="1" t="s">
        <v>331</v>
      </c>
      <c r="H180" s="1">
        <v>2002</v>
      </c>
      <c r="I180" s="34">
        <v>0</v>
      </c>
      <c r="J180" s="1" t="s">
        <v>73</v>
      </c>
    </row>
    <row r="181" spans="1:10">
      <c r="A181" s="1" t="s">
        <v>70</v>
      </c>
      <c r="B181" s="1" t="s">
        <v>71</v>
      </c>
      <c r="C181" s="1">
        <v>2007</v>
      </c>
      <c r="D181" s="1" t="s">
        <v>72</v>
      </c>
      <c r="E181" s="1" t="s">
        <v>357</v>
      </c>
      <c r="F181" s="1" t="s">
        <v>223</v>
      </c>
      <c r="G181" s="1" t="s">
        <v>367</v>
      </c>
      <c r="H181" s="1">
        <v>2002</v>
      </c>
      <c r="I181" s="34">
        <v>0.28975099999999998</v>
      </c>
      <c r="J181" s="1" t="s">
        <v>73</v>
      </c>
    </row>
    <row r="182" spans="1:10">
      <c r="A182" s="1" t="s">
        <v>70</v>
      </c>
      <c r="B182" s="1" t="s">
        <v>71</v>
      </c>
      <c r="C182" s="1">
        <v>2007</v>
      </c>
      <c r="D182" s="1" t="s">
        <v>72</v>
      </c>
      <c r="E182" s="1" t="s">
        <v>357</v>
      </c>
      <c r="F182" s="1" t="s">
        <v>223</v>
      </c>
      <c r="G182" s="1" t="s">
        <v>334</v>
      </c>
      <c r="H182" s="1">
        <v>2002</v>
      </c>
      <c r="I182" s="34">
        <v>0.29024</v>
      </c>
      <c r="J182" s="1" t="s">
        <v>73</v>
      </c>
    </row>
    <row r="183" spans="1:10">
      <c r="A183" s="1" t="s">
        <v>70</v>
      </c>
      <c r="B183" s="1" t="s">
        <v>71</v>
      </c>
      <c r="C183" s="1">
        <v>2007</v>
      </c>
      <c r="D183" s="1" t="s">
        <v>72</v>
      </c>
      <c r="E183" s="1" t="s">
        <v>357</v>
      </c>
      <c r="F183" s="1" t="s">
        <v>369</v>
      </c>
      <c r="G183" s="1" t="s">
        <v>328</v>
      </c>
      <c r="H183" s="1">
        <v>2002</v>
      </c>
      <c r="I183" s="34">
        <v>3.0600000000000001E-4</v>
      </c>
      <c r="J183" s="1" t="s">
        <v>73</v>
      </c>
    </row>
    <row r="184" spans="1:10">
      <c r="A184" s="1" t="s">
        <v>70</v>
      </c>
      <c r="B184" s="1" t="s">
        <v>71</v>
      </c>
      <c r="C184" s="1">
        <v>2007</v>
      </c>
      <c r="D184" s="1" t="s">
        <v>72</v>
      </c>
      <c r="E184" s="1" t="s">
        <v>357</v>
      </c>
      <c r="F184" s="1" t="s">
        <v>369</v>
      </c>
      <c r="G184" s="1" t="s">
        <v>329</v>
      </c>
      <c r="H184" s="1">
        <v>2002</v>
      </c>
      <c r="I184" s="34">
        <v>0</v>
      </c>
      <c r="J184" s="1" t="s">
        <v>73</v>
      </c>
    </row>
    <row r="185" spans="1:10">
      <c r="A185" s="1" t="s">
        <v>70</v>
      </c>
      <c r="B185" s="1" t="s">
        <v>71</v>
      </c>
      <c r="C185" s="1">
        <v>2007</v>
      </c>
      <c r="D185" s="1" t="s">
        <v>72</v>
      </c>
      <c r="E185" s="1" t="s">
        <v>357</v>
      </c>
      <c r="F185" s="1" t="s">
        <v>369</v>
      </c>
      <c r="G185" s="1" t="s">
        <v>330</v>
      </c>
      <c r="H185" s="1">
        <v>2002</v>
      </c>
      <c r="I185" s="34">
        <v>0</v>
      </c>
      <c r="J185" s="1" t="s">
        <v>73</v>
      </c>
    </row>
    <row r="186" spans="1:10">
      <c r="A186" s="1" t="s">
        <v>70</v>
      </c>
      <c r="B186" s="1" t="s">
        <v>71</v>
      </c>
      <c r="C186" s="1">
        <v>2007</v>
      </c>
      <c r="D186" s="1" t="s">
        <v>72</v>
      </c>
      <c r="E186" s="1" t="s">
        <v>357</v>
      </c>
      <c r="F186" s="1" t="s">
        <v>369</v>
      </c>
      <c r="G186" s="1" t="s">
        <v>331</v>
      </c>
      <c r="H186" s="1">
        <v>2002</v>
      </c>
      <c r="I186" s="34">
        <v>0</v>
      </c>
      <c r="J186" s="1" t="s">
        <v>73</v>
      </c>
    </row>
    <row r="187" spans="1:10">
      <c r="A187" s="1" t="s">
        <v>70</v>
      </c>
      <c r="B187" s="1" t="s">
        <v>71</v>
      </c>
      <c r="C187" s="1">
        <v>2007</v>
      </c>
      <c r="D187" s="1" t="s">
        <v>72</v>
      </c>
      <c r="E187" s="1" t="s">
        <v>357</v>
      </c>
      <c r="F187" s="1" t="s">
        <v>369</v>
      </c>
      <c r="G187" s="1" t="s">
        <v>367</v>
      </c>
      <c r="H187" s="1">
        <v>2002</v>
      </c>
      <c r="I187" s="34">
        <v>0</v>
      </c>
      <c r="J187" s="1" t="s">
        <v>73</v>
      </c>
    </row>
    <row r="188" spans="1:10">
      <c r="A188" s="1" t="s">
        <v>70</v>
      </c>
      <c r="B188" s="1" t="s">
        <v>71</v>
      </c>
      <c r="C188" s="1">
        <v>2007</v>
      </c>
      <c r="D188" s="1" t="s">
        <v>72</v>
      </c>
      <c r="E188" s="1" t="s">
        <v>357</v>
      </c>
      <c r="F188" s="1" t="s">
        <v>369</v>
      </c>
      <c r="G188" s="1" t="s">
        <v>334</v>
      </c>
      <c r="H188" s="1">
        <v>2002</v>
      </c>
      <c r="I188" s="34">
        <v>3.0600000000000001E-4</v>
      </c>
      <c r="J188" s="1" t="s">
        <v>73</v>
      </c>
    </row>
    <row r="189" spans="1:10">
      <c r="A189" s="1" t="s">
        <v>70</v>
      </c>
      <c r="B189" s="1" t="s">
        <v>71</v>
      </c>
      <c r="C189" s="1">
        <v>2007</v>
      </c>
      <c r="D189" s="1" t="s">
        <v>72</v>
      </c>
      <c r="E189" s="1" t="s">
        <v>346</v>
      </c>
      <c r="F189" s="1" t="s">
        <v>347</v>
      </c>
      <c r="G189" s="1" t="s">
        <v>334</v>
      </c>
      <c r="H189" s="1">
        <v>2011</v>
      </c>
      <c r="I189" s="34">
        <f t="shared" ref="I189:I196" si="1">14.61+1</f>
        <v>15.61</v>
      </c>
      <c r="J189" s="1" t="s">
        <v>73</v>
      </c>
    </row>
    <row r="190" spans="1:10">
      <c r="A190" s="1" t="s">
        <v>70</v>
      </c>
      <c r="B190" s="1" t="s">
        <v>71</v>
      </c>
      <c r="C190" s="1">
        <v>2007</v>
      </c>
      <c r="D190" s="1" t="s">
        <v>72</v>
      </c>
      <c r="E190" s="1" t="s">
        <v>346</v>
      </c>
      <c r="F190" s="1" t="s">
        <v>347</v>
      </c>
      <c r="G190" s="1" t="s">
        <v>334</v>
      </c>
      <c r="H190" s="1">
        <v>2012</v>
      </c>
      <c r="I190" s="34">
        <f t="shared" si="1"/>
        <v>15.61</v>
      </c>
      <c r="J190" s="1" t="s">
        <v>73</v>
      </c>
    </row>
    <row r="191" spans="1:10">
      <c r="A191" s="1" t="s">
        <v>70</v>
      </c>
      <c r="B191" s="1" t="s">
        <v>71</v>
      </c>
      <c r="C191" s="1">
        <v>2007</v>
      </c>
      <c r="D191" s="1" t="s">
        <v>72</v>
      </c>
      <c r="E191" s="1" t="s">
        <v>346</v>
      </c>
      <c r="F191" s="1" t="s">
        <v>347</v>
      </c>
      <c r="G191" s="1" t="s">
        <v>334</v>
      </c>
      <c r="H191" s="1">
        <v>2013</v>
      </c>
      <c r="I191" s="34">
        <f t="shared" si="1"/>
        <v>15.61</v>
      </c>
      <c r="J191" s="1" t="s">
        <v>73</v>
      </c>
    </row>
    <row r="192" spans="1:10">
      <c r="A192" s="1" t="s">
        <v>70</v>
      </c>
      <c r="B192" s="1" t="s">
        <v>71</v>
      </c>
      <c r="C192" s="1">
        <v>2007</v>
      </c>
      <c r="D192" s="1" t="s">
        <v>72</v>
      </c>
      <c r="E192" s="1" t="s">
        <v>346</v>
      </c>
      <c r="F192" s="1" t="s">
        <v>347</v>
      </c>
      <c r="G192" s="1" t="s">
        <v>334</v>
      </c>
      <c r="H192" s="1">
        <v>2014</v>
      </c>
      <c r="I192" s="34">
        <f t="shared" si="1"/>
        <v>15.61</v>
      </c>
      <c r="J192" s="1" t="s">
        <v>73</v>
      </c>
    </row>
    <row r="193" spans="1:11">
      <c r="A193" s="1" t="s">
        <v>70</v>
      </c>
      <c r="B193" s="1" t="s">
        <v>71</v>
      </c>
      <c r="C193" s="1">
        <v>2007</v>
      </c>
      <c r="D193" s="1" t="s">
        <v>72</v>
      </c>
      <c r="E193" s="1" t="s">
        <v>346</v>
      </c>
      <c r="F193" s="1" t="s">
        <v>347</v>
      </c>
      <c r="G193" s="1" t="s">
        <v>334</v>
      </c>
      <c r="H193" s="1">
        <v>2015</v>
      </c>
      <c r="I193" s="34">
        <f t="shared" si="1"/>
        <v>15.61</v>
      </c>
      <c r="J193" s="1" t="s">
        <v>73</v>
      </c>
    </row>
    <row r="194" spans="1:11">
      <c r="A194" s="1" t="s">
        <v>70</v>
      </c>
      <c r="B194" s="1" t="s">
        <v>71</v>
      </c>
      <c r="C194" s="1">
        <v>2007</v>
      </c>
      <c r="D194" s="1" t="s">
        <v>72</v>
      </c>
      <c r="E194" s="1" t="s">
        <v>346</v>
      </c>
      <c r="F194" s="1" t="s">
        <v>347</v>
      </c>
      <c r="G194" s="1" t="s">
        <v>334</v>
      </c>
      <c r="H194" s="1">
        <v>2016</v>
      </c>
      <c r="I194" s="34">
        <f t="shared" si="1"/>
        <v>15.61</v>
      </c>
      <c r="J194" s="1" t="s">
        <v>73</v>
      </c>
    </row>
    <row r="195" spans="1:11">
      <c r="A195" s="1" t="s">
        <v>70</v>
      </c>
      <c r="B195" s="1" t="s">
        <v>71</v>
      </c>
      <c r="C195" s="1">
        <v>2007</v>
      </c>
      <c r="D195" s="1" t="s">
        <v>72</v>
      </c>
      <c r="E195" s="1" t="s">
        <v>346</v>
      </c>
      <c r="F195" s="1" t="s">
        <v>347</v>
      </c>
      <c r="G195" s="1" t="s">
        <v>334</v>
      </c>
      <c r="H195" s="1">
        <v>2017</v>
      </c>
      <c r="I195" s="34">
        <f t="shared" si="1"/>
        <v>15.61</v>
      </c>
      <c r="J195" s="1" t="s">
        <v>73</v>
      </c>
      <c r="K195" s="1" t="s">
        <v>364</v>
      </c>
    </row>
    <row r="196" spans="1:11">
      <c r="A196" s="1" t="s">
        <v>70</v>
      </c>
      <c r="B196" s="1" t="s">
        <v>71</v>
      </c>
      <c r="C196" s="1">
        <v>2007</v>
      </c>
      <c r="D196" s="1" t="s">
        <v>72</v>
      </c>
      <c r="E196" s="1" t="s">
        <v>346</v>
      </c>
      <c r="F196" s="1" t="s">
        <v>347</v>
      </c>
      <c r="G196" s="1" t="s">
        <v>334</v>
      </c>
      <c r="H196" s="1">
        <v>2018</v>
      </c>
      <c r="I196" s="34">
        <f t="shared" si="1"/>
        <v>15.61</v>
      </c>
      <c r="J196" s="1" t="s">
        <v>73</v>
      </c>
      <c r="K196" s="1" t="s">
        <v>364</v>
      </c>
    </row>
    <row r="197" spans="1:11">
      <c r="A197" s="1" t="s">
        <v>70</v>
      </c>
      <c r="B197" s="1" t="s">
        <v>71</v>
      </c>
      <c r="C197" s="1" t="s">
        <v>73</v>
      </c>
      <c r="D197" s="1" t="s">
        <v>72</v>
      </c>
      <c r="E197" s="1" t="s">
        <v>357</v>
      </c>
      <c r="F197" s="1" t="s">
        <v>347</v>
      </c>
      <c r="G197" s="1" t="s">
        <v>365</v>
      </c>
      <c r="H197" s="1">
        <v>2011</v>
      </c>
      <c r="I197" s="34">
        <v>4.6210000000000004</v>
      </c>
      <c r="J197" s="1" t="s">
        <v>73</v>
      </c>
    </row>
    <row r="198" spans="1:11">
      <c r="A198" s="1" t="s">
        <v>70</v>
      </c>
      <c r="B198" s="1" t="s">
        <v>71</v>
      </c>
      <c r="C198" s="1" t="s">
        <v>73</v>
      </c>
      <c r="D198" s="1" t="s">
        <v>72</v>
      </c>
      <c r="E198" s="1" t="s">
        <v>357</v>
      </c>
      <c r="F198" s="1" t="s">
        <v>347</v>
      </c>
      <c r="G198" s="1" t="s">
        <v>365</v>
      </c>
      <c r="H198" s="1">
        <v>2012</v>
      </c>
      <c r="I198" s="34">
        <v>4.351</v>
      </c>
      <c r="J198" s="1" t="s">
        <v>73</v>
      </c>
    </row>
    <row r="199" spans="1:11">
      <c r="A199" s="1" t="s">
        <v>70</v>
      </c>
      <c r="B199" s="1" t="s">
        <v>71</v>
      </c>
      <c r="C199" s="1" t="s">
        <v>73</v>
      </c>
      <c r="D199" s="1" t="s">
        <v>72</v>
      </c>
      <c r="E199" s="1" t="s">
        <v>357</v>
      </c>
      <c r="F199" s="1" t="s">
        <v>347</v>
      </c>
      <c r="G199" s="1" t="s">
        <v>365</v>
      </c>
      <c r="H199" s="1">
        <v>2013</v>
      </c>
      <c r="I199" s="34">
        <v>4.2839999999999998</v>
      </c>
      <c r="J199" s="1" t="s">
        <v>73</v>
      </c>
    </row>
    <row r="200" spans="1:11">
      <c r="A200" s="1" t="s">
        <v>70</v>
      </c>
      <c r="B200" s="1" t="s">
        <v>71</v>
      </c>
      <c r="C200" s="1" t="s">
        <v>73</v>
      </c>
      <c r="D200" s="1" t="s">
        <v>72</v>
      </c>
      <c r="E200" s="1" t="s">
        <v>357</v>
      </c>
      <c r="F200" s="1" t="s">
        <v>347</v>
      </c>
      <c r="G200" s="1" t="s">
        <v>365</v>
      </c>
      <c r="H200" s="1">
        <v>2014</v>
      </c>
      <c r="I200" s="34">
        <v>4.226</v>
      </c>
      <c r="J200" s="1" t="s">
        <v>73</v>
      </c>
    </row>
    <row r="201" spans="1:11">
      <c r="A201" s="1" t="s">
        <v>70</v>
      </c>
      <c r="B201" s="1" t="s">
        <v>71</v>
      </c>
      <c r="C201" s="1" t="s">
        <v>73</v>
      </c>
      <c r="D201" s="1" t="s">
        <v>72</v>
      </c>
      <c r="E201" s="1" t="s">
        <v>357</v>
      </c>
      <c r="F201" s="1" t="s">
        <v>347</v>
      </c>
      <c r="G201" s="1" t="s">
        <v>365</v>
      </c>
      <c r="H201" s="1">
        <v>2015</v>
      </c>
      <c r="I201" s="34">
        <v>4.3280000000000003</v>
      </c>
      <c r="J201" s="1" t="s">
        <v>73</v>
      </c>
    </row>
    <row r="202" spans="1:11">
      <c r="A202" s="1" t="s">
        <v>70</v>
      </c>
      <c r="B202" s="1" t="s">
        <v>71</v>
      </c>
      <c r="C202" s="1" t="s">
        <v>73</v>
      </c>
      <c r="D202" s="1" t="s">
        <v>72</v>
      </c>
      <c r="E202" s="1" t="s">
        <v>357</v>
      </c>
      <c r="F202" s="1" t="s">
        <v>347</v>
      </c>
      <c r="G202" s="1" t="s">
        <v>365</v>
      </c>
      <c r="H202" s="1">
        <v>2016</v>
      </c>
      <c r="I202" s="34">
        <v>4.1269999999999998</v>
      </c>
      <c r="J202" s="1" t="s">
        <v>73</v>
      </c>
    </row>
    <row r="203" spans="1:11">
      <c r="A203" s="1" t="s">
        <v>70</v>
      </c>
      <c r="B203" s="1" t="s">
        <v>71</v>
      </c>
      <c r="C203" s="1" t="s">
        <v>73</v>
      </c>
      <c r="D203" s="1" t="s">
        <v>72</v>
      </c>
      <c r="E203" s="1" t="s">
        <v>357</v>
      </c>
      <c r="F203" s="1" t="s">
        <v>347</v>
      </c>
      <c r="G203" s="1" t="s">
        <v>365</v>
      </c>
      <c r="H203" s="1">
        <v>2017</v>
      </c>
      <c r="I203" s="34">
        <v>3.9940000000000002</v>
      </c>
      <c r="J203" s="1" t="s">
        <v>73</v>
      </c>
    </row>
    <row r="204" spans="1:11">
      <c r="A204" s="1" t="s">
        <v>70</v>
      </c>
      <c r="B204" s="1" t="s">
        <v>71</v>
      </c>
      <c r="C204" s="1" t="s">
        <v>73</v>
      </c>
      <c r="D204" s="1" t="s">
        <v>72</v>
      </c>
      <c r="E204" s="1" t="s">
        <v>357</v>
      </c>
      <c r="F204" s="1" t="s">
        <v>347</v>
      </c>
      <c r="G204" s="1" t="s">
        <v>365</v>
      </c>
      <c r="H204" s="1">
        <v>2018</v>
      </c>
      <c r="I204" s="34">
        <v>3.8780000000000001</v>
      </c>
      <c r="J204" s="1" t="s">
        <v>73</v>
      </c>
    </row>
    <row r="205" spans="1:11">
      <c r="A205" s="1" t="s">
        <v>70</v>
      </c>
      <c r="B205" s="1" t="s">
        <v>71</v>
      </c>
      <c r="C205" s="1" t="s">
        <v>73</v>
      </c>
      <c r="D205" s="1" t="s">
        <v>72</v>
      </c>
      <c r="E205" s="1" t="s">
        <v>357</v>
      </c>
      <c r="F205" s="1" t="s">
        <v>347</v>
      </c>
      <c r="G205" s="1" t="s">
        <v>333</v>
      </c>
      <c r="H205" s="1">
        <v>2011</v>
      </c>
      <c r="I205" s="34">
        <v>1.1830000000000001</v>
      </c>
      <c r="J205" s="1" t="s">
        <v>73</v>
      </c>
    </row>
    <row r="206" spans="1:11">
      <c r="A206" s="1" t="s">
        <v>70</v>
      </c>
      <c r="B206" s="1" t="s">
        <v>71</v>
      </c>
      <c r="C206" s="1" t="s">
        <v>73</v>
      </c>
      <c r="D206" s="1" t="s">
        <v>72</v>
      </c>
      <c r="E206" s="1" t="s">
        <v>357</v>
      </c>
      <c r="F206" s="1" t="s">
        <v>347</v>
      </c>
      <c r="G206" s="1" t="s">
        <v>333</v>
      </c>
      <c r="H206" s="1">
        <v>2012</v>
      </c>
      <c r="I206" s="34">
        <v>1.2709999999999999</v>
      </c>
      <c r="J206" s="1" t="s">
        <v>73</v>
      </c>
    </row>
    <row r="207" spans="1:11">
      <c r="A207" s="1" t="s">
        <v>70</v>
      </c>
      <c r="B207" s="1" t="s">
        <v>71</v>
      </c>
      <c r="C207" s="1" t="s">
        <v>73</v>
      </c>
      <c r="D207" s="1" t="s">
        <v>72</v>
      </c>
      <c r="E207" s="1" t="s">
        <v>357</v>
      </c>
      <c r="F207" s="1" t="s">
        <v>347</v>
      </c>
      <c r="G207" s="1" t="s">
        <v>333</v>
      </c>
      <c r="H207" s="1">
        <v>2013</v>
      </c>
      <c r="I207" s="34">
        <v>1.2310000000000001</v>
      </c>
      <c r="J207" s="1" t="s">
        <v>73</v>
      </c>
    </row>
    <row r="208" spans="1:11">
      <c r="A208" s="1" t="s">
        <v>70</v>
      </c>
      <c r="B208" s="1" t="s">
        <v>71</v>
      </c>
      <c r="C208" s="1" t="s">
        <v>73</v>
      </c>
      <c r="D208" s="1" t="s">
        <v>72</v>
      </c>
      <c r="E208" s="1" t="s">
        <v>357</v>
      </c>
      <c r="F208" s="1" t="s">
        <v>347</v>
      </c>
      <c r="G208" s="1" t="s">
        <v>333</v>
      </c>
      <c r="H208" s="1">
        <v>2014</v>
      </c>
      <c r="I208" s="34">
        <v>1.2789999999999999</v>
      </c>
      <c r="J208" s="1" t="s">
        <v>73</v>
      </c>
    </row>
    <row r="209" spans="1:10">
      <c r="A209" s="1" t="s">
        <v>70</v>
      </c>
      <c r="B209" s="1" t="s">
        <v>71</v>
      </c>
      <c r="C209" s="1" t="s">
        <v>73</v>
      </c>
      <c r="D209" s="1" t="s">
        <v>72</v>
      </c>
      <c r="E209" s="1" t="s">
        <v>357</v>
      </c>
      <c r="F209" s="1" t="s">
        <v>347</v>
      </c>
      <c r="G209" s="1" t="s">
        <v>333</v>
      </c>
      <c r="H209" s="1">
        <v>2015</v>
      </c>
      <c r="I209" s="34">
        <v>1.2729999999999999</v>
      </c>
      <c r="J209" s="1" t="s">
        <v>73</v>
      </c>
    </row>
    <row r="210" spans="1:10">
      <c r="A210" s="1" t="s">
        <v>70</v>
      </c>
      <c r="B210" s="1" t="s">
        <v>71</v>
      </c>
      <c r="C210" s="1" t="s">
        <v>73</v>
      </c>
      <c r="D210" s="1" t="s">
        <v>72</v>
      </c>
      <c r="E210" s="1" t="s">
        <v>357</v>
      </c>
      <c r="F210" s="1" t="s">
        <v>347</v>
      </c>
      <c r="G210" s="1" t="s">
        <v>333</v>
      </c>
      <c r="H210" s="1">
        <v>2016</v>
      </c>
      <c r="I210" s="34">
        <v>1.254</v>
      </c>
      <c r="J210" s="1" t="s">
        <v>73</v>
      </c>
    </row>
    <row r="211" spans="1:10">
      <c r="A211" s="1" t="s">
        <v>70</v>
      </c>
      <c r="B211" s="1" t="s">
        <v>71</v>
      </c>
      <c r="C211" s="1" t="s">
        <v>73</v>
      </c>
      <c r="D211" s="1" t="s">
        <v>72</v>
      </c>
      <c r="E211" s="1" t="s">
        <v>357</v>
      </c>
      <c r="F211" s="1" t="s">
        <v>347</v>
      </c>
      <c r="G211" s="1" t="s">
        <v>333</v>
      </c>
      <c r="H211" s="1">
        <v>2017</v>
      </c>
      <c r="I211" s="34">
        <v>1.266</v>
      </c>
      <c r="J211" s="1" t="s">
        <v>73</v>
      </c>
    </row>
    <row r="212" spans="1:10">
      <c r="A212" s="1" t="s">
        <v>70</v>
      </c>
      <c r="B212" s="1" t="s">
        <v>71</v>
      </c>
      <c r="C212" s="1" t="s">
        <v>73</v>
      </c>
      <c r="D212" s="1" t="s">
        <v>72</v>
      </c>
      <c r="E212" s="1" t="s">
        <v>357</v>
      </c>
      <c r="F212" s="1" t="s">
        <v>347</v>
      </c>
      <c r="G212" s="1" t="s">
        <v>333</v>
      </c>
      <c r="H212" s="1">
        <v>2018</v>
      </c>
      <c r="I212" s="34">
        <v>1.3120000000000001</v>
      </c>
      <c r="J212" s="1" t="s">
        <v>73</v>
      </c>
    </row>
    <row r="213" spans="1:10">
      <c r="A213" s="1" t="s">
        <v>70</v>
      </c>
      <c r="B213" s="1" t="s">
        <v>71</v>
      </c>
      <c r="C213" s="1" t="s">
        <v>73</v>
      </c>
      <c r="D213" s="1" t="s">
        <v>72</v>
      </c>
      <c r="E213" s="1" t="s">
        <v>357</v>
      </c>
      <c r="F213" s="1" t="s">
        <v>347</v>
      </c>
      <c r="G213" s="1" t="s">
        <v>358</v>
      </c>
      <c r="H213" s="1">
        <v>2011</v>
      </c>
      <c r="I213" s="34">
        <v>3.2229999999999999</v>
      </c>
      <c r="J213" s="1" t="s">
        <v>73</v>
      </c>
    </row>
    <row r="214" spans="1:10">
      <c r="A214" s="1" t="s">
        <v>70</v>
      </c>
      <c r="B214" s="1" t="s">
        <v>71</v>
      </c>
      <c r="C214" s="1" t="s">
        <v>73</v>
      </c>
      <c r="D214" s="1" t="s">
        <v>72</v>
      </c>
      <c r="E214" s="1" t="s">
        <v>357</v>
      </c>
      <c r="F214" s="1" t="s">
        <v>347</v>
      </c>
      <c r="G214" s="1" t="s">
        <v>358</v>
      </c>
      <c r="H214" s="1">
        <v>2012</v>
      </c>
      <c r="I214" s="34">
        <v>3.0509999999999997</v>
      </c>
      <c r="J214" s="1" t="s">
        <v>73</v>
      </c>
    </row>
    <row r="215" spans="1:10">
      <c r="A215" s="1" t="s">
        <v>70</v>
      </c>
      <c r="B215" s="1" t="s">
        <v>71</v>
      </c>
      <c r="C215" s="1" t="s">
        <v>73</v>
      </c>
      <c r="D215" s="1" t="s">
        <v>72</v>
      </c>
      <c r="E215" s="1" t="s">
        <v>357</v>
      </c>
      <c r="F215" s="1" t="s">
        <v>347</v>
      </c>
      <c r="G215" s="1" t="s">
        <v>358</v>
      </c>
      <c r="H215" s="1">
        <v>2013</v>
      </c>
      <c r="I215" s="34">
        <v>3.4210000000000003</v>
      </c>
      <c r="J215" s="1" t="s">
        <v>73</v>
      </c>
    </row>
    <row r="216" spans="1:10">
      <c r="A216" s="1" t="s">
        <v>70</v>
      </c>
      <c r="B216" s="1" t="s">
        <v>71</v>
      </c>
      <c r="C216" s="1" t="s">
        <v>73</v>
      </c>
      <c r="D216" s="1" t="s">
        <v>72</v>
      </c>
      <c r="E216" s="1" t="s">
        <v>357</v>
      </c>
      <c r="F216" s="1" t="s">
        <v>347</v>
      </c>
      <c r="G216" s="1" t="s">
        <v>358</v>
      </c>
      <c r="H216" s="1">
        <v>2014</v>
      </c>
      <c r="I216" s="34">
        <v>3.6539999999999999</v>
      </c>
      <c r="J216" s="1" t="s">
        <v>73</v>
      </c>
    </row>
    <row r="217" spans="1:10">
      <c r="A217" s="1" t="s">
        <v>70</v>
      </c>
      <c r="B217" s="1" t="s">
        <v>71</v>
      </c>
      <c r="C217" s="1" t="s">
        <v>73</v>
      </c>
      <c r="D217" s="1" t="s">
        <v>72</v>
      </c>
      <c r="E217" s="1" t="s">
        <v>357</v>
      </c>
      <c r="F217" s="1" t="s">
        <v>347</v>
      </c>
      <c r="G217" s="1" t="s">
        <v>358</v>
      </c>
      <c r="H217" s="1">
        <v>2015</v>
      </c>
      <c r="I217" s="34">
        <v>3.7250000000000001</v>
      </c>
      <c r="J217" s="1" t="s">
        <v>73</v>
      </c>
    </row>
    <row r="218" spans="1:10">
      <c r="A218" s="1" t="s">
        <v>70</v>
      </c>
      <c r="B218" s="1" t="s">
        <v>71</v>
      </c>
      <c r="C218" s="1" t="s">
        <v>73</v>
      </c>
      <c r="D218" s="1" t="s">
        <v>72</v>
      </c>
      <c r="E218" s="1" t="s">
        <v>357</v>
      </c>
      <c r="F218" s="1" t="s">
        <v>347</v>
      </c>
      <c r="G218" s="1" t="s">
        <v>358</v>
      </c>
      <c r="H218" s="1">
        <v>2016</v>
      </c>
      <c r="I218" s="34">
        <v>3.8650000000000002</v>
      </c>
      <c r="J218" s="1" t="s">
        <v>73</v>
      </c>
    </row>
    <row r="219" spans="1:10">
      <c r="A219" s="1" t="s">
        <v>70</v>
      </c>
      <c r="B219" s="1" t="s">
        <v>71</v>
      </c>
      <c r="C219" s="1" t="s">
        <v>73</v>
      </c>
      <c r="D219" s="1" t="s">
        <v>72</v>
      </c>
      <c r="E219" s="1" t="s">
        <v>357</v>
      </c>
      <c r="F219" s="1" t="s">
        <v>347</v>
      </c>
      <c r="G219" s="1" t="s">
        <v>358</v>
      </c>
      <c r="H219" s="1">
        <v>2017</v>
      </c>
      <c r="I219" s="34">
        <v>3.1040000000000001</v>
      </c>
      <c r="J219" s="1" t="s">
        <v>73</v>
      </c>
    </row>
    <row r="220" spans="1:10">
      <c r="A220" s="1" t="s">
        <v>70</v>
      </c>
      <c r="B220" s="1" t="s">
        <v>71</v>
      </c>
      <c r="C220" s="1" t="s">
        <v>73</v>
      </c>
      <c r="D220" s="1" t="s">
        <v>72</v>
      </c>
      <c r="E220" s="1" t="s">
        <v>357</v>
      </c>
      <c r="F220" s="1" t="s">
        <v>347</v>
      </c>
      <c r="G220" s="1" t="s">
        <v>358</v>
      </c>
      <c r="H220" s="1">
        <v>2018</v>
      </c>
      <c r="I220" s="34">
        <f>0.691+2.334</f>
        <v>3.0249999999999999</v>
      </c>
      <c r="J220" s="1" t="s">
        <v>73</v>
      </c>
    </row>
    <row r="221" spans="1:10">
      <c r="A221" s="1" t="s">
        <v>70</v>
      </c>
      <c r="B221" s="1" t="s">
        <v>71</v>
      </c>
      <c r="C221" s="1" t="s">
        <v>73</v>
      </c>
      <c r="D221" s="1" t="s">
        <v>72</v>
      </c>
      <c r="E221" s="1" t="s">
        <v>357</v>
      </c>
      <c r="F221" s="1" t="s">
        <v>347</v>
      </c>
      <c r="G221" s="1" t="s">
        <v>334</v>
      </c>
      <c r="H221" s="1">
        <v>2011</v>
      </c>
      <c r="I221" s="34">
        <v>5.8040000000000003</v>
      </c>
      <c r="J221" s="1" t="s">
        <v>73</v>
      </c>
    </row>
    <row r="222" spans="1:10">
      <c r="A222" s="1" t="s">
        <v>70</v>
      </c>
      <c r="B222" s="1" t="s">
        <v>71</v>
      </c>
      <c r="C222" s="1" t="s">
        <v>73</v>
      </c>
      <c r="D222" s="1" t="s">
        <v>72</v>
      </c>
      <c r="E222" s="1" t="s">
        <v>357</v>
      </c>
      <c r="F222" s="1" t="s">
        <v>347</v>
      </c>
      <c r="G222" s="1" t="s">
        <v>334</v>
      </c>
      <c r="H222" s="1">
        <v>2012</v>
      </c>
      <c r="I222" s="34">
        <v>5.6219999999999999</v>
      </c>
      <c r="J222" s="1" t="s">
        <v>73</v>
      </c>
    </row>
    <row r="223" spans="1:10">
      <c r="A223" s="1" t="s">
        <v>70</v>
      </c>
      <c r="B223" s="1" t="s">
        <v>71</v>
      </c>
      <c r="C223" s="1" t="s">
        <v>73</v>
      </c>
      <c r="D223" s="1" t="s">
        <v>72</v>
      </c>
      <c r="E223" s="1" t="s">
        <v>357</v>
      </c>
      <c r="F223" s="1" t="s">
        <v>347</v>
      </c>
      <c r="G223" s="1" t="s">
        <v>334</v>
      </c>
      <c r="H223" s="1">
        <v>2013</v>
      </c>
      <c r="I223" s="34">
        <v>5.5149999999999997</v>
      </c>
      <c r="J223" s="1" t="s">
        <v>73</v>
      </c>
    </row>
    <row r="224" spans="1:10">
      <c r="A224" s="1" t="s">
        <v>70</v>
      </c>
      <c r="B224" s="1" t="s">
        <v>71</v>
      </c>
      <c r="C224" s="1" t="s">
        <v>73</v>
      </c>
      <c r="D224" s="1" t="s">
        <v>72</v>
      </c>
      <c r="E224" s="1" t="s">
        <v>357</v>
      </c>
      <c r="F224" s="1" t="s">
        <v>347</v>
      </c>
      <c r="G224" s="1" t="s">
        <v>334</v>
      </c>
      <c r="H224" s="1">
        <v>2014</v>
      </c>
      <c r="I224" s="34">
        <v>5.5049999999999999</v>
      </c>
      <c r="J224" s="1" t="s">
        <v>73</v>
      </c>
    </row>
    <row r="225" spans="1:10">
      <c r="A225" s="1" t="s">
        <v>70</v>
      </c>
      <c r="B225" s="1" t="s">
        <v>71</v>
      </c>
      <c r="C225" s="1" t="s">
        <v>73</v>
      </c>
      <c r="D225" s="1" t="s">
        <v>72</v>
      </c>
      <c r="E225" s="1" t="s">
        <v>357</v>
      </c>
      <c r="F225" s="1" t="s">
        <v>347</v>
      </c>
      <c r="G225" s="1" t="s">
        <v>334</v>
      </c>
      <c r="H225" s="1">
        <v>2015</v>
      </c>
      <c r="I225" s="34">
        <v>5.601</v>
      </c>
      <c r="J225" s="1" t="s">
        <v>73</v>
      </c>
    </row>
    <row r="226" spans="1:10">
      <c r="A226" s="1" t="s">
        <v>70</v>
      </c>
      <c r="B226" s="1" t="s">
        <v>71</v>
      </c>
      <c r="C226" s="1" t="s">
        <v>73</v>
      </c>
      <c r="D226" s="1" t="s">
        <v>72</v>
      </c>
      <c r="E226" s="1" t="s">
        <v>357</v>
      </c>
      <c r="F226" s="1" t="s">
        <v>347</v>
      </c>
      <c r="G226" s="1" t="s">
        <v>334</v>
      </c>
      <c r="H226" s="1">
        <v>2016</v>
      </c>
      <c r="I226" s="34">
        <v>5.3810000000000002</v>
      </c>
      <c r="J226" s="1" t="s">
        <v>73</v>
      </c>
    </row>
    <row r="227" spans="1:10">
      <c r="A227" s="1" t="s">
        <v>70</v>
      </c>
      <c r="B227" s="1" t="s">
        <v>71</v>
      </c>
      <c r="C227" s="1" t="s">
        <v>73</v>
      </c>
      <c r="D227" s="1" t="s">
        <v>72</v>
      </c>
      <c r="E227" s="1" t="s">
        <v>357</v>
      </c>
      <c r="F227" s="1" t="s">
        <v>347</v>
      </c>
      <c r="G227" s="1" t="s">
        <v>334</v>
      </c>
      <c r="H227" s="1">
        <v>2017</v>
      </c>
      <c r="I227" s="34">
        <v>5.26</v>
      </c>
      <c r="J227" s="1" t="s">
        <v>73</v>
      </c>
    </row>
    <row r="228" spans="1:10">
      <c r="A228" s="1" t="s">
        <v>70</v>
      </c>
      <c r="B228" s="1" t="s">
        <v>71</v>
      </c>
      <c r="C228" s="1" t="s">
        <v>73</v>
      </c>
      <c r="D228" s="1" t="s">
        <v>72</v>
      </c>
      <c r="E228" s="1" t="s">
        <v>357</v>
      </c>
      <c r="F228" s="1" t="s">
        <v>347</v>
      </c>
      <c r="G228" s="1" t="s">
        <v>334</v>
      </c>
      <c r="H228" s="1">
        <v>2018</v>
      </c>
      <c r="I228" s="34">
        <f>3.878+1.312</f>
        <v>5.19</v>
      </c>
      <c r="J228" s="1" t="s">
        <v>73</v>
      </c>
    </row>
    <row r="229" spans="1:10">
      <c r="A229" s="1" t="s">
        <v>70</v>
      </c>
      <c r="B229" s="1" t="s">
        <v>71</v>
      </c>
      <c r="C229" s="1" t="s">
        <v>73</v>
      </c>
      <c r="D229" s="1" t="s">
        <v>72</v>
      </c>
      <c r="E229" s="1" t="s">
        <v>359</v>
      </c>
      <c r="F229" s="1" t="s">
        <v>347</v>
      </c>
      <c r="G229" s="1" t="s">
        <v>334</v>
      </c>
      <c r="H229" s="1">
        <v>2011</v>
      </c>
      <c r="I229" s="34">
        <v>9.027000000000001</v>
      </c>
      <c r="J229" s="1" t="s">
        <v>73</v>
      </c>
    </row>
    <row r="230" spans="1:10">
      <c r="A230" s="1" t="s">
        <v>70</v>
      </c>
      <c r="B230" s="1" t="s">
        <v>71</v>
      </c>
      <c r="C230" s="1" t="s">
        <v>73</v>
      </c>
      <c r="D230" s="1" t="s">
        <v>72</v>
      </c>
      <c r="E230" s="1" t="s">
        <v>359</v>
      </c>
      <c r="F230" s="1" t="s">
        <v>347</v>
      </c>
      <c r="G230" s="1" t="s">
        <v>334</v>
      </c>
      <c r="H230" s="1">
        <v>2012</v>
      </c>
      <c r="I230" s="34">
        <v>8.673</v>
      </c>
      <c r="J230" s="1" t="s">
        <v>73</v>
      </c>
    </row>
    <row r="231" spans="1:10">
      <c r="A231" s="1" t="s">
        <v>70</v>
      </c>
      <c r="B231" s="1" t="s">
        <v>71</v>
      </c>
      <c r="C231" s="1" t="s">
        <v>73</v>
      </c>
      <c r="D231" s="1" t="s">
        <v>72</v>
      </c>
      <c r="E231" s="1" t="s">
        <v>359</v>
      </c>
      <c r="F231" s="1" t="s">
        <v>347</v>
      </c>
      <c r="G231" s="1" t="s">
        <v>334</v>
      </c>
      <c r="H231" s="1">
        <v>2013</v>
      </c>
      <c r="I231" s="34">
        <v>8.9359999999999999</v>
      </c>
      <c r="J231" s="1" t="s">
        <v>73</v>
      </c>
    </row>
    <row r="232" spans="1:10">
      <c r="A232" s="1" t="s">
        <v>70</v>
      </c>
      <c r="B232" s="1" t="s">
        <v>71</v>
      </c>
      <c r="C232" s="1" t="s">
        <v>73</v>
      </c>
      <c r="D232" s="1" t="s">
        <v>72</v>
      </c>
      <c r="E232" s="1" t="s">
        <v>359</v>
      </c>
      <c r="F232" s="1" t="s">
        <v>347</v>
      </c>
      <c r="G232" s="1" t="s">
        <v>334</v>
      </c>
      <c r="H232" s="1">
        <v>2014</v>
      </c>
      <c r="I232" s="34">
        <v>9.1589999999999989</v>
      </c>
      <c r="J232" s="1" t="s">
        <v>73</v>
      </c>
    </row>
    <row r="233" spans="1:10">
      <c r="A233" s="1" t="s">
        <v>70</v>
      </c>
      <c r="B233" s="1" t="s">
        <v>71</v>
      </c>
      <c r="C233" s="1" t="s">
        <v>73</v>
      </c>
      <c r="D233" s="1" t="s">
        <v>72</v>
      </c>
      <c r="E233" s="1" t="s">
        <v>359</v>
      </c>
      <c r="F233" s="1" t="s">
        <v>347</v>
      </c>
      <c r="G233" s="1" t="s">
        <v>334</v>
      </c>
      <c r="H233" s="1">
        <v>2015</v>
      </c>
      <c r="I233" s="34">
        <v>9.3260000000000005</v>
      </c>
      <c r="J233" s="1" t="s">
        <v>73</v>
      </c>
    </row>
    <row r="234" spans="1:10">
      <c r="A234" s="1" t="s">
        <v>70</v>
      </c>
      <c r="B234" s="1" t="s">
        <v>71</v>
      </c>
      <c r="C234" s="1" t="s">
        <v>73</v>
      </c>
      <c r="D234" s="1" t="s">
        <v>72</v>
      </c>
      <c r="E234" s="1" t="s">
        <v>359</v>
      </c>
      <c r="F234" s="1" t="s">
        <v>347</v>
      </c>
      <c r="G234" s="1" t="s">
        <v>334</v>
      </c>
      <c r="H234" s="1">
        <v>2016</v>
      </c>
      <c r="I234" s="34">
        <v>9.2460000000000004</v>
      </c>
      <c r="J234" s="1" t="s">
        <v>73</v>
      </c>
    </row>
    <row r="235" spans="1:10">
      <c r="A235" s="1" t="s">
        <v>70</v>
      </c>
      <c r="B235" s="1" t="s">
        <v>71</v>
      </c>
      <c r="C235" s="1" t="s">
        <v>73</v>
      </c>
      <c r="D235" s="1" t="s">
        <v>72</v>
      </c>
      <c r="E235" s="1" t="s">
        <v>359</v>
      </c>
      <c r="F235" s="1" t="s">
        <v>347</v>
      </c>
      <c r="G235" s="1" t="s">
        <v>334</v>
      </c>
      <c r="H235" s="1">
        <v>2017</v>
      </c>
      <c r="I235" s="34">
        <v>8.3640000000000008</v>
      </c>
      <c r="J235" s="1" t="s">
        <v>73</v>
      </c>
    </row>
    <row r="236" spans="1:10">
      <c r="A236" s="1" t="s">
        <v>70</v>
      </c>
      <c r="B236" s="1" t="s">
        <v>71</v>
      </c>
      <c r="C236" s="1" t="s">
        <v>73</v>
      </c>
      <c r="D236" s="1" t="s">
        <v>72</v>
      </c>
      <c r="E236" s="1" t="s">
        <v>359</v>
      </c>
      <c r="F236" s="1" t="s">
        <v>347</v>
      </c>
      <c r="G236" s="1" t="s">
        <v>334</v>
      </c>
      <c r="H236" s="1">
        <v>2018</v>
      </c>
      <c r="I236" s="34">
        <v>8.2149999999999999</v>
      </c>
      <c r="J236" s="1" t="s">
        <v>73</v>
      </c>
    </row>
    <row r="237" spans="1:10">
      <c r="A237" s="1" t="s">
        <v>70</v>
      </c>
      <c r="B237" s="1" t="s">
        <v>71</v>
      </c>
      <c r="C237" s="1" t="s">
        <v>73</v>
      </c>
      <c r="D237" s="1" t="s">
        <v>72</v>
      </c>
      <c r="E237" s="1" t="s">
        <v>357</v>
      </c>
      <c r="F237" s="1" t="s">
        <v>213</v>
      </c>
      <c r="G237" s="1" t="s">
        <v>328</v>
      </c>
      <c r="H237" s="1">
        <v>2017</v>
      </c>
      <c r="I237" s="34">
        <f>J237/365</f>
        <v>1.8493652054794518</v>
      </c>
      <c r="J237" s="1">
        <f>675.0183</f>
        <v>675.01829999999995</v>
      </c>
    </row>
    <row r="238" spans="1:10">
      <c r="A238" s="1" t="s">
        <v>70</v>
      </c>
      <c r="B238" s="1" t="s">
        <v>71</v>
      </c>
      <c r="C238" s="1" t="s">
        <v>73</v>
      </c>
      <c r="D238" s="1" t="s">
        <v>72</v>
      </c>
      <c r="E238" s="1" t="s">
        <v>357</v>
      </c>
      <c r="F238" s="1" t="s">
        <v>213</v>
      </c>
      <c r="G238" s="1" t="s">
        <v>329</v>
      </c>
      <c r="H238" s="1">
        <v>2017</v>
      </c>
      <c r="I238" s="34">
        <f t="shared" ref="I238:I301" si="2">J238/365</f>
        <v>0.38705024383561643</v>
      </c>
      <c r="J238" s="1">
        <v>141.27333899999999</v>
      </c>
    </row>
    <row r="239" spans="1:10">
      <c r="A239" s="1" t="s">
        <v>70</v>
      </c>
      <c r="B239" s="1" t="s">
        <v>71</v>
      </c>
      <c r="C239" s="1" t="s">
        <v>73</v>
      </c>
      <c r="D239" s="1" t="s">
        <v>72</v>
      </c>
      <c r="E239" s="1" t="s">
        <v>357</v>
      </c>
      <c r="F239" s="1" t="s">
        <v>213</v>
      </c>
      <c r="G239" s="1" t="s">
        <v>330</v>
      </c>
      <c r="H239" s="1">
        <v>2017</v>
      </c>
      <c r="I239" s="34">
        <f t="shared" si="2"/>
        <v>2.2925126027397259E-2</v>
      </c>
      <c r="J239" s="1">
        <v>8.3676709999999996</v>
      </c>
    </row>
    <row r="240" spans="1:10">
      <c r="A240" s="1" t="s">
        <v>70</v>
      </c>
      <c r="B240" s="1" t="s">
        <v>71</v>
      </c>
      <c r="C240" s="1" t="s">
        <v>73</v>
      </c>
      <c r="D240" s="1" t="s">
        <v>72</v>
      </c>
      <c r="E240" s="1" t="s">
        <v>357</v>
      </c>
      <c r="F240" s="1" t="s">
        <v>213</v>
      </c>
      <c r="G240" s="1" t="s">
        <v>331</v>
      </c>
      <c r="H240" s="1">
        <v>2017</v>
      </c>
      <c r="I240" s="34">
        <f t="shared" si="2"/>
        <v>0.18572171506849317</v>
      </c>
      <c r="J240" s="1">
        <v>67.788426000000001</v>
      </c>
    </row>
    <row r="241" spans="1:10">
      <c r="A241" s="1" t="s">
        <v>70</v>
      </c>
      <c r="B241" s="1" t="s">
        <v>71</v>
      </c>
      <c r="C241" s="1" t="s">
        <v>73</v>
      </c>
      <c r="D241" s="1" t="s">
        <v>72</v>
      </c>
      <c r="E241" s="1" t="s">
        <v>357</v>
      </c>
      <c r="F241" s="1" t="s">
        <v>213</v>
      </c>
      <c r="G241" s="1" t="s">
        <v>367</v>
      </c>
      <c r="H241" s="1">
        <v>2017</v>
      </c>
      <c r="I241" s="34">
        <f t="shared" si="2"/>
        <v>0</v>
      </c>
      <c r="J241" s="1">
        <v>0</v>
      </c>
    </row>
    <row r="242" spans="1:10">
      <c r="A242" s="1" t="s">
        <v>70</v>
      </c>
      <c r="B242" s="1" t="s">
        <v>71</v>
      </c>
      <c r="C242" s="1" t="s">
        <v>73</v>
      </c>
      <c r="D242" s="1" t="s">
        <v>72</v>
      </c>
      <c r="E242" s="1" t="s">
        <v>357</v>
      </c>
      <c r="F242" s="1" t="s">
        <v>213</v>
      </c>
      <c r="G242" s="1" t="s">
        <v>334</v>
      </c>
      <c r="H242" s="1">
        <v>2017</v>
      </c>
      <c r="I242" s="34">
        <f t="shared" si="2"/>
        <v>2.4450622904109589</v>
      </c>
      <c r="J242" s="1">
        <v>892.44773599999996</v>
      </c>
    </row>
    <row r="243" spans="1:10">
      <c r="A243" s="1" t="s">
        <v>70</v>
      </c>
      <c r="B243" s="1" t="s">
        <v>71</v>
      </c>
      <c r="C243" s="1" t="s">
        <v>73</v>
      </c>
      <c r="D243" s="1" t="s">
        <v>72</v>
      </c>
      <c r="E243" s="1" t="s">
        <v>357</v>
      </c>
      <c r="F243" s="1" t="s">
        <v>216</v>
      </c>
      <c r="G243" s="1" t="s">
        <v>328</v>
      </c>
      <c r="H243" s="1">
        <v>2017</v>
      </c>
      <c r="I243" s="34">
        <f t="shared" si="2"/>
        <v>0.24829395068493149</v>
      </c>
      <c r="J243" s="1">
        <v>90.627291999999997</v>
      </c>
    </row>
    <row r="244" spans="1:10">
      <c r="A244" s="1" t="s">
        <v>70</v>
      </c>
      <c r="B244" s="1" t="s">
        <v>71</v>
      </c>
      <c r="C244" s="1" t="s">
        <v>73</v>
      </c>
      <c r="D244" s="1" t="s">
        <v>72</v>
      </c>
      <c r="E244" s="1" t="s">
        <v>357</v>
      </c>
      <c r="F244" s="1" t="s">
        <v>216</v>
      </c>
      <c r="G244" s="1" t="s">
        <v>329</v>
      </c>
      <c r="H244" s="1">
        <v>2017</v>
      </c>
      <c r="I244" s="34">
        <f t="shared" si="2"/>
        <v>0.26766038082191779</v>
      </c>
      <c r="J244" s="1">
        <v>97.696038999999999</v>
      </c>
    </row>
    <row r="245" spans="1:10">
      <c r="A245" s="1" t="s">
        <v>70</v>
      </c>
      <c r="B245" s="1" t="s">
        <v>71</v>
      </c>
      <c r="C245" s="1" t="s">
        <v>73</v>
      </c>
      <c r="D245" s="1" t="s">
        <v>72</v>
      </c>
      <c r="E245" s="1" t="s">
        <v>357</v>
      </c>
      <c r="F245" s="1" t="s">
        <v>216</v>
      </c>
      <c r="G245" s="1" t="s">
        <v>330</v>
      </c>
      <c r="H245" s="1">
        <v>2017</v>
      </c>
      <c r="I245" s="34">
        <f t="shared" si="2"/>
        <v>8.2547290410958901E-2</v>
      </c>
      <c r="J245" s="1">
        <v>30.129760999999998</v>
      </c>
    </row>
    <row r="246" spans="1:10">
      <c r="A246" s="1" t="s">
        <v>70</v>
      </c>
      <c r="B246" s="1" t="s">
        <v>71</v>
      </c>
      <c r="C246" s="1" t="s">
        <v>73</v>
      </c>
      <c r="D246" s="1" t="s">
        <v>72</v>
      </c>
      <c r="E246" s="1" t="s">
        <v>357</v>
      </c>
      <c r="F246" s="1" t="s">
        <v>216</v>
      </c>
      <c r="G246" s="1" t="s">
        <v>331</v>
      </c>
      <c r="H246" s="1">
        <v>2017</v>
      </c>
      <c r="I246" s="34">
        <f t="shared" si="2"/>
        <v>3.8324112328767125E-2</v>
      </c>
      <c r="J246" s="1">
        <v>13.988301</v>
      </c>
    </row>
    <row r="247" spans="1:10">
      <c r="A247" s="1" t="s">
        <v>70</v>
      </c>
      <c r="B247" s="1" t="s">
        <v>71</v>
      </c>
      <c r="C247" s="1" t="s">
        <v>73</v>
      </c>
      <c r="D247" s="1" t="s">
        <v>72</v>
      </c>
      <c r="E247" s="1" t="s">
        <v>357</v>
      </c>
      <c r="F247" s="1" t="s">
        <v>216</v>
      </c>
      <c r="G247" s="1" t="s">
        <v>367</v>
      </c>
      <c r="H247" s="1">
        <v>2017</v>
      </c>
      <c r="I247" s="34">
        <f t="shared" si="2"/>
        <v>0</v>
      </c>
      <c r="J247" s="1">
        <v>0</v>
      </c>
    </row>
    <row r="248" spans="1:10">
      <c r="A248" s="1" t="s">
        <v>70</v>
      </c>
      <c r="B248" s="1" t="s">
        <v>71</v>
      </c>
      <c r="C248" s="1" t="s">
        <v>73</v>
      </c>
      <c r="D248" s="1" t="s">
        <v>72</v>
      </c>
      <c r="E248" s="1" t="s">
        <v>357</v>
      </c>
      <c r="F248" s="1" t="s">
        <v>216</v>
      </c>
      <c r="G248" s="1" t="s">
        <v>334</v>
      </c>
      <c r="H248" s="1">
        <v>2017</v>
      </c>
      <c r="I248" s="34">
        <f t="shared" si="2"/>
        <v>0.6368257342465754</v>
      </c>
      <c r="J248" s="1">
        <v>232.44139300000001</v>
      </c>
    </row>
    <row r="249" spans="1:10">
      <c r="A249" s="1" t="s">
        <v>70</v>
      </c>
      <c r="B249" s="1" t="s">
        <v>71</v>
      </c>
      <c r="C249" s="1" t="s">
        <v>73</v>
      </c>
      <c r="D249" s="1" t="s">
        <v>72</v>
      </c>
      <c r="E249" s="1" t="s">
        <v>357</v>
      </c>
      <c r="F249" s="1" t="s">
        <v>218</v>
      </c>
      <c r="G249" s="1" t="s">
        <v>328</v>
      </c>
      <c r="H249" s="1">
        <v>2017</v>
      </c>
      <c r="I249" s="34">
        <f t="shared" si="2"/>
        <v>0.14881182465753426</v>
      </c>
      <c r="J249" s="1">
        <v>54.316316</v>
      </c>
    </row>
    <row r="250" spans="1:10">
      <c r="A250" s="1" t="s">
        <v>70</v>
      </c>
      <c r="B250" s="1" t="s">
        <v>71</v>
      </c>
      <c r="C250" s="1" t="s">
        <v>73</v>
      </c>
      <c r="D250" s="1" t="s">
        <v>72</v>
      </c>
      <c r="E250" s="1" t="s">
        <v>357</v>
      </c>
      <c r="F250" s="1" t="s">
        <v>218</v>
      </c>
      <c r="G250" s="1" t="s">
        <v>329</v>
      </c>
      <c r="H250" s="1">
        <v>2017</v>
      </c>
      <c r="I250" s="34">
        <f t="shared" si="2"/>
        <v>0.13383942739726026</v>
      </c>
      <c r="J250" s="1">
        <v>48.851391</v>
      </c>
    </row>
    <row r="251" spans="1:10">
      <c r="A251" s="1" t="s">
        <v>70</v>
      </c>
      <c r="B251" s="1" t="s">
        <v>71</v>
      </c>
      <c r="C251" s="1" t="s">
        <v>73</v>
      </c>
      <c r="D251" s="1" t="s">
        <v>72</v>
      </c>
      <c r="E251" s="1" t="s">
        <v>357</v>
      </c>
      <c r="F251" s="1" t="s">
        <v>218</v>
      </c>
      <c r="G251" s="1" t="s">
        <v>330</v>
      </c>
      <c r="H251" s="1">
        <v>2017</v>
      </c>
      <c r="I251" s="34">
        <f t="shared" si="2"/>
        <v>3.1563556164383562E-2</v>
      </c>
      <c r="J251" s="1">
        <v>11.520697999999999</v>
      </c>
    </row>
    <row r="252" spans="1:10">
      <c r="A252" s="1" t="s">
        <v>70</v>
      </c>
      <c r="B252" s="1" t="s">
        <v>71</v>
      </c>
      <c r="C252" s="1" t="s">
        <v>73</v>
      </c>
      <c r="D252" s="1" t="s">
        <v>72</v>
      </c>
      <c r="E252" s="1" t="s">
        <v>357</v>
      </c>
      <c r="F252" s="1" t="s">
        <v>218</v>
      </c>
      <c r="G252" s="1" t="s">
        <v>331</v>
      </c>
      <c r="H252" s="1">
        <v>2017</v>
      </c>
      <c r="I252" s="34">
        <f t="shared" si="2"/>
        <v>4.633866849315068E-2</v>
      </c>
      <c r="J252" s="1">
        <v>16.913613999999999</v>
      </c>
    </row>
    <row r="253" spans="1:10">
      <c r="A253" s="1" t="s">
        <v>70</v>
      </c>
      <c r="B253" s="1" t="s">
        <v>71</v>
      </c>
      <c r="C253" s="1" t="s">
        <v>73</v>
      </c>
      <c r="D253" s="1" t="s">
        <v>72</v>
      </c>
      <c r="E253" s="1" t="s">
        <v>357</v>
      </c>
      <c r="F253" s="1" t="s">
        <v>218</v>
      </c>
      <c r="G253" s="1" t="s">
        <v>367</v>
      </c>
      <c r="H253" s="1">
        <v>2017</v>
      </c>
      <c r="I253" s="34">
        <f t="shared" si="2"/>
        <v>0</v>
      </c>
      <c r="J253" s="1">
        <v>0</v>
      </c>
    </row>
    <row r="254" spans="1:10">
      <c r="A254" s="1" t="s">
        <v>70</v>
      </c>
      <c r="B254" s="1" t="s">
        <v>71</v>
      </c>
      <c r="C254" s="1" t="s">
        <v>73</v>
      </c>
      <c r="D254" s="1" t="s">
        <v>72</v>
      </c>
      <c r="E254" s="1" t="s">
        <v>357</v>
      </c>
      <c r="F254" s="1" t="s">
        <v>218</v>
      </c>
      <c r="G254" s="1" t="s">
        <v>334</v>
      </c>
      <c r="H254" s="1">
        <v>2017</v>
      </c>
      <c r="I254" s="34">
        <f t="shared" si="2"/>
        <v>0.36055347671232879</v>
      </c>
      <c r="J254" s="1">
        <v>131.60201900000001</v>
      </c>
    </row>
    <row r="255" spans="1:10">
      <c r="A255" s="1" t="s">
        <v>70</v>
      </c>
      <c r="B255" s="1" t="s">
        <v>71</v>
      </c>
      <c r="C255" s="1" t="s">
        <v>73</v>
      </c>
      <c r="D255" s="1" t="s">
        <v>72</v>
      </c>
      <c r="E255" s="1" t="s">
        <v>357</v>
      </c>
      <c r="F255" s="1" t="s">
        <v>219</v>
      </c>
      <c r="G255" s="1" t="s">
        <v>328</v>
      </c>
      <c r="H255" s="1">
        <v>2017</v>
      </c>
      <c r="I255" s="34">
        <f t="shared" si="2"/>
        <v>5.309834794520548E-2</v>
      </c>
      <c r="J255" s="1">
        <v>19.380897000000001</v>
      </c>
    </row>
    <row r="256" spans="1:10">
      <c r="A256" s="1" t="s">
        <v>70</v>
      </c>
      <c r="B256" s="1" t="s">
        <v>71</v>
      </c>
      <c r="C256" s="1" t="s">
        <v>73</v>
      </c>
      <c r="D256" s="1" t="s">
        <v>72</v>
      </c>
      <c r="E256" s="1" t="s">
        <v>357</v>
      </c>
      <c r="F256" s="1" t="s">
        <v>219</v>
      </c>
      <c r="G256" s="1" t="s">
        <v>329</v>
      </c>
      <c r="H256" s="1">
        <v>2017</v>
      </c>
      <c r="I256" s="34">
        <f t="shared" si="2"/>
        <v>2.2091835616438356E-3</v>
      </c>
      <c r="J256" s="1">
        <v>0.80635199999999996</v>
      </c>
    </row>
    <row r="257" spans="1:10">
      <c r="A257" s="1" t="s">
        <v>70</v>
      </c>
      <c r="B257" s="1" t="s">
        <v>71</v>
      </c>
      <c r="C257" s="1" t="s">
        <v>73</v>
      </c>
      <c r="D257" s="1" t="s">
        <v>72</v>
      </c>
      <c r="E257" s="1" t="s">
        <v>357</v>
      </c>
      <c r="F257" s="1" t="s">
        <v>219</v>
      </c>
      <c r="G257" s="1" t="s">
        <v>330</v>
      </c>
      <c r="H257" s="1">
        <v>2017</v>
      </c>
      <c r="I257" s="34">
        <f t="shared" si="2"/>
        <v>8.8536438356164385E-4</v>
      </c>
      <c r="J257" s="1">
        <v>0.323158</v>
      </c>
    </row>
    <row r="258" spans="1:10">
      <c r="A258" s="1" t="s">
        <v>70</v>
      </c>
      <c r="B258" s="1" t="s">
        <v>71</v>
      </c>
      <c r="C258" s="1" t="s">
        <v>73</v>
      </c>
      <c r="D258" s="1" t="s">
        <v>72</v>
      </c>
      <c r="E258" s="1" t="s">
        <v>357</v>
      </c>
      <c r="F258" s="1" t="s">
        <v>219</v>
      </c>
      <c r="G258" s="1" t="s">
        <v>331</v>
      </c>
      <c r="H258" s="1">
        <v>2017</v>
      </c>
      <c r="I258" s="34">
        <f t="shared" si="2"/>
        <v>0</v>
      </c>
      <c r="J258" s="1">
        <v>0</v>
      </c>
    </row>
    <row r="259" spans="1:10">
      <c r="A259" s="1" t="s">
        <v>70</v>
      </c>
      <c r="B259" s="1" t="s">
        <v>71</v>
      </c>
      <c r="C259" s="1" t="s">
        <v>73</v>
      </c>
      <c r="D259" s="1" t="s">
        <v>72</v>
      </c>
      <c r="E259" s="1" t="s">
        <v>357</v>
      </c>
      <c r="F259" s="1" t="s">
        <v>219</v>
      </c>
      <c r="G259" s="1" t="s">
        <v>367</v>
      </c>
      <c r="H259" s="1">
        <v>2017</v>
      </c>
      <c r="I259" s="34">
        <f t="shared" si="2"/>
        <v>0</v>
      </c>
      <c r="J259" s="1">
        <v>0</v>
      </c>
    </row>
    <row r="260" spans="1:10">
      <c r="A260" s="1" t="s">
        <v>70</v>
      </c>
      <c r="B260" s="1" t="s">
        <v>71</v>
      </c>
      <c r="C260" s="1" t="s">
        <v>73</v>
      </c>
      <c r="D260" s="1" t="s">
        <v>72</v>
      </c>
      <c r="E260" s="1" t="s">
        <v>357</v>
      </c>
      <c r="F260" s="1" t="s">
        <v>219</v>
      </c>
      <c r="G260" s="1" t="s">
        <v>334</v>
      </c>
      <c r="H260" s="1">
        <v>2017</v>
      </c>
      <c r="I260" s="34">
        <f t="shared" si="2"/>
        <v>5.6181936986301369E-2</v>
      </c>
      <c r="J260" s="1">
        <v>20.506406999999999</v>
      </c>
    </row>
    <row r="261" spans="1:10">
      <c r="A261" s="1" t="s">
        <v>70</v>
      </c>
      <c r="B261" s="1" t="s">
        <v>71</v>
      </c>
      <c r="C261" s="1" t="s">
        <v>73</v>
      </c>
      <c r="D261" s="1" t="s">
        <v>72</v>
      </c>
      <c r="E261" s="1" t="s">
        <v>357</v>
      </c>
      <c r="F261" s="1" t="s">
        <v>220</v>
      </c>
      <c r="G261" s="1" t="s">
        <v>328</v>
      </c>
      <c r="H261" s="1">
        <v>2017</v>
      </c>
      <c r="I261" s="34">
        <f t="shared" si="2"/>
        <v>8.9508375342465765E-2</v>
      </c>
      <c r="J261" s="1">
        <v>32.670557000000002</v>
      </c>
    </row>
    <row r="262" spans="1:10">
      <c r="A262" s="1" t="s">
        <v>70</v>
      </c>
      <c r="B262" s="1" t="s">
        <v>71</v>
      </c>
      <c r="C262" s="1" t="s">
        <v>73</v>
      </c>
      <c r="D262" s="1" t="s">
        <v>72</v>
      </c>
      <c r="E262" s="1" t="s">
        <v>357</v>
      </c>
      <c r="F262" s="1" t="s">
        <v>220</v>
      </c>
      <c r="G262" s="1" t="s">
        <v>329</v>
      </c>
      <c r="H262" s="1">
        <v>2017</v>
      </c>
      <c r="I262" s="34">
        <f t="shared" si="2"/>
        <v>0.11261263287671233</v>
      </c>
      <c r="J262" s="1">
        <v>41.103611000000001</v>
      </c>
    </row>
    <row r="263" spans="1:10">
      <c r="A263" s="1" t="s">
        <v>70</v>
      </c>
      <c r="B263" s="1" t="s">
        <v>71</v>
      </c>
      <c r="C263" s="1" t="s">
        <v>73</v>
      </c>
      <c r="D263" s="1" t="s">
        <v>72</v>
      </c>
      <c r="E263" s="1" t="s">
        <v>357</v>
      </c>
      <c r="F263" s="1" t="s">
        <v>220</v>
      </c>
      <c r="G263" s="1" t="s">
        <v>330</v>
      </c>
      <c r="H263" s="1">
        <v>2017</v>
      </c>
      <c r="I263" s="34">
        <f t="shared" si="2"/>
        <v>0.2274219890410959</v>
      </c>
      <c r="J263" s="1">
        <v>83.009026000000006</v>
      </c>
    </row>
    <row r="264" spans="1:10">
      <c r="A264" s="1" t="s">
        <v>70</v>
      </c>
      <c r="B264" s="1" t="s">
        <v>71</v>
      </c>
      <c r="C264" s="1" t="s">
        <v>73</v>
      </c>
      <c r="D264" s="1" t="s">
        <v>72</v>
      </c>
      <c r="E264" s="1" t="s">
        <v>357</v>
      </c>
      <c r="F264" s="1" t="s">
        <v>220</v>
      </c>
      <c r="G264" s="1" t="s">
        <v>331</v>
      </c>
      <c r="H264" s="1">
        <v>2017</v>
      </c>
      <c r="I264" s="34">
        <f t="shared" si="2"/>
        <v>1.5915698630136986E-3</v>
      </c>
      <c r="J264" s="1">
        <v>0.58092299999999997</v>
      </c>
    </row>
    <row r="265" spans="1:10">
      <c r="A265" s="1" t="s">
        <v>70</v>
      </c>
      <c r="B265" s="1" t="s">
        <v>71</v>
      </c>
      <c r="C265" s="1" t="s">
        <v>73</v>
      </c>
      <c r="D265" s="1" t="s">
        <v>72</v>
      </c>
      <c r="E265" s="1" t="s">
        <v>357</v>
      </c>
      <c r="F265" s="1" t="s">
        <v>220</v>
      </c>
      <c r="G265" s="1" t="s">
        <v>367</v>
      </c>
      <c r="H265" s="1">
        <v>2017</v>
      </c>
      <c r="I265" s="34">
        <f t="shared" si="2"/>
        <v>0</v>
      </c>
      <c r="J265" s="1">
        <v>0</v>
      </c>
    </row>
    <row r="266" spans="1:10">
      <c r="A266" s="1" t="s">
        <v>70</v>
      </c>
      <c r="B266" s="1" t="s">
        <v>71</v>
      </c>
      <c r="C266" s="1" t="s">
        <v>73</v>
      </c>
      <c r="D266" s="1" t="s">
        <v>72</v>
      </c>
      <c r="E266" s="1" t="s">
        <v>357</v>
      </c>
      <c r="F266" s="1" t="s">
        <v>220</v>
      </c>
      <c r="G266" s="1" t="s">
        <v>334</v>
      </c>
      <c r="H266" s="1">
        <v>2017</v>
      </c>
      <c r="I266" s="34">
        <f t="shared" si="2"/>
        <v>0.43113456712328763</v>
      </c>
      <c r="J266" s="1">
        <v>157.36411699999999</v>
      </c>
    </row>
    <row r="267" spans="1:10">
      <c r="A267" s="1" t="s">
        <v>70</v>
      </c>
      <c r="B267" s="1" t="s">
        <v>71</v>
      </c>
      <c r="C267" s="1" t="s">
        <v>73</v>
      </c>
      <c r="D267" s="1" t="s">
        <v>72</v>
      </c>
      <c r="E267" s="1" t="s">
        <v>357</v>
      </c>
      <c r="F267" s="1" t="s">
        <v>212</v>
      </c>
      <c r="G267" s="1" t="s">
        <v>328</v>
      </c>
      <c r="H267" s="1">
        <v>2017</v>
      </c>
      <c r="I267" s="34">
        <f t="shared" si="2"/>
        <v>0</v>
      </c>
      <c r="J267" s="1">
        <v>0</v>
      </c>
    </row>
    <row r="268" spans="1:10">
      <c r="A268" s="1" t="s">
        <v>70</v>
      </c>
      <c r="B268" s="1" t="s">
        <v>71</v>
      </c>
      <c r="C268" s="1" t="s">
        <v>73</v>
      </c>
      <c r="D268" s="1" t="s">
        <v>72</v>
      </c>
      <c r="E268" s="1" t="s">
        <v>357</v>
      </c>
      <c r="F268" s="1" t="s">
        <v>212</v>
      </c>
      <c r="G268" s="1" t="s">
        <v>329</v>
      </c>
      <c r="H268" s="1">
        <v>2017</v>
      </c>
      <c r="I268" s="34">
        <f t="shared" si="2"/>
        <v>7.3288465753424655E-3</v>
      </c>
      <c r="J268" s="1">
        <v>2.6750289999999999</v>
      </c>
    </row>
    <row r="269" spans="1:10">
      <c r="A269" s="1" t="s">
        <v>70</v>
      </c>
      <c r="B269" s="1" t="s">
        <v>71</v>
      </c>
      <c r="C269" s="1" t="s">
        <v>73</v>
      </c>
      <c r="D269" s="1" t="s">
        <v>72</v>
      </c>
      <c r="E269" s="1" t="s">
        <v>357</v>
      </c>
      <c r="F269" s="1" t="s">
        <v>212</v>
      </c>
      <c r="G269" s="1" t="s">
        <v>330</v>
      </c>
      <c r="H269" s="1">
        <v>2017</v>
      </c>
      <c r="I269" s="34">
        <f t="shared" si="2"/>
        <v>2.1867643835616437E-3</v>
      </c>
      <c r="J269" s="1">
        <v>0.79816900000000002</v>
      </c>
    </row>
    <row r="270" spans="1:10">
      <c r="A270" s="1" t="s">
        <v>70</v>
      </c>
      <c r="B270" s="1" t="s">
        <v>71</v>
      </c>
      <c r="C270" s="1" t="s">
        <v>73</v>
      </c>
      <c r="D270" s="1" t="s">
        <v>72</v>
      </c>
      <c r="E270" s="1" t="s">
        <v>357</v>
      </c>
      <c r="F270" s="1" t="s">
        <v>212</v>
      </c>
      <c r="G270" s="1" t="s">
        <v>331</v>
      </c>
      <c r="H270" s="1">
        <v>2017</v>
      </c>
      <c r="I270" s="34">
        <f t="shared" si="2"/>
        <v>0</v>
      </c>
      <c r="J270" s="1">
        <v>0</v>
      </c>
    </row>
    <row r="271" spans="1:10">
      <c r="A271" s="1" t="s">
        <v>70</v>
      </c>
      <c r="B271" s="1" t="s">
        <v>71</v>
      </c>
      <c r="C271" s="1" t="s">
        <v>73</v>
      </c>
      <c r="D271" s="1" t="s">
        <v>72</v>
      </c>
      <c r="E271" s="1" t="s">
        <v>357</v>
      </c>
      <c r="F271" s="1" t="s">
        <v>212</v>
      </c>
      <c r="G271" s="1" t="s">
        <v>367</v>
      </c>
      <c r="H271" s="1">
        <v>2017</v>
      </c>
      <c r="I271" s="34">
        <f t="shared" si="2"/>
        <v>0.15855589041095891</v>
      </c>
      <c r="J271" s="1">
        <v>57.872900000000001</v>
      </c>
    </row>
    <row r="272" spans="1:10">
      <c r="A272" s="1" t="s">
        <v>70</v>
      </c>
      <c r="B272" s="1" t="s">
        <v>71</v>
      </c>
      <c r="C272" s="1" t="s">
        <v>73</v>
      </c>
      <c r="D272" s="1" t="s">
        <v>72</v>
      </c>
      <c r="E272" s="1" t="s">
        <v>357</v>
      </c>
      <c r="F272" s="1" t="s">
        <v>212</v>
      </c>
      <c r="G272" s="1" t="s">
        <v>334</v>
      </c>
      <c r="H272" s="1">
        <v>2017</v>
      </c>
      <c r="I272" s="34">
        <f t="shared" si="2"/>
        <v>0.16795122739726026</v>
      </c>
      <c r="J272" s="1">
        <v>61.302197999999997</v>
      </c>
    </row>
    <row r="273" spans="1:10">
      <c r="A273" s="1" t="s">
        <v>70</v>
      </c>
      <c r="B273" s="1" t="s">
        <v>71</v>
      </c>
      <c r="C273" s="1" t="s">
        <v>73</v>
      </c>
      <c r="D273" s="1" t="s">
        <v>72</v>
      </c>
      <c r="E273" s="1" t="s">
        <v>357</v>
      </c>
      <c r="F273" s="1" t="s">
        <v>221</v>
      </c>
      <c r="G273" s="1" t="s">
        <v>328</v>
      </c>
      <c r="H273" s="1">
        <v>2017</v>
      </c>
      <c r="I273" s="34">
        <f t="shared" si="2"/>
        <v>2.6790613698630138E-2</v>
      </c>
      <c r="J273" s="1">
        <v>9.7785740000000008</v>
      </c>
    </row>
    <row r="274" spans="1:10">
      <c r="A274" s="1" t="s">
        <v>70</v>
      </c>
      <c r="B274" s="1" t="s">
        <v>71</v>
      </c>
      <c r="C274" s="1" t="s">
        <v>73</v>
      </c>
      <c r="D274" s="1" t="s">
        <v>72</v>
      </c>
      <c r="E274" s="1" t="s">
        <v>357</v>
      </c>
      <c r="F274" s="1" t="s">
        <v>221</v>
      </c>
      <c r="G274" s="1" t="s">
        <v>329</v>
      </c>
      <c r="H274" s="1">
        <v>2017</v>
      </c>
      <c r="I274" s="34">
        <f t="shared" si="2"/>
        <v>1.6754876712328768E-3</v>
      </c>
      <c r="J274" s="1">
        <v>0.61155300000000001</v>
      </c>
    </row>
    <row r="275" spans="1:10">
      <c r="A275" s="1" t="s">
        <v>70</v>
      </c>
      <c r="B275" s="1" t="s">
        <v>71</v>
      </c>
      <c r="C275" s="1" t="s">
        <v>73</v>
      </c>
      <c r="D275" s="1" t="s">
        <v>72</v>
      </c>
      <c r="E275" s="1" t="s">
        <v>357</v>
      </c>
      <c r="F275" s="1" t="s">
        <v>221</v>
      </c>
      <c r="G275" s="1" t="s">
        <v>330</v>
      </c>
      <c r="H275" s="1">
        <v>2017</v>
      </c>
      <c r="I275" s="34">
        <f t="shared" si="2"/>
        <v>2.2273972602739727E-6</v>
      </c>
      <c r="J275" s="1">
        <f>813/1000000</f>
        <v>8.1300000000000003E-4</v>
      </c>
    </row>
    <row r="276" spans="1:10">
      <c r="A276" s="1" t="s">
        <v>70</v>
      </c>
      <c r="B276" s="1" t="s">
        <v>71</v>
      </c>
      <c r="C276" s="1" t="s">
        <v>73</v>
      </c>
      <c r="D276" s="1" t="s">
        <v>72</v>
      </c>
      <c r="E276" s="1" t="s">
        <v>357</v>
      </c>
      <c r="F276" s="1" t="s">
        <v>221</v>
      </c>
      <c r="G276" s="1" t="s">
        <v>331</v>
      </c>
      <c r="H276" s="1">
        <v>2017</v>
      </c>
      <c r="I276" s="34">
        <f t="shared" si="2"/>
        <v>7.323287671232877E-6</v>
      </c>
      <c r="J276" s="1">
        <v>2.673E-3</v>
      </c>
    </row>
    <row r="277" spans="1:10">
      <c r="A277" s="1" t="s">
        <v>70</v>
      </c>
      <c r="B277" s="1" t="s">
        <v>71</v>
      </c>
      <c r="C277" s="1" t="s">
        <v>73</v>
      </c>
      <c r="D277" s="1" t="s">
        <v>72</v>
      </c>
      <c r="E277" s="1" t="s">
        <v>357</v>
      </c>
      <c r="F277" s="1" t="s">
        <v>221</v>
      </c>
      <c r="G277" s="1" t="s">
        <v>367</v>
      </c>
      <c r="H277" s="1">
        <v>2017</v>
      </c>
      <c r="I277" s="34">
        <f t="shared" si="2"/>
        <v>0</v>
      </c>
      <c r="J277" s="1">
        <v>0</v>
      </c>
    </row>
    <row r="278" spans="1:10">
      <c r="A278" s="1" t="s">
        <v>70</v>
      </c>
      <c r="B278" s="1" t="s">
        <v>71</v>
      </c>
      <c r="C278" s="1" t="s">
        <v>73</v>
      </c>
      <c r="D278" s="1" t="s">
        <v>72</v>
      </c>
      <c r="E278" s="1" t="s">
        <v>357</v>
      </c>
      <c r="F278" s="1" t="s">
        <v>221</v>
      </c>
      <c r="G278" s="1" t="s">
        <v>334</v>
      </c>
      <c r="H278" s="1">
        <v>2017</v>
      </c>
      <c r="I278" s="34">
        <f t="shared" si="2"/>
        <v>2.847565205479452E-2</v>
      </c>
      <c r="J278" s="1">
        <v>10.393613</v>
      </c>
    </row>
    <row r="279" spans="1:10">
      <c r="A279" s="1" t="s">
        <v>70</v>
      </c>
      <c r="B279" s="1" t="s">
        <v>71</v>
      </c>
      <c r="C279" s="1" t="s">
        <v>73</v>
      </c>
      <c r="D279" s="1" t="s">
        <v>72</v>
      </c>
      <c r="E279" s="1" t="s">
        <v>357</v>
      </c>
      <c r="F279" s="1" t="s">
        <v>222</v>
      </c>
      <c r="G279" s="1" t="s">
        <v>328</v>
      </c>
      <c r="H279" s="1">
        <v>2017</v>
      </c>
      <c r="I279" s="34">
        <f t="shared" si="2"/>
        <v>1.2671695890410959E-2</v>
      </c>
      <c r="J279" s="1">
        <v>4.6251689999999996</v>
      </c>
    </row>
    <row r="280" spans="1:10">
      <c r="A280" s="1" t="s">
        <v>70</v>
      </c>
      <c r="B280" s="1" t="s">
        <v>71</v>
      </c>
      <c r="C280" s="1" t="s">
        <v>73</v>
      </c>
      <c r="D280" s="1" t="s">
        <v>72</v>
      </c>
      <c r="E280" s="1" t="s">
        <v>357</v>
      </c>
      <c r="F280" s="1" t="s">
        <v>222</v>
      </c>
      <c r="G280" s="1" t="s">
        <v>329</v>
      </c>
      <c r="H280" s="1">
        <v>2017</v>
      </c>
      <c r="I280" s="34">
        <f t="shared" si="2"/>
        <v>1.4512876712328767E-4</v>
      </c>
      <c r="J280" s="1">
        <v>5.2971999999999998E-2</v>
      </c>
    </row>
    <row r="281" spans="1:10">
      <c r="A281" s="1" t="s">
        <v>70</v>
      </c>
      <c r="B281" s="1" t="s">
        <v>71</v>
      </c>
      <c r="C281" s="1" t="s">
        <v>73</v>
      </c>
      <c r="D281" s="1" t="s">
        <v>72</v>
      </c>
      <c r="E281" s="1" t="s">
        <v>357</v>
      </c>
      <c r="F281" s="1" t="s">
        <v>222</v>
      </c>
      <c r="G281" s="1" t="s">
        <v>330</v>
      </c>
      <c r="H281" s="1">
        <v>2017</v>
      </c>
      <c r="I281" s="34">
        <f t="shared" si="2"/>
        <v>0</v>
      </c>
      <c r="J281" s="1">
        <v>0</v>
      </c>
    </row>
    <row r="282" spans="1:10">
      <c r="A282" s="1" t="s">
        <v>70</v>
      </c>
      <c r="B282" s="1" t="s">
        <v>71</v>
      </c>
      <c r="C282" s="1" t="s">
        <v>73</v>
      </c>
      <c r="D282" s="1" t="s">
        <v>72</v>
      </c>
      <c r="E282" s="1" t="s">
        <v>357</v>
      </c>
      <c r="F282" s="1" t="s">
        <v>222</v>
      </c>
      <c r="G282" s="1" t="s">
        <v>331</v>
      </c>
      <c r="H282" s="1">
        <v>2017</v>
      </c>
      <c r="I282" s="34">
        <f t="shared" si="2"/>
        <v>0</v>
      </c>
      <c r="J282" s="1">
        <v>0</v>
      </c>
    </row>
    <row r="283" spans="1:10">
      <c r="A283" s="1" t="s">
        <v>70</v>
      </c>
      <c r="B283" s="1" t="s">
        <v>71</v>
      </c>
      <c r="C283" s="1" t="s">
        <v>73</v>
      </c>
      <c r="D283" s="1" t="s">
        <v>72</v>
      </c>
      <c r="E283" s="1" t="s">
        <v>357</v>
      </c>
      <c r="F283" s="1" t="s">
        <v>222</v>
      </c>
      <c r="G283" s="1" t="s">
        <v>367</v>
      </c>
      <c r="H283" s="1">
        <v>2017</v>
      </c>
      <c r="I283" s="34">
        <f t="shared" si="2"/>
        <v>0</v>
      </c>
      <c r="J283" s="1">
        <v>0</v>
      </c>
    </row>
    <row r="284" spans="1:10">
      <c r="A284" s="1" t="s">
        <v>70</v>
      </c>
      <c r="B284" s="1" t="s">
        <v>71</v>
      </c>
      <c r="C284" s="1" t="s">
        <v>73</v>
      </c>
      <c r="D284" s="1" t="s">
        <v>72</v>
      </c>
      <c r="E284" s="1" t="s">
        <v>357</v>
      </c>
      <c r="F284" s="1" t="s">
        <v>222</v>
      </c>
      <c r="G284" s="1" t="s">
        <v>334</v>
      </c>
      <c r="H284" s="1">
        <v>2017</v>
      </c>
      <c r="I284" s="34">
        <f t="shared" si="2"/>
        <v>1.2816824657534247E-2</v>
      </c>
      <c r="J284" s="1">
        <v>4.6781410000000001</v>
      </c>
    </row>
    <row r="285" spans="1:10">
      <c r="A285" s="1" t="s">
        <v>70</v>
      </c>
      <c r="B285" s="1" t="s">
        <v>71</v>
      </c>
      <c r="C285" s="1" t="s">
        <v>73</v>
      </c>
      <c r="D285" s="1" t="s">
        <v>72</v>
      </c>
      <c r="E285" s="1" t="s">
        <v>357</v>
      </c>
      <c r="F285" s="1" t="s">
        <v>276</v>
      </c>
      <c r="G285" s="1" t="s">
        <v>328</v>
      </c>
      <c r="H285" s="1">
        <v>2017</v>
      </c>
      <c r="I285" s="34">
        <f t="shared" si="2"/>
        <v>1.4819753424657534E-3</v>
      </c>
      <c r="J285" s="1">
        <v>0.54092099999999999</v>
      </c>
    </row>
    <row r="286" spans="1:10">
      <c r="A286" s="1" t="s">
        <v>70</v>
      </c>
      <c r="B286" s="1" t="s">
        <v>71</v>
      </c>
      <c r="C286" s="1" t="s">
        <v>73</v>
      </c>
      <c r="D286" s="1" t="s">
        <v>72</v>
      </c>
      <c r="E286" s="1" t="s">
        <v>357</v>
      </c>
      <c r="F286" s="1" t="s">
        <v>276</v>
      </c>
      <c r="G286" s="1" t="s">
        <v>329</v>
      </c>
      <c r="H286" s="1">
        <v>2017</v>
      </c>
      <c r="I286" s="34">
        <f t="shared" si="2"/>
        <v>2.8837342465753424E-3</v>
      </c>
      <c r="J286" s="1">
        <v>1.0525629999999999</v>
      </c>
    </row>
    <row r="287" spans="1:10">
      <c r="A287" s="1" t="s">
        <v>70</v>
      </c>
      <c r="B287" s="1" t="s">
        <v>71</v>
      </c>
      <c r="C287" s="1" t="s">
        <v>73</v>
      </c>
      <c r="D287" s="1" t="s">
        <v>72</v>
      </c>
      <c r="E287" s="1" t="s">
        <v>357</v>
      </c>
      <c r="F287" s="1" t="s">
        <v>276</v>
      </c>
      <c r="G287" s="1" t="s">
        <v>330</v>
      </c>
      <c r="H287" s="1">
        <v>2017</v>
      </c>
      <c r="I287" s="34">
        <f t="shared" si="2"/>
        <v>0</v>
      </c>
      <c r="J287" s="1">
        <v>0</v>
      </c>
    </row>
    <row r="288" spans="1:10">
      <c r="A288" s="1" t="s">
        <v>70</v>
      </c>
      <c r="B288" s="1" t="s">
        <v>71</v>
      </c>
      <c r="C288" s="1" t="s">
        <v>73</v>
      </c>
      <c r="D288" s="1" t="s">
        <v>72</v>
      </c>
      <c r="E288" s="1" t="s">
        <v>357</v>
      </c>
      <c r="F288" s="1" t="s">
        <v>276</v>
      </c>
      <c r="G288" s="1" t="s">
        <v>331</v>
      </c>
      <c r="H288" s="1">
        <v>2017</v>
      </c>
      <c r="I288" s="34">
        <f t="shared" si="2"/>
        <v>0</v>
      </c>
      <c r="J288" s="1">
        <v>0</v>
      </c>
    </row>
    <row r="289" spans="1:10">
      <c r="A289" s="1" t="s">
        <v>70</v>
      </c>
      <c r="B289" s="1" t="s">
        <v>71</v>
      </c>
      <c r="C289" s="1" t="s">
        <v>73</v>
      </c>
      <c r="D289" s="1" t="s">
        <v>72</v>
      </c>
      <c r="E289" s="1" t="s">
        <v>357</v>
      </c>
      <c r="F289" s="1" t="s">
        <v>276</v>
      </c>
      <c r="G289" s="1" t="s">
        <v>367</v>
      </c>
      <c r="H289" s="1">
        <v>2017</v>
      </c>
      <c r="I289" s="34">
        <f t="shared" si="2"/>
        <v>0</v>
      </c>
      <c r="J289" s="1">
        <v>0</v>
      </c>
    </row>
    <row r="290" spans="1:10">
      <c r="A290" s="1" t="s">
        <v>70</v>
      </c>
      <c r="B290" s="1" t="s">
        <v>71</v>
      </c>
      <c r="C290" s="1" t="s">
        <v>73</v>
      </c>
      <c r="D290" s="1" t="s">
        <v>72</v>
      </c>
      <c r="E290" s="1" t="s">
        <v>357</v>
      </c>
      <c r="F290" s="1" t="s">
        <v>276</v>
      </c>
      <c r="G290" s="1" t="s">
        <v>334</v>
      </c>
      <c r="H290" s="1">
        <v>2017</v>
      </c>
      <c r="I290" s="34">
        <f t="shared" si="2"/>
        <v>4.365709589041096E-3</v>
      </c>
      <c r="J290" s="1">
        <v>1.5934839999999999</v>
      </c>
    </row>
    <row r="291" spans="1:10">
      <c r="A291" s="1" t="s">
        <v>70</v>
      </c>
      <c r="B291" s="1" t="s">
        <v>71</v>
      </c>
      <c r="C291" s="1" t="s">
        <v>73</v>
      </c>
      <c r="D291" s="1" t="s">
        <v>72</v>
      </c>
      <c r="E291" s="1" t="s">
        <v>357</v>
      </c>
      <c r="F291" s="1" t="s">
        <v>368</v>
      </c>
      <c r="G291" s="1" t="s">
        <v>328</v>
      </c>
      <c r="H291" s="1">
        <v>2017</v>
      </c>
      <c r="I291" s="34">
        <f t="shared" si="2"/>
        <v>0</v>
      </c>
      <c r="J291" s="1">
        <v>0</v>
      </c>
    </row>
    <row r="292" spans="1:10">
      <c r="A292" s="1" t="s">
        <v>70</v>
      </c>
      <c r="B292" s="1" t="s">
        <v>71</v>
      </c>
      <c r="C292" s="1" t="s">
        <v>73</v>
      </c>
      <c r="D292" s="1" t="s">
        <v>72</v>
      </c>
      <c r="E292" s="1" t="s">
        <v>357</v>
      </c>
      <c r="F292" s="1" t="s">
        <v>368</v>
      </c>
      <c r="G292" s="1" t="s">
        <v>329</v>
      </c>
      <c r="H292" s="1">
        <v>2017</v>
      </c>
      <c r="I292" s="34">
        <f t="shared" si="2"/>
        <v>0</v>
      </c>
      <c r="J292" s="1">
        <v>0</v>
      </c>
    </row>
    <row r="293" spans="1:10">
      <c r="A293" s="1" t="s">
        <v>70</v>
      </c>
      <c r="B293" s="1" t="s">
        <v>71</v>
      </c>
      <c r="C293" s="1" t="s">
        <v>73</v>
      </c>
      <c r="D293" s="1" t="s">
        <v>72</v>
      </c>
      <c r="E293" s="1" t="s">
        <v>357</v>
      </c>
      <c r="F293" s="1" t="s">
        <v>368</v>
      </c>
      <c r="G293" s="1" t="s">
        <v>330</v>
      </c>
      <c r="H293" s="1">
        <v>2017</v>
      </c>
      <c r="I293" s="34">
        <f t="shared" si="2"/>
        <v>0</v>
      </c>
      <c r="J293" s="1">
        <v>0</v>
      </c>
    </row>
    <row r="294" spans="1:10">
      <c r="A294" s="1" t="s">
        <v>70</v>
      </c>
      <c r="B294" s="1" t="s">
        <v>71</v>
      </c>
      <c r="C294" s="1" t="s">
        <v>73</v>
      </c>
      <c r="D294" s="1" t="s">
        <v>72</v>
      </c>
      <c r="E294" s="1" t="s">
        <v>357</v>
      </c>
      <c r="F294" s="1" t="s">
        <v>368</v>
      </c>
      <c r="G294" s="1" t="s">
        <v>331</v>
      </c>
      <c r="H294" s="1">
        <v>2017</v>
      </c>
      <c r="I294" s="34">
        <f t="shared" si="2"/>
        <v>0</v>
      </c>
      <c r="J294" s="1">
        <v>0</v>
      </c>
    </row>
    <row r="295" spans="1:10">
      <c r="A295" s="1" t="s">
        <v>70</v>
      </c>
      <c r="B295" s="1" t="s">
        <v>71</v>
      </c>
      <c r="C295" s="1" t="s">
        <v>73</v>
      </c>
      <c r="D295" s="1" t="s">
        <v>72</v>
      </c>
      <c r="E295" s="1" t="s">
        <v>357</v>
      </c>
      <c r="F295" s="1" t="s">
        <v>368</v>
      </c>
      <c r="G295" s="1" t="s">
        <v>367</v>
      </c>
      <c r="H295" s="1">
        <v>2017</v>
      </c>
      <c r="I295" s="34">
        <f t="shared" si="2"/>
        <v>0.79400547315068493</v>
      </c>
      <c r="J295" s="1">
        <v>289.81199770000001</v>
      </c>
    </row>
    <row r="296" spans="1:10">
      <c r="A296" s="1" t="s">
        <v>70</v>
      </c>
      <c r="B296" s="1" t="s">
        <v>71</v>
      </c>
      <c r="C296" s="1" t="s">
        <v>73</v>
      </c>
      <c r="D296" s="1" t="s">
        <v>72</v>
      </c>
      <c r="E296" s="1" t="s">
        <v>357</v>
      </c>
      <c r="F296" s="1" t="s">
        <v>368</v>
      </c>
      <c r="G296" s="1" t="s">
        <v>334</v>
      </c>
      <c r="H296" s="1">
        <v>2017</v>
      </c>
      <c r="I296" s="34">
        <f t="shared" si="2"/>
        <v>0.79400547315068493</v>
      </c>
      <c r="J296" s="1">
        <v>289.81199770000001</v>
      </c>
    </row>
    <row r="297" spans="1:10">
      <c r="A297" s="1" t="s">
        <v>70</v>
      </c>
      <c r="B297" s="1" t="s">
        <v>71</v>
      </c>
      <c r="C297" s="1" t="s">
        <v>73</v>
      </c>
      <c r="D297" s="1" t="s">
        <v>72</v>
      </c>
      <c r="E297" s="1" t="s">
        <v>357</v>
      </c>
      <c r="F297" s="1" t="s">
        <v>223</v>
      </c>
      <c r="G297" s="1" t="s">
        <v>328</v>
      </c>
      <c r="H297" s="1">
        <v>2017</v>
      </c>
      <c r="I297" s="34">
        <f t="shared" si="2"/>
        <v>0</v>
      </c>
      <c r="J297" s="1">
        <v>0</v>
      </c>
    </row>
    <row r="298" spans="1:10">
      <c r="A298" s="1" t="s">
        <v>70</v>
      </c>
      <c r="B298" s="1" t="s">
        <v>71</v>
      </c>
      <c r="C298" s="1" t="s">
        <v>73</v>
      </c>
      <c r="D298" s="1" t="s">
        <v>72</v>
      </c>
      <c r="E298" s="1" t="s">
        <v>357</v>
      </c>
      <c r="F298" s="1" t="s">
        <v>223</v>
      </c>
      <c r="G298" s="1" t="s">
        <v>329</v>
      </c>
      <c r="H298" s="1">
        <v>2017</v>
      </c>
      <c r="I298" s="34">
        <f t="shared" si="2"/>
        <v>0</v>
      </c>
      <c r="J298" s="1">
        <v>0</v>
      </c>
    </row>
    <row r="299" spans="1:10">
      <c r="A299" s="1" t="s">
        <v>70</v>
      </c>
      <c r="B299" s="1" t="s">
        <v>71</v>
      </c>
      <c r="C299" s="1" t="s">
        <v>73</v>
      </c>
      <c r="D299" s="1" t="s">
        <v>72</v>
      </c>
      <c r="E299" s="1" t="s">
        <v>357</v>
      </c>
      <c r="F299" s="1" t="s">
        <v>223</v>
      </c>
      <c r="G299" s="1" t="s">
        <v>330</v>
      </c>
      <c r="H299" s="1">
        <v>2017</v>
      </c>
      <c r="I299" s="34">
        <f t="shared" si="2"/>
        <v>0</v>
      </c>
      <c r="J299" s="1">
        <v>0</v>
      </c>
    </row>
    <row r="300" spans="1:10">
      <c r="A300" s="1" t="s">
        <v>70</v>
      </c>
      <c r="B300" s="1" t="s">
        <v>71</v>
      </c>
      <c r="C300" s="1" t="s">
        <v>73</v>
      </c>
      <c r="D300" s="1" t="s">
        <v>72</v>
      </c>
      <c r="E300" s="1" t="s">
        <v>357</v>
      </c>
      <c r="F300" s="1" t="s">
        <v>223</v>
      </c>
      <c r="G300" s="1" t="s">
        <v>331</v>
      </c>
      <c r="H300" s="1">
        <v>2017</v>
      </c>
      <c r="I300" s="34">
        <f t="shared" si="2"/>
        <v>0</v>
      </c>
      <c r="J300" s="1">
        <v>0</v>
      </c>
    </row>
    <row r="301" spans="1:10">
      <c r="A301" s="1" t="s">
        <v>70</v>
      </c>
      <c r="B301" s="1" t="s">
        <v>71</v>
      </c>
      <c r="C301" s="1" t="s">
        <v>73</v>
      </c>
      <c r="D301" s="1" t="s">
        <v>72</v>
      </c>
      <c r="E301" s="1" t="s">
        <v>357</v>
      </c>
      <c r="F301" s="1" t="s">
        <v>223</v>
      </c>
      <c r="G301" s="1" t="s">
        <v>367</v>
      </c>
      <c r="H301" s="1">
        <v>2017</v>
      </c>
      <c r="I301" s="34">
        <f t="shared" si="2"/>
        <v>0.24219701643835617</v>
      </c>
      <c r="J301" s="1">
        <v>88.401910999999998</v>
      </c>
    </row>
    <row r="302" spans="1:10">
      <c r="A302" s="1" t="s">
        <v>70</v>
      </c>
      <c r="B302" s="1" t="s">
        <v>71</v>
      </c>
      <c r="C302" s="1" t="s">
        <v>73</v>
      </c>
      <c r="D302" s="1" t="s">
        <v>72</v>
      </c>
      <c r="E302" s="1" t="s">
        <v>357</v>
      </c>
      <c r="F302" s="1" t="s">
        <v>223</v>
      </c>
      <c r="G302" s="1" t="s">
        <v>334</v>
      </c>
      <c r="H302" s="1">
        <v>2017</v>
      </c>
      <c r="I302" s="34">
        <f t="shared" ref="I302:I308" si="3">J302/365</f>
        <v>0.24219701643835617</v>
      </c>
      <c r="J302" s="1">
        <v>88.401910999999998</v>
      </c>
    </row>
    <row r="303" spans="1:10">
      <c r="A303" s="1" t="s">
        <v>70</v>
      </c>
      <c r="B303" s="1" t="s">
        <v>71</v>
      </c>
      <c r="C303" s="1" t="s">
        <v>73</v>
      </c>
      <c r="D303" s="1" t="s">
        <v>72</v>
      </c>
      <c r="E303" s="1" t="s">
        <v>357</v>
      </c>
      <c r="F303" s="1" t="s">
        <v>369</v>
      </c>
      <c r="G303" s="1" t="s">
        <v>328</v>
      </c>
      <c r="H303" s="1">
        <v>2017</v>
      </c>
      <c r="I303" s="34">
        <f t="shared" si="3"/>
        <v>6.0120547945205483E-4</v>
      </c>
      <c r="J303" s="1">
        <v>0.21944</v>
      </c>
    </row>
    <row r="304" spans="1:10">
      <c r="A304" s="1" t="s">
        <v>70</v>
      </c>
      <c r="B304" s="1" t="s">
        <v>71</v>
      </c>
      <c r="C304" s="1" t="s">
        <v>73</v>
      </c>
      <c r="D304" s="1" t="s">
        <v>72</v>
      </c>
      <c r="E304" s="1" t="s">
        <v>357</v>
      </c>
      <c r="F304" s="1" t="s">
        <v>369</v>
      </c>
      <c r="G304" s="1" t="s">
        <v>329</v>
      </c>
      <c r="H304" s="1">
        <v>2017</v>
      </c>
      <c r="I304" s="34">
        <f t="shared" si="3"/>
        <v>0</v>
      </c>
      <c r="J304" s="1">
        <v>0</v>
      </c>
    </row>
    <row r="305" spans="1:10">
      <c r="A305" s="1" t="s">
        <v>70</v>
      </c>
      <c r="B305" s="1" t="s">
        <v>71</v>
      </c>
      <c r="C305" s="1" t="s">
        <v>73</v>
      </c>
      <c r="D305" s="1" t="s">
        <v>72</v>
      </c>
      <c r="E305" s="1" t="s">
        <v>357</v>
      </c>
      <c r="F305" s="1" t="s">
        <v>369</v>
      </c>
      <c r="G305" s="1" t="s">
        <v>330</v>
      </c>
      <c r="H305" s="1">
        <v>2017</v>
      </c>
      <c r="I305" s="34">
        <f t="shared" si="3"/>
        <v>0</v>
      </c>
      <c r="J305" s="1">
        <v>0</v>
      </c>
    </row>
    <row r="306" spans="1:10">
      <c r="A306" s="1" t="s">
        <v>70</v>
      </c>
      <c r="B306" s="1" t="s">
        <v>71</v>
      </c>
      <c r="C306" s="1" t="s">
        <v>73</v>
      </c>
      <c r="D306" s="1" t="s">
        <v>72</v>
      </c>
      <c r="E306" s="1" t="s">
        <v>357</v>
      </c>
      <c r="F306" s="1" t="s">
        <v>369</v>
      </c>
      <c r="G306" s="1" t="s">
        <v>331</v>
      </c>
      <c r="H306" s="1">
        <v>2017</v>
      </c>
      <c r="I306" s="34">
        <f t="shared" si="3"/>
        <v>0</v>
      </c>
      <c r="J306" s="1">
        <v>0</v>
      </c>
    </row>
    <row r="307" spans="1:10">
      <c r="A307" s="1" t="s">
        <v>70</v>
      </c>
      <c r="B307" s="1" t="s">
        <v>71</v>
      </c>
      <c r="C307" s="1" t="s">
        <v>73</v>
      </c>
      <c r="D307" s="1" t="s">
        <v>72</v>
      </c>
      <c r="E307" s="1" t="s">
        <v>357</v>
      </c>
      <c r="F307" s="1" t="s">
        <v>369</v>
      </c>
      <c r="G307" s="1" t="s">
        <v>367</v>
      </c>
      <c r="H307" s="1">
        <v>2017</v>
      </c>
      <c r="I307" s="34">
        <f t="shared" si="3"/>
        <v>0</v>
      </c>
      <c r="J307" s="1">
        <v>0</v>
      </c>
    </row>
    <row r="308" spans="1:10">
      <c r="A308" s="1" t="s">
        <v>70</v>
      </c>
      <c r="B308" s="1" t="s">
        <v>71</v>
      </c>
      <c r="C308" s="1" t="s">
        <v>73</v>
      </c>
      <c r="D308" s="1" t="s">
        <v>72</v>
      </c>
      <c r="E308" s="1" t="s">
        <v>357</v>
      </c>
      <c r="F308" s="1" t="s">
        <v>369</v>
      </c>
      <c r="G308" s="1" t="s">
        <v>334</v>
      </c>
      <c r="H308" s="1">
        <v>2017</v>
      </c>
      <c r="I308" s="34">
        <f t="shared" si="3"/>
        <v>6.0120547945205483E-4</v>
      </c>
      <c r="J308" s="1">
        <v>0.21944</v>
      </c>
    </row>
    <row r="309" spans="1:10">
      <c r="A309" s="1" t="s">
        <v>70</v>
      </c>
      <c r="B309" s="1" t="s">
        <v>71</v>
      </c>
      <c r="C309" s="1" t="s">
        <v>73</v>
      </c>
      <c r="D309" s="1" t="s">
        <v>72</v>
      </c>
      <c r="E309" s="1" t="s">
        <v>357</v>
      </c>
      <c r="F309" s="1" t="s">
        <v>213</v>
      </c>
      <c r="G309" s="1" t="s">
        <v>328</v>
      </c>
      <c r="H309" s="1">
        <v>2018</v>
      </c>
      <c r="I309" s="34">
        <f>J309/365</f>
        <v>1.6592340301369861</v>
      </c>
      <c r="J309" s="1">
        <v>605.62042099999996</v>
      </c>
    </row>
    <row r="310" spans="1:10">
      <c r="A310" s="1" t="s">
        <v>70</v>
      </c>
      <c r="B310" s="1" t="s">
        <v>71</v>
      </c>
      <c r="C310" s="1" t="s">
        <v>73</v>
      </c>
      <c r="D310" s="1" t="s">
        <v>72</v>
      </c>
      <c r="E310" s="1" t="s">
        <v>357</v>
      </c>
      <c r="F310" s="1" t="s">
        <v>213</v>
      </c>
      <c r="G310" s="1" t="s">
        <v>329</v>
      </c>
      <c r="H310" s="1">
        <v>2018</v>
      </c>
      <c r="I310" s="34">
        <f t="shared" ref="I310:I373" si="4">J310/365</f>
        <v>0.65373481917808218</v>
      </c>
      <c r="J310" s="1">
        <v>238.61320900000001</v>
      </c>
    </row>
    <row r="311" spans="1:10">
      <c r="A311" s="1" t="s">
        <v>70</v>
      </c>
      <c r="B311" s="1" t="s">
        <v>71</v>
      </c>
      <c r="C311" s="1" t="s">
        <v>73</v>
      </c>
      <c r="D311" s="1" t="s">
        <v>72</v>
      </c>
      <c r="E311" s="1" t="s">
        <v>357</v>
      </c>
      <c r="F311" s="1" t="s">
        <v>213</v>
      </c>
      <c r="G311" s="1" t="s">
        <v>330</v>
      </c>
      <c r="H311" s="1">
        <v>2018</v>
      </c>
      <c r="I311" s="34">
        <f t="shared" si="4"/>
        <v>2.3209490410958902E-2</v>
      </c>
      <c r="J311" s="1">
        <v>8.4714639999999992</v>
      </c>
    </row>
    <row r="312" spans="1:10">
      <c r="A312" s="1" t="s">
        <v>70</v>
      </c>
      <c r="B312" s="1" t="s">
        <v>71</v>
      </c>
      <c r="C312" s="1" t="s">
        <v>73</v>
      </c>
      <c r="D312" s="1" t="s">
        <v>72</v>
      </c>
      <c r="E312" s="1" t="s">
        <v>357</v>
      </c>
      <c r="F312" s="1" t="s">
        <v>213</v>
      </c>
      <c r="G312" s="1" t="s">
        <v>331</v>
      </c>
      <c r="H312" s="1">
        <v>2018</v>
      </c>
      <c r="I312" s="34">
        <f t="shared" si="4"/>
        <v>5.1472400000000001E-2</v>
      </c>
      <c r="J312" s="1">
        <v>18.787426</v>
      </c>
    </row>
    <row r="313" spans="1:10">
      <c r="A313" s="1" t="s">
        <v>70</v>
      </c>
      <c r="B313" s="1" t="s">
        <v>71</v>
      </c>
      <c r="C313" s="1" t="s">
        <v>73</v>
      </c>
      <c r="D313" s="1" t="s">
        <v>72</v>
      </c>
      <c r="E313" s="1" t="s">
        <v>357</v>
      </c>
      <c r="F313" s="1" t="s">
        <v>213</v>
      </c>
      <c r="G313" s="1" t="s">
        <v>367</v>
      </c>
      <c r="H313" s="1">
        <v>2018</v>
      </c>
      <c r="I313" s="34">
        <f t="shared" si="4"/>
        <v>1.494005205479452E-2</v>
      </c>
      <c r="J313" s="1">
        <v>5.453119</v>
      </c>
    </row>
    <row r="314" spans="1:10">
      <c r="A314" s="1" t="s">
        <v>70</v>
      </c>
      <c r="B314" s="1" t="s">
        <v>71</v>
      </c>
      <c r="C314" s="1" t="s">
        <v>73</v>
      </c>
      <c r="D314" s="1" t="s">
        <v>72</v>
      </c>
      <c r="E314" s="1" t="s">
        <v>357</v>
      </c>
      <c r="F314" s="1" t="s">
        <v>213</v>
      </c>
      <c r="G314" s="1" t="s">
        <v>334</v>
      </c>
      <c r="H314" s="1">
        <v>2018</v>
      </c>
      <c r="I314" s="34">
        <f t="shared" si="4"/>
        <v>2.4025907917808218</v>
      </c>
      <c r="J314" s="1">
        <v>876.94563900000003</v>
      </c>
    </row>
    <row r="315" spans="1:10">
      <c r="A315" s="1" t="s">
        <v>70</v>
      </c>
      <c r="B315" s="1" t="s">
        <v>71</v>
      </c>
      <c r="C315" s="1" t="s">
        <v>73</v>
      </c>
      <c r="D315" s="1" t="s">
        <v>72</v>
      </c>
      <c r="E315" s="1" t="s">
        <v>357</v>
      </c>
      <c r="F315" s="1" t="s">
        <v>216</v>
      </c>
      <c r="G315" s="1" t="s">
        <v>328</v>
      </c>
      <c r="H315" s="1">
        <v>2018</v>
      </c>
      <c r="I315" s="34">
        <f t="shared" si="4"/>
        <v>0.21476413150684931</v>
      </c>
      <c r="J315" s="1">
        <v>78.388908000000001</v>
      </c>
    </row>
    <row r="316" spans="1:10">
      <c r="A316" s="1" t="s">
        <v>70</v>
      </c>
      <c r="B316" s="1" t="s">
        <v>71</v>
      </c>
      <c r="C316" s="1" t="s">
        <v>73</v>
      </c>
      <c r="D316" s="1" t="s">
        <v>72</v>
      </c>
      <c r="E316" s="1" t="s">
        <v>357</v>
      </c>
      <c r="F316" s="1" t="s">
        <v>216</v>
      </c>
      <c r="G316" s="1" t="s">
        <v>329</v>
      </c>
      <c r="H316" s="1">
        <v>2018</v>
      </c>
      <c r="I316" s="34">
        <f t="shared" si="4"/>
        <v>0.28623001369863016</v>
      </c>
      <c r="J316" s="1">
        <v>104.473955</v>
      </c>
    </row>
    <row r="317" spans="1:10">
      <c r="A317" s="1" t="s">
        <v>70</v>
      </c>
      <c r="B317" s="1" t="s">
        <v>71</v>
      </c>
      <c r="C317" s="1" t="s">
        <v>73</v>
      </c>
      <c r="D317" s="1" t="s">
        <v>72</v>
      </c>
      <c r="E317" s="1" t="s">
        <v>357</v>
      </c>
      <c r="F317" s="1" t="s">
        <v>216</v>
      </c>
      <c r="G317" s="1" t="s">
        <v>330</v>
      </c>
      <c r="H317" s="1">
        <v>2018</v>
      </c>
      <c r="I317" s="34">
        <f t="shared" si="4"/>
        <v>8.2472843835616441E-2</v>
      </c>
      <c r="J317" s="1">
        <v>30.102588000000001</v>
      </c>
    </row>
    <row r="318" spans="1:10">
      <c r="A318" s="1" t="s">
        <v>70</v>
      </c>
      <c r="B318" s="1" t="s">
        <v>71</v>
      </c>
      <c r="C318" s="1" t="s">
        <v>73</v>
      </c>
      <c r="D318" s="1" t="s">
        <v>72</v>
      </c>
      <c r="E318" s="1" t="s">
        <v>357</v>
      </c>
      <c r="F318" s="1" t="s">
        <v>216</v>
      </c>
      <c r="G318" s="1" t="s">
        <v>331</v>
      </c>
      <c r="H318" s="1">
        <v>2018</v>
      </c>
      <c r="I318" s="34">
        <f t="shared" si="4"/>
        <v>3.5549071232876713E-2</v>
      </c>
      <c r="J318" s="1">
        <v>12.975410999999999</v>
      </c>
    </row>
    <row r="319" spans="1:10">
      <c r="A319" s="1" t="s">
        <v>70</v>
      </c>
      <c r="B319" s="1" t="s">
        <v>71</v>
      </c>
      <c r="C319" s="1" t="s">
        <v>73</v>
      </c>
      <c r="D319" s="1" t="s">
        <v>72</v>
      </c>
      <c r="E319" s="1" t="s">
        <v>357</v>
      </c>
      <c r="F319" s="1" t="s">
        <v>216</v>
      </c>
      <c r="G319" s="1" t="s">
        <v>367</v>
      </c>
      <c r="H319" s="1">
        <v>2018</v>
      </c>
      <c r="I319" s="34">
        <f t="shared" si="4"/>
        <v>0</v>
      </c>
      <c r="J319" s="1">
        <v>0</v>
      </c>
    </row>
    <row r="320" spans="1:10">
      <c r="A320" s="1" t="s">
        <v>70</v>
      </c>
      <c r="B320" s="1" t="s">
        <v>71</v>
      </c>
      <c r="C320" s="1" t="s">
        <v>73</v>
      </c>
      <c r="D320" s="1" t="s">
        <v>72</v>
      </c>
      <c r="E320" s="1" t="s">
        <v>357</v>
      </c>
      <c r="F320" s="1" t="s">
        <v>216</v>
      </c>
      <c r="G320" s="1" t="s">
        <v>334</v>
      </c>
      <c r="H320" s="1">
        <v>2018</v>
      </c>
      <c r="I320" s="34">
        <f t="shared" si="4"/>
        <v>0.6190160602739726</v>
      </c>
      <c r="J320" s="1">
        <v>225.94086200000001</v>
      </c>
    </row>
    <row r="321" spans="1:10">
      <c r="A321" s="1" t="s">
        <v>70</v>
      </c>
      <c r="B321" s="1" t="s">
        <v>71</v>
      </c>
      <c r="C321" s="1" t="s">
        <v>73</v>
      </c>
      <c r="D321" s="1" t="s">
        <v>72</v>
      </c>
      <c r="E321" s="1" t="s">
        <v>357</v>
      </c>
      <c r="F321" s="1" t="s">
        <v>218</v>
      </c>
      <c r="G321" s="1" t="s">
        <v>328</v>
      </c>
      <c r="H321" s="1">
        <v>2018</v>
      </c>
      <c r="I321" s="34">
        <f t="shared" si="4"/>
        <v>7.9584167123287669E-2</v>
      </c>
      <c r="J321" s="1">
        <v>29.048221000000002</v>
      </c>
    </row>
    <row r="322" spans="1:10">
      <c r="A322" s="1" t="s">
        <v>70</v>
      </c>
      <c r="B322" s="1" t="s">
        <v>71</v>
      </c>
      <c r="C322" s="1" t="s">
        <v>73</v>
      </c>
      <c r="D322" s="1" t="s">
        <v>72</v>
      </c>
      <c r="E322" s="1" t="s">
        <v>357</v>
      </c>
      <c r="F322" s="1" t="s">
        <v>218</v>
      </c>
      <c r="G322" s="1" t="s">
        <v>329</v>
      </c>
      <c r="H322" s="1">
        <v>2018</v>
      </c>
      <c r="I322" s="34">
        <f t="shared" si="4"/>
        <v>0.19701223013698629</v>
      </c>
      <c r="J322" s="1">
        <v>71.909464</v>
      </c>
    </row>
    <row r="323" spans="1:10">
      <c r="A323" s="1" t="s">
        <v>70</v>
      </c>
      <c r="B323" s="1" t="s">
        <v>71</v>
      </c>
      <c r="C323" s="1" t="s">
        <v>73</v>
      </c>
      <c r="D323" s="1" t="s">
        <v>72</v>
      </c>
      <c r="E323" s="1" t="s">
        <v>357</v>
      </c>
      <c r="F323" s="1" t="s">
        <v>218</v>
      </c>
      <c r="G323" s="1" t="s">
        <v>330</v>
      </c>
      <c r="H323" s="1">
        <v>2018</v>
      </c>
      <c r="I323" s="34">
        <f t="shared" si="4"/>
        <v>3.203093698630137E-2</v>
      </c>
      <c r="J323" s="1">
        <v>11.691292000000001</v>
      </c>
    </row>
    <row r="324" spans="1:10">
      <c r="A324" s="1" t="s">
        <v>70</v>
      </c>
      <c r="B324" s="1" t="s">
        <v>71</v>
      </c>
      <c r="C324" s="1" t="s">
        <v>73</v>
      </c>
      <c r="D324" s="1" t="s">
        <v>72</v>
      </c>
      <c r="E324" s="1" t="s">
        <v>357</v>
      </c>
      <c r="F324" s="1" t="s">
        <v>218</v>
      </c>
      <c r="G324" s="1" t="s">
        <v>331</v>
      </c>
      <c r="H324" s="1">
        <v>2018</v>
      </c>
      <c r="I324" s="34">
        <f t="shared" si="4"/>
        <v>3.4094164383561644E-2</v>
      </c>
      <c r="J324" s="1">
        <v>12.444369999999999</v>
      </c>
    </row>
    <row r="325" spans="1:10">
      <c r="A325" s="1" t="s">
        <v>70</v>
      </c>
      <c r="B325" s="1" t="s">
        <v>71</v>
      </c>
      <c r="C325" s="1" t="s">
        <v>73</v>
      </c>
      <c r="D325" s="1" t="s">
        <v>72</v>
      </c>
      <c r="E325" s="1" t="s">
        <v>357</v>
      </c>
      <c r="F325" s="1" t="s">
        <v>218</v>
      </c>
      <c r="G325" s="1" t="s">
        <v>367</v>
      </c>
      <c r="H325" s="1">
        <v>2018</v>
      </c>
      <c r="I325" s="34">
        <f t="shared" si="4"/>
        <v>0</v>
      </c>
      <c r="J325" s="1">
        <v>0</v>
      </c>
    </row>
    <row r="326" spans="1:10">
      <c r="A326" s="1" t="s">
        <v>70</v>
      </c>
      <c r="B326" s="1" t="s">
        <v>71</v>
      </c>
      <c r="C326" s="1" t="s">
        <v>73</v>
      </c>
      <c r="D326" s="1" t="s">
        <v>72</v>
      </c>
      <c r="E326" s="1" t="s">
        <v>357</v>
      </c>
      <c r="F326" s="1" t="s">
        <v>218</v>
      </c>
      <c r="G326" s="1" t="s">
        <v>334</v>
      </c>
      <c r="H326" s="1">
        <v>2018</v>
      </c>
      <c r="I326" s="34">
        <f t="shared" si="4"/>
        <v>0.34272149863013696</v>
      </c>
      <c r="J326" s="1">
        <v>125.09334699999999</v>
      </c>
    </row>
    <row r="327" spans="1:10">
      <c r="A327" s="1" t="s">
        <v>70</v>
      </c>
      <c r="B327" s="1" t="s">
        <v>71</v>
      </c>
      <c r="C327" s="1" t="s">
        <v>73</v>
      </c>
      <c r="D327" s="1" t="s">
        <v>72</v>
      </c>
      <c r="E327" s="1" t="s">
        <v>357</v>
      </c>
      <c r="F327" s="1" t="s">
        <v>219</v>
      </c>
      <c r="G327" s="1" t="s">
        <v>328</v>
      </c>
      <c r="H327" s="1">
        <v>2018</v>
      </c>
      <c r="I327" s="34">
        <f t="shared" si="4"/>
        <v>4.9746526027397264E-2</v>
      </c>
      <c r="J327" s="1">
        <v>18.157482000000002</v>
      </c>
    </row>
    <row r="328" spans="1:10">
      <c r="A328" s="1" t="s">
        <v>70</v>
      </c>
      <c r="B328" s="1" t="s">
        <v>71</v>
      </c>
      <c r="C328" s="1" t="s">
        <v>73</v>
      </c>
      <c r="D328" s="1" t="s">
        <v>72</v>
      </c>
      <c r="E328" s="1" t="s">
        <v>357</v>
      </c>
      <c r="F328" s="1" t="s">
        <v>219</v>
      </c>
      <c r="G328" s="1" t="s">
        <v>329</v>
      </c>
      <c r="H328" s="1">
        <v>2018</v>
      </c>
      <c r="I328" s="34">
        <f t="shared" si="4"/>
        <v>2.2874684931506848E-3</v>
      </c>
      <c r="J328" s="1">
        <v>0.83492599999999995</v>
      </c>
    </row>
    <row r="329" spans="1:10">
      <c r="A329" s="1" t="s">
        <v>70</v>
      </c>
      <c r="B329" s="1" t="s">
        <v>71</v>
      </c>
      <c r="C329" s="1" t="s">
        <v>73</v>
      </c>
      <c r="D329" s="1" t="s">
        <v>72</v>
      </c>
      <c r="E329" s="1" t="s">
        <v>357</v>
      </c>
      <c r="F329" s="1" t="s">
        <v>219</v>
      </c>
      <c r="G329" s="1" t="s">
        <v>330</v>
      </c>
      <c r="H329" s="1">
        <v>2018</v>
      </c>
      <c r="I329" s="34">
        <f t="shared" si="4"/>
        <v>1.7953205479452055E-3</v>
      </c>
      <c r="J329" s="1">
        <v>0.65529199999999999</v>
      </c>
    </row>
    <row r="330" spans="1:10">
      <c r="A330" s="1" t="s">
        <v>70</v>
      </c>
      <c r="B330" s="1" t="s">
        <v>71</v>
      </c>
      <c r="C330" s="1" t="s">
        <v>73</v>
      </c>
      <c r="D330" s="1" t="s">
        <v>72</v>
      </c>
      <c r="E330" s="1" t="s">
        <v>357</v>
      </c>
      <c r="F330" s="1" t="s">
        <v>219</v>
      </c>
      <c r="G330" s="1" t="s">
        <v>331</v>
      </c>
      <c r="H330" s="1">
        <v>2018</v>
      </c>
      <c r="I330" s="34">
        <f t="shared" si="4"/>
        <v>0</v>
      </c>
      <c r="J330" s="1">
        <v>0</v>
      </c>
    </row>
    <row r="331" spans="1:10">
      <c r="A331" s="1" t="s">
        <v>70</v>
      </c>
      <c r="B331" s="1" t="s">
        <v>71</v>
      </c>
      <c r="C331" s="1" t="s">
        <v>73</v>
      </c>
      <c r="D331" s="1" t="s">
        <v>72</v>
      </c>
      <c r="E331" s="1" t="s">
        <v>357</v>
      </c>
      <c r="F331" s="1" t="s">
        <v>219</v>
      </c>
      <c r="G331" s="1" t="s">
        <v>367</v>
      </c>
      <c r="H331" s="1">
        <v>2018</v>
      </c>
      <c r="I331" s="34">
        <f t="shared" si="4"/>
        <v>0</v>
      </c>
      <c r="J331" s="1">
        <v>0</v>
      </c>
    </row>
    <row r="332" spans="1:10">
      <c r="A332" s="1" t="s">
        <v>70</v>
      </c>
      <c r="B332" s="1" t="s">
        <v>71</v>
      </c>
      <c r="C332" s="1" t="s">
        <v>73</v>
      </c>
      <c r="D332" s="1" t="s">
        <v>72</v>
      </c>
      <c r="E332" s="1" t="s">
        <v>357</v>
      </c>
      <c r="F332" s="1" t="s">
        <v>219</v>
      </c>
      <c r="G332" s="1" t="s">
        <v>334</v>
      </c>
      <c r="H332" s="1">
        <v>2018</v>
      </c>
      <c r="I332" s="34">
        <f t="shared" si="4"/>
        <v>5.3829315068493151E-2</v>
      </c>
      <c r="J332" s="1">
        <v>19.6477</v>
      </c>
    </row>
    <row r="333" spans="1:10">
      <c r="A333" s="1" t="s">
        <v>70</v>
      </c>
      <c r="B333" s="1" t="s">
        <v>71</v>
      </c>
      <c r="C333" s="1" t="s">
        <v>73</v>
      </c>
      <c r="D333" s="1" t="s">
        <v>72</v>
      </c>
      <c r="E333" s="1" t="s">
        <v>357</v>
      </c>
      <c r="F333" s="1" t="s">
        <v>220</v>
      </c>
      <c r="G333" s="1" t="s">
        <v>328</v>
      </c>
      <c r="H333" s="1">
        <v>2018</v>
      </c>
      <c r="I333" s="34">
        <f t="shared" si="4"/>
        <v>8.7919868493150685E-2</v>
      </c>
      <c r="J333" s="1">
        <v>32.090752000000002</v>
      </c>
    </row>
    <row r="334" spans="1:10">
      <c r="A334" s="1" t="s">
        <v>70</v>
      </c>
      <c r="B334" s="1" t="s">
        <v>71</v>
      </c>
      <c r="C334" s="1" t="s">
        <v>73</v>
      </c>
      <c r="D334" s="1" t="s">
        <v>72</v>
      </c>
      <c r="E334" s="1" t="s">
        <v>357</v>
      </c>
      <c r="F334" s="1" t="s">
        <v>220</v>
      </c>
      <c r="G334" s="1" t="s">
        <v>329</v>
      </c>
      <c r="H334" s="1">
        <v>2018</v>
      </c>
      <c r="I334" s="34">
        <f t="shared" si="4"/>
        <v>0.11062757808219179</v>
      </c>
      <c r="J334" s="1">
        <v>40.379066000000002</v>
      </c>
    </row>
    <row r="335" spans="1:10">
      <c r="A335" s="1" t="s">
        <v>70</v>
      </c>
      <c r="B335" s="1" t="s">
        <v>71</v>
      </c>
      <c r="C335" s="1" t="s">
        <v>73</v>
      </c>
      <c r="D335" s="1" t="s">
        <v>72</v>
      </c>
      <c r="E335" s="1" t="s">
        <v>357</v>
      </c>
      <c r="F335" s="1" t="s">
        <v>220</v>
      </c>
      <c r="G335" s="1" t="s">
        <v>330</v>
      </c>
      <c r="H335" s="1">
        <v>2018</v>
      </c>
      <c r="I335" s="34">
        <f t="shared" si="4"/>
        <v>0.20892026027397259</v>
      </c>
      <c r="J335" s="1">
        <v>76.255894999999995</v>
      </c>
    </row>
    <row r="336" spans="1:10">
      <c r="A336" s="1" t="s">
        <v>70</v>
      </c>
      <c r="B336" s="1" t="s">
        <v>71</v>
      </c>
      <c r="C336" s="1" t="s">
        <v>73</v>
      </c>
      <c r="D336" s="1" t="s">
        <v>72</v>
      </c>
      <c r="E336" s="1" t="s">
        <v>357</v>
      </c>
      <c r="F336" s="1" t="s">
        <v>220</v>
      </c>
      <c r="G336" s="1" t="s">
        <v>331</v>
      </c>
      <c r="H336" s="1">
        <v>2018</v>
      </c>
      <c r="I336" s="34">
        <f t="shared" si="4"/>
        <v>1.3568849315068493E-3</v>
      </c>
      <c r="J336" s="1">
        <v>0.49526300000000001</v>
      </c>
    </row>
    <row r="337" spans="1:10">
      <c r="A337" s="1" t="s">
        <v>70</v>
      </c>
      <c r="B337" s="1" t="s">
        <v>71</v>
      </c>
      <c r="C337" s="1" t="s">
        <v>73</v>
      </c>
      <c r="D337" s="1" t="s">
        <v>72</v>
      </c>
      <c r="E337" s="1" t="s">
        <v>357</v>
      </c>
      <c r="F337" s="1" t="s">
        <v>220</v>
      </c>
      <c r="G337" s="1" t="s">
        <v>367</v>
      </c>
      <c r="H337" s="1">
        <v>2018</v>
      </c>
      <c r="I337" s="34">
        <f t="shared" si="4"/>
        <v>0</v>
      </c>
      <c r="J337" s="1">
        <v>0</v>
      </c>
    </row>
    <row r="338" spans="1:10">
      <c r="A338" s="1" t="s">
        <v>70</v>
      </c>
      <c r="B338" s="1" t="s">
        <v>71</v>
      </c>
      <c r="C338" s="1" t="s">
        <v>73</v>
      </c>
      <c r="D338" s="1" t="s">
        <v>72</v>
      </c>
      <c r="E338" s="1" t="s">
        <v>357</v>
      </c>
      <c r="F338" s="1" t="s">
        <v>220</v>
      </c>
      <c r="G338" s="1" t="s">
        <v>334</v>
      </c>
      <c r="H338" s="1">
        <v>2018</v>
      </c>
      <c r="I338" s="34">
        <f t="shared" si="4"/>
        <v>0.40882459178082192</v>
      </c>
      <c r="J338" s="1">
        <v>149.22097600000001</v>
      </c>
    </row>
    <row r="339" spans="1:10">
      <c r="A339" s="1" t="s">
        <v>70</v>
      </c>
      <c r="B339" s="1" t="s">
        <v>71</v>
      </c>
      <c r="C339" s="1" t="s">
        <v>73</v>
      </c>
      <c r="D339" s="1" t="s">
        <v>72</v>
      </c>
      <c r="E339" s="1" t="s">
        <v>357</v>
      </c>
      <c r="F339" s="1" t="s">
        <v>212</v>
      </c>
      <c r="G339" s="1" t="s">
        <v>328</v>
      </c>
      <c r="H339" s="1">
        <v>2018</v>
      </c>
      <c r="I339" s="34">
        <f t="shared" si="4"/>
        <v>0</v>
      </c>
      <c r="J339" s="1">
        <v>0</v>
      </c>
    </row>
    <row r="340" spans="1:10">
      <c r="A340" s="1" t="s">
        <v>70</v>
      </c>
      <c r="B340" s="1" t="s">
        <v>71</v>
      </c>
      <c r="C340" s="1" t="s">
        <v>73</v>
      </c>
      <c r="D340" s="1" t="s">
        <v>72</v>
      </c>
      <c r="E340" s="1" t="s">
        <v>357</v>
      </c>
      <c r="F340" s="1" t="s">
        <v>212</v>
      </c>
      <c r="G340" s="1" t="s">
        <v>329</v>
      </c>
      <c r="H340" s="1">
        <v>2018</v>
      </c>
      <c r="I340" s="34">
        <f t="shared" si="4"/>
        <v>8.1060328767123286E-3</v>
      </c>
      <c r="J340" s="1">
        <v>2.9587020000000002</v>
      </c>
    </row>
    <row r="341" spans="1:10">
      <c r="A341" s="1" t="s">
        <v>70</v>
      </c>
      <c r="B341" s="1" t="s">
        <v>71</v>
      </c>
      <c r="C341" s="1" t="s">
        <v>73</v>
      </c>
      <c r="D341" s="1" t="s">
        <v>72</v>
      </c>
      <c r="E341" s="1" t="s">
        <v>357</v>
      </c>
      <c r="F341" s="1" t="s">
        <v>212</v>
      </c>
      <c r="G341" s="1" t="s">
        <v>330</v>
      </c>
      <c r="H341" s="1">
        <v>2018</v>
      </c>
      <c r="I341" s="34">
        <f t="shared" si="4"/>
        <v>2.1970136986301371E-3</v>
      </c>
      <c r="J341" s="1">
        <v>0.80191000000000001</v>
      </c>
    </row>
    <row r="342" spans="1:10">
      <c r="A342" s="1" t="s">
        <v>70</v>
      </c>
      <c r="B342" s="1" t="s">
        <v>71</v>
      </c>
      <c r="C342" s="1" t="s">
        <v>73</v>
      </c>
      <c r="D342" s="1" t="s">
        <v>72</v>
      </c>
      <c r="E342" s="1" t="s">
        <v>357</v>
      </c>
      <c r="F342" s="1" t="s">
        <v>212</v>
      </c>
      <c r="G342" s="1" t="s">
        <v>331</v>
      </c>
      <c r="H342" s="1">
        <v>2018</v>
      </c>
      <c r="I342" s="34">
        <f t="shared" si="4"/>
        <v>0</v>
      </c>
      <c r="J342" s="1">
        <v>0</v>
      </c>
    </row>
    <row r="343" spans="1:10">
      <c r="A343" s="1" t="s">
        <v>70</v>
      </c>
      <c r="B343" s="1" t="s">
        <v>71</v>
      </c>
      <c r="C343" s="1" t="s">
        <v>73</v>
      </c>
      <c r="D343" s="1" t="s">
        <v>72</v>
      </c>
      <c r="E343" s="1" t="s">
        <v>357</v>
      </c>
      <c r="F343" s="1" t="s">
        <v>212</v>
      </c>
      <c r="G343" s="1" t="s">
        <v>367</v>
      </c>
      <c r="H343" s="1">
        <v>2018</v>
      </c>
      <c r="I343" s="34">
        <f t="shared" si="4"/>
        <v>0.28427201095890409</v>
      </c>
      <c r="J343" s="1">
        <v>103.75928399999999</v>
      </c>
    </row>
    <row r="344" spans="1:10">
      <c r="A344" s="1" t="s">
        <v>70</v>
      </c>
      <c r="B344" s="1" t="s">
        <v>71</v>
      </c>
      <c r="C344" s="1" t="s">
        <v>73</v>
      </c>
      <c r="D344" s="1" t="s">
        <v>72</v>
      </c>
      <c r="E344" s="1" t="s">
        <v>357</v>
      </c>
      <c r="F344" s="1" t="s">
        <v>212</v>
      </c>
      <c r="G344" s="1" t="s">
        <v>334</v>
      </c>
      <c r="H344" s="1">
        <v>2018</v>
      </c>
      <c r="I344" s="34">
        <f t="shared" si="4"/>
        <v>0.29457505753424656</v>
      </c>
      <c r="J344" s="1">
        <v>107.519896</v>
      </c>
    </row>
    <row r="345" spans="1:10">
      <c r="A345" s="1" t="s">
        <v>70</v>
      </c>
      <c r="B345" s="1" t="s">
        <v>71</v>
      </c>
      <c r="C345" s="1" t="s">
        <v>73</v>
      </c>
      <c r="D345" s="1" t="s">
        <v>72</v>
      </c>
      <c r="E345" s="1" t="s">
        <v>357</v>
      </c>
      <c r="F345" s="1" t="s">
        <v>221</v>
      </c>
      <c r="G345" s="1" t="s">
        <v>328</v>
      </c>
      <c r="H345" s="1">
        <v>2018</v>
      </c>
      <c r="I345" s="34">
        <f t="shared" si="4"/>
        <v>2.6794808219178085E-2</v>
      </c>
      <c r="J345" s="1">
        <v>9.7801050000000007</v>
      </c>
    </row>
    <row r="346" spans="1:10">
      <c r="A346" s="1" t="s">
        <v>70</v>
      </c>
      <c r="B346" s="1" t="s">
        <v>71</v>
      </c>
      <c r="C346" s="1" t="s">
        <v>73</v>
      </c>
      <c r="D346" s="1" t="s">
        <v>72</v>
      </c>
      <c r="E346" s="1" t="s">
        <v>357</v>
      </c>
      <c r="F346" s="1" t="s">
        <v>221</v>
      </c>
      <c r="G346" s="1" t="s">
        <v>329</v>
      </c>
      <c r="H346" s="1">
        <v>2018</v>
      </c>
      <c r="I346" s="34">
        <f t="shared" si="4"/>
        <v>1.7592547945205481E-3</v>
      </c>
      <c r="J346" s="1">
        <v>0.64212800000000003</v>
      </c>
    </row>
    <row r="347" spans="1:10">
      <c r="A347" s="1" t="s">
        <v>70</v>
      </c>
      <c r="B347" s="1" t="s">
        <v>71</v>
      </c>
      <c r="C347" s="1" t="s">
        <v>73</v>
      </c>
      <c r="D347" s="1" t="s">
        <v>72</v>
      </c>
      <c r="E347" s="1" t="s">
        <v>357</v>
      </c>
      <c r="F347" s="1" t="s">
        <v>221</v>
      </c>
      <c r="G347" s="1" t="s">
        <v>330</v>
      </c>
      <c r="H347" s="1">
        <v>2018</v>
      </c>
      <c r="I347" s="34">
        <f t="shared" si="4"/>
        <v>3.8657534246575338E-6</v>
      </c>
      <c r="J347" s="1">
        <v>1.4109999999999999E-3</v>
      </c>
    </row>
    <row r="348" spans="1:10">
      <c r="A348" s="1" t="s">
        <v>70</v>
      </c>
      <c r="B348" s="1" t="s">
        <v>71</v>
      </c>
      <c r="C348" s="1" t="s">
        <v>73</v>
      </c>
      <c r="D348" s="1" t="s">
        <v>72</v>
      </c>
      <c r="E348" s="1" t="s">
        <v>357</v>
      </c>
      <c r="F348" s="1" t="s">
        <v>221</v>
      </c>
      <c r="G348" s="1" t="s">
        <v>331</v>
      </c>
      <c r="H348" s="1">
        <v>2018</v>
      </c>
      <c r="I348" s="34">
        <f t="shared" si="4"/>
        <v>7.268493150684931E-6</v>
      </c>
      <c r="J348" s="1">
        <v>2.653E-3</v>
      </c>
    </row>
    <row r="349" spans="1:10">
      <c r="A349" s="1" t="s">
        <v>70</v>
      </c>
      <c r="B349" s="1" t="s">
        <v>71</v>
      </c>
      <c r="C349" s="1" t="s">
        <v>73</v>
      </c>
      <c r="D349" s="1" t="s">
        <v>72</v>
      </c>
      <c r="E349" s="1" t="s">
        <v>357</v>
      </c>
      <c r="F349" s="1" t="s">
        <v>221</v>
      </c>
      <c r="G349" s="1" t="s">
        <v>367</v>
      </c>
      <c r="H349" s="1">
        <v>2018</v>
      </c>
      <c r="I349" s="34">
        <f t="shared" si="4"/>
        <v>0</v>
      </c>
      <c r="J349" s="1">
        <v>0</v>
      </c>
    </row>
    <row r="350" spans="1:10">
      <c r="A350" s="1" t="s">
        <v>70</v>
      </c>
      <c r="B350" s="1" t="s">
        <v>71</v>
      </c>
      <c r="C350" s="1" t="s">
        <v>73</v>
      </c>
      <c r="D350" s="1" t="s">
        <v>72</v>
      </c>
      <c r="E350" s="1" t="s">
        <v>357</v>
      </c>
      <c r="F350" s="1" t="s">
        <v>221</v>
      </c>
      <c r="G350" s="1" t="s">
        <v>334</v>
      </c>
      <c r="H350" s="1">
        <v>2018</v>
      </c>
      <c r="I350" s="34">
        <f t="shared" si="4"/>
        <v>2.8565197260273973E-2</v>
      </c>
      <c r="J350" s="1">
        <v>10.426297</v>
      </c>
    </row>
    <row r="351" spans="1:10">
      <c r="A351" s="1" t="s">
        <v>70</v>
      </c>
      <c r="B351" s="1" t="s">
        <v>71</v>
      </c>
      <c r="C351" s="1" t="s">
        <v>73</v>
      </c>
      <c r="D351" s="1" t="s">
        <v>72</v>
      </c>
      <c r="E351" s="1" t="s">
        <v>357</v>
      </c>
      <c r="F351" s="1" t="s">
        <v>222</v>
      </c>
      <c r="G351" s="1" t="s">
        <v>328</v>
      </c>
      <c r="H351" s="1">
        <v>2018</v>
      </c>
      <c r="I351" s="34">
        <f t="shared" si="4"/>
        <v>1.5448273972602739E-3</v>
      </c>
      <c r="J351" s="1">
        <v>0.56386199999999997</v>
      </c>
    </row>
    <row r="352" spans="1:10">
      <c r="A352" s="1" t="s">
        <v>70</v>
      </c>
      <c r="B352" s="1" t="s">
        <v>71</v>
      </c>
      <c r="C352" s="1" t="s">
        <v>73</v>
      </c>
      <c r="D352" s="1" t="s">
        <v>72</v>
      </c>
      <c r="E352" s="1" t="s">
        <v>357</v>
      </c>
      <c r="F352" s="1" t="s">
        <v>222</v>
      </c>
      <c r="G352" s="1" t="s">
        <v>329</v>
      </c>
      <c r="H352" s="1">
        <v>2018</v>
      </c>
      <c r="I352" s="34">
        <f t="shared" si="4"/>
        <v>1.0615232876712328E-2</v>
      </c>
      <c r="J352" s="1">
        <v>3.8745599999999998</v>
      </c>
    </row>
    <row r="353" spans="1:10">
      <c r="A353" s="1" t="s">
        <v>70</v>
      </c>
      <c r="B353" s="1" t="s">
        <v>71</v>
      </c>
      <c r="C353" s="1" t="s">
        <v>73</v>
      </c>
      <c r="D353" s="1" t="s">
        <v>72</v>
      </c>
      <c r="E353" s="1" t="s">
        <v>357</v>
      </c>
      <c r="F353" s="1" t="s">
        <v>222</v>
      </c>
      <c r="G353" s="1" t="s">
        <v>330</v>
      </c>
      <c r="H353" s="1">
        <v>2018</v>
      </c>
      <c r="I353" s="34">
        <f t="shared" si="4"/>
        <v>0</v>
      </c>
      <c r="J353" s="1">
        <v>0</v>
      </c>
    </row>
    <row r="354" spans="1:10">
      <c r="A354" s="1" t="s">
        <v>70</v>
      </c>
      <c r="B354" s="1" t="s">
        <v>71</v>
      </c>
      <c r="C354" s="1" t="s">
        <v>73</v>
      </c>
      <c r="D354" s="1" t="s">
        <v>72</v>
      </c>
      <c r="E354" s="1" t="s">
        <v>357</v>
      </c>
      <c r="F354" s="1" t="s">
        <v>222</v>
      </c>
      <c r="G354" s="1" t="s">
        <v>331</v>
      </c>
      <c r="H354" s="1">
        <v>2018</v>
      </c>
      <c r="I354" s="34">
        <f t="shared" si="4"/>
        <v>0</v>
      </c>
      <c r="J354" s="1">
        <v>0</v>
      </c>
    </row>
    <row r="355" spans="1:10">
      <c r="A355" s="1" t="s">
        <v>70</v>
      </c>
      <c r="B355" s="1" t="s">
        <v>71</v>
      </c>
      <c r="C355" s="1" t="s">
        <v>73</v>
      </c>
      <c r="D355" s="1" t="s">
        <v>72</v>
      </c>
      <c r="E355" s="1" t="s">
        <v>357</v>
      </c>
      <c r="F355" s="1" t="s">
        <v>222</v>
      </c>
      <c r="G355" s="1" t="s">
        <v>367</v>
      </c>
      <c r="H355" s="1">
        <v>2018</v>
      </c>
      <c r="I355" s="34">
        <f t="shared" si="4"/>
        <v>0</v>
      </c>
      <c r="J355" s="1">
        <v>0</v>
      </c>
    </row>
    <row r="356" spans="1:10">
      <c r="A356" s="1" t="s">
        <v>70</v>
      </c>
      <c r="B356" s="1" t="s">
        <v>71</v>
      </c>
      <c r="C356" s="1" t="s">
        <v>73</v>
      </c>
      <c r="D356" s="1" t="s">
        <v>72</v>
      </c>
      <c r="E356" s="1" t="s">
        <v>357</v>
      </c>
      <c r="F356" s="1" t="s">
        <v>222</v>
      </c>
      <c r="G356" s="1" t="s">
        <v>334</v>
      </c>
      <c r="H356" s="1">
        <v>2018</v>
      </c>
      <c r="I356" s="34">
        <f t="shared" si="4"/>
        <v>1.2160060273972604E-2</v>
      </c>
      <c r="J356" s="1">
        <v>4.4384220000000001</v>
      </c>
    </row>
    <row r="357" spans="1:10">
      <c r="A357" s="1" t="s">
        <v>70</v>
      </c>
      <c r="B357" s="1" t="s">
        <v>71</v>
      </c>
      <c r="C357" s="1" t="s">
        <v>73</v>
      </c>
      <c r="D357" s="1" t="s">
        <v>72</v>
      </c>
      <c r="E357" s="1" t="s">
        <v>357</v>
      </c>
      <c r="F357" s="1" t="s">
        <v>276</v>
      </c>
      <c r="G357" s="1" t="s">
        <v>328</v>
      </c>
      <c r="H357" s="1">
        <v>2018</v>
      </c>
      <c r="I357" s="34">
        <f t="shared" si="4"/>
        <v>6.4680547945205474E-4</v>
      </c>
      <c r="J357" s="1">
        <v>0.23608399999999999</v>
      </c>
    </row>
    <row r="358" spans="1:10">
      <c r="A358" s="1" t="s">
        <v>70</v>
      </c>
      <c r="B358" s="1" t="s">
        <v>71</v>
      </c>
      <c r="C358" s="1" t="s">
        <v>73</v>
      </c>
      <c r="D358" s="1" t="s">
        <v>72</v>
      </c>
      <c r="E358" s="1" t="s">
        <v>357</v>
      </c>
      <c r="F358" s="1" t="s">
        <v>276</v>
      </c>
      <c r="G358" s="1" t="s">
        <v>329</v>
      </c>
      <c r="H358" s="1">
        <v>2018</v>
      </c>
      <c r="I358" s="34">
        <f t="shared" si="4"/>
        <v>4.0750958904109584E-3</v>
      </c>
      <c r="J358" s="1">
        <v>1.4874099999999999</v>
      </c>
    </row>
    <row r="359" spans="1:10">
      <c r="A359" s="1" t="s">
        <v>70</v>
      </c>
      <c r="B359" s="1" t="s">
        <v>71</v>
      </c>
      <c r="C359" s="1" t="s">
        <v>73</v>
      </c>
      <c r="D359" s="1" t="s">
        <v>72</v>
      </c>
      <c r="E359" s="1" t="s">
        <v>357</v>
      </c>
      <c r="F359" s="1" t="s">
        <v>276</v>
      </c>
      <c r="G359" s="1" t="s">
        <v>330</v>
      </c>
      <c r="H359" s="1">
        <v>2018</v>
      </c>
      <c r="I359" s="34">
        <f t="shared" si="4"/>
        <v>0</v>
      </c>
      <c r="J359" s="1">
        <v>0</v>
      </c>
    </row>
    <row r="360" spans="1:10">
      <c r="A360" s="1" t="s">
        <v>70</v>
      </c>
      <c r="B360" s="1" t="s">
        <v>71</v>
      </c>
      <c r="C360" s="1" t="s">
        <v>73</v>
      </c>
      <c r="D360" s="1" t="s">
        <v>72</v>
      </c>
      <c r="E360" s="1" t="s">
        <v>357</v>
      </c>
      <c r="F360" s="1" t="s">
        <v>276</v>
      </c>
      <c r="G360" s="1" t="s">
        <v>331</v>
      </c>
      <c r="H360" s="1">
        <v>2018</v>
      </c>
      <c r="I360" s="34">
        <f t="shared" si="4"/>
        <v>0</v>
      </c>
      <c r="J360" s="1">
        <v>0</v>
      </c>
    </row>
    <row r="361" spans="1:10">
      <c r="A361" s="1" t="s">
        <v>70</v>
      </c>
      <c r="B361" s="1" t="s">
        <v>71</v>
      </c>
      <c r="C361" s="1" t="s">
        <v>73</v>
      </c>
      <c r="D361" s="1" t="s">
        <v>72</v>
      </c>
      <c r="E361" s="1" t="s">
        <v>357</v>
      </c>
      <c r="F361" s="1" t="s">
        <v>276</v>
      </c>
      <c r="G361" s="1" t="s">
        <v>367</v>
      </c>
      <c r="H361" s="1">
        <v>2018</v>
      </c>
      <c r="I361" s="34">
        <f t="shared" si="4"/>
        <v>0</v>
      </c>
      <c r="J361" s="1">
        <v>0</v>
      </c>
    </row>
    <row r="362" spans="1:10">
      <c r="A362" s="1" t="s">
        <v>70</v>
      </c>
      <c r="B362" s="1" t="s">
        <v>71</v>
      </c>
      <c r="C362" s="1" t="s">
        <v>73</v>
      </c>
      <c r="D362" s="1" t="s">
        <v>72</v>
      </c>
      <c r="E362" s="1" t="s">
        <v>357</v>
      </c>
      <c r="F362" s="1" t="s">
        <v>276</v>
      </c>
      <c r="G362" s="1" t="s">
        <v>334</v>
      </c>
      <c r="H362" s="1">
        <v>2018</v>
      </c>
      <c r="I362" s="34">
        <f t="shared" si="4"/>
        <v>4.7219013698630141E-3</v>
      </c>
      <c r="J362" s="1">
        <v>1.7234940000000001</v>
      </c>
    </row>
    <row r="363" spans="1:10">
      <c r="A363" s="1" t="s">
        <v>70</v>
      </c>
      <c r="B363" s="1" t="s">
        <v>71</v>
      </c>
      <c r="C363" s="1" t="s">
        <v>73</v>
      </c>
      <c r="D363" s="1" t="s">
        <v>72</v>
      </c>
      <c r="E363" s="1" t="s">
        <v>357</v>
      </c>
      <c r="F363" s="1" t="s">
        <v>368</v>
      </c>
      <c r="G363" s="1" t="s">
        <v>328</v>
      </c>
      <c r="H363" s="1">
        <v>2018</v>
      </c>
      <c r="I363" s="34">
        <f t="shared" si="4"/>
        <v>0</v>
      </c>
      <c r="J363" s="1">
        <v>0</v>
      </c>
    </row>
    <row r="364" spans="1:10">
      <c r="A364" s="1" t="s">
        <v>70</v>
      </c>
      <c r="B364" s="1" t="s">
        <v>71</v>
      </c>
      <c r="C364" s="1" t="s">
        <v>73</v>
      </c>
      <c r="D364" s="1" t="s">
        <v>72</v>
      </c>
      <c r="E364" s="1" t="s">
        <v>357</v>
      </c>
      <c r="F364" s="1" t="s">
        <v>368</v>
      </c>
      <c r="G364" s="1" t="s">
        <v>329</v>
      </c>
      <c r="H364" s="1">
        <v>2018</v>
      </c>
      <c r="I364" s="34">
        <f t="shared" si="4"/>
        <v>0</v>
      </c>
      <c r="J364" s="1">
        <v>0</v>
      </c>
    </row>
    <row r="365" spans="1:10">
      <c r="A365" s="1" t="s">
        <v>70</v>
      </c>
      <c r="B365" s="1" t="s">
        <v>71</v>
      </c>
      <c r="C365" s="1" t="s">
        <v>73</v>
      </c>
      <c r="D365" s="1" t="s">
        <v>72</v>
      </c>
      <c r="E365" s="1" t="s">
        <v>357</v>
      </c>
      <c r="F365" s="1" t="s">
        <v>368</v>
      </c>
      <c r="G365" s="1" t="s">
        <v>330</v>
      </c>
      <c r="H365" s="1">
        <v>2018</v>
      </c>
      <c r="I365" s="34">
        <f t="shared" si="4"/>
        <v>0</v>
      </c>
      <c r="J365" s="1">
        <v>0</v>
      </c>
    </row>
    <row r="366" spans="1:10">
      <c r="A366" s="1" t="s">
        <v>70</v>
      </c>
      <c r="B366" s="1" t="s">
        <v>71</v>
      </c>
      <c r="C366" s="1" t="s">
        <v>73</v>
      </c>
      <c r="D366" s="1" t="s">
        <v>72</v>
      </c>
      <c r="E366" s="1" t="s">
        <v>357</v>
      </c>
      <c r="F366" s="1" t="s">
        <v>368</v>
      </c>
      <c r="G366" s="1" t="s">
        <v>331</v>
      </c>
      <c r="H366" s="1">
        <v>2018</v>
      </c>
      <c r="I366" s="34">
        <f t="shared" si="4"/>
        <v>0</v>
      </c>
      <c r="J366" s="1">
        <v>0</v>
      </c>
    </row>
    <row r="367" spans="1:10">
      <c r="A367" s="1" t="s">
        <v>70</v>
      </c>
      <c r="B367" s="1" t="s">
        <v>71</v>
      </c>
      <c r="C367" s="1" t="s">
        <v>73</v>
      </c>
      <c r="D367" s="1" t="s">
        <v>72</v>
      </c>
      <c r="E367" s="1" t="s">
        <v>357</v>
      </c>
      <c r="F367" s="1" t="s">
        <v>368</v>
      </c>
      <c r="G367" s="1" t="s">
        <v>367</v>
      </c>
      <c r="H367" s="1">
        <v>2018</v>
      </c>
      <c r="I367" s="34">
        <f t="shared" si="4"/>
        <v>0</v>
      </c>
      <c r="J367" s="1">
        <v>0</v>
      </c>
    </row>
    <row r="368" spans="1:10">
      <c r="A368" s="1" t="s">
        <v>70</v>
      </c>
      <c r="B368" s="1" t="s">
        <v>71</v>
      </c>
      <c r="C368" s="1" t="s">
        <v>73</v>
      </c>
      <c r="D368" s="1" t="s">
        <v>72</v>
      </c>
      <c r="E368" s="1" t="s">
        <v>357</v>
      </c>
      <c r="F368" s="1" t="s">
        <v>368</v>
      </c>
      <c r="G368" s="1" t="s">
        <v>334</v>
      </c>
      <c r="H368" s="1">
        <v>2018</v>
      </c>
      <c r="I368" s="34">
        <f t="shared" si="4"/>
        <v>0</v>
      </c>
      <c r="J368" s="1">
        <v>0</v>
      </c>
    </row>
    <row r="369" spans="1:10">
      <c r="A369" s="1" t="s">
        <v>70</v>
      </c>
      <c r="B369" s="1" t="s">
        <v>71</v>
      </c>
      <c r="C369" s="1" t="s">
        <v>73</v>
      </c>
      <c r="D369" s="1" t="s">
        <v>72</v>
      </c>
      <c r="E369" s="1" t="s">
        <v>357</v>
      </c>
      <c r="F369" s="1" t="s">
        <v>223</v>
      </c>
      <c r="G369" s="1" t="s">
        <v>328</v>
      </c>
      <c r="H369" s="1">
        <v>2018</v>
      </c>
      <c r="I369" s="34">
        <f t="shared" si="4"/>
        <v>0</v>
      </c>
      <c r="J369" s="1">
        <v>0</v>
      </c>
    </row>
    <row r="370" spans="1:10">
      <c r="A370" s="1" t="s">
        <v>70</v>
      </c>
      <c r="B370" s="1" t="s">
        <v>71</v>
      </c>
      <c r="C370" s="1" t="s">
        <v>73</v>
      </c>
      <c r="D370" s="1" t="s">
        <v>72</v>
      </c>
      <c r="E370" s="1" t="s">
        <v>357</v>
      </c>
      <c r="F370" s="1" t="s">
        <v>223</v>
      </c>
      <c r="G370" s="1" t="s">
        <v>329</v>
      </c>
      <c r="H370" s="1">
        <v>2018</v>
      </c>
      <c r="I370" s="34">
        <f t="shared" si="4"/>
        <v>0</v>
      </c>
      <c r="J370" s="1">
        <v>0</v>
      </c>
    </row>
    <row r="371" spans="1:10">
      <c r="A371" s="1" t="s">
        <v>70</v>
      </c>
      <c r="B371" s="1" t="s">
        <v>71</v>
      </c>
      <c r="C371" s="1" t="s">
        <v>73</v>
      </c>
      <c r="D371" s="1" t="s">
        <v>72</v>
      </c>
      <c r="E371" s="1" t="s">
        <v>357</v>
      </c>
      <c r="F371" s="1" t="s">
        <v>223</v>
      </c>
      <c r="G371" s="1" t="s">
        <v>330</v>
      </c>
      <c r="H371" s="1">
        <v>2018</v>
      </c>
      <c r="I371" s="34">
        <f t="shared" si="4"/>
        <v>0</v>
      </c>
      <c r="J371" s="1">
        <v>0</v>
      </c>
    </row>
    <row r="372" spans="1:10">
      <c r="A372" s="1" t="s">
        <v>70</v>
      </c>
      <c r="B372" s="1" t="s">
        <v>71</v>
      </c>
      <c r="C372" s="1" t="s">
        <v>73</v>
      </c>
      <c r="D372" s="1" t="s">
        <v>72</v>
      </c>
      <c r="E372" s="1" t="s">
        <v>357</v>
      </c>
      <c r="F372" s="1" t="s">
        <v>223</v>
      </c>
      <c r="G372" s="1" t="s">
        <v>331</v>
      </c>
      <c r="H372" s="1">
        <v>2018</v>
      </c>
      <c r="I372" s="34">
        <f t="shared" si="4"/>
        <v>0</v>
      </c>
      <c r="J372" s="1">
        <v>0</v>
      </c>
    </row>
    <row r="373" spans="1:10">
      <c r="A373" s="1" t="s">
        <v>70</v>
      </c>
      <c r="B373" s="1" t="s">
        <v>71</v>
      </c>
      <c r="C373" s="1" t="s">
        <v>73</v>
      </c>
      <c r="D373" s="1" t="s">
        <v>72</v>
      </c>
      <c r="E373" s="1" t="s">
        <v>357</v>
      </c>
      <c r="F373" s="1" t="s">
        <v>223</v>
      </c>
      <c r="G373" s="1" t="s">
        <v>367</v>
      </c>
      <c r="H373" s="1">
        <v>2018</v>
      </c>
      <c r="I373" s="34">
        <f t="shared" si="4"/>
        <v>2.5917791780821917E-2</v>
      </c>
      <c r="J373" s="1">
        <v>9.459994</v>
      </c>
    </row>
    <row r="374" spans="1:10">
      <c r="A374" s="1" t="s">
        <v>70</v>
      </c>
      <c r="B374" s="1" t="s">
        <v>71</v>
      </c>
      <c r="C374" s="1" t="s">
        <v>73</v>
      </c>
      <c r="D374" s="1" t="s">
        <v>72</v>
      </c>
      <c r="E374" s="1" t="s">
        <v>357</v>
      </c>
      <c r="F374" s="1" t="s">
        <v>223</v>
      </c>
      <c r="G374" s="1" t="s">
        <v>334</v>
      </c>
      <c r="H374" s="1">
        <v>2018</v>
      </c>
      <c r="I374" s="34">
        <f t="shared" ref="I374:I386" si="5">J374/365</f>
        <v>2.5917791780821917E-2</v>
      </c>
      <c r="J374" s="1">
        <v>9.459994</v>
      </c>
    </row>
    <row r="375" spans="1:10">
      <c r="A375" s="1" t="s">
        <v>70</v>
      </c>
      <c r="B375" s="1" t="s">
        <v>71</v>
      </c>
      <c r="C375" s="1" t="s">
        <v>73</v>
      </c>
      <c r="D375" s="1" t="s">
        <v>72</v>
      </c>
      <c r="E375" s="1" t="s">
        <v>357</v>
      </c>
      <c r="F375" s="1" t="s">
        <v>369</v>
      </c>
      <c r="G375" s="1" t="s">
        <v>328</v>
      </c>
      <c r="H375" s="1">
        <v>2018</v>
      </c>
      <c r="I375" s="34">
        <f t="shared" si="5"/>
        <v>6.0764383561643829E-4</v>
      </c>
      <c r="J375" s="1">
        <v>0.22178999999999999</v>
      </c>
    </row>
    <row r="376" spans="1:10">
      <c r="A376" s="1" t="s">
        <v>70</v>
      </c>
      <c r="B376" s="1" t="s">
        <v>71</v>
      </c>
      <c r="C376" s="1" t="s">
        <v>73</v>
      </c>
      <c r="D376" s="1" t="s">
        <v>72</v>
      </c>
      <c r="E376" s="1" t="s">
        <v>357</v>
      </c>
      <c r="F376" s="1" t="s">
        <v>369</v>
      </c>
      <c r="G376" s="1" t="s">
        <v>329</v>
      </c>
      <c r="H376" s="1">
        <v>2018</v>
      </c>
      <c r="I376" s="34">
        <f t="shared" si="5"/>
        <v>0</v>
      </c>
      <c r="J376" s="1">
        <v>0</v>
      </c>
    </row>
    <row r="377" spans="1:10">
      <c r="A377" s="1" t="s">
        <v>70</v>
      </c>
      <c r="B377" s="1" t="s">
        <v>71</v>
      </c>
      <c r="C377" s="1" t="s">
        <v>73</v>
      </c>
      <c r="D377" s="1" t="s">
        <v>72</v>
      </c>
      <c r="E377" s="1" t="s">
        <v>357</v>
      </c>
      <c r="F377" s="1" t="s">
        <v>369</v>
      </c>
      <c r="G377" s="1" t="s">
        <v>330</v>
      </c>
      <c r="H377" s="1">
        <v>2018</v>
      </c>
      <c r="I377" s="34">
        <f t="shared" si="5"/>
        <v>0</v>
      </c>
      <c r="J377" s="1">
        <v>0</v>
      </c>
    </row>
    <row r="378" spans="1:10">
      <c r="A378" s="1" t="s">
        <v>70</v>
      </c>
      <c r="B378" s="1" t="s">
        <v>71</v>
      </c>
      <c r="C378" s="1" t="s">
        <v>73</v>
      </c>
      <c r="D378" s="1" t="s">
        <v>72</v>
      </c>
      <c r="E378" s="1" t="s">
        <v>357</v>
      </c>
      <c r="F378" s="1" t="s">
        <v>369</v>
      </c>
      <c r="G378" s="1" t="s">
        <v>331</v>
      </c>
      <c r="H378" s="1">
        <v>2018</v>
      </c>
      <c r="I378" s="34">
        <f t="shared" si="5"/>
        <v>0</v>
      </c>
      <c r="J378" s="1">
        <v>0</v>
      </c>
    </row>
    <row r="379" spans="1:10">
      <c r="A379" s="1" t="s">
        <v>70</v>
      </c>
      <c r="B379" s="1" t="s">
        <v>71</v>
      </c>
      <c r="C379" s="1" t="s">
        <v>73</v>
      </c>
      <c r="D379" s="1" t="s">
        <v>72</v>
      </c>
      <c r="E379" s="1" t="s">
        <v>357</v>
      </c>
      <c r="F379" s="1" t="s">
        <v>369</v>
      </c>
      <c r="G379" s="1" t="s">
        <v>367</v>
      </c>
      <c r="H379" s="1">
        <v>2018</v>
      </c>
      <c r="I379" s="34">
        <f t="shared" si="5"/>
        <v>0</v>
      </c>
      <c r="J379" s="1">
        <v>0</v>
      </c>
    </row>
    <row r="380" spans="1:10">
      <c r="A380" s="1" t="s">
        <v>70</v>
      </c>
      <c r="B380" s="1" t="s">
        <v>71</v>
      </c>
      <c r="C380" s="1" t="s">
        <v>73</v>
      </c>
      <c r="D380" s="1" t="s">
        <v>72</v>
      </c>
      <c r="E380" s="1" t="s">
        <v>357</v>
      </c>
      <c r="F380" s="1" t="s">
        <v>369</v>
      </c>
      <c r="G380" s="1" t="s">
        <v>334</v>
      </c>
      <c r="H380" s="1">
        <v>2018</v>
      </c>
      <c r="I380" s="34">
        <f t="shared" si="5"/>
        <v>6.0764383561643829E-4</v>
      </c>
      <c r="J380" s="1">
        <v>0.22178999999999999</v>
      </c>
    </row>
    <row r="381" spans="1:10">
      <c r="A381" s="1" t="s">
        <v>70</v>
      </c>
      <c r="B381" s="1" t="s">
        <v>71</v>
      </c>
      <c r="C381" s="1" t="s">
        <v>73</v>
      </c>
      <c r="D381" s="1" t="s">
        <v>72</v>
      </c>
      <c r="E381" s="1" t="s">
        <v>357</v>
      </c>
      <c r="F381" s="1" t="s">
        <v>226</v>
      </c>
      <c r="G381" s="1" t="s">
        <v>328</v>
      </c>
      <c r="H381" s="1">
        <v>2018</v>
      </c>
      <c r="I381" s="34">
        <f t="shared" si="5"/>
        <v>0</v>
      </c>
      <c r="J381" s="1">
        <v>0</v>
      </c>
    </row>
    <row r="382" spans="1:10">
      <c r="A382" s="1" t="s">
        <v>70</v>
      </c>
      <c r="B382" s="1" t="s">
        <v>71</v>
      </c>
      <c r="C382" s="1" t="s">
        <v>73</v>
      </c>
      <c r="D382" s="1" t="s">
        <v>72</v>
      </c>
      <c r="E382" s="1" t="s">
        <v>357</v>
      </c>
      <c r="F382" s="1" t="s">
        <v>226</v>
      </c>
      <c r="G382" s="1" t="s">
        <v>329</v>
      </c>
      <c r="H382" s="1">
        <v>2018</v>
      </c>
      <c r="I382" s="34">
        <f t="shared" si="5"/>
        <v>0</v>
      </c>
      <c r="J382" s="1">
        <v>0</v>
      </c>
    </row>
    <row r="383" spans="1:10">
      <c r="A383" s="1" t="s">
        <v>70</v>
      </c>
      <c r="B383" s="1" t="s">
        <v>71</v>
      </c>
      <c r="C383" s="1" t="s">
        <v>73</v>
      </c>
      <c r="D383" s="1" t="s">
        <v>72</v>
      </c>
      <c r="E383" s="1" t="s">
        <v>357</v>
      </c>
      <c r="F383" s="1" t="s">
        <v>226</v>
      </c>
      <c r="G383" s="1" t="s">
        <v>330</v>
      </c>
      <c r="H383" s="1">
        <v>2018</v>
      </c>
      <c r="I383" s="34">
        <f t="shared" si="5"/>
        <v>0</v>
      </c>
      <c r="J383" s="1">
        <v>0</v>
      </c>
    </row>
    <row r="384" spans="1:10">
      <c r="A384" s="1" t="s">
        <v>70</v>
      </c>
      <c r="B384" s="1" t="s">
        <v>71</v>
      </c>
      <c r="C384" s="1" t="s">
        <v>73</v>
      </c>
      <c r="D384" s="1" t="s">
        <v>72</v>
      </c>
      <c r="E384" s="1" t="s">
        <v>357</v>
      </c>
      <c r="F384" s="1" t="s">
        <v>226</v>
      </c>
      <c r="G384" s="1" t="s">
        <v>331</v>
      </c>
      <c r="H384" s="1">
        <v>2018</v>
      </c>
      <c r="I384" s="34">
        <f t="shared" si="5"/>
        <v>0</v>
      </c>
      <c r="J384" s="1">
        <v>0</v>
      </c>
    </row>
    <row r="385" spans="1:10">
      <c r="A385" s="1" t="s">
        <v>70</v>
      </c>
      <c r="B385" s="1" t="s">
        <v>71</v>
      </c>
      <c r="C385" s="1" t="s">
        <v>73</v>
      </c>
      <c r="D385" s="1" t="s">
        <v>72</v>
      </c>
      <c r="E385" s="1" t="s">
        <v>357</v>
      </c>
      <c r="F385" s="1" t="s">
        <v>226</v>
      </c>
      <c r="G385" s="1" t="s">
        <v>367</v>
      </c>
      <c r="H385" s="1">
        <v>2018</v>
      </c>
      <c r="I385" s="34">
        <f t="shared" si="5"/>
        <v>5.2748797260273976E-2</v>
      </c>
      <c r="J385" s="1">
        <v>19.253311</v>
      </c>
    </row>
    <row r="386" spans="1:10">
      <c r="A386" s="1" t="s">
        <v>70</v>
      </c>
      <c r="B386" s="1" t="s">
        <v>71</v>
      </c>
      <c r="C386" s="1" t="s">
        <v>73</v>
      </c>
      <c r="D386" s="1" t="s">
        <v>72</v>
      </c>
      <c r="E386" s="1" t="s">
        <v>357</v>
      </c>
      <c r="F386" s="1" t="s">
        <v>226</v>
      </c>
      <c r="G386" s="1" t="s">
        <v>334</v>
      </c>
      <c r="H386" s="1">
        <v>2018</v>
      </c>
      <c r="I386" s="34">
        <f t="shared" si="5"/>
        <v>5.2748797260273976E-2</v>
      </c>
      <c r="J386" s="1">
        <v>19.253311</v>
      </c>
    </row>
    <row r="387" spans="1:10">
      <c r="A387" s="1" t="s">
        <v>70</v>
      </c>
      <c r="B387" s="1" t="s">
        <v>71</v>
      </c>
      <c r="C387" s="1" t="s">
        <v>73</v>
      </c>
      <c r="D387" s="1" t="s">
        <v>81</v>
      </c>
      <c r="E387" s="1" t="s">
        <v>370</v>
      </c>
      <c r="F387" s="1" t="s">
        <v>334</v>
      </c>
      <c r="G387" s="1" t="s">
        <v>334</v>
      </c>
      <c r="H387" s="1">
        <v>2013</v>
      </c>
      <c r="I387" s="34">
        <v>2.9678689999999999</v>
      </c>
    </row>
    <row r="388" spans="1:10">
      <c r="A388" s="1" t="s">
        <v>70</v>
      </c>
      <c r="B388" s="1" t="s">
        <v>71</v>
      </c>
      <c r="C388" s="1" t="s">
        <v>73</v>
      </c>
      <c r="D388" s="1" t="s">
        <v>81</v>
      </c>
      <c r="E388" s="1" t="s">
        <v>370</v>
      </c>
      <c r="F388" s="1" t="s">
        <v>334</v>
      </c>
      <c r="G388" s="1" t="s">
        <v>334</v>
      </c>
      <c r="H388" s="1">
        <v>2014</v>
      </c>
      <c r="I388" s="34">
        <v>2.9328219999999998</v>
      </c>
    </row>
    <row r="389" spans="1:10">
      <c r="A389" s="1" t="s">
        <v>70</v>
      </c>
      <c r="B389" s="1" t="s">
        <v>71</v>
      </c>
      <c r="C389" s="1" t="s">
        <v>73</v>
      </c>
      <c r="D389" s="1" t="s">
        <v>81</v>
      </c>
      <c r="E389" s="1" t="s">
        <v>370</v>
      </c>
      <c r="F389" s="1" t="s">
        <v>334</v>
      </c>
      <c r="G389" s="1" t="s">
        <v>334</v>
      </c>
      <c r="H389" s="1">
        <v>2015</v>
      </c>
      <c r="I389" s="34">
        <v>2.953735</v>
      </c>
    </row>
    <row r="390" spans="1:10">
      <c r="A390" s="1" t="s">
        <v>70</v>
      </c>
      <c r="B390" s="1" t="s">
        <v>71</v>
      </c>
      <c r="C390" s="1" t="s">
        <v>73</v>
      </c>
      <c r="D390" s="1" t="s">
        <v>81</v>
      </c>
      <c r="E390" s="1" t="s">
        <v>370</v>
      </c>
      <c r="F390" s="1" t="s">
        <v>334</v>
      </c>
      <c r="G390" s="1" t="s">
        <v>334</v>
      </c>
      <c r="H390" s="1">
        <v>2016</v>
      </c>
      <c r="I390" s="34">
        <v>2.8154620000000001</v>
      </c>
    </row>
    <row r="391" spans="1:10">
      <c r="A391" s="1" t="s">
        <v>70</v>
      </c>
      <c r="B391" s="1" t="s">
        <v>71</v>
      </c>
      <c r="C391" s="1" t="s">
        <v>73</v>
      </c>
      <c r="D391" s="1" t="s">
        <v>81</v>
      </c>
      <c r="E391" s="1" t="s">
        <v>370</v>
      </c>
      <c r="F391" s="1" t="s">
        <v>334</v>
      </c>
      <c r="G391" s="1" t="s">
        <v>334</v>
      </c>
      <c r="H391" s="1">
        <v>2017</v>
      </c>
      <c r="I391" s="34" t="s">
        <v>73</v>
      </c>
    </row>
    <row r="392" spans="1:10">
      <c r="A392" s="1" t="s">
        <v>70</v>
      </c>
      <c r="B392" s="1" t="s">
        <v>71</v>
      </c>
      <c r="C392" s="1" t="s">
        <v>73</v>
      </c>
      <c r="D392" s="1" t="s">
        <v>81</v>
      </c>
      <c r="E392" s="1" t="s">
        <v>370</v>
      </c>
      <c r="F392" s="1" t="s">
        <v>334</v>
      </c>
      <c r="G392" s="1" t="s">
        <v>334</v>
      </c>
      <c r="H392" s="1">
        <v>2018</v>
      </c>
      <c r="I392" s="34">
        <v>2.7000500000000001</v>
      </c>
    </row>
  </sheetData>
  <autoFilter ref="A1:K20" xr:uid="{00000000-0009-0000-0000-00000D00000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3"/>
  <sheetViews>
    <sheetView workbookViewId="0">
      <selection sqref="A1:H1"/>
    </sheetView>
  </sheetViews>
  <sheetFormatPr defaultColWidth="8.85546875" defaultRowHeight="14.45"/>
  <cols>
    <col min="1" max="1" width="10.140625" style="1" bestFit="1" customWidth="1"/>
    <col min="2" max="4" width="8.85546875" style="1"/>
    <col min="5" max="5" width="13.140625" style="1" bestFit="1" customWidth="1"/>
    <col min="6" max="6" width="16.140625" style="1" bestFit="1" customWidth="1"/>
    <col min="7" max="16384" width="8.85546875" style="1"/>
  </cols>
  <sheetData>
    <row r="1" spans="1:8">
      <c r="A1" s="2" t="s">
        <v>51</v>
      </c>
      <c r="B1" s="2" t="s">
        <v>52</v>
      </c>
      <c r="C1" s="2" t="s">
        <v>53</v>
      </c>
      <c r="D1" s="2" t="s">
        <v>189</v>
      </c>
      <c r="E1" s="2" t="s">
        <v>371</v>
      </c>
      <c r="F1" s="2" t="s">
        <v>372</v>
      </c>
      <c r="G1" s="2" t="s">
        <v>373</v>
      </c>
      <c r="H1" s="2" t="s">
        <v>69</v>
      </c>
    </row>
    <row r="2" spans="1:8">
      <c r="A2" s="1" t="s">
        <v>70</v>
      </c>
      <c r="B2" s="1" t="s">
        <v>71</v>
      </c>
      <c r="C2" s="1">
        <v>1997</v>
      </c>
      <c r="D2" s="1">
        <v>1991</v>
      </c>
      <c r="E2" s="1">
        <v>42.72</v>
      </c>
      <c r="G2" s="1" t="s">
        <v>374</v>
      </c>
      <c r="H2" s="1" t="s">
        <v>375</v>
      </c>
    </row>
    <row r="3" spans="1:8">
      <c r="A3" s="1" t="s">
        <v>70</v>
      </c>
      <c r="B3" s="1" t="s">
        <v>71</v>
      </c>
      <c r="C3" s="1">
        <v>1997</v>
      </c>
      <c r="D3" s="1">
        <v>1992</v>
      </c>
      <c r="E3" s="1">
        <v>43.48</v>
      </c>
    </row>
    <row r="4" spans="1:8">
      <c r="A4" s="1" t="s">
        <v>70</v>
      </c>
      <c r="B4" s="1" t="s">
        <v>71</v>
      </c>
      <c r="C4" s="1">
        <v>1997</v>
      </c>
      <c r="D4" s="1">
        <v>1993</v>
      </c>
      <c r="E4" s="1">
        <v>44.854999999999997</v>
      </c>
    </row>
    <row r="5" spans="1:8">
      <c r="A5" s="1" t="s">
        <v>70</v>
      </c>
      <c r="B5" s="1" t="s">
        <v>71</v>
      </c>
      <c r="C5" s="1">
        <v>1997</v>
      </c>
      <c r="D5" s="1">
        <v>1994</v>
      </c>
      <c r="E5" s="1">
        <v>34.53</v>
      </c>
    </row>
    <row r="6" spans="1:8">
      <c r="A6" s="1" t="s">
        <v>70</v>
      </c>
      <c r="B6" s="1" t="s">
        <v>71</v>
      </c>
      <c r="C6" s="1">
        <v>1997</v>
      </c>
      <c r="D6" s="1">
        <v>1995</v>
      </c>
      <c r="E6" s="1">
        <v>33.840000000000003</v>
      </c>
    </row>
    <row r="7" spans="1:8">
      <c r="A7" s="1" t="s">
        <v>70</v>
      </c>
      <c r="B7" s="1" t="s">
        <v>71</v>
      </c>
      <c r="C7" s="1">
        <v>1997</v>
      </c>
      <c r="D7" s="1">
        <v>1996</v>
      </c>
      <c r="E7" s="1">
        <v>39.19</v>
      </c>
    </row>
    <row r="8" spans="1:8">
      <c r="A8" s="1" t="s">
        <v>70</v>
      </c>
      <c r="B8" s="1" t="s">
        <v>71</v>
      </c>
      <c r="C8" s="1">
        <v>2007</v>
      </c>
      <c r="D8" s="1">
        <v>2000</v>
      </c>
      <c r="E8" s="1">
        <f>ROUND((0.05+5.097)/11.648*100,2)</f>
        <v>44.19</v>
      </c>
      <c r="F8" s="1">
        <f>ROUND((5.097)/11.648*100,2)</f>
        <v>43.76</v>
      </c>
      <c r="G8" s="1" t="s">
        <v>376</v>
      </c>
      <c r="H8" s="1" t="s">
        <v>377</v>
      </c>
    </row>
    <row r="9" spans="1:8">
      <c r="A9" s="1" t="s">
        <v>70</v>
      </c>
      <c r="B9" s="1" t="s">
        <v>71</v>
      </c>
      <c r="C9" s="1">
        <v>2007</v>
      </c>
      <c r="D9" s="1">
        <v>2001</v>
      </c>
      <c r="E9" s="1">
        <f>ROUND((0.779+4.898)/11.956*100,2)</f>
        <v>47.48</v>
      </c>
      <c r="F9" s="1">
        <f>ROUND((4.898)/11.956*100,2)</f>
        <v>40.97</v>
      </c>
      <c r="G9" s="1" t="s">
        <v>376</v>
      </c>
      <c r="H9" s="1" t="s">
        <v>377</v>
      </c>
    </row>
    <row r="10" spans="1:8">
      <c r="A10" s="1" t="s">
        <v>70</v>
      </c>
      <c r="B10" s="1" t="s">
        <v>71</v>
      </c>
      <c r="C10" s="1">
        <v>2007</v>
      </c>
      <c r="D10" s="1">
        <v>2002</v>
      </c>
      <c r="E10" s="1">
        <f>ROUND((0.618+4.499)/11.37*100,2)</f>
        <v>45</v>
      </c>
      <c r="F10" s="1">
        <f>ROUND((4.499)/11.37*100,2)</f>
        <v>39.57</v>
      </c>
      <c r="G10" s="1" t="s">
        <v>376</v>
      </c>
      <c r="H10" s="1" t="s">
        <v>377</v>
      </c>
    </row>
    <row r="11" spans="1:8">
      <c r="A11" s="1" t="s">
        <v>70</v>
      </c>
      <c r="B11" s="1" t="s">
        <v>71</v>
      </c>
      <c r="C11" s="1">
        <v>2007</v>
      </c>
      <c r="D11" s="1">
        <v>2003</v>
      </c>
      <c r="E11" s="1">
        <f>ROUND((0.826+4.33)/11.365*100,2)</f>
        <v>45.37</v>
      </c>
      <c r="F11" s="1">
        <f>ROUND((4.33)/11.365*100,2)</f>
        <v>38.1</v>
      </c>
      <c r="G11" s="1" t="s">
        <v>376</v>
      </c>
      <c r="H11" s="1" t="s">
        <v>377</v>
      </c>
    </row>
    <row r="12" spans="1:8">
      <c r="A12" s="1" t="s">
        <v>70</v>
      </c>
      <c r="B12" s="1" t="s">
        <v>71</v>
      </c>
      <c r="C12" s="1">
        <v>2007</v>
      </c>
      <c r="D12" s="1">
        <v>2004</v>
      </c>
      <c r="E12" s="1">
        <f>ROUND((0.817+4.647)/11.801*100,2)</f>
        <v>46.3</v>
      </c>
      <c r="F12" s="1">
        <f>ROUND((4.647)/11.801*100,2)</f>
        <v>39.380000000000003</v>
      </c>
      <c r="G12" s="1" t="s">
        <v>376</v>
      </c>
      <c r="H12" s="1" t="s">
        <v>377</v>
      </c>
    </row>
    <row r="13" spans="1:8">
      <c r="A13" s="1" t="s">
        <v>70</v>
      </c>
      <c r="B13" s="1" t="s">
        <v>71</v>
      </c>
      <c r="C13" s="1">
        <v>2007</v>
      </c>
      <c r="D13" s="1">
        <v>2005</v>
      </c>
      <c r="E13" s="1">
        <f>ROUND((0.793+4.444)/11.541*100,2)</f>
        <v>45.38</v>
      </c>
      <c r="F13" s="1">
        <f>ROUND((4.444)/11.541*100,2)</f>
        <v>38.51</v>
      </c>
      <c r="G13" s="1" t="s">
        <v>376</v>
      </c>
      <c r="H13" s="1" t="s">
        <v>377</v>
      </c>
    </row>
    <row r="14" spans="1:8">
      <c r="A14" s="1" t="s">
        <v>70</v>
      </c>
      <c r="B14" s="1" t="s">
        <v>71</v>
      </c>
      <c r="C14" s="1">
        <v>2007</v>
      </c>
      <c r="D14" s="1">
        <v>2006</v>
      </c>
      <c r="E14" s="1">
        <f>ROUND((0.773+4.35)/11.13*100,2)</f>
        <v>46.03</v>
      </c>
      <c r="F14" s="1">
        <f>ROUND((4.35)/11.13*100,2)</f>
        <v>39.08</v>
      </c>
      <c r="G14" s="1" t="s">
        <v>376</v>
      </c>
      <c r="H14" s="1" t="s">
        <v>377</v>
      </c>
    </row>
    <row r="15" spans="1:8">
      <c r="A15" s="1" t="s">
        <v>70</v>
      </c>
      <c r="B15" s="1" t="s">
        <v>71</v>
      </c>
      <c r="C15" s="1">
        <v>2007</v>
      </c>
      <c r="D15" s="1">
        <v>2007</v>
      </c>
      <c r="E15" s="1">
        <f>ROUND((1.956+4.304)/12.04*100,2)</f>
        <v>51.99</v>
      </c>
      <c r="F15" s="1">
        <f>ROUND((4.304)/12.04*100,2)</f>
        <v>35.75</v>
      </c>
      <c r="G15" s="1" t="s">
        <v>376</v>
      </c>
      <c r="H15" s="1" t="s">
        <v>377</v>
      </c>
    </row>
    <row r="16" spans="1:8">
      <c r="A16" s="1" t="s">
        <v>70</v>
      </c>
      <c r="B16" s="1" t="s">
        <v>71</v>
      </c>
      <c r="C16" s="1" t="s">
        <v>73</v>
      </c>
      <c r="D16" s="1">
        <v>2011</v>
      </c>
      <c r="E16" s="1">
        <v>35.700000000000003</v>
      </c>
      <c r="F16" s="18">
        <f>1.72/9.027*100</f>
        <v>19.053949263321147</v>
      </c>
      <c r="G16" s="1" t="s">
        <v>376</v>
      </c>
    </row>
    <row r="17" spans="1:7">
      <c r="A17" s="1" t="s">
        <v>70</v>
      </c>
      <c r="B17" s="1" t="s">
        <v>71</v>
      </c>
      <c r="C17" s="1" t="s">
        <v>73</v>
      </c>
      <c r="D17" s="1">
        <v>2012</v>
      </c>
      <c r="E17" s="1">
        <v>35.18</v>
      </c>
      <c r="F17" s="18">
        <f>2.453/8.673*100</f>
        <v>28.283177677850802</v>
      </c>
      <c r="G17" s="1" t="s">
        <v>376</v>
      </c>
    </row>
    <row r="18" spans="1:7">
      <c r="A18" s="1" t="s">
        <v>70</v>
      </c>
      <c r="B18" s="1" t="s">
        <v>71</v>
      </c>
      <c r="C18" s="1" t="s">
        <v>73</v>
      </c>
      <c r="D18" s="1">
        <v>2013</v>
      </c>
      <c r="E18" s="1">
        <v>38.28</v>
      </c>
      <c r="F18" s="18">
        <f>2.709/8.936*100</f>
        <v>30.31557743957028</v>
      </c>
      <c r="G18" s="1" t="s">
        <v>376</v>
      </c>
    </row>
    <row r="19" spans="1:7">
      <c r="A19" s="1" t="s">
        <v>70</v>
      </c>
      <c r="B19" s="1" t="s">
        <v>71</v>
      </c>
      <c r="C19" s="1" t="s">
        <v>73</v>
      </c>
      <c r="D19" s="1">
        <v>2014</v>
      </c>
      <c r="E19" s="1">
        <v>39.9</v>
      </c>
      <c r="F19" s="18">
        <f>2.979/9.159*100</f>
        <v>32.52538486734359</v>
      </c>
      <c r="G19" s="1" t="s">
        <v>376</v>
      </c>
    </row>
    <row r="20" spans="1:7">
      <c r="A20" s="1" t="s">
        <v>70</v>
      </c>
      <c r="B20" s="1" t="s">
        <v>71</v>
      </c>
      <c r="C20" s="1" t="s">
        <v>73</v>
      </c>
      <c r="D20" s="1">
        <v>2015</v>
      </c>
      <c r="E20" s="1">
        <v>39.94</v>
      </c>
      <c r="F20" s="18">
        <f>3.048/9.326*100</f>
        <v>32.682822217456568</v>
      </c>
      <c r="G20" s="1" t="s">
        <v>376</v>
      </c>
    </row>
    <row r="21" spans="1:7">
      <c r="A21" s="1" t="s">
        <v>70</v>
      </c>
      <c r="B21" s="1" t="s">
        <v>71</v>
      </c>
      <c r="C21" s="1" t="s">
        <v>73</v>
      </c>
      <c r="D21" s="1">
        <v>2016</v>
      </c>
      <c r="E21" s="1">
        <v>41.8</v>
      </c>
      <c r="F21" s="18">
        <f>2.967/9.246*100</f>
        <v>32.089552238805972</v>
      </c>
      <c r="G21" s="1" t="s">
        <v>376</v>
      </c>
    </row>
    <row r="22" spans="1:7">
      <c r="A22" s="1" t="s">
        <v>70</v>
      </c>
      <c r="B22" s="1" t="s">
        <v>71</v>
      </c>
      <c r="C22" s="1" t="s">
        <v>73</v>
      </c>
      <c r="D22" s="1">
        <v>2017</v>
      </c>
      <c r="E22" s="1">
        <v>37.11</v>
      </c>
      <c r="F22" s="18">
        <f>2.395/8.363*100</f>
        <v>28.638048547172069</v>
      </c>
      <c r="G22" s="1" t="s">
        <v>376</v>
      </c>
    </row>
    <row r="23" spans="1:7">
      <c r="A23" s="1" t="s">
        <v>70</v>
      </c>
      <c r="B23" s="1" t="s">
        <v>71</v>
      </c>
      <c r="C23" s="1" t="s">
        <v>73</v>
      </c>
      <c r="D23" s="1">
        <v>2018</v>
      </c>
      <c r="E23" s="18">
        <f>(0.691+2.334)/8.215*100</f>
        <v>36.822884966524647</v>
      </c>
      <c r="F23" s="18">
        <f>2.334/8.215*100</f>
        <v>28.411442483262327</v>
      </c>
      <c r="G23" s="1" t="s">
        <v>376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78"/>
  <sheetViews>
    <sheetView topLeftCell="A68" workbookViewId="0">
      <selection activeCell="E99" sqref="E99"/>
    </sheetView>
  </sheetViews>
  <sheetFormatPr defaultColWidth="8.85546875" defaultRowHeight="14.45"/>
  <cols>
    <col min="1" max="1" width="10.140625" style="1" bestFit="1" customWidth="1"/>
    <col min="2" max="4" width="8.85546875" style="1"/>
    <col min="5" max="5" width="22.5703125" style="1" bestFit="1" customWidth="1"/>
    <col min="6" max="6" width="16.5703125" style="1" customWidth="1"/>
    <col min="7" max="7" width="8.85546875" style="1"/>
    <col min="8" max="8" width="12" style="1" bestFit="1" customWidth="1"/>
    <col min="9" max="9" width="8.85546875" style="1"/>
    <col min="10" max="10" width="8.85546875" style="1" customWidth="1"/>
    <col min="11" max="12" width="8.85546875" style="23"/>
    <col min="13" max="16384" width="8.85546875" style="1"/>
  </cols>
  <sheetData>
    <row r="1" spans="1:13">
      <c r="A1" s="2" t="s">
        <v>51</v>
      </c>
      <c r="B1" s="2" t="s">
        <v>52</v>
      </c>
      <c r="C1" s="2" t="s">
        <v>53</v>
      </c>
      <c r="D1" s="2" t="s">
        <v>54</v>
      </c>
      <c r="E1" s="2" t="s">
        <v>378</v>
      </c>
      <c r="F1" s="2" t="s">
        <v>127</v>
      </c>
      <c r="G1" s="2" t="s">
        <v>189</v>
      </c>
      <c r="H1" s="7" t="s">
        <v>379</v>
      </c>
      <c r="I1" s="6" t="s">
        <v>380</v>
      </c>
      <c r="J1" s="6" t="s">
        <v>381</v>
      </c>
      <c r="K1" s="2" t="s">
        <v>382</v>
      </c>
      <c r="L1" s="2" t="s">
        <v>383</v>
      </c>
      <c r="M1" s="6" t="s">
        <v>69</v>
      </c>
    </row>
    <row r="2" spans="1:13">
      <c r="A2" s="1" t="s">
        <v>70</v>
      </c>
      <c r="B2" s="1" t="s">
        <v>71</v>
      </c>
      <c r="C2" s="1">
        <v>2003</v>
      </c>
      <c r="D2" s="1" t="s">
        <v>81</v>
      </c>
      <c r="E2" s="1" t="s">
        <v>384</v>
      </c>
      <c r="F2" s="1" t="s">
        <v>385</v>
      </c>
      <c r="G2" s="1">
        <v>2002</v>
      </c>
      <c r="H2" s="1">
        <f>761771*12</f>
        <v>9141252</v>
      </c>
      <c r="I2" s="1" t="s">
        <v>73</v>
      </c>
      <c r="J2" s="1" t="s">
        <v>386</v>
      </c>
      <c r="K2" s="23" t="s">
        <v>73</v>
      </c>
      <c r="L2" s="27" t="s">
        <v>73</v>
      </c>
      <c r="M2" s="1" t="s">
        <v>387</v>
      </c>
    </row>
    <row r="3" spans="1:13">
      <c r="A3" s="1" t="s">
        <v>70</v>
      </c>
      <c r="B3" s="1" t="s">
        <v>71</v>
      </c>
      <c r="C3" s="1">
        <v>2003</v>
      </c>
      <c r="D3" s="1" t="s">
        <v>81</v>
      </c>
      <c r="E3" s="1" t="s">
        <v>388</v>
      </c>
      <c r="F3" s="1" t="s">
        <v>389</v>
      </c>
      <c r="G3" s="1">
        <v>2002</v>
      </c>
      <c r="H3" s="1">
        <f>12*300486</f>
        <v>3605832</v>
      </c>
      <c r="I3" s="1" t="s">
        <v>73</v>
      </c>
      <c r="J3" s="1" t="s">
        <v>386</v>
      </c>
      <c r="K3" s="23" t="s">
        <v>73</v>
      </c>
      <c r="L3" s="27" t="s">
        <v>73</v>
      </c>
    </row>
    <row r="4" spans="1:13">
      <c r="A4" s="1" t="s">
        <v>70</v>
      </c>
      <c r="B4" s="1" t="s">
        <v>71</v>
      </c>
      <c r="C4" s="1">
        <v>2003</v>
      </c>
      <c r="D4" s="1" t="s">
        <v>81</v>
      </c>
      <c r="E4" s="1" t="s">
        <v>390</v>
      </c>
      <c r="F4" s="1" t="s">
        <v>389</v>
      </c>
      <c r="G4" s="1">
        <v>2002</v>
      </c>
      <c r="H4" s="1">
        <f>12*227026</f>
        <v>2724312</v>
      </c>
      <c r="I4" s="1" t="s">
        <v>73</v>
      </c>
      <c r="J4" s="1" t="s">
        <v>386</v>
      </c>
      <c r="K4" s="23" t="s">
        <v>73</v>
      </c>
      <c r="L4" s="27" t="s">
        <v>73</v>
      </c>
    </row>
    <row r="5" spans="1:13">
      <c r="A5" s="1" t="s">
        <v>70</v>
      </c>
      <c r="B5" s="1" t="s">
        <v>71</v>
      </c>
      <c r="C5" s="1">
        <v>2003</v>
      </c>
      <c r="D5" s="1" t="s">
        <v>81</v>
      </c>
      <c r="E5" s="1" t="s">
        <v>391</v>
      </c>
      <c r="F5" s="1" t="s">
        <v>392</v>
      </c>
      <c r="G5" s="1">
        <v>2002</v>
      </c>
      <c r="H5" s="1">
        <f>12*186676</f>
        <v>2240112</v>
      </c>
      <c r="I5" s="1" t="s">
        <v>73</v>
      </c>
      <c r="J5" s="1" t="s">
        <v>386</v>
      </c>
      <c r="K5" s="23" t="s">
        <v>73</v>
      </c>
      <c r="L5" s="27" t="s">
        <v>73</v>
      </c>
    </row>
    <row r="6" spans="1:13">
      <c r="A6" s="1" t="s">
        <v>70</v>
      </c>
      <c r="B6" s="1" t="s">
        <v>71</v>
      </c>
      <c r="C6" s="1">
        <v>2003</v>
      </c>
      <c r="D6" s="1" t="s">
        <v>81</v>
      </c>
      <c r="E6" s="1" t="s">
        <v>393</v>
      </c>
      <c r="F6" s="1" t="s">
        <v>394</v>
      </c>
      <c r="G6" s="1">
        <v>2002</v>
      </c>
      <c r="H6" s="1">
        <f>12*121917</f>
        <v>1463004</v>
      </c>
      <c r="I6" s="1" t="s">
        <v>73</v>
      </c>
      <c r="J6" s="1" t="s">
        <v>386</v>
      </c>
      <c r="K6" s="23" t="s">
        <v>73</v>
      </c>
      <c r="L6" s="27" t="s">
        <v>73</v>
      </c>
    </row>
    <row r="7" spans="1:13">
      <c r="A7" s="1" t="s">
        <v>70</v>
      </c>
      <c r="B7" s="1" t="s">
        <v>71</v>
      </c>
      <c r="C7" s="1">
        <v>2003</v>
      </c>
      <c r="D7" s="1" t="s">
        <v>81</v>
      </c>
      <c r="E7" s="1" t="s">
        <v>395</v>
      </c>
      <c r="F7" s="1" t="s">
        <v>396</v>
      </c>
      <c r="G7" s="1">
        <v>2002</v>
      </c>
      <c r="H7" s="1">
        <f>12*83875</f>
        <v>1006500</v>
      </c>
      <c r="I7" s="1" t="s">
        <v>73</v>
      </c>
      <c r="J7" s="1" t="s">
        <v>386</v>
      </c>
      <c r="K7" s="23" t="s">
        <v>73</v>
      </c>
      <c r="L7" s="27" t="s">
        <v>73</v>
      </c>
    </row>
    <row r="8" spans="1:13">
      <c r="A8" s="1" t="s">
        <v>70</v>
      </c>
      <c r="B8" s="1" t="s">
        <v>71</v>
      </c>
      <c r="C8" s="1">
        <v>2003</v>
      </c>
      <c r="D8" s="1" t="s">
        <v>81</v>
      </c>
      <c r="E8" s="1" t="s">
        <v>397</v>
      </c>
      <c r="F8" s="1" t="s">
        <v>398</v>
      </c>
      <c r="G8" s="1">
        <v>2002</v>
      </c>
      <c r="H8" s="1">
        <f>12*72833</f>
        <v>873996</v>
      </c>
      <c r="I8" s="1" t="s">
        <v>73</v>
      </c>
      <c r="J8" s="1" t="s">
        <v>386</v>
      </c>
      <c r="K8" s="23" t="s">
        <v>73</v>
      </c>
      <c r="L8" s="27" t="s">
        <v>73</v>
      </c>
    </row>
    <row r="9" spans="1:13">
      <c r="A9" s="1" t="s">
        <v>70</v>
      </c>
      <c r="B9" s="1" t="s">
        <v>71</v>
      </c>
      <c r="C9" s="1">
        <v>2003</v>
      </c>
      <c r="D9" s="1" t="s">
        <v>81</v>
      </c>
      <c r="E9" s="1" t="s">
        <v>399</v>
      </c>
      <c r="F9" s="1" t="s">
        <v>400</v>
      </c>
      <c r="G9" s="1">
        <v>2002</v>
      </c>
      <c r="H9" s="1">
        <f>12*69617</f>
        <v>835404</v>
      </c>
      <c r="I9" s="1" t="s">
        <v>73</v>
      </c>
      <c r="J9" s="1" t="s">
        <v>386</v>
      </c>
      <c r="K9" s="23" t="s">
        <v>73</v>
      </c>
      <c r="L9" s="27" t="s">
        <v>73</v>
      </c>
    </row>
    <row r="10" spans="1:13">
      <c r="A10" s="1" t="s">
        <v>70</v>
      </c>
      <c r="B10" s="1" t="s">
        <v>71</v>
      </c>
      <c r="C10" s="1">
        <v>2003</v>
      </c>
      <c r="D10" s="1" t="s">
        <v>81</v>
      </c>
      <c r="E10" s="1" t="s">
        <v>397</v>
      </c>
      <c r="F10" s="1" t="s">
        <v>398</v>
      </c>
      <c r="G10" s="1">
        <v>2002</v>
      </c>
      <c r="H10" s="1">
        <f>12*59250</f>
        <v>711000</v>
      </c>
      <c r="I10" s="1" t="s">
        <v>73</v>
      </c>
      <c r="J10" s="1" t="s">
        <v>386</v>
      </c>
      <c r="K10" s="23" t="s">
        <v>73</v>
      </c>
      <c r="L10" s="27" t="s">
        <v>73</v>
      </c>
    </row>
    <row r="11" spans="1:13">
      <c r="A11" s="1" t="s">
        <v>70</v>
      </c>
      <c r="B11" s="1" t="s">
        <v>71</v>
      </c>
      <c r="C11" s="1">
        <v>2003</v>
      </c>
      <c r="D11" s="1" t="s">
        <v>81</v>
      </c>
      <c r="E11" s="1" t="s">
        <v>401</v>
      </c>
      <c r="F11" s="1" t="s">
        <v>402</v>
      </c>
      <c r="G11" s="1">
        <v>2002</v>
      </c>
      <c r="H11" s="1">
        <f>12*54510</f>
        <v>654120</v>
      </c>
      <c r="I11" s="1" t="s">
        <v>73</v>
      </c>
      <c r="J11" s="1" t="s">
        <v>386</v>
      </c>
      <c r="K11" s="23" t="s">
        <v>73</v>
      </c>
      <c r="L11" s="27" t="s">
        <v>73</v>
      </c>
    </row>
    <row r="12" spans="1:13">
      <c r="A12" s="1" t="s">
        <v>70</v>
      </c>
      <c r="B12" s="1" t="s">
        <v>71</v>
      </c>
      <c r="C12" s="1">
        <v>2003</v>
      </c>
      <c r="D12" s="1" t="s">
        <v>81</v>
      </c>
      <c r="E12" s="1" t="s">
        <v>334</v>
      </c>
      <c r="F12" s="1" t="s">
        <v>334</v>
      </c>
      <c r="G12" s="1">
        <v>2002</v>
      </c>
      <c r="H12" s="1">
        <f>SUM(H2:H11)</f>
        <v>23255532</v>
      </c>
      <c r="I12" s="1" t="s">
        <v>73</v>
      </c>
      <c r="J12" s="1" t="s">
        <v>386</v>
      </c>
      <c r="K12" s="23" t="s">
        <v>73</v>
      </c>
      <c r="L12" s="27" t="s">
        <v>73</v>
      </c>
    </row>
    <row r="13" spans="1:13">
      <c r="A13" s="1" t="s">
        <v>70</v>
      </c>
      <c r="B13" s="1" t="s">
        <v>71</v>
      </c>
      <c r="C13" s="1">
        <v>2007</v>
      </c>
      <c r="D13" s="1" t="s">
        <v>72</v>
      </c>
      <c r="E13" s="1" t="s">
        <v>403</v>
      </c>
      <c r="F13" s="1" t="s">
        <v>385</v>
      </c>
      <c r="G13" s="1">
        <v>1982</v>
      </c>
      <c r="H13" s="1">
        <v>329608000</v>
      </c>
      <c r="I13" s="1">
        <v>162941</v>
      </c>
      <c r="J13" s="1" t="s">
        <v>374</v>
      </c>
      <c r="K13" s="27">
        <f>H13/2448089429*100</f>
        <v>13.463887229586987</v>
      </c>
      <c r="L13" s="27">
        <f>I13/2833256*100</f>
        <v>5.7510157924310406</v>
      </c>
      <c r="M13" s="1" t="s">
        <v>404</v>
      </c>
    </row>
    <row r="14" spans="1:13">
      <c r="A14" s="1" t="s">
        <v>70</v>
      </c>
      <c r="B14" s="1" t="s">
        <v>71</v>
      </c>
      <c r="C14" s="1">
        <v>2007</v>
      </c>
      <c r="D14" s="1" t="s">
        <v>72</v>
      </c>
      <c r="E14" s="1" t="s">
        <v>405</v>
      </c>
      <c r="F14" s="1" t="s">
        <v>330</v>
      </c>
      <c r="G14" s="1">
        <v>1982</v>
      </c>
      <c r="H14" s="1">
        <v>149396000</v>
      </c>
      <c r="I14" s="1">
        <v>81846</v>
      </c>
      <c r="J14" s="1" t="s">
        <v>374</v>
      </c>
      <c r="K14" s="27">
        <f t="shared" ref="K14:K23" si="0">H14/2448089429*100</f>
        <v>6.1025548425747473</v>
      </c>
      <c r="L14" s="27">
        <f t="shared" ref="L14:L23" si="1">I14/2833256*100</f>
        <v>2.8887611991291995</v>
      </c>
      <c r="M14" s="1" t="s">
        <v>404</v>
      </c>
    </row>
    <row r="15" spans="1:13">
      <c r="A15" s="1" t="s">
        <v>70</v>
      </c>
      <c r="B15" s="1" t="s">
        <v>71</v>
      </c>
      <c r="C15" s="1">
        <v>2007</v>
      </c>
      <c r="D15" s="1" t="s">
        <v>72</v>
      </c>
      <c r="E15" s="1" t="s">
        <v>388</v>
      </c>
      <c r="F15" s="1" t="s">
        <v>389</v>
      </c>
      <c r="G15" s="1">
        <v>1982</v>
      </c>
      <c r="H15" s="1">
        <v>51826500</v>
      </c>
      <c r="I15" s="1">
        <v>37939</v>
      </c>
      <c r="J15" s="1" t="s">
        <v>374</v>
      </c>
      <c r="K15" s="27">
        <f t="shared" si="0"/>
        <v>2.1170182504799335</v>
      </c>
      <c r="L15" s="27">
        <f t="shared" si="1"/>
        <v>1.3390600778750668</v>
      </c>
      <c r="M15" s="1" t="s">
        <v>404</v>
      </c>
    </row>
    <row r="16" spans="1:13">
      <c r="A16" s="1" t="s">
        <v>70</v>
      </c>
      <c r="B16" s="1" t="s">
        <v>71</v>
      </c>
      <c r="C16" s="1">
        <v>2007</v>
      </c>
      <c r="D16" s="1" t="s">
        <v>72</v>
      </c>
      <c r="E16" s="1" t="s">
        <v>406</v>
      </c>
      <c r="F16" s="1" t="s">
        <v>402</v>
      </c>
      <c r="G16" s="1">
        <v>1982</v>
      </c>
      <c r="H16" s="1">
        <v>48116000</v>
      </c>
      <c r="I16" s="1">
        <v>36270</v>
      </c>
      <c r="J16" s="1" t="s">
        <v>374</v>
      </c>
      <c r="K16" s="27">
        <f t="shared" si="0"/>
        <v>1.9654510750309686</v>
      </c>
      <c r="L16" s="27">
        <f t="shared" si="1"/>
        <v>1.2801525876941584</v>
      </c>
      <c r="M16" s="1" t="s">
        <v>404</v>
      </c>
    </row>
    <row r="17" spans="1:13">
      <c r="A17" s="1" t="s">
        <v>70</v>
      </c>
      <c r="B17" s="1" t="s">
        <v>71</v>
      </c>
      <c r="C17" s="1">
        <v>2007</v>
      </c>
      <c r="D17" s="1" t="s">
        <v>72</v>
      </c>
      <c r="E17" s="1" t="s">
        <v>407</v>
      </c>
      <c r="F17" s="1" t="s">
        <v>408</v>
      </c>
      <c r="G17" s="1">
        <v>1982</v>
      </c>
      <c r="H17" s="1">
        <v>31768000</v>
      </c>
      <c r="I17" s="1">
        <v>28913</v>
      </c>
      <c r="J17" s="1" t="s">
        <v>374</v>
      </c>
      <c r="K17" s="27">
        <f t="shared" si="0"/>
        <v>1.297665012710612</v>
      </c>
      <c r="L17" s="27">
        <f t="shared" si="1"/>
        <v>1.0204866768128258</v>
      </c>
      <c r="M17" s="1" t="s">
        <v>404</v>
      </c>
    </row>
    <row r="18" spans="1:13">
      <c r="A18" s="1" t="s">
        <v>70</v>
      </c>
      <c r="B18" s="1" t="s">
        <v>71</v>
      </c>
      <c r="C18" s="1">
        <v>2007</v>
      </c>
      <c r="D18" s="1" t="s">
        <v>72</v>
      </c>
      <c r="E18" s="1" t="s">
        <v>409</v>
      </c>
      <c r="F18" s="1" t="s">
        <v>402</v>
      </c>
      <c r="G18" s="1">
        <v>1982</v>
      </c>
      <c r="H18" s="1">
        <v>30596000</v>
      </c>
      <c r="I18" s="1">
        <v>28386</v>
      </c>
      <c r="J18" s="1" t="s">
        <v>374</v>
      </c>
      <c r="K18" s="27">
        <f t="shared" si="0"/>
        <v>1.2497909446264759</v>
      </c>
      <c r="L18" s="27">
        <f t="shared" si="1"/>
        <v>1.0018861691283809</v>
      </c>
      <c r="M18" s="1" t="s">
        <v>404</v>
      </c>
    </row>
    <row r="19" spans="1:13">
      <c r="A19" s="1" t="s">
        <v>70</v>
      </c>
      <c r="B19" s="1" t="s">
        <v>71</v>
      </c>
      <c r="C19" s="1">
        <v>2007</v>
      </c>
      <c r="D19" s="1" t="s">
        <v>72</v>
      </c>
      <c r="E19" s="1" t="s">
        <v>410</v>
      </c>
      <c r="F19" s="1" t="s">
        <v>402</v>
      </c>
      <c r="G19" s="1">
        <v>1982</v>
      </c>
      <c r="H19" s="1">
        <v>30381000</v>
      </c>
      <c r="I19" s="1">
        <v>28289</v>
      </c>
      <c r="J19" s="1" t="s">
        <v>374</v>
      </c>
      <c r="K19" s="27">
        <f t="shared" si="0"/>
        <v>1.2410085857202564</v>
      </c>
      <c r="L19" s="27">
        <f t="shared" si="1"/>
        <v>0.99846254627185116</v>
      </c>
      <c r="M19" s="1" t="s">
        <v>404</v>
      </c>
    </row>
    <row r="20" spans="1:13">
      <c r="A20" s="1" t="s">
        <v>70</v>
      </c>
      <c r="B20" s="1" t="s">
        <v>71</v>
      </c>
      <c r="C20" s="1">
        <v>2007</v>
      </c>
      <c r="D20" s="1" t="s">
        <v>72</v>
      </c>
      <c r="E20" s="1" t="s">
        <v>411</v>
      </c>
      <c r="F20" s="1" t="s">
        <v>402</v>
      </c>
      <c r="G20" s="1">
        <v>1982</v>
      </c>
      <c r="H20" s="1">
        <v>29158000</v>
      </c>
      <c r="I20" s="1">
        <v>27738</v>
      </c>
      <c r="J20" s="1" t="s">
        <v>374</v>
      </c>
      <c r="K20" s="27">
        <f t="shared" si="0"/>
        <v>1.191051260407203</v>
      </c>
      <c r="L20" s="27">
        <f t="shared" si="1"/>
        <v>0.97901495664352245</v>
      </c>
      <c r="M20" s="1" t="s">
        <v>404</v>
      </c>
    </row>
    <row r="21" spans="1:13">
      <c r="A21" s="1" t="s">
        <v>70</v>
      </c>
      <c r="B21" s="1" t="s">
        <v>71</v>
      </c>
      <c r="C21" s="1">
        <v>2007</v>
      </c>
      <c r="D21" s="1" t="s">
        <v>72</v>
      </c>
      <c r="E21" s="1" t="s">
        <v>412</v>
      </c>
      <c r="F21" s="1" t="s">
        <v>389</v>
      </c>
      <c r="G21" s="1">
        <v>1982</v>
      </c>
      <c r="H21" s="1">
        <v>22866000</v>
      </c>
      <c r="I21" s="1">
        <v>24907</v>
      </c>
      <c r="J21" s="1" t="s">
        <v>374</v>
      </c>
      <c r="K21" s="27">
        <f t="shared" si="0"/>
        <v>0.93403450581216496</v>
      </c>
      <c r="L21" s="27">
        <f t="shared" si="1"/>
        <v>0.87909458234624749</v>
      </c>
      <c r="M21" s="1" t="s">
        <v>404</v>
      </c>
    </row>
    <row r="22" spans="1:13">
      <c r="A22" s="1" t="s">
        <v>70</v>
      </c>
      <c r="B22" s="1" t="s">
        <v>71</v>
      </c>
      <c r="C22" s="1">
        <v>2007</v>
      </c>
      <c r="D22" s="1" t="s">
        <v>72</v>
      </c>
      <c r="E22" s="1" t="s">
        <v>413</v>
      </c>
      <c r="F22" s="1" t="s">
        <v>402</v>
      </c>
      <c r="G22" s="1">
        <v>1982</v>
      </c>
      <c r="H22" s="1">
        <v>21796000</v>
      </c>
      <c r="I22" s="1">
        <v>24426</v>
      </c>
      <c r="J22" s="1" t="s">
        <v>374</v>
      </c>
      <c r="K22" s="27">
        <f t="shared" si="0"/>
        <v>0.89032695218586311</v>
      </c>
      <c r="L22" s="27">
        <f t="shared" si="1"/>
        <v>0.86211764838757943</v>
      </c>
      <c r="M22" s="1" t="s">
        <v>404</v>
      </c>
    </row>
    <row r="23" spans="1:13">
      <c r="A23" s="1" t="s">
        <v>70</v>
      </c>
      <c r="B23" s="1" t="s">
        <v>71</v>
      </c>
      <c r="C23" s="1">
        <v>2007</v>
      </c>
      <c r="D23" s="1" t="s">
        <v>72</v>
      </c>
      <c r="E23" s="1" t="s">
        <v>334</v>
      </c>
      <c r="F23" s="1" t="s">
        <v>334</v>
      </c>
      <c r="G23" s="1">
        <v>1982</v>
      </c>
      <c r="H23" s="1">
        <f>SUM(H13:H22)</f>
        <v>745511500</v>
      </c>
      <c r="I23" s="1">
        <f>SUM(I13:I22)</f>
        <v>481655</v>
      </c>
      <c r="J23" s="1" t="s">
        <v>374</v>
      </c>
      <c r="K23" s="27">
        <f t="shared" si="0"/>
        <v>30.452788659135216</v>
      </c>
      <c r="L23" s="27">
        <f t="shared" si="1"/>
        <v>17.000052236719874</v>
      </c>
      <c r="M23" s="1" t="s">
        <v>404</v>
      </c>
    </row>
    <row r="24" spans="1:13">
      <c r="A24" s="1" t="s">
        <v>70</v>
      </c>
      <c r="B24" s="1" t="s">
        <v>71</v>
      </c>
      <c r="C24" s="1">
        <v>2007</v>
      </c>
      <c r="D24" s="1" t="s">
        <v>72</v>
      </c>
      <c r="E24" s="1" t="s">
        <v>384</v>
      </c>
      <c r="F24" s="1" t="s">
        <v>385</v>
      </c>
      <c r="G24" s="1">
        <v>2002</v>
      </c>
      <c r="H24" s="1">
        <v>82088500</v>
      </c>
      <c r="I24" s="1">
        <v>201996</v>
      </c>
      <c r="J24" s="1" t="s">
        <v>374</v>
      </c>
      <c r="K24" s="27">
        <f>H24/1882000000*100</f>
        <v>4.3617693942614242</v>
      </c>
      <c r="L24" s="27">
        <f>I24/12415981*100</f>
        <v>1.626903262819104</v>
      </c>
      <c r="M24" s="1" t="s">
        <v>414</v>
      </c>
    </row>
    <row r="25" spans="1:13">
      <c r="A25" s="1" t="s">
        <v>70</v>
      </c>
      <c r="B25" s="1" t="s">
        <v>71</v>
      </c>
      <c r="C25" s="1">
        <v>2007</v>
      </c>
      <c r="D25" s="1" t="s">
        <v>72</v>
      </c>
      <c r="E25" s="1" t="s">
        <v>407</v>
      </c>
      <c r="F25" s="1" t="s">
        <v>408</v>
      </c>
      <c r="G25" s="1">
        <v>2002</v>
      </c>
      <c r="H25" s="1">
        <v>71795500</v>
      </c>
      <c r="I25" s="1">
        <v>148193</v>
      </c>
      <c r="J25" s="1" t="s">
        <v>374</v>
      </c>
      <c r="K25" s="27">
        <f t="shared" ref="K25:K33" si="2">H25/1882000000*100</f>
        <v>3.8148512221041444</v>
      </c>
      <c r="L25" s="27">
        <f t="shared" ref="L25:L33" si="3">I25/12415981*100</f>
        <v>1.1935665816498913</v>
      </c>
      <c r="M25" s="1" t="s">
        <v>414</v>
      </c>
    </row>
    <row r="26" spans="1:13">
      <c r="A26" s="1" t="s">
        <v>70</v>
      </c>
      <c r="B26" s="1" t="s">
        <v>71</v>
      </c>
      <c r="C26" s="1">
        <v>2007</v>
      </c>
      <c r="D26" s="1" t="s">
        <v>72</v>
      </c>
      <c r="E26" s="1" t="s">
        <v>405</v>
      </c>
      <c r="F26" s="1" t="s">
        <v>402</v>
      </c>
      <c r="G26" s="1">
        <v>2002</v>
      </c>
      <c r="H26" s="1">
        <v>47705500</v>
      </c>
      <c r="I26" s="1">
        <v>106033</v>
      </c>
      <c r="J26" s="1" t="s">
        <v>374</v>
      </c>
      <c r="K26" s="27">
        <f t="shared" si="2"/>
        <v>2.5348299681190225</v>
      </c>
      <c r="L26" s="27">
        <f t="shared" si="3"/>
        <v>0.85400420635308638</v>
      </c>
      <c r="M26" s="1" t="s">
        <v>414</v>
      </c>
    </row>
    <row r="27" spans="1:13">
      <c r="A27" s="1" t="s">
        <v>70</v>
      </c>
      <c r="B27" s="1" t="s">
        <v>71</v>
      </c>
      <c r="C27" s="1">
        <v>2007</v>
      </c>
      <c r="D27" s="1" t="s">
        <v>72</v>
      </c>
      <c r="E27" s="1" t="s">
        <v>388</v>
      </c>
      <c r="F27" s="1" t="s">
        <v>389</v>
      </c>
      <c r="G27" s="1">
        <v>2002</v>
      </c>
      <c r="H27" s="1">
        <v>23433000</v>
      </c>
      <c r="I27" s="1">
        <v>64422</v>
      </c>
      <c r="J27" s="1" t="s">
        <v>374</v>
      </c>
      <c r="K27" s="27">
        <f t="shared" si="2"/>
        <v>1.2451115834218918</v>
      </c>
      <c r="L27" s="27">
        <f t="shared" si="3"/>
        <v>0.51886355174029342</v>
      </c>
      <c r="M27" s="1" t="s">
        <v>414</v>
      </c>
    </row>
    <row r="28" spans="1:13">
      <c r="A28" s="1" t="s">
        <v>70</v>
      </c>
      <c r="B28" s="1" t="s">
        <v>71</v>
      </c>
      <c r="C28" s="1">
        <v>2007</v>
      </c>
      <c r="D28" s="1" t="s">
        <v>72</v>
      </c>
      <c r="E28" s="1" t="s">
        <v>391</v>
      </c>
      <c r="F28" s="1" t="s">
        <v>392</v>
      </c>
      <c r="G28" s="1">
        <v>2002</v>
      </c>
      <c r="H28" s="1">
        <v>16753500</v>
      </c>
      <c r="I28" s="1">
        <v>34873</v>
      </c>
      <c r="J28" s="1" t="s">
        <v>374</v>
      </c>
      <c r="K28" s="27">
        <f t="shared" si="2"/>
        <v>0.89019659936238038</v>
      </c>
      <c r="L28" s="27">
        <f t="shared" si="3"/>
        <v>0.28087188599918123</v>
      </c>
      <c r="M28" s="1" t="s">
        <v>414</v>
      </c>
    </row>
    <row r="29" spans="1:13">
      <c r="A29" s="1" t="s">
        <v>70</v>
      </c>
      <c r="B29" s="1" t="s">
        <v>71</v>
      </c>
      <c r="C29" s="1">
        <v>2007</v>
      </c>
      <c r="D29" s="1" t="s">
        <v>72</v>
      </c>
      <c r="E29" s="1" t="s">
        <v>397</v>
      </c>
      <c r="F29" s="1" t="s">
        <v>398</v>
      </c>
      <c r="G29" s="1">
        <v>2002</v>
      </c>
      <c r="H29" s="1">
        <v>15841000</v>
      </c>
      <c r="I29" s="1">
        <v>126302</v>
      </c>
      <c r="J29" s="1" t="s">
        <v>374</v>
      </c>
      <c r="K29" s="27">
        <f t="shared" si="2"/>
        <v>0.84171094580233785</v>
      </c>
      <c r="L29" s="27">
        <f t="shared" si="3"/>
        <v>1.0172534896759264</v>
      </c>
      <c r="M29" s="1" t="s">
        <v>414</v>
      </c>
    </row>
    <row r="30" spans="1:13">
      <c r="A30" s="1" t="s">
        <v>70</v>
      </c>
      <c r="B30" s="1" t="s">
        <v>71</v>
      </c>
      <c r="C30" s="1">
        <v>2007</v>
      </c>
      <c r="D30" s="1" t="s">
        <v>72</v>
      </c>
      <c r="E30" s="1" t="s">
        <v>415</v>
      </c>
      <c r="F30" s="1" t="s">
        <v>416</v>
      </c>
      <c r="G30" s="1">
        <v>2002</v>
      </c>
      <c r="H30" s="1">
        <v>10950000</v>
      </c>
      <c r="I30" s="1">
        <v>30270</v>
      </c>
      <c r="J30" s="1" t="s">
        <v>374</v>
      </c>
      <c r="K30" s="27">
        <f t="shared" si="2"/>
        <v>0.58182784272051014</v>
      </c>
      <c r="L30" s="27">
        <f t="shared" si="3"/>
        <v>0.24379869782339389</v>
      </c>
      <c r="M30" s="1" t="s">
        <v>414</v>
      </c>
    </row>
    <row r="31" spans="1:13">
      <c r="A31" s="1" t="s">
        <v>70</v>
      </c>
      <c r="B31" s="1" t="s">
        <v>71</v>
      </c>
      <c r="C31" s="1">
        <v>2007</v>
      </c>
      <c r="D31" s="1" t="s">
        <v>72</v>
      </c>
      <c r="E31" s="1" t="s">
        <v>393</v>
      </c>
      <c r="F31" s="1" t="s">
        <v>394</v>
      </c>
      <c r="G31" s="1">
        <v>2002</v>
      </c>
      <c r="H31" s="1">
        <v>10000000</v>
      </c>
      <c r="I31" s="1">
        <v>28061</v>
      </c>
      <c r="J31" s="1" t="s">
        <v>374</v>
      </c>
      <c r="K31" s="27">
        <f t="shared" si="2"/>
        <v>0.53134962805526043</v>
      </c>
      <c r="L31" s="27">
        <f t="shared" si="3"/>
        <v>0.22600711131887202</v>
      </c>
      <c r="M31" s="1" t="s">
        <v>414</v>
      </c>
    </row>
    <row r="32" spans="1:13">
      <c r="A32" s="1" t="s">
        <v>70</v>
      </c>
      <c r="B32" s="1" t="s">
        <v>71</v>
      </c>
      <c r="C32" s="1">
        <v>2007</v>
      </c>
      <c r="D32" s="1" t="s">
        <v>72</v>
      </c>
      <c r="E32" s="1" t="s">
        <v>417</v>
      </c>
      <c r="F32" s="1" t="s">
        <v>385</v>
      </c>
      <c r="G32" s="1">
        <v>2002</v>
      </c>
      <c r="H32" s="1">
        <v>9015500</v>
      </c>
      <c r="I32" s="1">
        <v>25708</v>
      </c>
      <c r="J32" s="1" t="s">
        <v>374</v>
      </c>
      <c r="K32" s="27">
        <f t="shared" si="2"/>
        <v>0.47903825717322002</v>
      </c>
      <c r="L32" s="27">
        <f t="shared" si="3"/>
        <v>0.2070557292251011</v>
      </c>
      <c r="M32" s="1" t="s">
        <v>414</v>
      </c>
    </row>
    <row r="33" spans="1:13">
      <c r="A33" s="1" t="s">
        <v>70</v>
      </c>
      <c r="B33" s="1" t="s">
        <v>71</v>
      </c>
      <c r="C33" s="1">
        <v>2007</v>
      </c>
      <c r="D33" s="1" t="s">
        <v>72</v>
      </c>
      <c r="E33" s="1" t="s">
        <v>418</v>
      </c>
      <c r="F33" s="1" t="s">
        <v>419</v>
      </c>
      <c r="G33" s="1">
        <v>2002</v>
      </c>
      <c r="H33" s="1">
        <v>8285500</v>
      </c>
      <c r="I33" s="1">
        <v>37661</v>
      </c>
      <c r="J33" s="1" t="s">
        <v>374</v>
      </c>
      <c r="K33" s="27">
        <f t="shared" si="2"/>
        <v>0.44024973432518599</v>
      </c>
      <c r="L33" s="27">
        <f t="shared" si="3"/>
        <v>0.30332681726880867</v>
      </c>
      <c r="M33" s="1" t="s">
        <v>414</v>
      </c>
    </row>
    <row r="34" spans="1:13">
      <c r="A34" s="1" t="s">
        <v>70</v>
      </c>
      <c r="B34" s="1" t="s">
        <v>71</v>
      </c>
      <c r="C34" s="1">
        <v>2007</v>
      </c>
      <c r="D34" s="1" t="s">
        <v>72</v>
      </c>
      <c r="E34" s="1" t="s">
        <v>334</v>
      </c>
      <c r="F34" s="1" t="s">
        <v>334</v>
      </c>
      <c r="G34" s="1">
        <v>2002</v>
      </c>
      <c r="H34" s="1">
        <f>SUM(H24:H33)</f>
        <v>295868000</v>
      </c>
      <c r="I34" s="1">
        <f>SUM(I24:I33)</f>
        <v>803519</v>
      </c>
      <c r="J34" s="1" t="s">
        <v>374</v>
      </c>
      <c r="K34" s="27">
        <f t="shared" ref="K34" si="4">H34/1882000000*100</f>
        <v>15.720935175345376</v>
      </c>
      <c r="L34" s="27">
        <f t="shared" ref="L34" si="5">I34/12415981*100</f>
        <v>6.4716513338736581</v>
      </c>
      <c r="M34" s="1" t="s">
        <v>414</v>
      </c>
    </row>
    <row r="35" spans="1:13">
      <c r="A35" s="1" t="s">
        <v>70</v>
      </c>
      <c r="B35" s="1" t="s">
        <v>71</v>
      </c>
      <c r="C35" s="1" t="s">
        <v>73</v>
      </c>
      <c r="D35" s="1" t="s">
        <v>72</v>
      </c>
      <c r="E35" s="1" t="s">
        <v>405</v>
      </c>
      <c r="F35" s="1" t="s">
        <v>402</v>
      </c>
      <c r="G35" s="1">
        <v>2017</v>
      </c>
      <c r="H35" s="1">
        <v>58857307</v>
      </c>
      <c r="I35" s="1">
        <v>278930</v>
      </c>
      <c r="J35" s="1" t="s">
        <v>374</v>
      </c>
      <c r="K35" s="27">
        <f>H35/1536934806*100</f>
        <v>3.8295252843665506</v>
      </c>
      <c r="L35" s="27">
        <f>I35/17033578*100</f>
        <v>1.6375302945746337</v>
      </c>
      <c r="M35" s="1" t="s">
        <v>420</v>
      </c>
    </row>
    <row r="36" spans="1:13">
      <c r="A36" s="1" t="s">
        <v>70</v>
      </c>
      <c r="B36" s="1" t="s">
        <v>71</v>
      </c>
      <c r="C36" s="1" t="s">
        <v>73</v>
      </c>
      <c r="D36" s="1" t="s">
        <v>72</v>
      </c>
      <c r="E36" s="1" t="s">
        <v>407</v>
      </c>
      <c r="F36" s="1" t="s">
        <v>408</v>
      </c>
      <c r="G36" s="1">
        <v>2017</v>
      </c>
      <c r="H36" s="1">
        <v>57829000</v>
      </c>
      <c r="I36" s="1">
        <v>289034</v>
      </c>
      <c r="J36" s="1" t="s">
        <v>374</v>
      </c>
      <c r="K36" s="27">
        <f t="shared" ref="K36:K44" si="6">H36/1536934806*100</f>
        <v>3.7626189331026181</v>
      </c>
      <c r="L36" s="27">
        <f t="shared" ref="L36:L44" si="7">I36/17033578*100</f>
        <v>1.6968484249169493</v>
      </c>
      <c r="M36" s="1" t="s">
        <v>420</v>
      </c>
    </row>
    <row r="37" spans="1:13">
      <c r="A37" s="1" t="s">
        <v>70</v>
      </c>
      <c r="B37" s="1" t="s">
        <v>71</v>
      </c>
      <c r="C37" s="1" t="s">
        <v>73</v>
      </c>
      <c r="D37" s="1" t="s">
        <v>72</v>
      </c>
      <c r="E37" s="1" t="s">
        <v>421</v>
      </c>
      <c r="F37" s="1" t="s">
        <v>389</v>
      </c>
      <c r="G37" s="1">
        <v>2017</v>
      </c>
      <c r="H37" s="1">
        <v>30512960</v>
      </c>
      <c r="I37" s="1">
        <v>156985</v>
      </c>
      <c r="J37" s="1" t="s">
        <v>374</v>
      </c>
      <c r="K37" s="27">
        <f t="shared" si="6"/>
        <v>1.9853125767521982</v>
      </c>
      <c r="L37" s="27">
        <f t="shared" si="7"/>
        <v>0.92162081272648655</v>
      </c>
      <c r="M37" s="1" t="s">
        <v>420</v>
      </c>
    </row>
    <row r="38" spans="1:13">
      <c r="A38" s="1" t="s">
        <v>70</v>
      </c>
      <c r="B38" s="1" t="s">
        <v>71</v>
      </c>
      <c r="C38" s="1" t="s">
        <v>73</v>
      </c>
      <c r="D38" s="1" t="s">
        <v>72</v>
      </c>
      <c r="E38" s="1" t="s">
        <v>415</v>
      </c>
      <c r="F38" s="1" t="s">
        <v>416</v>
      </c>
      <c r="G38" s="1">
        <v>2017</v>
      </c>
      <c r="H38" s="1">
        <v>30274920</v>
      </c>
      <c r="I38" s="1">
        <v>149785</v>
      </c>
      <c r="J38" s="1" t="s">
        <v>374</v>
      </c>
      <c r="K38" s="27">
        <f t="shared" si="6"/>
        <v>1.9698246068610408</v>
      </c>
      <c r="L38" s="27">
        <f t="shared" si="7"/>
        <v>0.87935136117614277</v>
      </c>
      <c r="M38" s="1" t="s">
        <v>420</v>
      </c>
    </row>
    <row r="39" spans="1:13">
      <c r="A39" s="1" t="s">
        <v>70</v>
      </c>
      <c r="B39" s="1" t="s">
        <v>71</v>
      </c>
      <c r="C39" s="1" t="s">
        <v>73</v>
      </c>
      <c r="D39" s="1" t="s">
        <v>72</v>
      </c>
      <c r="E39" s="1" t="s">
        <v>384</v>
      </c>
      <c r="F39" s="1" t="s">
        <v>385</v>
      </c>
      <c r="G39" s="1">
        <v>2017</v>
      </c>
      <c r="H39" s="1">
        <v>28915888</v>
      </c>
      <c r="I39" s="1">
        <v>136019</v>
      </c>
      <c r="J39" s="1" t="s">
        <v>374</v>
      </c>
      <c r="K39" s="27">
        <f t="shared" si="6"/>
        <v>1.881399776172419</v>
      </c>
      <c r="L39" s="27">
        <f t="shared" si="7"/>
        <v>0.79853451811474963</v>
      </c>
      <c r="M39" s="1" t="s">
        <v>420</v>
      </c>
    </row>
    <row r="40" spans="1:13">
      <c r="A40" s="1" t="s">
        <v>70</v>
      </c>
      <c r="B40" s="1" t="s">
        <v>71</v>
      </c>
      <c r="C40" s="1" t="s">
        <v>73</v>
      </c>
      <c r="D40" s="1" t="s">
        <v>72</v>
      </c>
      <c r="E40" s="1" t="s">
        <v>280</v>
      </c>
      <c r="F40" s="1" t="s">
        <v>408</v>
      </c>
      <c r="G40" s="1">
        <v>2017</v>
      </c>
      <c r="H40" s="1">
        <v>20346257</v>
      </c>
      <c r="I40" s="1">
        <v>103616</v>
      </c>
      <c r="J40" s="1" t="s">
        <v>374</v>
      </c>
      <c r="K40" s="27">
        <f t="shared" si="6"/>
        <v>1.3238204327581609</v>
      </c>
      <c r="L40" s="27">
        <f t="shared" si="7"/>
        <v>0.60830437386672376</v>
      </c>
      <c r="M40" s="1" t="s">
        <v>420</v>
      </c>
    </row>
    <row r="41" spans="1:13">
      <c r="A41" s="1" t="s">
        <v>70</v>
      </c>
      <c r="B41" s="1" t="s">
        <v>71</v>
      </c>
      <c r="C41" s="1" t="s">
        <v>73</v>
      </c>
      <c r="D41" s="1" t="s">
        <v>72</v>
      </c>
      <c r="E41" s="1" t="s">
        <v>422</v>
      </c>
      <c r="F41" s="1" t="s">
        <v>423</v>
      </c>
      <c r="G41" s="1">
        <v>2017</v>
      </c>
      <c r="H41" s="1">
        <v>18120015</v>
      </c>
      <c r="I41" s="1">
        <v>94146</v>
      </c>
      <c r="J41" s="1" t="s">
        <v>374</v>
      </c>
      <c r="K41" s="27">
        <f t="shared" si="6"/>
        <v>1.1789709576009173</v>
      </c>
      <c r="L41" s="27">
        <f t="shared" si="7"/>
        <v>0.55270830356370226</v>
      </c>
      <c r="M41" s="1" t="s">
        <v>420</v>
      </c>
    </row>
    <row r="42" spans="1:13">
      <c r="A42" s="1" t="s">
        <v>70</v>
      </c>
      <c r="B42" s="1" t="s">
        <v>71</v>
      </c>
      <c r="C42" s="1" t="s">
        <v>73</v>
      </c>
      <c r="D42" s="1" t="s">
        <v>72</v>
      </c>
      <c r="E42" s="1" t="s">
        <v>424</v>
      </c>
      <c r="F42" s="1" t="s">
        <v>394</v>
      </c>
      <c r="G42" s="1">
        <v>2017</v>
      </c>
      <c r="H42" s="1">
        <v>11003816</v>
      </c>
      <c r="I42" s="1">
        <v>58280</v>
      </c>
      <c r="J42" s="1" t="s">
        <v>374</v>
      </c>
      <c r="K42" s="27">
        <f t="shared" si="6"/>
        <v>0.71595854014382965</v>
      </c>
      <c r="L42" s="27">
        <f t="shared" si="7"/>
        <v>0.34214772727139298</v>
      </c>
      <c r="M42" s="1" t="s">
        <v>420</v>
      </c>
    </row>
    <row r="43" spans="1:13">
      <c r="A43" s="1" t="s">
        <v>70</v>
      </c>
      <c r="B43" s="1" t="s">
        <v>71</v>
      </c>
      <c r="C43" s="1" t="s">
        <v>73</v>
      </c>
      <c r="D43" s="1" t="s">
        <v>72</v>
      </c>
      <c r="E43" s="1" t="s">
        <v>425</v>
      </c>
      <c r="F43" s="1" t="s">
        <v>329</v>
      </c>
      <c r="G43" s="1">
        <v>2017</v>
      </c>
      <c r="H43" s="1">
        <v>9999784</v>
      </c>
      <c r="I43" s="1">
        <v>82893</v>
      </c>
      <c r="J43" s="1" t="s">
        <v>374</v>
      </c>
      <c r="K43" s="27">
        <f t="shared" si="6"/>
        <v>0.65063163128078705</v>
      </c>
      <c r="L43" s="27">
        <f t="shared" si="7"/>
        <v>0.48664467324481092</v>
      </c>
      <c r="M43" s="1" t="s">
        <v>420</v>
      </c>
    </row>
    <row r="44" spans="1:13">
      <c r="A44" s="1" t="s">
        <v>70</v>
      </c>
      <c r="B44" s="1" t="s">
        <v>71</v>
      </c>
      <c r="C44" s="1" t="s">
        <v>73</v>
      </c>
      <c r="D44" s="1" t="s">
        <v>72</v>
      </c>
      <c r="E44" s="1" t="s">
        <v>391</v>
      </c>
      <c r="F44" s="1" t="s">
        <v>392</v>
      </c>
      <c r="G44" s="1">
        <v>2017</v>
      </c>
      <c r="H44" s="1">
        <v>9595983</v>
      </c>
      <c r="I44" s="1">
        <v>56562</v>
      </c>
      <c r="J44" s="1" t="s">
        <v>374</v>
      </c>
      <c r="K44" s="27">
        <f t="shared" si="6"/>
        <v>0.62435849344672856</v>
      </c>
      <c r="L44" s="27">
        <f t="shared" si="7"/>
        <v>0.33206176647090824</v>
      </c>
      <c r="M44" s="1" t="s">
        <v>420</v>
      </c>
    </row>
    <row r="45" spans="1:13">
      <c r="A45" s="1" t="s">
        <v>70</v>
      </c>
      <c r="B45" s="1" t="s">
        <v>71</v>
      </c>
      <c r="C45" s="1" t="s">
        <v>73</v>
      </c>
      <c r="D45" s="1" t="s">
        <v>72</v>
      </c>
      <c r="E45" s="1" t="s">
        <v>334</v>
      </c>
      <c r="F45" s="1" t="s">
        <v>334</v>
      </c>
      <c r="G45" s="1">
        <v>2017</v>
      </c>
      <c r="H45" s="1">
        <f>SUM(H35:H44)</f>
        <v>275455930</v>
      </c>
      <c r="I45" s="1">
        <f>SUM(I35:I44)</f>
        <v>1406250</v>
      </c>
      <c r="J45" s="1" t="s">
        <v>374</v>
      </c>
      <c r="K45" s="27">
        <f>H45/1536934806*100</f>
        <v>17.922421232485249</v>
      </c>
      <c r="L45" s="27">
        <f>I45/17033578*100</f>
        <v>8.2557522559265006</v>
      </c>
      <c r="M45" s="1" t="s">
        <v>420</v>
      </c>
    </row>
    <row r="46" spans="1:13">
      <c r="A46" s="1" t="s">
        <v>70</v>
      </c>
      <c r="B46" s="1" t="s">
        <v>71</v>
      </c>
      <c r="C46" s="1" t="s">
        <v>73</v>
      </c>
      <c r="D46" s="1" t="s">
        <v>72</v>
      </c>
      <c r="E46" s="1" t="s">
        <v>407</v>
      </c>
      <c r="F46" s="1" t="s">
        <v>408</v>
      </c>
      <c r="G46" s="1">
        <v>2018</v>
      </c>
      <c r="H46" s="1">
        <v>60283000</v>
      </c>
      <c r="I46" s="1">
        <v>321996</v>
      </c>
      <c r="J46" s="1" t="s">
        <v>374</v>
      </c>
      <c r="K46" s="27">
        <f>H46/1549891728*100</f>
        <v>3.8894974991440181</v>
      </c>
      <c r="L46" s="27">
        <f>I46/18242016*100</f>
        <v>1.7651338536267043</v>
      </c>
      <c r="M46" s="1" t="s">
        <v>426</v>
      </c>
    </row>
    <row r="47" spans="1:13">
      <c r="A47" s="1" t="s">
        <v>70</v>
      </c>
      <c r="B47" s="1" t="s">
        <v>71</v>
      </c>
      <c r="C47" s="1" t="s">
        <v>73</v>
      </c>
      <c r="D47" s="1" t="s">
        <v>72</v>
      </c>
      <c r="E47" s="1" t="s">
        <v>405</v>
      </c>
      <c r="F47" s="1" t="s">
        <v>402</v>
      </c>
      <c r="G47" s="1">
        <v>2018</v>
      </c>
      <c r="H47" s="1">
        <v>49052370</v>
      </c>
      <c r="I47" s="1">
        <v>251872</v>
      </c>
      <c r="J47" s="1" t="s">
        <v>374</v>
      </c>
      <c r="K47" s="27">
        <f t="shared" ref="K47:K56" si="8">H47/1549891728*100</f>
        <v>3.1648901090205706</v>
      </c>
      <c r="L47" s="27">
        <f t="shared" ref="L47:L56" si="9">I47/18242016*100</f>
        <v>1.3807245865807813</v>
      </c>
      <c r="M47" s="1" t="s">
        <v>420</v>
      </c>
    </row>
    <row r="48" spans="1:13">
      <c r="A48" s="1" t="s">
        <v>70</v>
      </c>
      <c r="B48" s="1" t="s">
        <v>71</v>
      </c>
      <c r="C48" s="1" t="s">
        <v>73</v>
      </c>
      <c r="D48" s="1" t="s">
        <v>72</v>
      </c>
      <c r="E48" s="1" t="s">
        <v>415</v>
      </c>
      <c r="F48" s="1" t="s">
        <v>416</v>
      </c>
      <c r="G48" s="1">
        <v>2018</v>
      </c>
      <c r="H48" s="1">
        <v>28750410</v>
      </c>
      <c r="I48" s="1">
        <v>153592</v>
      </c>
      <c r="J48" s="1" t="s">
        <v>374</v>
      </c>
      <c r="K48" s="27">
        <f t="shared" si="8"/>
        <v>1.8549947380582446</v>
      </c>
      <c r="L48" s="27">
        <f t="shared" si="9"/>
        <v>0.84196834384971486</v>
      </c>
      <c r="M48" s="1" t="s">
        <v>420</v>
      </c>
    </row>
    <row r="49" spans="1:13">
      <c r="A49" s="1" t="s">
        <v>70</v>
      </c>
      <c r="B49" s="1" t="s">
        <v>71</v>
      </c>
      <c r="C49" s="1" t="s">
        <v>73</v>
      </c>
      <c r="D49" s="1" t="s">
        <v>72</v>
      </c>
      <c r="E49" s="1" t="s">
        <v>384</v>
      </c>
      <c r="F49" s="1" t="s">
        <v>385</v>
      </c>
      <c r="G49" s="1">
        <v>2018</v>
      </c>
      <c r="H49" s="1">
        <v>26997293</v>
      </c>
      <c r="I49" s="1">
        <v>151843</v>
      </c>
      <c r="J49" s="1" t="s">
        <v>374</v>
      </c>
      <c r="K49" s="27">
        <f t="shared" si="8"/>
        <v>1.7418825142603769</v>
      </c>
      <c r="L49" s="27">
        <f t="shared" si="9"/>
        <v>0.83238058775959856</v>
      </c>
      <c r="M49" s="1" t="s">
        <v>420</v>
      </c>
    </row>
    <row r="50" spans="1:13">
      <c r="A50" s="1" t="s">
        <v>70</v>
      </c>
      <c r="B50" s="1" t="s">
        <v>71</v>
      </c>
      <c r="C50" s="1" t="s">
        <v>73</v>
      </c>
      <c r="D50" s="1" t="s">
        <v>72</v>
      </c>
      <c r="E50" s="1" t="s">
        <v>421</v>
      </c>
      <c r="F50" s="1" t="s">
        <v>389</v>
      </c>
      <c r="G50" s="1">
        <v>2018</v>
      </c>
      <c r="H50" s="1">
        <v>26922320</v>
      </c>
      <c r="I50" s="1">
        <v>144712</v>
      </c>
      <c r="J50" s="1" t="s">
        <v>374</v>
      </c>
      <c r="K50" s="27">
        <f t="shared" si="8"/>
        <v>1.7370452086185983</v>
      </c>
      <c r="L50" s="27">
        <f t="shared" si="9"/>
        <v>0.79328951361516187</v>
      </c>
      <c r="M50" s="1" t="s">
        <v>420</v>
      </c>
    </row>
    <row r="51" spans="1:13">
      <c r="A51" s="1" t="s">
        <v>70</v>
      </c>
      <c r="B51" s="1" t="s">
        <v>71</v>
      </c>
      <c r="C51" s="1" t="s">
        <v>73</v>
      </c>
      <c r="D51" s="1" t="s">
        <v>72</v>
      </c>
      <c r="E51" s="1" t="s">
        <v>280</v>
      </c>
      <c r="F51" s="1" t="s">
        <v>408</v>
      </c>
      <c r="G51" s="1">
        <v>2018</v>
      </c>
      <c r="H51" s="1">
        <v>19253311</v>
      </c>
      <c r="I51" s="1">
        <v>106262</v>
      </c>
      <c r="J51" s="1" t="s">
        <v>374</v>
      </c>
      <c r="K51" s="27">
        <f t="shared" si="8"/>
        <v>1.2422358705562431</v>
      </c>
      <c r="L51" s="27">
        <f t="shared" si="9"/>
        <v>0.58251237143964796</v>
      </c>
      <c r="M51" s="1" t="s">
        <v>420</v>
      </c>
    </row>
    <row r="52" spans="1:13">
      <c r="A52" s="1" t="s">
        <v>70</v>
      </c>
      <c r="B52" s="1" t="s">
        <v>71</v>
      </c>
      <c r="C52" s="1" t="s">
        <v>73</v>
      </c>
      <c r="D52" s="1" t="s">
        <v>72</v>
      </c>
      <c r="E52" s="1" t="s">
        <v>422</v>
      </c>
      <c r="F52" s="1" t="s">
        <v>423</v>
      </c>
      <c r="G52" s="1">
        <v>2018</v>
      </c>
      <c r="H52" s="1">
        <v>17755715</v>
      </c>
      <c r="I52" s="1">
        <v>90618</v>
      </c>
      <c r="J52" s="1" t="s">
        <v>374</v>
      </c>
      <c r="K52" s="27">
        <f t="shared" si="8"/>
        <v>1.145610024186154</v>
      </c>
      <c r="L52" s="27">
        <f t="shared" si="9"/>
        <v>0.49675430610300964</v>
      </c>
      <c r="M52" s="1" t="s">
        <v>420</v>
      </c>
    </row>
    <row r="53" spans="1:13">
      <c r="A53" s="1" t="s">
        <v>70</v>
      </c>
      <c r="B53" s="1" t="s">
        <v>71</v>
      </c>
      <c r="C53" s="1" t="s">
        <v>73</v>
      </c>
      <c r="D53" s="1" t="s">
        <v>72</v>
      </c>
      <c r="E53" s="1" t="s">
        <v>427</v>
      </c>
      <c r="F53" s="1" t="s">
        <v>408</v>
      </c>
      <c r="G53" s="1">
        <v>2018</v>
      </c>
      <c r="H53" s="1">
        <v>11174390</v>
      </c>
      <c r="I53" s="1">
        <v>63582</v>
      </c>
      <c r="J53" s="1" t="s">
        <v>374</v>
      </c>
      <c r="K53" s="27">
        <f t="shared" si="8"/>
        <v>0.72097874955559471</v>
      </c>
      <c r="L53" s="27">
        <f t="shared" si="9"/>
        <v>0.34854700269970162</v>
      </c>
      <c r="M53" s="1" t="s">
        <v>420</v>
      </c>
    </row>
    <row r="54" spans="1:13">
      <c r="A54" s="1" t="s">
        <v>70</v>
      </c>
      <c r="B54" s="1" t="s">
        <v>71</v>
      </c>
      <c r="C54" s="1" t="s">
        <v>73</v>
      </c>
      <c r="D54" s="1" t="s">
        <v>72</v>
      </c>
      <c r="E54" s="1" t="s">
        <v>393</v>
      </c>
      <c r="F54" s="1" t="s">
        <v>394</v>
      </c>
      <c r="G54" s="1">
        <v>2018</v>
      </c>
      <c r="H54" s="1">
        <v>10592388</v>
      </c>
      <c r="I54" s="1">
        <v>60704</v>
      </c>
      <c r="J54" s="1" t="s">
        <v>374</v>
      </c>
      <c r="K54" s="27">
        <f t="shared" si="8"/>
        <v>0.68342761037047095</v>
      </c>
      <c r="L54" s="27">
        <f t="shared" si="9"/>
        <v>0.33277023767548503</v>
      </c>
      <c r="M54" s="1" t="s">
        <v>420</v>
      </c>
    </row>
    <row r="55" spans="1:13">
      <c r="A55" s="1" t="s">
        <v>70</v>
      </c>
      <c r="B55" s="1" t="s">
        <v>71</v>
      </c>
      <c r="C55" s="1" t="s">
        <v>73</v>
      </c>
      <c r="D55" s="1" t="s">
        <v>72</v>
      </c>
      <c r="E55" s="1" t="s">
        <v>425</v>
      </c>
      <c r="F55" s="1" t="s">
        <v>329</v>
      </c>
      <c r="G55" s="1">
        <v>2018</v>
      </c>
      <c r="H55" s="1">
        <v>10182256</v>
      </c>
      <c r="I55" s="1">
        <v>89960</v>
      </c>
      <c r="J55" s="1" t="s">
        <v>374</v>
      </c>
      <c r="K55" s="27">
        <f t="shared" si="8"/>
        <v>0.65696563289226095</v>
      </c>
      <c r="L55" s="27">
        <f t="shared" si="9"/>
        <v>0.49314724863743131</v>
      </c>
      <c r="M55" s="1" t="s">
        <v>420</v>
      </c>
    </row>
    <row r="56" spans="1:13">
      <c r="A56" s="1" t="s">
        <v>70</v>
      </c>
      <c r="B56" s="1" t="s">
        <v>71</v>
      </c>
      <c r="C56" s="1" t="s">
        <v>73</v>
      </c>
      <c r="D56" s="1" t="s">
        <v>72</v>
      </c>
      <c r="E56" s="1" t="s">
        <v>334</v>
      </c>
      <c r="F56" s="1" t="s">
        <v>334</v>
      </c>
      <c r="G56" s="1">
        <v>2018</v>
      </c>
      <c r="H56" s="1">
        <f>SUM(H46:H55)</f>
        <v>260963453</v>
      </c>
      <c r="I56" s="1">
        <f>SUM(I46:I55)</f>
        <v>1435141</v>
      </c>
      <c r="J56" s="1" t="s">
        <v>374</v>
      </c>
      <c r="K56" s="27">
        <f t="shared" si="8"/>
        <v>16.83752795666253</v>
      </c>
      <c r="L56" s="27">
        <f t="shared" si="9"/>
        <v>7.8672280519872366</v>
      </c>
      <c r="M56" s="1" t="s">
        <v>420</v>
      </c>
    </row>
    <row r="57" spans="1:13">
      <c r="A57" s="1" t="s">
        <v>70</v>
      </c>
      <c r="B57" s="1" t="s">
        <v>71</v>
      </c>
      <c r="C57" s="1" t="s">
        <v>73</v>
      </c>
      <c r="D57" s="1" t="s">
        <v>81</v>
      </c>
      <c r="E57" s="1" t="s">
        <v>384</v>
      </c>
      <c r="F57" s="1" t="s">
        <v>385</v>
      </c>
      <c r="G57" s="1">
        <v>2018</v>
      </c>
      <c r="H57" s="1">
        <f>365*80972</f>
        <v>29554780</v>
      </c>
      <c r="I57" s="1">
        <v>313367</v>
      </c>
      <c r="J57" s="1" t="s">
        <v>374</v>
      </c>
      <c r="K57" s="27">
        <f>H57/(365*2700050)*100</f>
        <v>2.9989074276402286</v>
      </c>
      <c r="L57" s="27">
        <f>I57/11352353*100</f>
        <v>2.7603704712142059</v>
      </c>
      <c r="M57" s="1" t="s">
        <v>428</v>
      </c>
    </row>
    <row r="58" spans="1:13">
      <c r="A58" s="1" t="s">
        <v>70</v>
      </c>
      <c r="B58" s="1" t="s">
        <v>71</v>
      </c>
      <c r="C58" s="1" t="s">
        <v>73</v>
      </c>
      <c r="D58" s="1" t="s">
        <v>81</v>
      </c>
      <c r="E58" s="1" t="s">
        <v>421</v>
      </c>
      <c r="F58" s="1" t="s">
        <v>389</v>
      </c>
      <c r="G58" s="1">
        <v>2018</v>
      </c>
      <c r="H58" s="1">
        <f>365*63978</f>
        <v>23351970</v>
      </c>
      <c r="I58" s="1">
        <v>223286</v>
      </c>
      <c r="J58" s="1" t="s">
        <v>374</v>
      </c>
      <c r="K58" s="27">
        <f t="shared" ref="K58:K66" si="10">H58/(365*2700050)*100</f>
        <v>2.3695116757097092</v>
      </c>
      <c r="L58" s="27">
        <f t="shared" ref="L58:L67" si="11">I58/11352353*100</f>
        <v>1.9668697758077114</v>
      </c>
      <c r="M58" s="1" t="s">
        <v>428</v>
      </c>
    </row>
    <row r="59" spans="1:13">
      <c r="A59" s="1" t="s">
        <v>70</v>
      </c>
      <c r="B59" s="1" t="s">
        <v>71</v>
      </c>
      <c r="C59" s="1" t="s">
        <v>73</v>
      </c>
      <c r="D59" s="1" t="s">
        <v>81</v>
      </c>
      <c r="E59" s="1" t="s">
        <v>429</v>
      </c>
      <c r="F59" s="1" t="s">
        <v>430</v>
      </c>
      <c r="G59" s="1">
        <v>2018</v>
      </c>
      <c r="H59" s="1">
        <f>365*32173</f>
        <v>11743145</v>
      </c>
      <c r="I59" s="1">
        <v>118170</v>
      </c>
      <c r="J59" s="1" t="s">
        <v>374</v>
      </c>
      <c r="K59" s="27">
        <f t="shared" si="10"/>
        <v>1.191570526471732</v>
      </c>
      <c r="L59" s="27">
        <f t="shared" si="11"/>
        <v>1.0409295764499218</v>
      </c>
      <c r="M59" s="1" t="s">
        <v>428</v>
      </c>
    </row>
    <row r="60" spans="1:13">
      <c r="A60" s="1" t="s">
        <v>70</v>
      </c>
      <c r="B60" s="1" t="s">
        <v>71</v>
      </c>
      <c r="C60" s="1" t="s">
        <v>73</v>
      </c>
      <c r="D60" s="1" t="s">
        <v>81</v>
      </c>
      <c r="E60" s="1" t="s">
        <v>391</v>
      </c>
      <c r="F60" s="1" t="s">
        <v>392</v>
      </c>
      <c r="G60" s="1">
        <v>2018</v>
      </c>
      <c r="H60" s="1">
        <f>365*28744</f>
        <v>10491560</v>
      </c>
      <c r="I60" s="1">
        <v>109442</v>
      </c>
      <c r="J60" s="1" t="s">
        <v>374</v>
      </c>
      <c r="K60" s="27">
        <f t="shared" si="10"/>
        <v>1.0645728782800319</v>
      </c>
      <c r="L60" s="27">
        <f t="shared" si="11"/>
        <v>0.96404683680995462</v>
      </c>
      <c r="M60" s="1" t="s">
        <v>428</v>
      </c>
    </row>
    <row r="61" spans="1:13">
      <c r="A61" s="1" t="s">
        <v>70</v>
      </c>
      <c r="B61" s="1" t="s">
        <v>71</v>
      </c>
      <c r="C61" s="1" t="s">
        <v>73</v>
      </c>
      <c r="D61" s="1" t="s">
        <v>81</v>
      </c>
      <c r="E61" s="1" t="s">
        <v>395</v>
      </c>
      <c r="F61" s="1" t="s">
        <v>396</v>
      </c>
      <c r="G61" s="1">
        <v>2018</v>
      </c>
      <c r="H61" s="1">
        <f>365*23401</f>
        <v>8541365</v>
      </c>
      <c r="I61" s="1">
        <v>86828</v>
      </c>
      <c r="J61" s="1" t="s">
        <v>374</v>
      </c>
      <c r="K61" s="27">
        <f t="shared" si="10"/>
        <v>0.86668765393233449</v>
      </c>
      <c r="L61" s="27">
        <f t="shared" si="11"/>
        <v>0.76484584297193714</v>
      </c>
      <c r="M61" s="1" t="s">
        <v>428</v>
      </c>
    </row>
    <row r="62" spans="1:13">
      <c r="A62" s="1" t="s">
        <v>70</v>
      </c>
      <c r="B62" s="1" t="s">
        <v>71</v>
      </c>
      <c r="C62" s="1" t="s">
        <v>73</v>
      </c>
      <c r="D62" s="1" t="s">
        <v>81</v>
      </c>
      <c r="E62" s="1" t="s">
        <v>431</v>
      </c>
      <c r="F62" s="1" t="s">
        <v>396</v>
      </c>
      <c r="G62" s="1">
        <v>2018</v>
      </c>
      <c r="H62" s="1">
        <f>365*22258</f>
        <v>8124170</v>
      </c>
      <c r="I62" s="1">
        <v>77010</v>
      </c>
      <c r="J62" s="1" t="s">
        <v>374</v>
      </c>
      <c r="K62" s="27">
        <f t="shared" si="10"/>
        <v>0.8243551045351013</v>
      </c>
      <c r="L62" s="27">
        <f t="shared" si="11"/>
        <v>0.6783615696234957</v>
      </c>
      <c r="M62" s="1" t="s">
        <v>428</v>
      </c>
    </row>
    <row r="63" spans="1:13">
      <c r="A63" s="1" t="s">
        <v>70</v>
      </c>
      <c r="B63" s="1" t="s">
        <v>71</v>
      </c>
      <c r="C63" s="1" t="s">
        <v>73</v>
      </c>
      <c r="D63" s="1" t="s">
        <v>81</v>
      </c>
      <c r="E63" s="1" t="s">
        <v>393</v>
      </c>
      <c r="F63" s="1" t="s">
        <v>394</v>
      </c>
      <c r="G63" s="1">
        <v>2018</v>
      </c>
      <c r="H63" s="1">
        <f>365*22100</f>
        <v>8066500</v>
      </c>
      <c r="I63" s="1">
        <v>73894</v>
      </c>
      <c r="J63" s="1" t="s">
        <v>374</v>
      </c>
      <c r="K63" s="27">
        <f t="shared" si="10"/>
        <v>0.81850336104886934</v>
      </c>
      <c r="L63" s="27">
        <f t="shared" si="11"/>
        <v>0.65091351546238918</v>
      </c>
      <c r="M63" s="1" t="s">
        <v>428</v>
      </c>
    </row>
    <row r="64" spans="1:13">
      <c r="A64" s="1" t="s">
        <v>70</v>
      </c>
      <c r="B64" s="1" t="s">
        <v>71</v>
      </c>
      <c r="C64" s="1" t="s">
        <v>73</v>
      </c>
      <c r="D64" s="1" t="s">
        <v>81</v>
      </c>
      <c r="E64" s="1" t="s">
        <v>397</v>
      </c>
      <c r="F64" s="1" t="s">
        <v>398</v>
      </c>
      <c r="G64" s="1">
        <v>2018</v>
      </c>
      <c r="H64" s="1">
        <f>365*15330</f>
        <v>5595450</v>
      </c>
      <c r="I64" s="1">
        <v>61737</v>
      </c>
      <c r="J64" s="1" t="s">
        <v>374</v>
      </c>
      <c r="K64" s="27">
        <f t="shared" si="10"/>
        <v>0.56776726356919316</v>
      </c>
      <c r="L64" s="27">
        <f t="shared" si="11"/>
        <v>0.54382558400007475</v>
      </c>
      <c r="M64" s="1" t="s">
        <v>428</v>
      </c>
    </row>
    <row r="65" spans="1:13">
      <c r="A65" s="1" t="s">
        <v>70</v>
      </c>
      <c r="B65" s="1" t="s">
        <v>71</v>
      </c>
      <c r="C65" s="1" t="s">
        <v>73</v>
      </c>
      <c r="D65" s="1" t="s">
        <v>81</v>
      </c>
      <c r="E65" s="1" t="s">
        <v>397</v>
      </c>
      <c r="F65" s="1" t="s">
        <v>398</v>
      </c>
      <c r="G65" s="1">
        <v>2018</v>
      </c>
      <c r="H65" s="1">
        <f>365*14674</f>
        <v>5356010</v>
      </c>
      <c r="I65" s="1">
        <v>57639</v>
      </c>
      <c r="J65" s="1" t="s">
        <v>374</v>
      </c>
      <c r="K65" s="27">
        <f t="shared" si="10"/>
        <v>0.5434714171959778</v>
      </c>
      <c r="L65" s="27">
        <f t="shared" si="11"/>
        <v>0.50772734075481973</v>
      </c>
      <c r="M65" s="1" t="s">
        <v>428</v>
      </c>
    </row>
    <row r="66" spans="1:13">
      <c r="A66" s="1" t="s">
        <v>70</v>
      </c>
      <c r="B66" s="1" t="s">
        <v>71</v>
      </c>
      <c r="C66" s="1" t="s">
        <v>73</v>
      </c>
      <c r="D66" s="1" t="s">
        <v>81</v>
      </c>
      <c r="E66" s="1" t="s">
        <v>397</v>
      </c>
      <c r="F66" s="1" t="s">
        <v>398</v>
      </c>
      <c r="G66" s="1">
        <v>2018</v>
      </c>
      <c r="H66" s="1">
        <f>365*13424</f>
        <v>4899760</v>
      </c>
      <c r="I66" s="1">
        <v>53760</v>
      </c>
      <c r="J66" s="1" t="s">
        <v>374</v>
      </c>
      <c r="K66" s="27">
        <f t="shared" si="10"/>
        <v>0.49717597822262549</v>
      </c>
      <c r="L66" s="27">
        <f t="shared" si="11"/>
        <v>0.47355821299778117</v>
      </c>
      <c r="M66" s="1" t="s">
        <v>428</v>
      </c>
    </row>
    <row r="67" spans="1:13">
      <c r="A67" s="1" t="s">
        <v>70</v>
      </c>
      <c r="B67" s="1" t="s">
        <v>71</v>
      </c>
      <c r="C67" s="1" t="s">
        <v>73</v>
      </c>
      <c r="D67" s="1" t="s">
        <v>81</v>
      </c>
      <c r="E67" s="1" t="s">
        <v>334</v>
      </c>
      <c r="F67" s="1" t="s">
        <v>334</v>
      </c>
      <c r="G67" s="1">
        <v>2018</v>
      </c>
      <c r="H67" s="1">
        <f>SUM(H57:H66)</f>
        <v>115724710</v>
      </c>
      <c r="I67" s="1">
        <f>SUM(I57:I66)</f>
        <v>1175133</v>
      </c>
      <c r="J67" s="1" t="s">
        <v>374</v>
      </c>
      <c r="K67" s="27">
        <f>H67/(365*2700050)*100</f>
        <v>11.742523286605804</v>
      </c>
      <c r="L67" s="27">
        <f t="shared" si="11"/>
        <v>10.351448726092292</v>
      </c>
      <c r="M67" s="1" t="s">
        <v>428</v>
      </c>
    </row>
    <row r="68" spans="1:13">
      <c r="A68" s="1" t="s">
        <v>70</v>
      </c>
      <c r="B68" s="1" t="s">
        <v>71</v>
      </c>
      <c r="C68" s="1" t="s">
        <v>73</v>
      </c>
      <c r="D68" s="1" t="s">
        <v>81</v>
      </c>
      <c r="E68" s="1" t="s">
        <v>384</v>
      </c>
      <c r="F68" s="1" t="s">
        <v>385</v>
      </c>
      <c r="G68" s="1">
        <v>2013</v>
      </c>
      <c r="H68" s="1">
        <f>365*149378</f>
        <v>54522970</v>
      </c>
      <c r="I68" s="1">
        <v>396190</v>
      </c>
      <c r="J68" s="1" t="s">
        <v>374</v>
      </c>
      <c r="K68" s="27">
        <f>H68/(365*2967869)*100</f>
        <v>5.0331736340114741</v>
      </c>
      <c r="L68" s="27">
        <f>I68/9539490*100</f>
        <v>4.1531570346003823</v>
      </c>
      <c r="M68" s="1" t="s">
        <v>432</v>
      </c>
    </row>
    <row r="69" spans="1:13">
      <c r="A69" s="1" t="s">
        <v>70</v>
      </c>
      <c r="B69" s="1" t="s">
        <v>71</v>
      </c>
      <c r="C69" s="1" t="s">
        <v>73</v>
      </c>
      <c r="D69" s="1" t="s">
        <v>81</v>
      </c>
      <c r="E69" s="1" t="s">
        <v>421</v>
      </c>
      <c r="F69" s="1" t="s">
        <v>389</v>
      </c>
      <c r="G69" s="1">
        <v>2013</v>
      </c>
      <c r="H69" s="1">
        <f>365*80814</f>
        <v>29497110</v>
      </c>
      <c r="I69" s="1">
        <v>218292</v>
      </c>
      <c r="J69" s="1" t="s">
        <v>374</v>
      </c>
      <c r="K69" s="27">
        <f t="shared" ref="K69:K78" si="12">H69/(365*2967869)*100</f>
        <v>2.7229638504934011</v>
      </c>
      <c r="L69" s="27">
        <f t="shared" ref="L69:L78" si="13">I69/9539490*100</f>
        <v>2.2882984310482009</v>
      </c>
      <c r="M69" s="1" t="s">
        <v>428</v>
      </c>
    </row>
    <row r="70" spans="1:13">
      <c r="A70" s="1" t="s">
        <v>70</v>
      </c>
      <c r="B70" s="1" t="s">
        <v>71</v>
      </c>
      <c r="C70" s="1" t="s">
        <v>73</v>
      </c>
      <c r="D70" s="1" t="s">
        <v>81</v>
      </c>
      <c r="E70" s="1" t="s">
        <v>391</v>
      </c>
      <c r="F70" s="1" t="s">
        <v>392</v>
      </c>
      <c r="G70" s="1">
        <v>2013</v>
      </c>
      <c r="H70" s="1">
        <f>365*33220</f>
        <v>12125300</v>
      </c>
      <c r="I70" s="1">
        <v>94489</v>
      </c>
      <c r="J70" s="1" t="s">
        <v>374</v>
      </c>
      <c r="K70" s="27">
        <f t="shared" si="12"/>
        <v>1.1193216412179918</v>
      </c>
      <c r="L70" s="27">
        <f t="shared" si="13"/>
        <v>0.9905036852074901</v>
      </c>
      <c r="M70" s="1" t="s">
        <v>428</v>
      </c>
    </row>
    <row r="71" spans="1:13">
      <c r="A71" s="1" t="s">
        <v>70</v>
      </c>
      <c r="B71" s="1" t="s">
        <v>71</v>
      </c>
      <c r="C71" s="1" t="s">
        <v>73</v>
      </c>
      <c r="D71" s="1" t="s">
        <v>81</v>
      </c>
      <c r="E71" s="1" t="s">
        <v>393</v>
      </c>
      <c r="F71" s="1" t="s">
        <v>394</v>
      </c>
      <c r="G71" s="1">
        <v>2013</v>
      </c>
      <c r="H71" s="1">
        <f>365*24353</f>
        <v>8888845</v>
      </c>
      <c r="I71" s="1">
        <v>63632</v>
      </c>
      <c r="J71" s="1" t="s">
        <v>374</v>
      </c>
      <c r="K71" s="27">
        <f t="shared" si="12"/>
        <v>0.82055508514695219</v>
      </c>
      <c r="L71" s="27">
        <f t="shared" si="13"/>
        <v>0.66703775568714885</v>
      </c>
      <c r="M71" s="1" t="s">
        <v>428</v>
      </c>
    </row>
    <row r="72" spans="1:13">
      <c r="A72" s="1" t="s">
        <v>70</v>
      </c>
      <c r="B72" s="1" t="s">
        <v>71</v>
      </c>
      <c r="C72" s="1" t="s">
        <v>73</v>
      </c>
      <c r="D72" s="1" t="s">
        <v>81</v>
      </c>
      <c r="E72" s="1" t="s">
        <v>429</v>
      </c>
      <c r="F72" s="1" t="s">
        <v>430</v>
      </c>
      <c r="G72" s="1">
        <v>2013</v>
      </c>
      <c r="H72" s="1">
        <f>365*19162</f>
        <v>6994130</v>
      </c>
      <c r="I72" s="1">
        <v>60333</v>
      </c>
      <c r="J72" s="1" t="s">
        <v>374</v>
      </c>
      <c r="K72" s="27">
        <f t="shared" si="12"/>
        <v>0.64564844337806016</v>
      </c>
      <c r="L72" s="27">
        <f t="shared" si="13"/>
        <v>0.63245519414559903</v>
      </c>
      <c r="M72" s="1" t="s">
        <v>428</v>
      </c>
    </row>
    <row r="73" spans="1:13">
      <c r="A73" s="1" t="s">
        <v>70</v>
      </c>
      <c r="B73" s="1" t="s">
        <v>71</v>
      </c>
      <c r="C73" s="1" t="s">
        <v>73</v>
      </c>
      <c r="D73" s="1" t="s">
        <v>81</v>
      </c>
      <c r="E73" s="1" t="s">
        <v>431</v>
      </c>
      <c r="F73" s="1" t="s">
        <v>396</v>
      </c>
      <c r="G73" s="1">
        <v>2013</v>
      </c>
      <c r="H73" s="1">
        <f>365*19067</f>
        <v>6959455</v>
      </c>
      <c r="I73" s="1">
        <v>50453</v>
      </c>
      <c r="J73" s="1" t="s">
        <v>374</v>
      </c>
      <c r="K73" s="27">
        <f t="shared" si="12"/>
        <v>0.64244749347090457</v>
      </c>
      <c r="L73" s="27">
        <f t="shared" si="13"/>
        <v>0.52888571611270618</v>
      </c>
      <c r="M73" s="1" t="s">
        <v>428</v>
      </c>
    </row>
    <row r="74" spans="1:13">
      <c r="A74" s="1" t="s">
        <v>70</v>
      </c>
      <c r="B74" s="1" t="s">
        <v>71</v>
      </c>
      <c r="C74" s="1" t="s">
        <v>73</v>
      </c>
      <c r="D74" s="1" t="s">
        <v>81</v>
      </c>
      <c r="E74" s="1" t="s">
        <v>397</v>
      </c>
      <c r="F74" s="1" t="s">
        <v>398</v>
      </c>
      <c r="G74" s="1">
        <v>2013</v>
      </c>
      <c r="H74" s="1">
        <f>365*16037</f>
        <v>5853505</v>
      </c>
      <c r="I74" s="1">
        <v>49584</v>
      </c>
      <c r="J74" s="1" t="s">
        <v>374</v>
      </c>
      <c r="K74" s="27">
        <f t="shared" si="12"/>
        <v>0.54035403853741515</v>
      </c>
      <c r="L74" s="27">
        <f t="shared" si="13"/>
        <v>0.51977621445171596</v>
      </c>
      <c r="M74" s="1" t="s">
        <v>428</v>
      </c>
    </row>
    <row r="75" spans="1:13">
      <c r="A75" s="1" t="s">
        <v>70</v>
      </c>
      <c r="B75" s="1" t="s">
        <v>71</v>
      </c>
      <c r="C75" s="1" t="s">
        <v>73</v>
      </c>
      <c r="D75" s="1" t="s">
        <v>81</v>
      </c>
      <c r="E75" s="1" t="s">
        <v>397</v>
      </c>
      <c r="F75" s="1" t="s">
        <v>398</v>
      </c>
      <c r="G75" s="1">
        <v>2013</v>
      </c>
      <c r="H75" s="1">
        <f>365*15637</f>
        <v>5707505</v>
      </c>
      <c r="I75" s="1">
        <v>47108</v>
      </c>
      <c r="J75" s="1" t="s">
        <v>374</v>
      </c>
      <c r="K75" s="27">
        <f t="shared" si="12"/>
        <v>0.52687635471781269</v>
      </c>
      <c r="L75" s="27">
        <f t="shared" si="13"/>
        <v>0.49382094849934322</v>
      </c>
      <c r="M75" s="1" t="s">
        <v>428</v>
      </c>
    </row>
    <row r="76" spans="1:13">
      <c r="A76" s="1" t="s">
        <v>70</v>
      </c>
      <c r="B76" s="1" t="s">
        <v>71</v>
      </c>
      <c r="C76" s="1" t="s">
        <v>73</v>
      </c>
      <c r="D76" s="1" t="s">
        <v>81</v>
      </c>
      <c r="E76" s="1" t="s">
        <v>388</v>
      </c>
      <c r="F76" s="1" t="s">
        <v>389</v>
      </c>
      <c r="G76" s="1">
        <v>2013</v>
      </c>
      <c r="H76" s="1">
        <f>365*15043</f>
        <v>5490695</v>
      </c>
      <c r="I76" s="1">
        <v>39084</v>
      </c>
      <c r="J76" s="1" t="s">
        <v>374</v>
      </c>
      <c r="K76" s="27">
        <f t="shared" si="12"/>
        <v>0.50686199424570288</v>
      </c>
      <c r="L76" s="27">
        <f t="shared" si="13"/>
        <v>0.40970743719003844</v>
      </c>
      <c r="M76" s="1" t="s">
        <v>428</v>
      </c>
    </row>
    <row r="77" spans="1:13">
      <c r="A77" s="1" t="s">
        <v>70</v>
      </c>
      <c r="B77" s="1" t="s">
        <v>71</v>
      </c>
      <c r="C77" s="1" t="s">
        <v>73</v>
      </c>
      <c r="D77" s="1" t="s">
        <v>81</v>
      </c>
      <c r="E77" s="1" t="s">
        <v>433</v>
      </c>
      <c r="F77" s="1" t="s">
        <v>394</v>
      </c>
      <c r="G77" s="1">
        <v>2013</v>
      </c>
      <c r="H77" s="1">
        <f>365*14394</f>
        <v>5253810</v>
      </c>
      <c r="I77" s="1">
        <v>39597</v>
      </c>
      <c r="J77" s="1" t="s">
        <v>374</v>
      </c>
      <c r="K77" s="27">
        <f t="shared" si="12"/>
        <v>0.48499445224839771</v>
      </c>
      <c r="L77" s="27">
        <f t="shared" si="13"/>
        <v>0.41508508316482329</v>
      </c>
      <c r="M77" s="1" t="s">
        <v>428</v>
      </c>
    </row>
    <row r="78" spans="1:13">
      <c r="A78" s="1" t="s">
        <v>70</v>
      </c>
      <c r="B78" s="1" t="s">
        <v>71</v>
      </c>
      <c r="C78" s="1" t="s">
        <v>73</v>
      </c>
      <c r="D78" s="1" t="s">
        <v>81</v>
      </c>
      <c r="E78" s="1" t="s">
        <v>334</v>
      </c>
      <c r="F78" s="1" t="s">
        <v>334</v>
      </c>
      <c r="G78" s="1">
        <v>2013</v>
      </c>
      <c r="H78" s="1">
        <f>SUM(H68:H77)</f>
        <v>141293325</v>
      </c>
      <c r="I78" s="1">
        <f>SUM(I68:I77)</f>
        <v>1058762</v>
      </c>
      <c r="J78" s="1" t="s">
        <v>374</v>
      </c>
      <c r="K78" s="27">
        <f t="shared" si="12"/>
        <v>13.043196987468111</v>
      </c>
      <c r="L78" s="27">
        <f t="shared" si="13"/>
        <v>11.098727500107449</v>
      </c>
      <c r="M78" s="1" t="s">
        <v>428</v>
      </c>
    </row>
    <row r="79" spans="1:13">
      <c r="A79" s="1" t="s">
        <v>70</v>
      </c>
      <c r="B79" s="1" t="s">
        <v>71</v>
      </c>
      <c r="C79" s="1" t="s">
        <v>73</v>
      </c>
      <c r="D79" s="1" t="s">
        <v>81</v>
      </c>
      <c r="E79" s="1" t="s">
        <v>384</v>
      </c>
      <c r="F79" s="1" t="s">
        <v>385</v>
      </c>
      <c r="G79" s="1">
        <v>2014</v>
      </c>
      <c r="H79" s="1">
        <f>365*146725</f>
        <v>53554625</v>
      </c>
      <c r="I79" s="1">
        <v>422493</v>
      </c>
      <c r="J79" s="1" t="s">
        <v>374</v>
      </c>
      <c r="K79" s="27">
        <f>H79/(365*2932822)*100</f>
        <v>5.0028607259492732</v>
      </c>
      <c r="L79" s="27">
        <f>I79/9514234*100</f>
        <v>4.4406412539359446</v>
      </c>
      <c r="M79" s="1" t="s">
        <v>434</v>
      </c>
    </row>
    <row r="80" spans="1:13">
      <c r="A80" s="1" t="s">
        <v>70</v>
      </c>
      <c r="B80" s="1" t="s">
        <v>71</v>
      </c>
      <c r="C80" s="1" t="s">
        <v>73</v>
      </c>
      <c r="D80" s="1" t="s">
        <v>81</v>
      </c>
      <c r="E80" s="1" t="s">
        <v>421</v>
      </c>
      <c r="F80" s="1" t="s">
        <v>389</v>
      </c>
      <c r="G80" s="1">
        <v>2014</v>
      </c>
      <c r="H80" s="1">
        <f>365*67604</f>
        <v>24675460</v>
      </c>
      <c r="I80" s="1">
        <v>180200</v>
      </c>
      <c r="J80" s="1" t="s">
        <v>374</v>
      </c>
      <c r="K80" s="27">
        <f t="shared" ref="K80:K89" si="14">H80/(365*2932822)*100</f>
        <v>2.3050836361702141</v>
      </c>
      <c r="L80" s="27">
        <f t="shared" ref="L80:L89" si="15">I80/9514234*100</f>
        <v>1.8940042887320196</v>
      </c>
      <c r="M80" s="1" t="s">
        <v>434</v>
      </c>
    </row>
    <row r="81" spans="1:13">
      <c r="A81" s="1" t="s">
        <v>70</v>
      </c>
      <c r="B81" s="1" t="s">
        <v>71</v>
      </c>
      <c r="C81" s="1" t="s">
        <v>73</v>
      </c>
      <c r="D81" s="1" t="s">
        <v>81</v>
      </c>
      <c r="E81" s="1" t="s">
        <v>391</v>
      </c>
      <c r="F81" s="1" t="s">
        <v>392</v>
      </c>
      <c r="G81" s="1">
        <v>2014</v>
      </c>
      <c r="H81" s="1">
        <f>365*30816</f>
        <v>11247840</v>
      </c>
      <c r="I81" s="1">
        <v>90980</v>
      </c>
      <c r="J81" s="1" t="s">
        <v>374</v>
      </c>
      <c r="K81" s="27">
        <f t="shared" si="14"/>
        <v>1.0507286156473183</v>
      </c>
      <c r="L81" s="27">
        <f t="shared" si="15"/>
        <v>0.95625144388922956</v>
      </c>
      <c r="M81" s="1" t="s">
        <v>434</v>
      </c>
    </row>
    <row r="82" spans="1:13">
      <c r="A82" s="1" t="s">
        <v>70</v>
      </c>
      <c r="B82" s="1" t="s">
        <v>71</v>
      </c>
      <c r="C82" s="1" t="s">
        <v>73</v>
      </c>
      <c r="D82" s="1" t="s">
        <v>81</v>
      </c>
      <c r="E82" s="1" t="s">
        <v>431</v>
      </c>
      <c r="F82" s="1" t="s">
        <v>396</v>
      </c>
      <c r="G82" s="1">
        <v>2014</v>
      </c>
      <c r="H82" s="1">
        <f>365*22991</f>
        <v>8391715</v>
      </c>
      <c r="I82" s="1">
        <v>61538</v>
      </c>
      <c r="J82" s="1" t="s">
        <v>374</v>
      </c>
      <c r="K82" s="27">
        <f t="shared" si="14"/>
        <v>0.78392074254762145</v>
      </c>
      <c r="L82" s="27">
        <f t="shared" si="15"/>
        <v>0.64679931143169278</v>
      </c>
      <c r="M82" s="1" t="s">
        <v>434</v>
      </c>
    </row>
    <row r="83" spans="1:13">
      <c r="A83" s="1" t="s">
        <v>70</v>
      </c>
      <c r="B83" s="1" t="s">
        <v>71</v>
      </c>
      <c r="C83" s="1" t="s">
        <v>73</v>
      </c>
      <c r="D83" s="1" t="s">
        <v>81</v>
      </c>
      <c r="E83" s="1" t="s">
        <v>395</v>
      </c>
      <c r="F83" s="1" t="s">
        <v>396</v>
      </c>
      <c r="G83" s="1">
        <v>2014</v>
      </c>
      <c r="H83" s="1">
        <f>365*19861</f>
        <v>7249265</v>
      </c>
      <c r="I83" s="1">
        <v>50339</v>
      </c>
      <c r="J83" s="1" t="s">
        <v>374</v>
      </c>
      <c r="K83" s="27">
        <f t="shared" si="14"/>
        <v>0.67719759330774243</v>
      </c>
      <c r="L83" s="27">
        <f t="shared" si="15"/>
        <v>0.5290914644310829</v>
      </c>
      <c r="M83" s="1" t="s">
        <v>434</v>
      </c>
    </row>
    <row r="84" spans="1:13">
      <c r="A84" s="1" t="s">
        <v>70</v>
      </c>
      <c r="B84" s="1" t="s">
        <v>71</v>
      </c>
      <c r="C84" s="1" t="s">
        <v>73</v>
      </c>
      <c r="D84" s="1" t="s">
        <v>81</v>
      </c>
      <c r="E84" s="1" t="s">
        <v>393</v>
      </c>
      <c r="F84" s="1" t="s">
        <v>394</v>
      </c>
      <c r="G84" s="1">
        <v>2014</v>
      </c>
      <c r="H84" s="1">
        <f>365*18420</f>
        <v>6723300</v>
      </c>
      <c r="I84" s="1">
        <v>42940</v>
      </c>
      <c r="J84" s="1" t="s">
        <v>374</v>
      </c>
      <c r="K84" s="27">
        <f t="shared" si="14"/>
        <v>0.62806402843404741</v>
      </c>
      <c r="L84" s="27">
        <f t="shared" si="15"/>
        <v>0.45132377446255789</v>
      </c>
      <c r="M84" s="1" t="s">
        <v>434</v>
      </c>
    </row>
    <row r="85" spans="1:13">
      <c r="A85" s="1" t="s">
        <v>70</v>
      </c>
      <c r="B85" s="1" t="s">
        <v>71</v>
      </c>
      <c r="C85" s="1" t="s">
        <v>73</v>
      </c>
      <c r="D85" s="1" t="s">
        <v>81</v>
      </c>
      <c r="E85" s="1" t="s">
        <v>397</v>
      </c>
      <c r="F85" s="1" t="s">
        <v>398</v>
      </c>
      <c r="G85" s="1">
        <v>2014</v>
      </c>
      <c r="H85" s="1">
        <f>365*16876</f>
        <v>6159740</v>
      </c>
      <c r="I85" s="1">
        <v>52433</v>
      </c>
      <c r="J85" s="1" t="s">
        <v>374</v>
      </c>
      <c r="K85" s="27">
        <f t="shared" si="14"/>
        <v>0.57541848772274629</v>
      </c>
      <c r="L85" s="27">
        <f t="shared" si="15"/>
        <v>0.5511005930692896</v>
      </c>
      <c r="M85" s="1" t="s">
        <v>434</v>
      </c>
    </row>
    <row r="86" spans="1:13">
      <c r="A86" s="1" t="s">
        <v>70</v>
      </c>
      <c r="B86" s="1" t="s">
        <v>71</v>
      </c>
      <c r="C86" s="1" t="s">
        <v>73</v>
      </c>
      <c r="D86" s="1" t="s">
        <v>81</v>
      </c>
      <c r="E86" s="1" t="s">
        <v>388</v>
      </c>
      <c r="F86" s="1" t="s">
        <v>389</v>
      </c>
      <c r="G86" s="1">
        <v>2014</v>
      </c>
      <c r="H86" s="1">
        <f>365*16457</f>
        <v>6006805</v>
      </c>
      <c r="I86" s="1">
        <v>43079</v>
      </c>
      <c r="J86" s="1" t="s">
        <v>374</v>
      </c>
      <c r="K86" s="27">
        <f t="shared" si="14"/>
        <v>0.56113190640277522</v>
      </c>
      <c r="L86" s="27">
        <f t="shared" si="15"/>
        <v>0.45278474336452096</v>
      </c>
      <c r="M86" s="1" t="s">
        <v>434</v>
      </c>
    </row>
    <row r="87" spans="1:13">
      <c r="A87" s="1" t="s">
        <v>70</v>
      </c>
      <c r="B87" s="1" t="s">
        <v>71</v>
      </c>
      <c r="C87" s="1" t="s">
        <v>73</v>
      </c>
      <c r="D87" s="1" t="s">
        <v>81</v>
      </c>
      <c r="E87" s="1" t="s">
        <v>429</v>
      </c>
      <c r="F87" s="1" t="s">
        <v>430</v>
      </c>
      <c r="G87" s="1">
        <v>2014</v>
      </c>
      <c r="H87" s="1">
        <f>365*16221</f>
        <v>5920665</v>
      </c>
      <c r="I87" s="1">
        <v>47741</v>
      </c>
      <c r="J87" s="1" t="s">
        <v>374</v>
      </c>
      <c r="K87" s="27">
        <f t="shared" si="14"/>
        <v>0.55308504914379397</v>
      </c>
      <c r="L87" s="27">
        <f t="shared" si="15"/>
        <v>0.501785009702305</v>
      </c>
      <c r="M87" s="1" t="s">
        <v>434</v>
      </c>
    </row>
    <row r="88" spans="1:13">
      <c r="A88" s="1" t="s">
        <v>70</v>
      </c>
      <c r="B88" s="1" t="s">
        <v>71</v>
      </c>
      <c r="C88" s="1" t="s">
        <v>73</v>
      </c>
      <c r="D88" s="1" t="s">
        <v>81</v>
      </c>
      <c r="E88" s="1" t="s">
        <v>397</v>
      </c>
      <c r="F88" s="1" t="s">
        <v>398</v>
      </c>
      <c r="G88" s="1">
        <v>2014</v>
      </c>
      <c r="H88" s="1">
        <f>365*14305</f>
        <v>5221325</v>
      </c>
      <c r="I88" s="1">
        <v>43343</v>
      </c>
      <c r="J88" s="1" t="s">
        <v>374</v>
      </c>
      <c r="K88" s="27">
        <f t="shared" si="14"/>
        <v>0.48775547919375944</v>
      </c>
      <c r="L88" s="27">
        <f t="shared" si="15"/>
        <v>0.45555953322148685</v>
      </c>
      <c r="M88" s="1" t="s">
        <v>434</v>
      </c>
    </row>
    <row r="89" spans="1:13">
      <c r="A89" s="1" t="s">
        <v>70</v>
      </c>
      <c r="B89" s="1" t="s">
        <v>71</v>
      </c>
      <c r="C89" s="1" t="s">
        <v>73</v>
      </c>
      <c r="D89" s="1" t="s">
        <v>81</v>
      </c>
      <c r="E89" s="1" t="s">
        <v>334</v>
      </c>
      <c r="F89" s="1" t="s">
        <v>334</v>
      </c>
      <c r="G89" s="1">
        <v>2014</v>
      </c>
      <c r="H89" s="1">
        <f>SUM(H79:H88)</f>
        <v>135150740</v>
      </c>
      <c r="I89" s="1">
        <f>SUM(I79:I88)</f>
        <v>1035086</v>
      </c>
      <c r="J89" s="1" t="s">
        <v>374</v>
      </c>
      <c r="K89" s="27">
        <f t="shared" si="14"/>
        <v>12.625246264519294</v>
      </c>
      <c r="L89" s="27">
        <f t="shared" si="15"/>
        <v>10.879341416240131</v>
      </c>
      <c r="M89" s="1" t="s">
        <v>434</v>
      </c>
    </row>
    <row r="90" spans="1:13">
      <c r="A90" s="1" t="s">
        <v>70</v>
      </c>
      <c r="B90" s="1" t="s">
        <v>71</v>
      </c>
      <c r="C90" s="1" t="s">
        <v>73</v>
      </c>
      <c r="D90" s="1" t="s">
        <v>81</v>
      </c>
      <c r="E90" s="1" t="s">
        <v>384</v>
      </c>
      <c r="F90" s="1" t="s">
        <v>385</v>
      </c>
      <c r="G90" s="1">
        <v>2015</v>
      </c>
      <c r="H90" s="1">
        <f>365*137898</f>
        <v>50332770</v>
      </c>
      <c r="I90" s="1">
        <v>392045</v>
      </c>
      <c r="J90" s="1" t="s">
        <v>374</v>
      </c>
      <c r="K90" s="27">
        <f>H90/(365*2953735)*100</f>
        <v>4.6685975552986303</v>
      </c>
      <c r="L90" s="27">
        <f>I90/9753085*100</f>
        <v>4.0197024838807414</v>
      </c>
      <c r="M90" s="1" t="s">
        <v>435</v>
      </c>
    </row>
    <row r="91" spans="1:13">
      <c r="A91" s="1" t="s">
        <v>70</v>
      </c>
      <c r="B91" s="1" t="s">
        <v>71</v>
      </c>
      <c r="C91" s="1" t="s">
        <v>73</v>
      </c>
      <c r="D91" s="1" t="s">
        <v>81</v>
      </c>
      <c r="E91" s="1" t="s">
        <v>421</v>
      </c>
      <c r="F91" s="1" t="s">
        <v>389</v>
      </c>
      <c r="G91" s="1">
        <v>2015</v>
      </c>
      <c r="H91" s="1">
        <f>365*59841</f>
        <v>21841965</v>
      </c>
      <c r="I91" s="1">
        <v>174848</v>
      </c>
      <c r="J91" s="1" t="s">
        <v>374</v>
      </c>
      <c r="K91" s="27">
        <f t="shared" ref="K91:K100" si="16">H91/(365*2953735)*100</f>
        <v>2.0259434241731231</v>
      </c>
      <c r="L91" s="27">
        <f t="shared" ref="L91:L100" si="17">I91/9753085*100</f>
        <v>1.7927455774249892</v>
      </c>
      <c r="M91" s="1" t="s">
        <v>435</v>
      </c>
    </row>
    <row r="92" spans="1:13">
      <c r="A92" s="1" t="s">
        <v>70</v>
      </c>
      <c r="B92" s="1" t="s">
        <v>71</v>
      </c>
      <c r="C92" s="1" t="s">
        <v>73</v>
      </c>
      <c r="D92" s="1" t="s">
        <v>81</v>
      </c>
      <c r="E92" s="1" t="s">
        <v>391</v>
      </c>
      <c r="F92" s="1" t="s">
        <v>392</v>
      </c>
      <c r="G92" s="1">
        <v>2015</v>
      </c>
      <c r="H92" s="1">
        <f>365*32062</f>
        <v>11702630</v>
      </c>
      <c r="I92" s="1">
        <v>95345</v>
      </c>
      <c r="J92" s="1" t="s">
        <v>374</v>
      </c>
      <c r="K92" s="27">
        <f t="shared" si="16"/>
        <v>1.0854731382469991</v>
      </c>
      <c r="L92" s="27">
        <f t="shared" si="17"/>
        <v>0.97758811699067516</v>
      </c>
      <c r="M92" s="1" t="s">
        <v>435</v>
      </c>
    </row>
    <row r="93" spans="1:13">
      <c r="A93" s="1" t="s">
        <v>70</v>
      </c>
      <c r="B93" s="1" t="s">
        <v>71</v>
      </c>
      <c r="C93" s="1" t="s">
        <v>73</v>
      </c>
      <c r="D93" s="1" t="s">
        <v>81</v>
      </c>
      <c r="E93" s="1" t="s">
        <v>431</v>
      </c>
      <c r="F93" s="1" t="s">
        <v>396</v>
      </c>
      <c r="G93" s="1">
        <v>2015</v>
      </c>
      <c r="H93" s="1">
        <f>365*26160</f>
        <v>9548400</v>
      </c>
      <c r="I93" s="1">
        <v>73294</v>
      </c>
      <c r="J93" s="1" t="s">
        <v>374</v>
      </c>
      <c r="K93" s="27">
        <f t="shared" si="16"/>
        <v>0.88565832750737616</v>
      </c>
      <c r="L93" s="27">
        <f t="shared" si="17"/>
        <v>0.7514955524328969</v>
      </c>
      <c r="M93" s="1" t="s">
        <v>435</v>
      </c>
    </row>
    <row r="94" spans="1:13">
      <c r="A94" s="1" t="s">
        <v>70</v>
      </c>
      <c r="B94" s="1" t="s">
        <v>71</v>
      </c>
      <c r="C94" s="1" t="s">
        <v>73</v>
      </c>
      <c r="D94" s="1" t="s">
        <v>81</v>
      </c>
      <c r="E94" s="1" t="s">
        <v>393</v>
      </c>
      <c r="F94" s="1" t="s">
        <v>394</v>
      </c>
      <c r="G94" s="1">
        <v>2015</v>
      </c>
      <c r="H94" s="1">
        <f>365*25852</f>
        <v>9435980</v>
      </c>
      <c r="I94" s="1">
        <v>68860</v>
      </c>
      <c r="J94" s="1" t="s">
        <v>374</v>
      </c>
      <c r="K94" s="27">
        <f t="shared" si="16"/>
        <v>0.87523085178595905</v>
      </c>
      <c r="L94" s="27">
        <f t="shared" si="17"/>
        <v>0.70603301416936282</v>
      </c>
      <c r="M94" s="1" t="s">
        <v>435</v>
      </c>
    </row>
    <row r="95" spans="1:13">
      <c r="A95" s="1" t="s">
        <v>70</v>
      </c>
      <c r="B95" s="1" t="s">
        <v>71</v>
      </c>
      <c r="C95" s="1" t="s">
        <v>73</v>
      </c>
      <c r="D95" s="1" t="s">
        <v>81</v>
      </c>
      <c r="E95" s="1" t="s">
        <v>395</v>
      </c>
      <c r="F95" s="1" t="s">
        <v>396</v>
      </c>
      <c r="G95" s="1">
        <v>2015</v>
      </c>
      <c r="H95" s="1">
        <f>365*20650</f>
        <v>7537250</v>
      </c>
      <c r="I95" s="1">
        <v>53857</v>
      </c>
      <c r="J95" s="1" t="s">
        <v>374</v>
      </c>
      <c r="K95" s="27">
        <f t="shared" si="16"/>
        <v>0.69911484950410241</v>
      </c>
      <c r="L95" s="27">
        <f t="shared" si="17"/>
        <v>0.55220476392854156</v>
      </c>
      <c r="M95" s="1" t="s">
        <v>435</v>
      </c>
    </row>
    <row r="96" spans="1:13">
      <c r="A96" s="1" t="s">
        <v>70</v>
      </c>
      <c r="B96" s="1" t="s">
        <v>71</v>
      </c>
      <c r="C96" s="1" t="s">
        <v>73</v>
      </c>
      <c r="D96" s="1" t="s">
        <v>81</v>
      </c>
      <c r="E96" s="1" t="s">
        <v>388</v>
      </c>
      <c r="F96" s="1" t="s">
        <v>389</v>
      </c>
      <c r="G96" s="1">
        <v>2015</v>
      </c>
      <c r="H96" s="1">
        <f>365*17241</f>
        <v>6292965</v>
      </c>
      <c r="I96" s="1">
        <v>47094</v>
      </c>
      <c r="J96" s="1" t="s">
        <v>374</v>
      </c>
      <c r="K96" s="27">
        <f t="shared" si="16"/>
        <v>0.58370165231478111</v>
      </c>
      <c r="L96" s="27">
        <f t="shared" si="17"/>
        <v>0.48286260193569525</v>
      </c>
      <c r="M96" s="1" t="s">
        <v>435</v>
      </c>
    </row>
    <row r="97" spans="1:13">
      <c r="A97" s="1" t="s">
        <v>70</v>
      </c>
      <c r="B97" s="1" t="s">
        <v>71</v>
      </c>
      <c r="C97" s="1" t="s">
        <v>73</v>
      </c>
      <c r="D97" s="1" t="s">
        <v>81</v>
      </c>
      <c r="E97" s="1" t="s">
        <v>436</v>
      </c>
      <c r="F97" s="1" t="s">
        <v>423</v>
      </c>
      <c r="G97" s="1">
        <v>2015</v>
      </c>
      <c r="H97" s="1">
        <f>365*15599</f>
        <v>5693635</v>
      </c>
      <c r="I97" s="1">
        <v>45620</v>
      </c>
      <c r="J97" s="1" t="s">
        <v>374</v>
      </c>
      <c r="K97" s="27">
        <f t="shared" si="16"/>
        <v>0.52811101876099242</v>
      </c>
      <c r="L97" s="27">
        <f t="shared" si="17"/>
        <v>0.46774943517871526</v>
      </c>
      <c r="M97" s="1" t="s">
        <v>435</v>
      </c>
    </row>
    <row r="98" spans="1:13">
      <c r="A98" s="1" t="s">
        <v>70</v>
      </c>
      <c r="B98" s="1" t="s">
        <v>71</v>
      </c>
      <c r="C98" s="1" t="s">
        <v>73</v>
      </c>
      <c r="D98" s="1" t="s">
        <v>81</v>
      </c>
      <c r="E98" s="1" t="s">
        <v>397</v>
      </c>
      <c r="F98" s="1" t="s">
        <v>398</v>
      </c>
      <c r="G98" s="1">
        <v>2015</v>
      </c>
      <c r="H98" s="1">
        <f>365*15301</f>
        <v>5584865</v>
      </c>
      <c r="I98" s="1">
        <v>49378</v>
      </c>
      <c r="J98" s="1" t="s">
        <v>374</v>
      </c>
      <c r="K98" s="27">
        <f t="shared" si="16"/>
        <v>0.51802209744611483</v>
      </c>
      <c r="L98" s="27">
        <f t="shared" si="17"/>
        <v>0.5062808331927795</v>
      </c>
      <c r="M98" s="1" t="s">
        <v>435</v>
      </c>
    </row>
    <row r="99" spans="1:13">
      <c r="A99" s="1" t="s">
        <v>70</v>
      </c>
      <c r="B99" s="1" t="s">
        <v>71</v>
      </c>
      <c r="C99" s="1" t="s">
        <v>73</v>
      </c>
      <c r="D99" s="1" t="s">
        <v>81</v>
      </c>
      <c r="E99" s="1" t="s">
        <v>397</v>
      </c>
      <c r="F99" s="1" t="s">
        <v>398</v>
      </c>
      <c r="G99" s="1">
        <v>2015</v>
      </c>
      <c r="H99" s="1">
        <f>365*15248</f>
        <v>5565520</v>
      </c>
      <c r="I99" s="1">
        <v>47839</v>
      </c>
      <c r="J99" s="1" t="s">
        <v>374</v>
      </c>
      <c r="K99" s="27">
        <f t="shared" si="16"/>
        <v>0.51622775909145546</v>
      </c>
      <c r="L99" s="27">
        <f t="shared" si="17"/>
        <v>0.49050121064258129</v>
      </c>
      <c r="M99" s="1" t="s">
        <v>435</v>
      </c>
    </row>
    <row r="100" spans="1:13">
      <c r="A100" s="1" t="s">
        <v>70</v>
      </c>
      <c r="B100" s="1" t="s">
        <v>71</v>
      </c>
      <c r="C100" s="1" t="s">
        <v>73</v>
      </c>
      <c r="D100" s="1" t="s">
        <v>81</v>
      </c>
      <c r="E100" s="1" t="s">
        <v>334</v>
      </c>
      <c r="F100" s="1" t="s">
        <v>334</v>
      </c>
      <c r="G100" s="1">
        <v>2015</v>
      </c>
      <c r="H100" s="1">
        <f>SUM(H90:H99)</f>
        <v>133535980</v>
      </c>
      <c r="I100" s="1">
        <f>SUM(I90:I99)</f>
        <v>1048180</v>
      </c>
      <c r="J100" s="1" t="s">
        <v>374</v>
      </c>
      <c r="K100" s="27">
        <f t="shared" si="16"/>
        <v>12.386080674129534</v>
      </c>
      <c r="L100" s="27">
        <f t="shared" si="17"/>
        <v>10.747163589776978</v>
      </c>
      <c r="M100" s="1" t="s">
        <v>435</v>
      </c>
    </row>
    <row r="101" spans="1:13">
      <c r="A101" s="1" t="s">
        <v>70</v>
      </c>
      <c r="B101" s="1" t="s">
        <v>71</v>
      </c>
      <c r="C101" s="1" t="s">
        <v>73</v>
      </c>
      <c r="D101" s="1" t="s">
        <v>81</v>
      </c>
      <c r="E101" s="1" t="s">
        <v>384</v>
      </c>
      <c r="F101" s="1" t="s">
        <v>385</v>
      </c>
      <c r="G101" s="1">
        <v>2016</v>
      </c>
      <c r="H101" s="1">
        <f>365*83795</f>
        <v>30585175</v>
      </c>
      <c r="I101" s="1">
        <v>256579</v>
      </c>
      <c r="J101" s="1" t="s">
        <v>374</v>
      </c>
      <c r="K101" s="27">
        <f>H101/(365*2953735)*100</f>
        <v>2.8369166495978821</v>
      </c>
      <c r="L101" s="27">
        <f>I101/10239321*100</f>
        <v>2.5058204543055149</v>
      </c>
      <c r="M101" s="1" t="s">
        <v>435</v>
      </c>
    </row>
    <row r="102" spans="1:13">
      <c r="A102" s="1" t="s">
        <v>70</v>
      </c>
      <c r="B102" s="1" t="s">
        <v>71</v>
      </c>
      <c r="C102" s="1" t="s">
        <v>73</v>
      </c>
      <c r="D102" s="1" t="s">
        <v>81</v>
      </c>
      <c r="E102" s="1" t="s">
        <v>421</v>
      </c>
      <c r="F102" s="1" t="s">
        <v>389</v>
      </c>
      <c r="G102" s="1">
        <v>2016</v>
      </c>
      <c r="H102" s="1">
        <f>365*56523</f>
        <v>20630895</v>
      </c>
      <c r="I102" s="1">
        <v>180885</v>
      </c>
      <c r="J102" s="1" t="s">
        <v>374</v>
      </c>
      <c r="K102" s="27">
        <f t="shared" ref="K102" si="18">H102/(365*2953735)*100</f>
        <v>1.9136110720833113</v>
      </c>
      <c r="L102" s="27">
        <f t="shared" ref="L102:L111" si="19">I102/10239321*100</f>
        <v>1.7665722170444702</v>
      </c>
      <c r="M102" s="1" t="s">
        <v>435</v>
      </c>
    </row>
    <row r="103" spans="1:13">
      <c r="A103" s="1" t="s">
        <v>70</v>
      </c>
      <c r="B103" s="1" t="s">
        <v>71</v>
      </c>
      <c r="C103" s="1" t="s">
        <v>73</v>
      </c>
      <c r="D103" s="1" t="s">
        <v>81</v>
      </c>
      <c r="E103" s="1" t="s">
        <v>391</v>
      </c>
      <c r="F103" s="1" t="s">
        <v>392</v>
      </c>
      <c r="G103" s="1">
        <v>2016</v>
      </c>
      <c r="H103" s="1">
        <f>365*32697</f>
        <v>11934405</v>
      </c>
      <c r="I103" s="1">
        <v>104420</v>
      </c>
      <c r="J103" s="1" t="s">
        <v>374</v>
      </c>
      <c r="K103" s="27">
        <f>H103/(365*2815462)*100</f>
        <v>1.161336931558657</v>
      </c>
      <c r="L103" s="27">
        <f t="shared" si="19"/>
        <v>1.01979418361823</v>
      </c>
      <c r="M103" s="1" t="s">
        <v>437</v>
      </c>
    </row>
    <row r="104" spans="1:13">
      <c r="A104" s="1" t="s">
        <v>70</v>
      </c>
      <c r="B104" s="1" t="s">
        <v>71</v>
      </c>
      <c r="C104" s="1" t="s">
        <v>73</v>
      </c>
      <c r="D104" s="1" t="s">
        <v>81</v>
      </c>
      <c r="E104" s="1" t="s">
        <v>431</v>
      </c>
      <c r="F104" s="1" t="s">
        <v>396</v>
      </c>
      <c r="G104" s="1">
        <v>2016</v>
      </c>
      <c r="H104" s="1">
        <f>365*22209</f>
        <v>8106285</v>
      </c>
      <c r="I104" s="1">
        <v>67245</v>
      </c>
      <c r="J104" s="1" t="s">
        <v>374</v>
      </c>
      <c r="K104" s="27">
        <f t="shared" ref="K104:K111" si="20">H104/(365*2815462)*100</f>
        <v>0.78882258045038445</v>
      </c>
      <c r="L104" s="27">
        <f t="shared" si="19"/>
        <v>0.65673300016671032</v>
      </c>
      <c r="M104" s="1" t="s">
        <v>437</v>
      </c>
    </row>
    <row r="105" spans="1:13">
      <c r="A105" s="1" t="s">
        <v>70</v>
      </c>
      <c r="B105" s="1" t="s">
        <v>71</v>
      </c>
      <c r="C105" s="1" t="s">
        <v>73</v>
      </c>
      <c r="D105" s="1" t="s">
        <v>81</v>
      </c>
      <c r="E105" s="1" t="s">
        <v>393</v>
      </c>
      <c r="F105" s="1" t="s">
        <v>394</v>
      </c>
      <c r="G105" s="1">
        <v>2016</v>
      </c>
      <c r="H105" s="1">
        <f>365*20424</f>
        <v>7454760</v>
      </c>
      <c r="I105" s="1">
        <v>58729</v>
      </c>
      <c r="J105" s="1" t="s">
        <v>374</v>
      </c>
      <c r="K105" s="27">
        <f t="shared" si="20"/>
        <v>0.7254226837371629</v>
      </c>
      <c r="L105" s="27">
        <f t="shared" si="19"/>
        <v>0.57356342280899286</v>
      </c>
      <c r="M105" s="1" t="s">
        <v>437</v>
      </c>
    </row>
    <row r="106" spans="1:13">
      <c r="A106" s="1" t="s">
        <v>70</v>
      </c>
      <c r="B106" s="1" t="s">
        <v>71</v>
      </c>
      <c r="C106" s="1" t="s">
        <v>73</v>
      </c>
      <c r="D106" s="1" t="s">
        <v>81</v>
      </c>
      <c r="E106" s="1" t="s">
        <v>388</v>
      </c>
      <c r="F106" s="1" t="s">
        <v>389</v>
      </c>
      <c r="G106" s="1">
        <v>2016</v>
      </c>
      <c r="H106" s="1">
        <f>365*18902</f>
        <v>6899230</v>
      </c>
      <c r="I106" s="1">
        <v>56119</v>
      </c>
      <c r="J106" s="1" t="s">
        <v>374</v>
      </c>
      <c r="K106" s="27">
        <f t="shared" si="20"/>
        <v>0.67136406032118356</v>
      </c>
      <c r="L106" s="27">
        <f t="shared" si="19"/>
        <v>0.5480734513548311</v>
      </c>
      <c r="M106" s="1" t="s">
        <v>437</v>
      </c>
    </row>
    <row r="107" spans="1:13">
      <c r="A107" s="1" t="s">
        <v>70</v>
      </c>
      <c r="B107" s="1" t="s">
        <v>71</v>
      </c>
      <c r="C107" s="1" t="s">
        <v>73</v>
      </c>
      <c r="D107" s="1" t="s">
        <v>81</v>
      </c>
      <c r="E107" s="1" t="s">
        <v>397</v>
      </c>
      <c r="F107" s="1" t="s">
        <v>398</v>
      </c>
      <c r="G107" s="1">
        <v>2016</v>
      </c>
      <c r="H107" s="1">
        <f>365*16727</f>
        <v>6105355</v>
      </c>
      <c r="I107" s="1">
        <v>57846</v>
      </c>
      <c r="J107" s="1" t="s">
        <v>374</v>
      </c>
      <c r="K107" s="27">
        <f t="shared" si="20"/>
        <v>0.59411208533448512</v>
      </c>
      <c r="L107" s="27">
        <f t="shared" si="19"/>
        <v>0.56493980411396416</v>
      </c>
      <c r="M107" s="1" t="s">
        <v>437</v>
      </c>
    </row>
    <row r="108" spans="1:13">
      <c r="A108" s="1" t="s">
        <v>70</v>
      </c>
      <c r="B108" s="1" t="s">
        <v>71</v>
      </c>
      <c r="C108" s="1" t="s">
        <v>73</v>
      </c>
      <c r="D108" s="1" t="s">
        <v>81</v>
      </c>
      <c r="E108" s="1" t="s">
        <v>397</v>
      </c>
      <c r="F108" s="1" t="s">
        <v>398</v>
      </c>
      <c r="G108" s="1">
        <v>2016</v>
      </c>
      <c r="H108" s="1">
        <f>365*16580</f>
        <v>6051700</v>
      </c>
      <c r="I108" s="1">
        <v>55883</v>
      </c>
      <c r="J108" s="1" t="s">
        <v>374</v>
      </c>
      <c r="K108" s="27">
        <f t="shared" si="20"/>
        <v>0.58889091736986687</v>
      </c>
      <c r="L108" s="27">
        <f t="shared" si="19"/>
        <v>0.5457686110241099</v>
      </c>
      <c r="M108" s="1" t="s">
        <v>437</v>
      </c>
    </row>
    <row r="109" spans="1:13">
      <c r="A109" s="1" t="s">
        <v>70</v>
      </c>
      <c r="B109" s="1" t="s">
        <v>71</v>
      </c>
      <c r="C109" s="1" t="s">
        <v>73</v>
      </c>
      <c r="D109" s="1" t="s">
        <v>81</v>
      </c>
      <c r="E109" s="1" t="s">
        <v>429</v>
      </c>
      <c r="F109" s="1" t="s">
        <v>430</v>
      </c>
      <c r="G109" s="1">
        <v>2016</v>
      </c>
      <c r="H109" s="1">
        <f>365*16228</f>
        <v>5923220</v>
      </c>
      <c r="I109" s="1">
        <v>56164</v>
      </c>
      <c r="J109" s="1" t="s">
        <v>374</v>
      </c>
      <c r="K109" s="27">
        <f t="shared" si="20"/>
        <v>0.57638852877431845</v>
      </c>
      <c r="L109" s="27">
        <f t="shared" si="19"/>
        <v>0.54851293362128217</v>
      </c>
      <c r="M109" s="1" t="s">
        <v>437</v>
      </c>
    </row>
    <row r="110" spans="1:13">
      <c r="A110" s="1" t="s">
        <v>70</v>
      </c>
      <c r="B110" s="1" t="s">
        <v>71</v>
      </c>
      <c r="C110" s="1" t="s">
        <v>73</v>
      </c>
      <c r="D110" s="1" t="s">
        <v>81</v>
      </c>
      <c r="E110" s="1" t="s">
        <v>395</v>
      </c>
      <c r="F110" s="1" t="s">
        <v>396</v>
      </c>
      <c r="G110" s="1">
        <v>2016</v>
      </c>
      <c r="H110" s="1">
        <f>365*15744</f>
        <v>5746560</v>
      </c>
      <c r="I110" s="1">
        <v>44428</v>
      </c>
      <c r="J110" s="1" t="s">
        <v>374</v>
      </c>
      <c r="K110" s="27">
        <f t="shared" si="20"/>
        <v>0.55919774445543935</v>
      </c>
      <c r="L110" s="27">
        <f t="shared" si="19"/>
        <v>0.43389595853084395</v>
      </c>
      <c r="M110" s="1" t="s">
        <v>437</v>
      </c>
    </row>
    <row r="111" spans="1:13">
      <c r="A111" s="1" t="s">
        <v>70</v>
      </c>
      <c r="B111" s="1" t="s">
        <v>71</v>
      </c>
      <c r="C111" s="1" t="s">
        <v>73</v>
      </c>
      <c r="D111" s="1" t="s">
        <v>81</v>
      </c>
      <c r="E111" s="1" t="s">
        <v>334</v>
      </c>
      <c r="F111" s="1" t="s">
        <v>334</v>
      </c>
      <c r="G111" s="1">
        <v>2016</v>
      </c>
      <c r="H111" s="1">
        <f>SUM(H101:H110)</f>
        <v>109437585</v>
      </c>
      <c r="I111" s="1">
        <f>SUM(I101:I110)</f>
        <v>938298</v>
      </c>
      <c r="J111" s="1" t="s">
        <v>374</v>
      </c>
      <c r="K111" s="27">
        <f t="shared" si="20"/>
        <v>10.649371222200832</v>
      </c>
      <c r="L111" s="27">
        <f t="shared" si="19"/>
        <v>9.1636740365889491</v>
      </c>
      <c r="M111" s="1" t="s">
        <v>437</v>
      </c>
    </row>
    <row r="112" spans="1:13">
      <c r="A112" s="1" t="s">
        <v>70</v>
      </c>
      <c r="B112" s="1" t="s">
        <v>71</v>
      </c>
      <c r="C112" s="1" t="s">
        <v>73</v>
      </c>
      <c r="D112" s="1" t="s">
        <v>81</v>
      </c>
      <c r="E112" s="1" t="s">
        <v>421</v>
      </c>
      <c r="F112" s="1" t="s">
        <v>389</v>
      </c>
      <c r="G112" s="1">
        <v>2017</v>
      </c>
      <c r="H112" s="1">
        <f>365*60554</f>
        <v>22102210</v>
      </c>
      <c r="I112" s="1">
        <v>195353</v>
      </c>
      <c r="J112" s="1" t="s">
        <v>374</v>
      </c>
      <c r="K112" s="27">
        <f>H112/(365*2744877)*100</f>
        <v>2.2060733504634271</v>
      </c>
      <c r="L112" s="27">
        <f>I112/10839866*100</f>
        <v>1.802171724263012</v>
      </c>
      <c r="M112" s="1" t="s">
        <v>438</v>
      </c>
    </row>
    <row r="113" spans="1:13">
      <c r="A113" s="1" t="s">
        <v>70</v>
      </c>
      <c r="B113" s="1" t="s">
        <v>71</v>
      </c>
      <c r="C113" s="1" t="s">
        <v>73</v>
      </c>
      <c r="D113" s="1" t="s">
        <v>81</v>
      </c>
      <c r="E113" s="1" t="s">
        <v>384</v>
      </c>
      <c r="F113" s="1" t="s">
        <v>385</v>
      </c>
      <c r="G113" s="1">
        <v>2017</v>
      </c>
      <c r="H113" s="1">
        <f>365*77539</f>
        <v>28301735</v>
      </c>
      <c r="I113" s="1">
        <v>265976</v>
      </c>
      <c r="J113" s="1" t="s">
        <v>374</v>
      </c>
      <c r="K113" s="27">
        <f t="shared" ref="K113:K122" si="21">H113/(365*2744877)*100</f>
        <v>2.8248624619609548</v>
      </c>
      <c r="L113" s="27">
        <f t="shared" ref="L113:L122" si="22">I113/10839866*100</f>
        <v>2.4536834680428705</v>
      </c>
      <c r="M113" s="1" t="s">
        <v>438</v>
      </c>
    </row>
    <row r="114" spans="1:13">
      <c r="A114" s="1" t="s">
        <v>70</v>
      </c>
      <c r="B114" s="1" t="s">
        <v>71</v>
      </c>
      <c r="C114" s="1" t="s">
        <v>73</v>
      </c>
      <c r="D114" s="1" t="s">
        <v>81</v>
      </c>
      <c r="E114" s="1" t="s">
        <v>431</v>
      </c>
      <c r="F114" s="1" t="s">
        <v>396</v>
      </c>
      <c r="G114" s="1">
        <v>2017</v>
      </c>
      <c r="H114" s="1">
        <f>365*25323</f>
        <v>9242895</v>
      </c>
      <c r="I114" s="1">
        <v>82603</v>
      </c>
      <c r="J114" s="1" t="s">
        <v>374</v>
      </c>
      <c r="K114" s="27">
        <f t="shared" si="21"/>
        <v>0.92255499973222854</v>
      </c>
      <c r="L114" s="27">
        <f t="shared" si="22"/>
        <v>0.76202971512747486</v>
      </c>
      <c r="M114" s="1" t="s">
        <v>438</v>
      </c>
    </row>
    <row r="115" spans="1:13">
      <c r="A115" s="1" t="s">
        <v>70</v>
      </c>
      <c r="B115" s="1" t="s">
        <v>71</v>
      </c>
      <c r="C115" s="1" t="s">
        <v>73</v>
      </c>
      <c r="D115" s="1" t="s">
        <v>81</v>
      </c>
      <c r="E115" s="1" t="s">
        <v>391</v>
      </c>
      <c r="F115" s="1" t="s">
        <v>392</v>
      </c>
      <c r="G115" s="1">
        <v>2017</v>
      </c>
      <c r="H115" s="1">
        <f>365*26290</f>
        <v>9595850</v>
      </c>
      <c r="I115" s="1">
        <v>90303</v>
      </c>
      <c r="J115" s="1" t="s">
        <v>374</v>
      </c>
      <c r="K115" s="27">
        <f t="shared" si="21"/>
        <v>0.95778426501442504</v>
      </c>
      <c r="L115" s="27">
        <f t="shared" si="22"/>
        <v>0.83306380355624332</v>
      </c>
      <c r="M115" s="1" t="s">
        <v>438</v>
      </c>
    </row>
    <row r="116" spans="1:13">
      <c r="A116" s="1" t="s">
        <v>70</v>
      </c>
      <c r="B116" s="1" t="s">
        <v>71</v>
      </c>
      <c r="C116" s="1" t="s">
        <v>73</v>
      </c>
      <c r="D116" s="1" t="s">
        <v>81</v>
      </c>
      <c r="E116" s="1" t="s">
        <v>395</v>
      </c>
      <c r="F116" s="1" t="s">
        <v>396</v>
      </c>
      <c r="G116" s="1">
        <v>2017</v>
      </c>
      <c r="H116" s="1">
        <f>365*21060</f>
        <v>7686900</v>
      </c>
      <c r="I116" s="1">
        <v>70702</v>
      </c>
      <c r="J116" s="1" t="s">
        <v>374</v>
      </c>
      <c r="K116" s="27">
        <f t="shared" si="21"/>
        <v>0.76724749415001103</v>
      </c>
      <c r="L116" s="27">
        <f t="shared" si="22"/>
        <v>0.65224053507672519</v>
      </c>
      <c r="M116" s="1" t="s">
        <v>438</v>
      </c>
    </row>
    <row r="117" spans="1:13">
      <c r="A117" s="1" t="s">
        <v>70</v>
      </c>
      <c r="B117" s="1" t="s">
        <v>71</v>
      </c>
      <c r="C117" s="1" t="s">
        <v>73</v>
      </c>
      <c r="D117" s="1" t="s">
        <v>81</v>
      </c>
      <c r="E117" s="1" t="s">
        <v>439</v>
      </c>
      <c r="F117" s="1" t="s">
        <v>389</v>
      </c>
      <c r="G117" s="1">
        <v>2017</v>
      </c>
      <c r="H117" s="1">
        <f>365*22882</f>
        <v>8351930</v>
      </c>
      <c r="I117" s="1">
        <v>70451</v>
      </c>
      <c r="J117" s="1" t="s">
        <v>374</v>
      </c>
      <c r="K117" s="27">
        <f t="shared" si="21"/>
        <v>0.83362569616052018</v>
      </c>
      <c r="L117" s="27">
        <f t="shared" si="22"/>
        <v>0.64992500829807309</v>
      </c>
      <c r="M117" s="1" t="s">
        <v>438</v>
      </c>
    </row>
    <row r="118" spans="1:13">
      <c r="A118" s="1" t="s">
        <v>70</v>
      </c>
      <c r="B118" s="1" t="s">
        <v>71</v>
      </c>
      <c r="C118" s="1" t="s">
        <v>73</v>
      </c>
      <c r="D118" s="1" t="s">
        <v>81</v>
      </c>
      <c r="E118" s="1" t="s">
        <v>429</v>
      </c>
      <c r="F118" s="1" t="s">
        <v>430</v>
      </c>
      <c r="G118" s="1">
        <v>2017</v>
      </c>
      <c r="H118" s="1">
        <f>365*18071</f>
        <v>6595915</v>
      </c>
      <c r="I118" s="1">
        <v>70089</v>
      </c>
      <c r="J118" s="1" t="s">
        <v>374</v>
      </c>
      <c r="K118" s="27">
        <f t="shared" si="21"/>
        <v>0.65835372586822649</v>
      </c>
      <c r="L118" s="27">
        <f t="shared" si="22"/>
        <v>0.64658548362129198</v>
      </c>
      <c r="M118" s="1" t="s">
        <v>438</v>
      </c>
    </row>
    <row r="119" spans="1:13">
      <c r="A119" s="1" t="s">
        <v>70</v>
      </c>
      <c r="B119" s="1" t="s">
        <v>71</v>
      </c>
      <c r="C119" s="1" t="s">
        <v>73</v>
      </c>
      <c r="D119" s="1" t="s">
        <v>81</v>
      </c>
      <c r="E119" s="1" t="s">
        <v>397</v>
      </c>
      <c r="F119" s="1" t="s">
        <v>398</v>
      </c>
      <c r="G119" s="1">
        <v>2017</v>
      </c>
      <c r="H119" s="1">
        <f>365*16498</f>
        <v>6021770</v>
      </c>
      <c r="I119" s="1">
        <v>60073</v>
      </c>
      <c r="J119" s="1" t="s">
        <v>374</v>
      </c>
      <c r="K119" s="27">
        <f t="shared" si="21"/>
        <v>0.60104696858912077</v>
      </c>
      <c r="L119" s="27">
        <f t="shared" si="22"/>
        <v>0.55418581742615636</v>
      </c>
      <c r="M119" s="1" t="s">
        <v>438</v>
      </c>
    </row>
    <row r="120" spans="1:13">
      <c r="A120" s="1" t="s">
        <v>70</v>
      </c>
      <c r="B120" s="1" t="s">
        <v>71</v>
      </c>
      <c r="C120" s="1" t="s">
        <v>73</v>
      </c>
      <c r="D120" s="1" t="s">
        <v>81</v>
      </c>
      <c r="E120" s="1" t="s">
        <v>397</v>
      </c>
      <c r="F120" s="1" t="s">
        <v>398</v>
      </c>
      <c r="G120" s="1">
        <v>2017</v>
      </c>
      <c r="H120" s="1">
        <f>365*15380</f>
        <v>5613700</v>
      </c>
      <c r="I120" s="1">
        <v>57862</v>
      </c>
      <c r="J120" s="1" t="s">
        <v>374</v>
      </c>
      <c r="K120" s="27">
        <f t="shared" si="21"/>
        <v>0.56031654606016945</v>
      </c>
      <c r="L120" s="27">
        <f t="shared" si="22"/>
        <v>0.5337888863201814</v>
      </c>
      <c r="M120" s="1" t="s">
        <v>438</v>
      </c>
    </row>
    <row r="121" spans="1:13">
      <c r="A121" s="1" t="s">
        <v>70</v>
      </c>
      <c r="B121" s="1" t="s">
        <v>71</v>
      </c>
      <c r="C121" s="1" t="s">
        <v>73</v>
      </c>
      <c r="D121" s="1" t="s">
        <v>81</v>
      </c>
      <c r="E121" s="1" t="s">
        <v>440</v>
      </c>
      <c r="F121" s="1" t="s">
        <v>441</v>
      </c>
      <c r="G121" s="1">
        <v>2017</v>
      </c>
      <c r="H121" s="1">
        <f>365*14708</f>
        <v>5368420</v>
      </c>
      <c r="I121" s="1">
        <v>53442</v>
      </c>
      <c r="J121" s="1" t="s">
        <v>374</v>
      </c>
      <c r="K121" s="27">
        <f t="shared" si="21"/>
        <v>0.53583457473686436</v>
      </c>
      <c r="L121" s="27">
        <f t="shared" si="22"/>
        <v>0.49301347452081051</v>
      </c>
      <c r="M121" s="1" t="s">
        <v>438</v>
      </c>
    </row>
    <row r="122" spans="1:13">
      <c r="A122" s="1" t="s">
        <v>70</v>
      </c>
      <c r="B122" s="1" t="s">
        <v>71</v>
      </c>
      <c r="C122" s="1" t="s">
        <v>73</v>
      </c>
      <c r="D122" s="1" t="s">
        <v>81</v>
      </c>
      <c r="E122" s="1" t="s">
        <v>334</v>
      </c>
      <c r="F122" s="1" t="s">
        <v>334</v>
      </c>
      <c r="G122" s="1">
        <v>2017</v>
      </c>
      <c r="H122" s="1">
        <f>SUM(H112:H121)</f>
        <v>108881325</v>
      </c>
      <c r="I122" s="1">
        <f>SUM(I112:I121)</f>
        <v>1016854</v>
      </c>
      <c r="J122" s="1" t="s">
        <v>374</v>
      </c>
      <c r="K122" s="27">
        <f t="shared" si="21"/>
        <v>10.867700082735949</v>
      </c>
      <c r="L122" s="27">
        <f t="shared" si="22"/>
        <v>9.3806879162528389</v>
      </c>
      <c r="M122" s="1" t="s">
        <v>438</v>
      </c>
    </row>
    <row r="123" spans="1:13">
      <c r="A123" s="1" t="s">
        <v>70</v>
      </c>
      <c r="B123" s="1" t="s">
        <v>71</v>
      </c>
      <c r="C123" s="1">
        <v>2010</v>
      </c>
      <c r="D123" s="1" t="s">
        <v>81</v>
      </c>
      <c r="E123" s="1" t="s">
        <v>384</v>
      </c>
      <c r="F123" s="1" t="s">
        <v>385</v>
      </c>
      <c r="G123" s="1">
        <v>2008</v>
      </c>
      <c r="H123" s="1">
        <v>303069</v>
      </c>
      <c r="I123" s="1">
        <v>165589</v>
      </c>
      <c r="J123" s="1" t="s">
        <v>374</v>
      </c>
      <c r="K123" s="27"/>
      <c r="L123" s="27"/>
    </row>
    <row r="124" spans="1:13">
      <c r="A124" s="1" t="s">
        <v>70</v>
      </c>
      <c r="B124" s="1" t="s">
        <v>71</v>
      </c>
      <c r="C124" s="1">
        <v>2010</v>
      </c>
      <c r="D124" s="1" t="s">
        <v>81</v>
      </c>
      <c r="E124" s="1" t="s">
        <v>388</v>
      </c>
      <c r="F124" s="1" t="s">
        <v>389</v>
      </c>
      <c r="G124" s="1">
        <v>2008</v>
      </c>
      <c r="H124" s="1">
        <v>172433</v>
      </c>
      <c r="I124" s="1">
        <v>90200</v>
      </c>
      <c r="J124" s="1" t="s">
        <v>374</v>
      </c>
      <c r="K124" s="27"/>
      <c r="L124" s="27"/>
    </row>
    <row r="125" spans="1:13">
      <c r="A125" s="1" t="s">
        <v>70</v>
      </c>
      <c r="B125" s="1" t="s">
        <v>71</v>
      </c>
      <c r="C125" s="1">
        <v>2010</v>
      </c>
      <c r="D125" s="1" t="s">
        <v>81</v>
      </c>
      <c r="E125" s="1" t="s">
        <v>442</v>
      </c>
      <c r="F125" s="1" t="s">
        <v>443</v>
      </c>
      <c r="G125" s="1">
        <v>2008</v>
      </c>
      <c r="H125" s="1">
        <v>143698</v>
      </c>
      <c r="I125" s="1">
        <v>75350</v>
      </c>
      <c r="J125" s="1" t="s">
        <v>374</v>
      </c>
      <c r="K125" s="27"/>
      <c r="L125" s="27"/>
    </row>
    <row r="126" spans="1:13">
      <c r="A126" s="1" t="s">
        <v>70</v>
      </c>
      <c r="B126" s="1" t="s">
        <v>71</v>
      </c>
      <c r="C126" s="1">
        <v>2010</v>
      </c>
      <c r="D126" s="1" t="s">
        <v>81</v>
      </c>
      <c r="E126" s="1" t="s">
        <v>391</v>
      </c>
      <c r="F126" s="1" t="s">
        <v>392</v>
      </c>
      <c r="G126" s="1">
        <v>2008</v>
      </c>
      <c r="H126" s="1">
        <v>65420</v>
      </c>
      <c r="I126" s="1">
        <v>20055</v>
      </c>
      <c r="J126" s="1" t="s">
        <v>374</v>
      </c>
      <c r="K126" s="27"/>
      <c r="L126" s="27"/>
    </row>
    <row r="127" spans="1:13">
      <c r="A127" s="1" t="s">
        <v>70</v>
      </c>
      <c r="B127" s="1" t="s">
        <v>71</v>
      </c>
      <c r="C127" s="1">
        <v>2010</v>
      </c>
      <c r="D127" s="1" t="s">
        <v>81</v>
      </c>
      <c r="E127" s="1" t="s">
        <v>431</v>
      </c>
      <c r="F127" s="1" t="s">
        <v>396</v>
      </c>
      <c r="G127" s="1">
        <v>2008</v>
      </c>
      <c r="H127" s="1">
        <v>41501</v>
      </c>
      <c r="I127" s="1">
        <v>22914</v>
      </c>
      <c r="J127" s="1" t="s">
        <v>374</v>
      </c>
      <c r="K127" s="27"/>
      <c r="L127" s="27"/>
    </row>
    <row r="128" spans="1:13">
      <c r="A128" s="1" t="s">
        <v>70</v>
      </c>
      <c r="B128" s="1" t="s">
        <v>71</v>
      </c>
      <c r="C128" s="1">
        <v>2010</v>
      </c>
      <c r="D128" s="1" t="s">
        <v>81</v>
      </c>
      <c r="E128" s="1" t="s">
        <v>390</v>
      </c>
      <c r="F128" s="1" t="s">
        <v>389</v>
      </c>
      <c r="G128" s="1">
        <v>2008</v>
      </c>
      <c r="H128" s="1">
        <v>40999</v>
      </c>
      <c r="I128" s="1">
        <v>21671</v>
      </c>
      <c r="J128" s="1" t="s">
        <v>374</v>
      </c>
      <c r="K128" s="27"/>
      <c r="L128" s="27"/>
    </row>
    <row r="129" spans="1:12">
      <c r="A129" s="1" t="s">
        <v>70</v>
      </c>
      <c r="B129" s="1" t="s">
        <v>71</v>
      </c>
      <c r="C129" s="1">
        <v>2010</v>
      </c>
      <c r="D129" s="1" t="s">
        <v>81</v>
      </c>
      <c r="E129" s="1" t="s">
        <v>444</v>
      </c>
      <c r="F129" s="1" t="s">
        <v>445</v>
      </c>
      <c r="G129" s="1">
        <v>2008</v>
      </c>
      <c r="H129" s="1">
        <v>36295</v>
      </c>
      <c r="I129" s="1">
        <v>17112</v>
      </c>
      <c r="J129" s="1" t="s">
        <v>374</v>
      </c>
      <c r="K129" s="27"/>
      <c r="L129" s="27"/>
    </row>
    <row r="130" spans="1:12">
      <c r="A130" s="1" t="s">
        <v>70</v>
      </c>
      <c r="B130" s="1" t="s">
        <v>71</v>
      </c>
      <c r="C130" s="1">
        <v>2010</v>
      </c>
      <c r="D130" s="1" t="s">
        <v>81</v>
      </c>
      <c r="E130" s="1" t="s">
        <v>439</v>
      </c>
      <c r="F130" s="1" t="s">
        <v>389</v>
      </c>
      <c r="G130" s="1">
        <v>2008</v>
      </c>
      <c r="H130" s="1">
        <v>31360</v>
      </c>
      <c r="I130" s="1">
        <v>18387</v>
      </c>
      <c r="J130" s="1" t="s">
        <v>374</v>
      </c>
      <c r="K130" s="27"/>
      <c r="L130" s="27"/>
    </row>
    <row r="131" spans="1:12">
      <c r="A131" s="1" t="s">
        <v>70</v>
      </c>
      <c r="B131" s="1" t="s">
        <v>71</v>
      </c>
      <c r="C131" s="1">
        <v>2010</v>
      </c>
      <c r="D131" s="1" t="s">
        <v>81</v>
      </c>
      <c r="E131" s="1" t="s">
        <v>446</v>
      </c>
      <c r="F131" s="1" t="s">
        <v>447</v>
      </c>
      <c r="G131" s="1">
        <v>2008</v>
      </c>
      <c r="H131" s="1">
        <v>29216</v>
      </c>
      <c r="I131" s="1">
        <v>15955</v>
      </c>
      <c r="J131" s="1" t="s">
        <v>374</v>
      </c>
      <c r="K131" s="27"/>
      <c r="L131" s="27"/>
    </row>
    <row r="132" spans="1:12">
      <c r="A132" s="1" t="s">
        <v>70</v>
      </c>
      <c r="B132" s="1" t="s">
        <v>71</v>
      </c>
      <c r="C132" s="1">
        <v>2010</v>
      </c>
      <c r="D132" s="1" t="s">
        <v>81</v>
      </c>
      <c r="E132" s="1" t="s">
        <v>448</v>
      </c>
      <c r="F132" s="1" t="s">
        <v>449</v>
      </c>
      <c r="G132" s="1">
        <v>2008</v>
      </c>
      <c r="H132" s="1">
        <v>22954</v>
      </c>
      <c r="I132" s="1">
        <v>13164</v>
      </c>
      <c r="J132" s="1" t="s">
        <v>374</v>
      </c>
      <c r="K132" s="27"/>
      <c r="L132" s="27"/>
    </row>
    <row r="133" spans="1:12">
      <c r="A133" s="1" t="s">
        <v>70</v>
      </c>
      <c r="B133" s="1" t="s">
        <v>71</v>
      </c>
      <c r="C133" s="1">
        <v>2010</v>
      </c>
      <c r="D133" s="1" t="s">
        <v>81</v>
      </c>
      <c r="E133" s="1" t="s">
        <v>417</v>
      </c>
      <c r="F133" s="1" t="s">
        <v>385</v>
      </c>
      <c r="G133" s="1">
        <v>2008</v>
      </c>
      <c r="H133" s="1">
        <v>20379</v>
      </c>
      <c r="I133" s="1">
        <v>12458</v>
      </c>
      <c r="J133" s="1" t="s">
        <v>374</v>
      </c>
      <c r="K133" s="27"/>
      <c r="L133" s="27"/>
    </row>
    <row r="134" spans="1:12">
      <c r="A134" s="1" t="s">
        <v>70</v>
      </c>
      <c r="B134" s="1" t="s">
        <v>71</v>
      </c>
      <c r="C134" s="1">
        <v>2010</v>
      </c>
      <c r="D134" s="1" t="s">
        <v>81</v>
      </c>
      <c r="E134" s="1" t="s">
        <v>334</v>
      </c>
      <c r="F134" s="1" t="s">
        <v>334</v>
      </c>
      <c r="G134" s="1">
        <v>2008</v>
      </c>
      <c r="H134" s="1">
        <f>SUM(H123:H133)</f>
        <v>907324</v>
      </c>
      <c r="I134" s="1">
        <f>SUM(I123:I133)</f>
        <v>472855</v>
      </c>
      <c r="J134" s="1" t="s">
        <v>374</v>
      </c>
      <c r="K134" s="27"/>
      <c r="L134" s="27"/>
    </row>
    <row r="135" spans="1:12">
      <c r="A135" s="1" t="s">
        <v>70</v>
      </c>
      <c r="B135" s="1" t="s">
        <v>71</v>
      </c>
      <c r="C135" s="1">
        <v>2010</v>
      </c>
      <c r="D135" s="1" t="s">
        <v>81</v>
      </c>
      <c r="E135" s="1" t="s">
        <v>384</v>
      </c>
      <c r="F135" s="1" t="s">
        <v>385</v>
      </c>
      <c r="G135" s="1">
        <v>2009</v>
      </c>
      <c r="H135" s="1">
        <v>298410</v>
      </c>
      <c r="I135" s="1">
        <v>155687</v>
      </c>
      <c r="J135" s="1" t="s">
        <v>374</v>
      </c>
      <c r="L135" s="27"/>
    </row>
    <row r="136" spans="1:12">
      <c r="A136" s="1" t="s">
        <v>70</v>
      </c>
      <c r="B136" s="1" t="s">
        <v>71</v>
      </c>
      <c r="C136" s="1">
        <v>2010</v>
      </c>
      <c r="D136" s="1" t="s">
        <v>81</v>
      </c>
      <c r="E136" s="1" t="s">
        <v>388</v>
      </c>
      <c r="F136" s="1" t="s">
        <v>389</v>
      </c>
      <c r="G136" s="1">
        <v>2009</v>
      </c>
      <c r="H136" s="1">
        <v>241009</v>
      </c>
      <c r="I136" s="1">
        <v>122101</v>
      </c>
      <c r="J136" s="1" t="s">
        <v>374</v>
      </c>
      <c r="L136" s="27"/>
    </row>
    <row r="137" spans="1:12">
      <c r="A137" s="1" t="s">
        <v>70</v>
      </c>
      <c r="B137" s="1" t="s">
        <v>71</v>
      </c>
      <c r="C137" s="1">
        <v>2010</v>
      </c>
      <c r="D137" s="1" t="s">
        <v>81</v>
      </c>
      <c r="E137" s="1" t="s">
        <v>391</v>
      </c>
      <c r="F137" s="1" t="s">
        <v>392</v>
      </c>
      <c r="G137" s="1">
        <v>2009</v>
      </c>
      <c r="H137" s="1">
        <v>80030</v>
      </c>
      <c r="I137" s="1">
        <v>38562</v>
      </c>
      <c r="J137" s="1" t="s">
        <v>374</v>
      </c>
      <c r="L137" s="27"/>
    </row>
    <row r="138" spans="1:12">
      <c r="A138" s="1" t="s">
        <v>70</v>
      </c>
      <c r="B138" s="1" t="s">
        <v>71</v>
      </c>
      <c r="C138" s="1">
        <v>2010</v>
      </c>
      <c r="D138" s="1" t="s">
        <v>81</v>
      </c>
      <c r="E138" s="1" t="s">
        <v>395</v>
      </c>
      <c r="F138" s="1" t="s">
        <v>396</v>
      </c>
      <c r="G138" s="1">
        <v>2009</v>
      </c>
      <c r="H138" s="1">
        <v>46579</v>
      </c>
      <c r="I138" s="1">
        <v>24902</v>
      </c>
      <c r="J138" s="1" t="s">
        <v>374</v>
      </c>
      <c r="L138" s="27"/>
    </row>
    <row r="139" spans="1:12">
      <c r="A139" s="1" t="s">
        <v>70</v>
      </c>
      <c r="B139" s="1" t="s">
        <v>71</v>
      </c>
      <c r="C139" s="1">
        <v>2010</v>
      </c>
      <c r="D139" s="1" t="s">
        <v>81</v>
      </c>
      <c r="E139" s="1" t="s">
        <v>390</v>
      </c>
      <c r="F139" s="1" t="s">
        <v>396</v>
      </c>
      <c r="G139" s="1">
        <v>2009</v>
      </c>
      <c r="H139" s="1">
        <v>40509</v>
      </c>
      <c r="I139" s="1">
        <v>24208</v>
      </c>
      <c r="J139" s="1" t="s">
        <v>374</v>
      </c>
      <c r="L139" s="27"/>
    </row>
    <row r="140" spans="1:12">
      <c r="A140" s="1" t="s">
        <v>70</v>
      </c>
      <c r="B140" s="1" t="s">
        <v>71</v>
      </c>
      <c r="C140" s="1">
        <v>2010</v>
      </c>
      <c r="D140" s="1" t="s">
        <v>81</v>
      </c>
      <c r="E140" s="1" t="s">
        <v>442</v>
      </c>
      <c r="F140" s="1" t="s">
        <v>443</v>
      </c>
      <c r="G140" s="1">
        <v>2009</v>
      </c>
      <c r="H140" s="1">
        <v>49286</v>
      </c>
      <c r="I140" s="1">
        <v>23873</v>
      </c>
      <c r="J140" s="1" t="s">
        <v>374</v>
      </c>
      <c r="L140" s="27"/>
    </row>
    <row r="141" spans="1:12">
      <c r="A141" s="1" t="s">
        <v>70</v>
      </c>
      <c r="B141" s="1" t="s">
        <v>71</v>
      </c>
      <c r="C141" s="1">
        <v>2010</v>
      </c>
      <c r="D141" s="1" t="s">
        <v>81</v>
      </c>
      <c r="E141" s="1" t="s">
        <v>431</v>
      </c>
      <c r="F141" s="1" t="s">
        <v>396</v>
      </c>
      <c r="G141" s="1">
        <v>2009</v>
      </c>
      <c r="H141" s="1">
        <v>44902</v>
      </c>
      <c r="I141" s="1">
        <v>23357</v>
      </c>
      <c r="J141" s="1" t="s">
        <v>374</v>
      </c>
      <c r="L141" s="27"/>
    </row>
    <row r="142" spans="1:12">
      <c r="A142" s="1" t="s">
        <v>70</v>
      </c>
      <c r="B142" s="1" t="s">
        <v>71</v>
      </c>
      <c r="C142" s="1">
        <v>2010</v>
      </c>
      <c r="D142" s="1" t="s">
        <v>81</v>
      </c>
      <c r="E142" s="1" t="s">
        <v>446</v>
      </c>
      <c r="F142" s="1" t="s">
        <v>447</v>
      </c>
      <c r="G142" s="1">
        <v>2009</v>
      </c>
      <c r="H142" s="1">
        <v>29362</v>
      </c>
      <c r="I142" s="1">
        <v>20527</v>
      </c>
      <c r="J142" s="1" t="s">
        <v>374</v>
      </c>
      <c r="L142" s="27"/>
    </row>
    <row r="143" spans="1:12">
      <c r="A143" s="1" t="s">
        <v>70</v>
      </c>
      <c r="B143" s="1" t="s">
        <v>71</v>
      </c>
      <c r="C143" s="1">
        <v>2010</v>
      </c>
      <c r="D143" s="1" t="s">
        <v>81</v>
      </c>
      <c r="E143" s="1" t="s">
        <v>439</v>
      </c>
      <c r="F143" s="1" t="s">
        <v>389</v>
      </c>
      <c r="G143" s="1">
        <v>2009</v>
      </c>
      <c r="H143" s="1">
        <v>24266</v>
      </c>
      <c r="I143" s="1">
        <v>18934</v>
      </c>
      <c r="J143" s="1" t="s">
        <v>374</v>
      </c>
      <c r="L143" s="27"/>
    </row>
    <row r="144" spans="1:12">
      <c r="A144" s="1" t="s">
        <v>70</v>
      </c>
      <c r="B144" s="1" t="s">
        <v>71</v>
      </c>
      <c r="C144" s="1">
        <v>2010</v>
      </c>
      <c r="D144" s="1" t="s">
        <v>81</v>
      </c>
      <c r="E144" s="1" t="s">
        <v>444</v>
      </c>
      <c r="F144" s="1" t="s">
        <v>445</v>
      </c>
      <c r="G144" s="1">
        <v>2009</v>
      </c>
      <c r="H144" s="1">
        <v>37444</v>
      </c>
      <c r="I144" s="1">
        <v>18289</v>
      </c>
      <c r="J144" s="1" t="s">
        <v>374</v>
      </c>
      <c r="L144" s="27"/>
    </row>
    <row r="145" spans="1:12">
      <c r="A145" s="1" t="s">
        <v>70</v>
      </c>
      <c r="B145" s="1" t="s">
        <v>71</v>
      </c>
      <c r="C145" s="1">
        <v>2010</v>
      </c>
      <c r="D145" s="1" t="s">
        <v>81</v>
      </c>
      <c r="E145" s="1" t="s">
        <v>450</v>
      </c>
      <c r="F145" s="1" t="s">
        <v>445</v>
      </c>
      <c r="G145" s="1">
        <v>2009</v>
      </c>
      <c r="H145" s="1">
        <v>32491</v>
      </c>
      <c r="I145" s="1">
        <v>14718</v>
      </c>
      <c r="J145" s="1" t="s">
        <v>374</v>
      </c>
      <c r="L145" s="27"/>
    </row>
    <row r="146" spans="1:12">
      <c r="A146" s="1" t="s">
        <v>70</v>
      </c>
      <c r="B146" s="1" t="s">
        <v>71</v>
      </c>
      <c r="C146" s="1">
        <v>2010</v>
      </c>
      <c r="D146" s="1" t="s">
        <v>81</v>
      </c>
      <c r="E146" s="1" t="s">
        <v>334</v>
      </c>
      <c r="F146" s="1" t="s">
        <v>334</v>
      </c>
      <c r="G146" s="1">
        <v>2009</v>
      </c>
      <c r="H146" s="1">
        <f>SUM(H135:H145)</f>
        <v>924288</v>
      </c>
      <c r="I146" s="1">
        <f>SUM(I135:I145)</f>
        <v>485158</v>
      </c>
      <c r="J146" s="1" t="s">
        <v>374</v>
      </c>
      <c r="L146" s="27"/>
    </row>
    <row r="147" spans="1:12">
      <c r="L147" s="27"/>
    </row>
    <row r="148" spans="1:12">
      <c r="L148" s="27"/>
    </row>
    <row r="149" spans="1:12">
      <c r="L149" s="27"/>
    </row>
    <row r="150" spans="1:12">
      <c r="L150" s="27"/>
    </row>
    <row r="151" spans="1:12">
      <c r="L151" s="27"/>
    </row>
    <row r="152" spans="1:12">
      <c r="L152" s="27"/>
    </row>
    <row r="153" spans="1:12">
      <c r="L153" s="27"/>
    </row>
    <row r="154" spans="1:12">
      <c r="L154" s="27"/>
    </row>
    <row r="155" spans="1:12">
      <c r="L155" s="27"/>
    </row>
    <row r="156" spans="1:12">
      <c r="L156" s="27"/>
    </row>
    <row r="157" spans="1:12">
      <c r="L157" s="27"/>
    </row>
    <row r="158" spans="1:12">
      <c r="L158" s="27"/>
    </row>
    <row r="159" spans="1:12">
      <c r="L159" s="27"/>
    </row>
    <row r="160" spans="1:12">
      <c r="L160" s="27"/>
    </row>
    <row r="161" spans="12:12">
      <c r="L161" s="27"/>
    </row>
    <row r="162" spans="12:12">
      <c r="L162" s="27"/>
    </row>
    <row r="163" spans="12:12">
      <c r="L163" s="27"/>
    </row>
    <row r="164" spans="12:12">
      <c r="L164" s="27"/>
    </row>
    <row r="165" spans="12:12">
      <c r="L165" s="27"/>
    </row>
    <row r="166" spans="12:12">
      <c r="L166" s="27"/>
    </row>
    <row r="167" spans="12:12">
      <c r="L167" s="27"/>
    </row>
    <row r="168" spans="12:12">
      <c r="L168" s="27"/>
    </row>
    <row r="169" spans="12:12">
      <c r="L169" s="27"/>
    </row>
    <row r="170" spans="12:12">
      <c r="L170" s="27"/>
    </row>
    <row r="171" spans="12:12">
      <c r="L171" s="27"/>
    </row>
    <row r="172" spans="12:12">
      <c r="L172" s="27"/>
    </row>
    <row r="173" spans="12:12">
      <c r="L173" s="27"/>
    </row>
    <row r="174" spans="12:12">
      <c r="L174" s="27"/>
    </row>
    <row r="175" spans="12:12">
      <c r="L175" s="27"/>
    </row>
    <row r="176" spans="12:12">
      <c r="L176" s="27"/>
    </row>
    <row r="177" spans="12:12">
      <c r="L177" s="27"/>
    </row>
    <row r="178" spans="12:12">
      <c r="L178" s="2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125"/>
  <sheetViews>
    <sheetView tabSelected="1" workbookViewId="0">
      <selection activeCell="O16" sqref="O16:O18"/>
    </sheetView>
  </sheetViews>
  <sheetFormatPr defaultColWidth="8.85546875" defaultRowHeight="14.45"/>
  <cols>
    <col min="1" max="1" width="10.140625" style="1" bestFit="1" customWidth="1"/>
    <col min="2" max="7" width="8.85546875" style="1"/>
    <col min="8" max="8" width="18.42578125" style="1" bestFit="1" customWidth="1"/>
    <col min="9" max="9" width="10.5703125" style="1" bestFit="1" customWidth="1"/>
    <col min="10" max="16384" width="8.85546875" style="1"/>
  </cols>
  <sheetData>
    <row r="1" spans="1:16">
      <c r="A1" s="6" t="s">
        <v>51</v>
      </c>
      <c r="B1" s="6" t="s">
        <v>52</v>
      </c>
      <c r="C1" s="6" t="s">
        <v>53</v>
      </c>
      <c r="D1" s="6" t="s">
        <v>451</v>
      </c>
      <c r="E1" s="6" t="s">
        <v>452</v>
      </c>
      <c r="F1" s="6" t="s">
        <v>54</v>
      </c>
      <c r="G1" s="6" t="s">
        <v>453</v>
      </c>
      <c r="H1" s="6" t="s">
        <v>454</v>
      </c>
      <c r="I1" s="6" t="s">
        <v>455</v>
      </c>
      <c r="J1" s="6" t="s">
        <v>324</v>
      </c>
      <c r="K1" s="6" t="s">
        <v>456</v>
      </c>
      <c r="L1" s="6" t="s">
        <v>457</v>
      </c>
      <c r="M1" s="6" t="s">
        <v>458</v>
      </c>
      <c r="N1" s="6" t="s">
        <v>459</v>
      </c>
      <c r="O1" s="6" t="s">
        <v>460</v>
      </c>
      <c r="P1" s="6" t="s">
        <v>69</v>
      </c>
    </row>
    <row r="2" spans="1:16">
      <c r="A2" s="1" t="s">
        <v>70</v>
      </c>
      <c r="B2" s="1" t="s">
        <v>71</v>
      </c>
      <c r="C2" s="1">
        <v>1997</v>
      </c>
      <c r="D2" s="1">
        <v>1997</v>
      </c>
      <c r="E2" s="1">
        <v>1997</v>
      </c>
      <c r="F2" s="1" t="s">
        <v>72</v>
      </c>
      <c r="G2" s="1" t="s">
        <v>461</v>
      </c>
      <c r="H2" s="1" t="s">
        <v>462</v>
      </c>
      <c r="I2" s="1" t="s">
        <v>463</v>
      </c>
      <c r="J2" s="1">
        <f>5/8</f>
        <v>0.625</v>
      </c>
      <c r="K2" s="1" t="s">
        <v>464</v>
      </c>
      <c r="L2" s="1">
        <v>1667</v>
      </c>
      <c r="M2" s="1" t="s">
        <v>73</v>
      </c>
      <c r="N2" s="1">
        <v>14.63</v>
      </c>
      <c r="O2" s="1" t="s">
        <v>465</v>
      </c>
      <c r="P2" s="1" t="s">
        <v>466</v>
      </c>
    </row>
    <row r="3" spans="1:16">
      <c r="A3" s="1" t="s">
        <v>70</v>
      </c>
      <c r="B3" s="1" t="s">
        <v>71</v>
      </c>
      <c r="C3" s="1">
        <v>1997</v>
      </c>
      <c r="D3" s="1">
        <v>1997</v>
      </c>
      <c r="E3" s="1">
        <v>1997</v>
      </c>
      <c r="F3" s="1" t="s">
        <v>72</v>
      </c>
      <c r="G3" s="1" t="s">
        <v>461</v>
      </c>
      <c r="H3" s="1" t="s">
        <v>462</v>
      </c>
      <c r="I3" s="1" t="s">
        <v>463</v>
      </c>
      <c r="J3" s="1">
        <v>0.75</v>
      </c>
      <c r="K3" s="1" t="s">
        <v>464</v>
      </c>
      <c r="L3" s="1">
        <v>1667</v>
      </c>
      <c r="M3" s="1" t="s">
        <v>73</v>
      </c>
      <c r="N3" s="1">
        <v>14.63</v>
      </c>
      <c r="O3" s="1" t="s">
        <v>465</v>
      </c>
    </row>
    <row r="4" spans="1:16">
      <c r="A4" s="1" t="s">
        <v>70</v>
      </c>
      <c r="B4" s="1" t="s">
        <v>71</v>
      </c>
      <c r="C4" s="1">
        <v>1997</v>
      </c>
      <c r="D4" s="1">
        <v>1997</v>
      </c>
      <c r="E4" s="1">
        <v>1997</v>
      </c>
      <c r="F4" s="1" t="s">
        <v>72</v>
      </c>
      <c r="G4" s="1" t="s">
        <v>461</v>
      </c>
      <c r="H4" s="1" t="s">
        <v>462</v>
      </c>
      <c r="I4" s="1" t="s">
        <v>463</v>
      </c>
      <c r="J4" s="1">
        <v>1</v>
      </c>
      <c r="K4" s="1" t="s">
        <v>464</v>
      </c>
      <c r="L4" s="1">
        <v>4002</v>
      </c>
      <c r="M4" s="1" t="s">
        <v>73</v>
      </c>
      <c r="N4" s="1">
        <v>27.57</v>
      </c>
      <c r="O4" s="1" t="s">
        <v>465</v>
      </c>
    </row>
    <row r="5" spans="1:16">
      <c r="A5" s="1" t="s">
        <v>70</v>
      </c>
      <c r="B5" s="1" t="s">
        <v>71</v>
      </c>
      <c r="C5" s="1">
        <v>1997</v>
      </c>
      <c r="D5" s="1">
        <v>1997</v>
      </c>
      <c r="E5" s="1">
        <v>1997</v>
      </c>
      <c r="F5" s="1" t="s">
        <v>72</v>
      </c>
      <c r="G5" s="1" t="s">
        <v>461</v>
      </c>
      <c r="H5" s="1" t="s">
        <v>462</v>
      </c>
      <c r="I5" s="1" t="s">
        <v>463</v>
      </c>
      <c r="J5" s="1">
        <v>1.5</v>
      </c>
      <c r="K5" s="1" t="s">
        <v>464</v>
      </c>
      <c r="L5" s="1">
        <v>10225</v>
      </c>
      <c r="M5" s="1" t="s">
        <v>73</v>
      </c>
      <c r="N5" s="1">
        <v>50.3</v>
      </c>
      <c r="O5" s="1" t="s">
        <v>465</v>
      </c>
    </row>
    <row r="6" spans="1:16">
      <c r="A6" s="1" t="s">
        <v>70</v>
      </c>
      <c r="B6" s="1" t="s">
        <v>71</v>
      </c>
      <c r="C6" s="1">
        <v>1997</v>
      </c>
      <c r="D6" s="1">
        <v>1997</v>
      </c>
      <c r="E6" s="1">
        <v>1997</v>
      </c>
      <c r="F6" s="1" t="s">
        <v>72</v>
      </c>
      <c r="G6" s="1" t="s">
        <v>461</v>
      </c>
      <c r="H6" s="1" t="s">
        <v>462</v>
      </c>
      <c r="I6" s="1" t="s">
        <v>463</v>
      </c>
      <c r="J6" s="1">
        <v>2</v>
      </c>
      <c r="K6" s="1" t="s">
        <v>464</v>
      </c>
      <c r="L6" s="1">
        <v>29995</v>
      </c>
      <c r="M6" s="1" t="s">
        <v>73</v>
      </c>
      <c r="N6" s="1">
        <v>126.07</v>
      </c>
      <c r="O6" s="1" t="s">
        <v>465</v>
      </c>
    </row>
    <row r="7" spans="1:16">
      <c r="A7" s="1" t="s">
        <v>70</v>
      </c>
      <c r="B7" s="1" t="s">
        <v>71</v>
      </c>
      <c r="C7" s="1">
        <v>1997</v>
      </c>
      <c r="D7" s="1">
        <v>1997</v>
      </c>
      <c r="E7" s="1">
        <v>1997</v>
      </c>
      <c r="F7" s="1" t="s">
        <v>72</v>
      </c>
      <c r="G7" s="1" t="s">
        <v>461</v>
      </c>
      <c r="H7" s="1" t="s">
        <v>462</v>
      </c>
      <c r="I7" s="1" t="s">
        <v>463</v>
      </c>
      <c r="J7" s="1">
        <v>3</v>
      </c>
      <c r="K7" s="1" t="s">
        <v>464</v>
      </c>
      <c r="L7" s="1">
        <v>59997</v>
      </c>
      <c r="M7" s="1" t="s">
        <v>73</v>
      </c>
      <c r="N7" s="1">
        <v>201.37</v>
      </c>
      <c r="O7" s="1" t="s">
        <v>465</v>
      </c>
    </row>
    <row r="8" spans="1:16">
      <c r="A8" s="1" t="s">
        <v>70</v>
      </c>
      <c r="B8" s="1" t="s">
        <v>71</v>
      </c>
      <c r="C8" s="1">
        <v>1997</v>
      </c>
      <c r="D8" s="1">
        <v>1997</v>
      </c>
      <c r="E8" s="1">
        <v>1997</v>
      </c>
      <c r="F8" s="1" t="s">
        <v>72</v>
      </c>
      <c r="G8" s="1" t="s">
        <v>461</v>
      </c>
      <c r="H8" s="1" t="s">
        <v>462</v>
      </c>
      <c r="I8" s="1" t="s">
        <v>463</v>
      </c>
      <c r="J8" s="1">
        <v>4</v>
      </c>
      <c r="K8" s="1" t="s">
        <v>464</v>
      </c>
      <c r="L8" s="1">
        <v>89999</v>
      </c>
      <c r="M8" s="1" t="s">
        <v>73</v>
      </c>
      <c r="N8" s="1">
        <v>276.95999999999998</v>
      </c>
      <c r="O8" s="1" t="s">
        <v>465</v>
      </c>
    </row>
    <row r="9" spans="1:16">
      <c r="A9" s="1" t="s">
        <v>70</v>
      </c>
      <c r="B9" s="1" t="s">
        <v>71</v>
      </c>
      <c r="C9" s="1">
        <v>1997</v>
      </c>
      <c r="D9" s="1">
        <v>1997</v>
      </c>
      <c r="E9" s="1">
        <v>1997</v>
      </c>
      <c r="F9" s="1" t="s">
        <v>72</v>
      </c>
      <c r="G9" s="1" t="s">
        <v>461</v>
      </c>
      <c r="H9" s="1" t="s">
        <v>462</v>
      </c>
      <c r="I9" s="1" t="s">
        <v>463</v>
      </c>
      <c r="J9" s="1">
        <v>6</v>
      </c>
      <c r="K9" s="1" t="s">
        <v>464</v>
      </c>
      <c r="L9" s="1">
        <v>16998</v>
      </c>
      <c r="M9" s="1" t="s">
        <v>73</v>
      </c>
      <c r="N9" s="1">
        <v>367.38</v>
      </c>
      <c r="O9" s="1" t="s">
        <v>465</v>
      </c>
    </row>
    <row r="10" spans="1:16">
      <c r="A10" s="1" t="s">
        <v>70</v>
      </c>
      <c r="B10" s="1" t="s">
        <v>71</v>
      </c>
      <c r="C10" s="1">
        <v>1997</v>
      </c>
      <c r="D10" s="1">
        <v>1997</v>
      </c>
      <c r="E10" s="1">
        <v>1997</v>
      </c>
      <c r="F10" s="1" t="s">
        <v>72</v>
      </c>
      <c r="G10" s="1" t="s">
        <v>461</v>
      </c>
      <c r="H10" s="1" t="s">
        <v>462</v>
      </c>
      <c r="I10" s="1" t="s">
        <v>463</v>
      </c>
      <c r="J10" s="1">
        <v>8</v>
      </c>
      <c r="K10" s="1" t="s">
        <v>464</v>
      </c>
      <c r="L10" s="1">
        <v>330003</v>
      </c>
      <c r="M10" s="1" t="s">
        <v>73</v>
      </c>
      <c r="N10" s="1">
        <v>878.96</v>
      </c>
      <c r="O10" s="1" t="s">
        <v>465</v>
      </c>
    </row>
    <row r="11" spans="1:16">
      <c r="A11" s="1" t="s">
        <v>70</v>
      </c>
      <c r="B11" s="1" t="s">
        <v>71</v>
      </c>
      <c r="C11" s="1">
        <v>1997</v>
      </c>
      <c r="D11" s="1">
        <v>1997</v>
      </c>
      <c r="E11" s="1">
        <v>1997</v>
      </c>
      <c r="F11" s="1" t="s">
        <v>72</v>
      </c>
      <c r="G11" s="1" t="s">
        <v>461</v>
      </c>
      <c r="H11" s="1" t="s">
        <v>462</v>
      </c>
      <c r="I11" s="1" t="s">
        <v>463</v>
      </c>
      <c r="J11" s="1">
        <v>10</v>
      </c>
      <c r="K11" s="1" t="s">
        <v>464</v>
      </c>
      <c r="L11" s="1">
        <v>700001</v>
      </c>
      <c r="M11" s="1" t="s">
        <v>73</v>
      </c>
      <c r="N11" s="1">
        <v>1575.39</v>
      </c>
      <c r="O11" s="1" t="s">
        <v>465</v>
      </c>
    </row>
    <row r="12" spans="1:16">
      <c r="A12" s="1" t="s">
        <v>70</v>
      </c>
      <c r="B12" s="1" t="s">
        <v>71</v>
      </c>
      <c r="C12" s="1">
        <v>1997</v>
      </c>
      <c r="D12" s="1">
        <v>1997</v>
      </c>
      <c r="E12" s="1">
        <v>1997</v>
      </c>
      <c r="F12" s="1" t="s">
        <v>72</v>
      </c>
      <c r="G12" s="1" t="s">
        <v>461</v>
      </c>
      <c r="H12" s="1" t="s">
        <v>462</v>
      </c>
      <c r="I12" s="1" t="s">
        <v>463</v>
      </c>
      <c r="J12" s="1">
        <v>12</v>
      </c>
      <c r="K12" s="1" t="s">
        <v>464</v>
      </c>
      <c r="L12" s="1">
        <v>2000002</v>
      </c>
      <c r="M12" s="1" t="s">
        <v>73</v>
      </c>
      <c r="N12" s="1">
        <v>4021.95</v>
      </c>
      <c r="O12" s="1" t="s">
        <v>465</v>
      </c>
    </row>
    <row r="13" spans="1:16">
      <c r="A13" s="1" t="s">
        <v>70</v>
      </c>
      <c r="B13" s="1" t="s">
        <v>71</v>
      </c>
      <c r="C13" s="1">
        <v>1997</v>
      </c>
      <c r="D13" s="1">
        <v>1997</v>
      </c>
      <c r="E13" s="1">
        <v>1997</v>
      </c>
      <c r="F13" s="1" t="s">
        <v>72</v>
      </c>
      <c r="G13" s="1" t="s">
        <v>461</v>
      </c>
      <c r="H13" s="1" t="s">
        <v>462</v>
      </c>
      <c r="I13" s="1" t="s">
        <v>463</v>
      </c>
      <c r="J13" s="1">
        <v>16</v>
      </c>
      <c r="K13" s="1" t="s">
        <v>464</v>
      </c>
      <c r="L13" s="1">
        <v>4000005</v>
      </c>
      <c r="M13" s="1" t="s">
        <v>73</v>
      </c>
      <c r="N13" s="1">
        <v>6980.79</v>
      </c>
      <c r="O13" s="1" t="s">
        <v>465</v>
      </c>
    </row>
    <row r="14" spans="1:16">
      <c r="A14" s="1" t="s">
        <v>70</v>
      </c>
      <c r="B14" s="1" t="s">
        <v>71</v>
      </c>
      <c r="C14" s="1">
        <v>1997</v>
      </c>
      <c r="D14" s="1">
        <v>1997</v>
      </c>
      <c r="E14" s="1">
        <v>1997</v>
      </c>
      <c r="F14" s="1" t="s">
        <v>72</v>
      </c>
      <c r="G14" s="1" t="s">
        <v>461</v>
      </c>
      <c r="H14" s="1" t="s">
        <v>467</v>
      </c>
      <c r="I14" s="1" t="s">
        <v>468</v>
      </c>
      <c r="J14" s="1">
        <f>1667+2333</f>
        <v>4000</v>
      </c>
      <c r="K14" s="1" t="s">
        <v>379</v>
      </c>
      <c r="L14" s="1" t="s">
        <v>73</v>
      </c>
      <c r="M14" s="1" t="s">
        <v>73</v>
      </c>
      <c r="N14" s="1">
        <v>5.57</v>
      </c>
      <c r="O14" s="1" t="s">
        <v>469</v>
      </c>
    </row>
    <row r="15" spans="1:16">
      <c r="A15" s="1" t="s">
        <v>70</v>
      </c>
      <c r="B15" s="1" t="s">
        <v>71</v>
      </c>
      <c r="C15" s="1">
        <v>1997</v>
      </c>
      <c r="D15" s="1">
        <v>1997</v>
      </c>
      <c r="E15" s="1">
        <v>1997</v>
      </c>
      <c r="F15" s="1" t="s">
        <v>72</v>
      </c>
      <c r="G15" s="1" t="s">
        <v>461</v>
      </c>
      <c r="H15" s="1" t="s">
        <v>467</v>
      </c>
      <c r="I15" s="1" t="s">
        <v>468</v>
      </c>
      <c r="J15" s="1">
        <v>30000</v>
      </c>
      <c r="K15" s="1" t="s">
        <v>379</v>
      </c>
      <c r="L15" s="1" t="s">
        <v>73</v>
      </c>
      <c r="M15" s="1" t="s">
        <v>73</v>
      </c>
      <c r="N15" s="1">
        <v>3.83</v>
      </c>
      <c r="O15" s="1" t="s">
        <v>469</v>
      </c>
    </row>
    <row r="16" spans="1:16">
      <c r="A16" s="1" t="s">
        <v>70</v>
      </c>
      <c r="B16" s="1" t="s">
        <v>71</v>
      </c>
      <c r="C16" s="1">
        <v>1997</v>
      </c>
      <c r="D16" s="1">
        <v>1997</v>
      </c>
      <c r="E16" s="1">
        <v>1997</v>
      </c>
      <c r="F16" s="1" t="s">
        <v>72</v>
      </c>
      <c r="G16" s="1" t="s">
        <v>461</v>
      </c>
      <c r="H16" s="1" t="s">
        <v>467</v>
      </c>
      <c r="I16" s="1" t="s">
        <v>468</v>
      </c>
      <c r="J16" s="1">
        <v>330000</v>
      </c>
      <c r="K16" s="1" t="s">
        <v>379</v>
      </c>
      <c r="L16" s="1" t="s">
        <v>73</v>
      </c>
      <c r="M16" s="1" t="s">
        <v>73</v>
      </c>
      <c r="N16" s="1">
        <v>2.5299999999999998</v>
      </c>
      <c r="O16" s="1" t="s">
        <v>469</v>
      </c>
    </row>
    <row r="17" spans="1:16">
      <c r="A17" s="1" t="s">
        <v>70</v>
      </c>
      <c r="B17" s="1" t="s">
        <v>71</v>
      </c>
      <c r="C17" s="1">
        <v>1997</v>
      </c>
      <c r="D17" s="1">
        <v>1997</v>
      </c>
      <c r="E17" s="1">
        <v>1997</v>
      </c>
      <c r="F17" s="1" t="s">
        <v>72</v>
      </c>
      <c r="G17" s="1" t="s">
        <v>461</v>
      </c>
      <c r="H17" s="1" t="s">
        <v>467</v>
      </c>
      <c r="I17" s="1" t="s">
        <v>468</v>
      </c>
      <c r="J17" s="1">
        <f>J16+2000000</f>
        <v>2330000</v>
      </c>
      <c r="K17" s="1" t="s">
        <v>379</v>
      </c>
      <c r="L17" s="1" t="s">
        <v>73</v>
      </c>
      <c r="M17" s="1" t="s">
        <v>73</v>
      </c>
      <c r="N17" s="1">
        <v>1.91</v>
      </c>
      <c r="O17" s="1" t="s">
        <v>469</v>
      </c>
    </row>
    <row r="18" spans="1:16">
      <c r="A18" s="1" t="s">
        <v>70</v>
      </c>
      <c r="B18" s="1" t="s">
        <v>71</v>
      </c>
      <c r="C18" s="1">
        <v>1997</v>
      </c>
      <c r="D18" s="1">
        <v>1997</v>
      </c>
      <c r="E18" s="1">
        <v>1997</v>
      </c>
      <c r="F18" s="1" t="s">
        <v>72</v>
      </c>
      <c r="G18" s="1" t="s">
        <v>461</v>
      </c>
      <c r="H18" s="1" t="s">
        <v>467</v>
      </c>
      <c r="I18" s="1" t="s">
        <v>468</v>
      </c>
      <c r="J18" s="1" t="s">
        <v>470</v>
      </c>
      <c r="K18" s="1" t="s">
        <v>379</v>
      </c>
      <c r="L18" s="1" t="s">
        <v>73</v>
      </c>
      <c r="M18" s="1" t="s">
        <v>73</v>
      </c>
      <c r="N18" s="1">
        <v>1.44</v>
      </c>
      <c r="O18" s="1" t="s">
        <v>469</v>
      </c>
    </row>
    <row r="19" spans="1:16">
      <c r="A19" s="1" t="s">
        <v>70</v>
      </c>
      <c r="B19" s="1" t="s">
        <v>71</v>
      </c>
      <c r="C19" s="1">
        <v>2003</v>
      </c>
      <c r="D19" s="1">
        <v>2003</v>
      </c>
      <c r="E19" s="1" t="s">
        <v>73</v>
      </c>
      <c r="F19" s="1" t="s">
        <v>81</v>
      </c>
      <c r="G19" s="1" t="s">
        <v>461</v>
      </c>
      <c r="H19" s="1" t="s">
        <v>462</v>
      </c>
      <c r="I19" s="1" t="s">
        <v>463</v>
      </c>
      <c r="J19" s="1">
        <f>5/8</f>
        <v>0.625</v>
      </c>
      <c r="K19" s="1" t="s">
        <v>464</v>
      </c>
      <c r="L19" s="1">
        <v>1667</v>
      </c>
      <c r="M19" s="1" t="s">
        <v>73</v>
      </c>
      <c r="N19" s="1">
        <v>8.61</v>
      </c>
      <c r="O19" s="1" t="s">
        <v>465</v>
      </c>
    </row>
    <row r="20" spans="1:16">
      <c r="A20" s="1" t="s">
        <v>70</v>
      </c>
      <c r="B20" s="1" t="s">
        <v>71</v>
      </c>
      <c r="C20" s="1">
        <v>2003</v>
      </c>
      <c r="D20" s="1">
        <v>2003</v>
      </c>
      <c r="E20" s="1" t="s">
        <v>73</v>
      </c>
      <c r="F20" s="1" t="s">
        <v>81</v>
      </c>
      <c r="G20" s="1" t="s">
        <v>461</v>
      </c>
      <c r="H20" s="1" t="s">
        <v>462</v>
      </c>
      <c r="I20" s="1" t="s">
        <v>463</v>
      </c>
      <c r="J20" s="1">
        <v>0.75</v>
      </c>
      <c r="K20" s="1" t="s">
        <v>464</v>
      </c>
      <c r="L20" s="1">
        <v>1667</v>
      </c>
      <c r="M20" s="1" t="s">
        <v>73</v>
      </c>
      <c r="N20" s="1">
        <v>8.61</v>
      </c>
      <c r="O20" s="1" t="s">
        <v>465</v>
      </c>
    </row>
    <row r="21" spans="1:16">
      <c r="A21" s="1" t="s">
        <v>70</v>
      </c>
      <c r="B21" s="1" t="s">
        <v>71</v>
      </c>
      <c r="C21" s="1">
        <v>2003</v>
      </c>
      <c r="D21" s="1">
        <v>2003</v>
      </c>
      <c r="E21" s="1" t="s">
        <v>73</v>
      </c>
      <c r="F21" s="1" t="s">
        <v>81</v>
      </c>
      <c r="G21" s="1" t="s">
        <v>461</v>
      </c>
      <c r="H21" s="1" t="s">
        <v>462</v>
      </c>
      <c r="I21" s="1" t="s">
        <v>463</v>
      </c>
      <c r="J21" s="1">
        <v>1</v>
      </c>
      <c r="K21" s="1" t="s">
        <v>464</v>
      </c>
      <c r="L21" s="1">
        <v>4002</v>
      </c>
      <c r="M21" s="1" t="s">
        <v>73</v>
      </c>
      <c r="N21" s="1">
        <v>14.16</v>
      </c>
      <c r="O21" s="1" t="s">
        <v>465</v>
      </c>
    </row>
    <row r="22" spans="1:16">
      <c r="A22" s="1" t="s">
        <v>70</v>
      </c>
      <c r="B22" s="1" t="s">
        <v>71</v>
      </c>
      <c r="C22" s="1">
        <v>2003</v>
      </c>
      <c r="D22" s="1">
        <v>2003</v>
      </c>
      <c r="E22" s="1" t="s">
        <v>73</v>
      </c>
      <c r="F22" s="1" t="s">
        <v>81</v>
      </c>
      <c r="G22" s="1" t="s">
        <v>461</v>
      </c>
      <c r="H22" s="1" t="s">
        <v>462</v>
      </c>
      <c r="I22" s="1" t="s">
        <v>463</v>
      </c>
      <c r="J22" s="1">
        <v>1.5</v>
      </c>
      <c r="K22" s="1" t="s">
        <v>464</v>
      </c>
      <c r="L22" s="1">
        <v>10225</v>
      </c>
      <c r="M22" s="1" t="s">
        <v>73</v>
      </c>
      <c r="N22" s="1">
        <v>28.97</v>
      </c>
      <c r="O22" s="1" t="s">
        <v>465</v>
      </c>
    </row>
    <row r="23" spans="1:16">
      <c r="A23" s="1" t="s">
        <v>70</v>
      </c>
      <c r="B23" s="1" t="s">
        <v>71</v>
      </c>
      <c r="C23" s="1">
        <v>2003</v>
      </c>
      <c r="D23" s="1">
        <v>2003</v>
      </c>
      <c r="E23" s="1" t="s">
        <v>73</v>
      </c>
      <c r="F23" s="1" t="s">
        <v>81</v>
      </c>
      <c r="G23" s="1" t="s">
        <v>461</v>
      </c>
      <c r="H23" s="1" t="s">
        <v>462</v>
      </c>
      <c r="I23" s="1" t="s">
        <v>463</v>
      </c>
      <c r="J23" s="1">
        <v>2</v>
      </c>
      <c r="K23" s="1" t="s">
        <v>464</v>
      </c>
      <c r="L23" s="1">
        <v>29995</v>
      </c>
      <c r="M23" s="1" t="s">
        <v>73</v>
      </c>
      <c r="N23" s="1">
        <v>75.98</v>
      </c>
      <c r="O23" s="1" t="s">
        <v>465</v>
      </c>
    </row>
    <row r="24" spans="1:16">
      <c r="A24" s="1" t="s">
        <v>70</v>
      </c>
      <c r="B24" s="1" t="s">
        <v>71</v>
      </c>
      <c r="C24" s="1">
        <v>2003</v>
      </c>
      <c r="D24" s="1">
        <v>2003</v>
      </c>
      <c r="E24" s="1" t="s">
        <v>73</v>
      </c>
      <c r="F24" s="1" t="s">
        <v>81</v>
      </c>
      <c r="G24" s="1" t="s">
        <v>461</v>
      </c>
      <c r="H24" s="1" t="s">
        <v>462</v>
      </c>
      <c r="I24" s="1" t="s">
        <v>463</v>
      </c>
      <c r="J24" s="1">
        <v>3</v>
      </c>
      <c r="K24" s="1" t="s">
        <v>464</v>
      </c>
      <c r="L24" s="1">
        <v>59997</v>
      </c>
      <c r="M24" s="1" t="s">
        <v>73</v>
      </c>
      <c r="N24" s="1">
        <v>147.34</v>
      </c>
      <c r="O24" s="1" t="s">
        <v>465</v>
      </c>
    </row>
    <row r="25" spans="1:16">
      <c r="A25" s="1" t="s">
        <v>70</v>
      </c>
      <c r="B25" s="1" t="s">
        <v>71</v>
      </c>
      <c r="C25" s="1">
        <v>2003</v>
      </c>
      <c r="D25" s="1">
        <v>2003</v>
      </c>
      <c r="E25" s="1" t="s">
        <v>73</v>
      </c>
      <c r="F25" s="1" t="s">
        <v>81</v>
      </c>
      <c r="G25" s="1" t="s">
        <v>461</v>
      </c>
      <c r="H25" s="1" t="s">
        <v>462</v>
      </c>
      <c r="I25" s="1" t="s">
        <v>463</v>
      </c>
      <c r="J25" s="1">
        <v>4</v>
      </c>
      <c r="K25" s="1" t="s">
        <v>464</v>
      </c>
      <c r="L25" s="1">
        <v>89999</v>
      </c>
      <c r="M25" s="1" t="s">
        <v>73</v>
      </c>
      <c r="N25" s="1">
        <v>218.7</v>
      </c>
      <c r="O25" s="1" t="s">
        <v>465</v>
      </c>
    </row>
    <row r="26" spans="1:16">
      <c r="A26" s="1" t="s">
        <v>70</v>
      </c>
      <c r="B26" s="1" t="s">
        <v>71</v>
      </c>
      <c r="C26" s="1">
        <v>2003</v>
      </c>
      <c r="D26" s="1">
        <v>2003</v>
      </c>
      <c r="E26" s="1" t="s">
        <v>73</v>
      </c>
      <c r="F26" s="1" t="s">
        <v>81</v>
      </c>
      <c r="G26" s="1" t="s">
        <v>461</v>
      </c>
      <c r="H26" s="1" t="s">
        <v>462</v>
      </c>
      <c r="I26" s="1" t="s">
        <v>463</v>
      </c>
      <c r="J26" s="1">
        <v>6</v>
      </c>
      <c r="K26" s="1" t="s">
        <v>464</v>
      </c>
      <c r="L26" s="1">
        <v>16998</v>
      </c>
      <c r="M26" s="1" t="s">
        <v>73</v>
      </c>
      <c r="N26" s="1">
        <v>408.97</v>
      </c>
      <c r="O26" s="1" t="s">
        <v>465</v>
      </c>
    </row>
    <row r="27" spans="1:16">
      <c r="A27" s="1" t="s">
        <v>70</v>
      </c>
      <c r="B27" s="1" t="s">
        <v>71</v>
      </c>
      <c r="C27" s="1">
        <v>2003</v>
      </c>
      <c r="D27" s="1">
        <v>2003</v>
      </c>
      <c r="E27" s="1" t="s">
        <v>73</v>
      </c>
      <c r="F27" s="1" t="s">
        <v>81</v>
      </c>
      <c r="G27" s="1" t="s">
        <v>461</v>
      </c>
      <c r="H27" s="1" t="s">
        <v>462</v>
      </c>
      <c r="I27" s="1" t="s">
        <v>463</v>
      </c>
      <c r="J27" s="1">
        <v>8</v>
      </c>
      <c r="K27" s="1" t="s">
        <v>464</v>
      </c>
      <c r="L27" s="1">
        <v>330003</v>
      </c>
      <c r="M27" s="1" t="s">
        <v>73</v>
      </c>
      <c r="N27" s="1">
        <v>789.54</v>
      </c>
      <c r="O27" s="1" t="s">
        <v>465</v>
      </c>
    </row>
    <row r="28" spans="1:16">
      <c r="A28" s="1" t="s">
        <v>70</v>
      </c>
      <c r="B28" s="1" t="s">
        <v>71</v>
      </c>
      <c r="C28" s="1">
        <v>2003</v>
      </c>
      <c r="D28" s="1">
        <v>2003</v>
      </c>
      <c r="E28" s="1" t="s">
        <v>73</v>
      </c>
      <c r="F28" s="1" t="s">
        <v>81</v>
      </c>
      <c r="G28" s="1" t="s">
        <v>461</v>
      </c>
      <c r="H28" s="1" t="s">
        <v>462</v>
      </c>
      <c r="I28" s="1" t="s">
        <v>463</v>
      </c>
      <c r="J28" s="1">
        <v>10</v>
      </c>
      <c r="K28" s="1" t="s">
        <v>464</v>
      </c>
      <c r="L28" s="1">
        <v>700001</v>
      </c>
      <c r="M28" s="1" t="s">
        <v>73</v>
      </c>
      <c r="N28" s="1">
        <v>1664.93</v>
      </c>
      <c r="O28" s="1" t="s">
        <v>465</v>
      </c>
    </row>
    <row r="29" spans="1:16">
      <c r="A29" s="1" t="s">
        <v>70</v>
      </c>
      <c r="B29" s="1" t="s">
        <v>71</v>
      </c>
      <c r="C29" s="1">
        <v>2003</v>
      </c>
      <c r="D29" s="1">
        <v>2003</v>
      </c>
      <c r="E29" s="1" t="s">
        <v>73</v>
      </c>
      <c r="F29" s="1" t="s">
        <v>81</v>
      </c>
      <c r="G29" s="1" t="s">
        <v>461</v>
      </c>
      <c r="H29" s="1" t="s">
        <v>467</v>
      </c>
      <c r="I29" s="1" t="s">
        <v>471</v>
      </c>
      <c r="J29" s="1">
        <v>223</v>
      </c>
      <c r="K29" s="1" t="s">
        <v>472</v>
      </c>
      <c r="L29" s="1" t="s">
        <v>73</v>
      </c>
      <c r="M29" s="1" t="s">
        <v>73</v>
      </c>
      <c r="N29" s="1">
        <v>9.1300000000000008</v>
      </c>
      <c r="O29" s="1" t="s">
        <v>473</v>
      </c>
      <c r="P29" s="1" t="s">
        <v>474</v>
      </c>
    </row>
    <row r="30" spans="1:16">
      <c r="A30" s="1" t="s">
        <v>70</v>
      </c>
      <c r="B30" s="1" t="s">
        <v>71</v>
      </c>
      <c r="C30" s="1">
        <v>2004</v>
      </c>
      <c r="D30" s="1">
        <v>2004</v>
      </c>
      <c r="E30" s="1">
        <v>2004</v>
      </c>
      <c r="F30" s="1" t="s">
        <v>81</v>
      </c>
      <c r="G30" s="1" t="s">
        <v>461</v>
      </c>
      <c r="H30" s="1" t="s">
        <v>462</v>
      </c>
      <c r="I30" s="1" t="s">
        <v>463</v>
      </c>
      <c r="J30" s="1">
        <f>5/8</f>
        <v>0.625</v>
      </c>
      <c r="K30" s="1" t="s">
        <v>464</v>
      </c>
      <c r="L30" s="1">
        <v>1667</v>
      </c>
      <c r="M30" s="1" t="s">
        <v>73</v>
      </c>
      <c r="N30" s="1">
        <v>9.5</v>
      </c>
      <c r="O30" s="1" t="s">
        <v>465</v>
      </c>
    </row>
    <row r="31" spans="1:16">
      <c r="A31" s="1" t="s">
        <v>70</v>
      </c>
      <c r="B31" s="1" t="s">
        <v>71</v>
      </c>
      <c r="C31" s="1">
        <v>2004</v>
      </c>
      <c r="D31" s="1">
        <v>2004</v>
      </c>
      <c r="E31" s="1">
        <v>2004</v>
      </c>
      <c r="F31" s="1" t="s">
        <v>81</v>
      </c>
      <c r="G31" s="1" t="s">
        <v>461</v>
      </c>
      <c r="H31" s="1" t="s">
        <v>462</v>
      </c>
      <c r="I31" s="1" t="s">
        <v>463</v>
      </c>
      <c r="J31" s="1">
        <v>0.75</v>
      </c>
      <c r="K31" s="1" t="s">
        <v>464</v>
      </c>
      <c r="L31" s="1">
        <v>1667</v>
      </c>
      <c r="M31" s="1" t="s">
        <v>73</v>
      </c>
      <c r="N31" s="1">
        <v>9.5</v>
      </c>
      <c r="O31" s="1" t="s">
        <v>465</v>
      </c>
    </row>
    <row r="32" spans="1:16">
      <c r="A32" s="1" t="s">
        <v>70</v>
      </c>
      <c r="B32" s="1" t="s">
        <v>71</v>
      </c>
      <c r="C32" s="1">
        <v>2004</v>
      </c>
      <c r="D32" s="1">
        <v>2004</v>
      </c>
      <c r="E32" s="1">
        <v>2004</v>
      </c>
      <c r="F32" s="1" t="s">
        <v>81</v>
      </c>
      <c r="G32" s="1" t="s">
        <v>461</v>
      </c>
      <c r="H32" s="1" t="s">
        <v>462</v>
      </c>
      <c r="I32" s="1" t="s">
        <v>463</v>
      </c>
      <c r="J32" s="1">
        <v>1</v>
      </c>
      <c r="K32" s="1" t="s">
        <v>464</v>
      </c>
      <c r="L32" s="1">
        <v>4002</v>
      </c>
      <c r="M32" s="1" t="s">
        <v>73</v>
      </c>
      <c r="N32" s="1">
        <v>15.62</v>
      </c>
      <c r="O32" s="1" t="s">
        <v>465</v>
      </c>
    </row>
    <row r="33" spans="1:15">
      <c r="A33" s="1" t="s">
        <v>70</v>
      </c>
      <c r="B33" s="1" t="s">
        <v>71</v>
      </c>
      <c r="C33" s="1">
        <v>2004</v>
      </c>
      <c r="D33" s="1">
        <v>2004</v>
      </c>
      <c r="E33" s="1">
        <v>2004</v>
      </c>
      <c r="F33" s="1" t="s">
        <v>81</v>
      </c>
      <c r="G33" s="1" t="s">
        <v>461</v>
      </c>
      <c r="H33" s="1" t="s">
        <v>462</v>
      </c>
      <c r="I33" s="1" t="s">
        <v>463</v>
      </c>
      <c r="J33" s="1">
        <v>1.5</v>
      </c>
      <c r="K33" s="1" t="s">
        <v>464</v>
      </c>
      <c r="L33" s="1">
        <v>10225</v>
      </c>
      <c r="M33" s="1" t="s">
        <v>73</v>
      </c>
      <c r="N33" s="1">
        <v>31.96</v>
      </c>
      <c r="O33" s="1" t="s">
        <v>465</v>
      </c>
    </row>
    <row r="34" spans="1:15">
      <c r="A34" s="1" t="s">
        <v>70</v>
      </c>
      <c r="B34" s="1" t="s">
        <v>71</v>
      </c>
      <c r="C34" s="1">
        <v>2004</v>
      </c>
      <c r="D34" s="1">
        <v>2004</v>
      </c>
      <c r="E34" s="1">
        <v>2004</v>
      </c>
      <c r="F34" s="1" t="s">
        <v>81</v>
      </c>
      <c r="G34" s="1" t="s">
        <v>461</v>
      </c>
      <c r="H34" s="1" t="s">
        <v>462</v>
      </c>
      <c r="I34" s="1" t="s">
        <v>463</v>
      </c>
      <c r="J34" s="1">
        <v>2</v>
      </c>
      <c r="K34" s="1" t="s">
        <v>464</v>
      </c>
      <c r="L34" s="1">
        <v>29995</v>
      </c>
      <c r="M34" s="1" t="s">
        <v>73</v>
      </c>
      <c r="N34" s="1">
        <v>83.82</v>
      </c>
      <c r="O34" s="1" t="s">
        <v>465</v>
      </c>
    </row>
    <row r="35" spans="1:15">
      <c r="A35" s="1" t="s">
        <v>70</v>
      </c>
      <c r="B35" s="1" t="s">
        <v>71</v>
      </c>
      <c r="C35" s="1">
        <v>2004</v>
      </c>
      <c r="D35" s="1">
        <v>2004</v>
      </c>
      <c r="E35" s="1">
        <v>2004</v>
      </c>
      <c r="F35" s="1" t="s">
        <v>81</v>
      </c>
      <c r="G35" s="1" t="s">
        <v>461</v>
      </c>
      <c r="H35" s="1" t="s">
        <v>462</v>
      </c>
      <c r="I35" s="1" t="s">
        <v>463</v>
      </c>
      <c r="J35" s="1">
        <v>3</v>
      </c>
      <c r="K35" s="1" t="s">
        <v>464</v>
      </c>
      <c r="L35" s="1">
        <v>59997</v>
      </c>
      <c r="M35" s="1" t="s">
        <v>73</v>
      </c>
      <c r="N35" s="1">
        <v>162.55000000000001</v>
      </c>
      <c r="O35" s="1" t="s">
        <v>465</v>
      </c>
    </row>
    <row r="36" spans="1:15">
      <c r="A36" s="1" t="s">
        <v>70</v>
      </c>
      <c r="B36" s="1" t="s">
        <v>71</v>
      </c>
      <c r="C36" s="1">
        <v>2004</v>
      </c>
      <c r="D36" s="1">
        <v>2004</v>
      </c>
      <c r="E36" s="1">
        <v>2004</v>
      </c>
      <c r="F36" s="1" t="s">
        <v>81</v>
      </c>
      <c r="G36" s="1" t="s">
        <v>461</v>
      </c>
      <c r="H36" s="1" t="s">
        <v>462</v>
      </c>
      <c r="I36" s="1" t="s">
        <v>463</v>
      </c>
      <c r="J36" s="1">
        <v>4</v>
      </c>
      <c r="K36" s="1" t="s">
        <v>464</v>
      </c>
      <c r="L36" s="1">
        <v>89999</v>
      </c>
      <c r="M36" s="1" t="s">
        <v>73</v>
      </c>
      <c r="N36" s="1">
        <v>241.27</v>
      </c>
      <c r="O36" s="1" t="s">
        <v>465</v>
      </c>
    </row>
    <row r="37" spans="1:15">
      <c r="A37" s="1" t="s">
        <v>70</v>
      </c>
      <c r="B37" s="1" t="s">
        <v>71</v>
      </c>
      <c r="C37" s="1">
        <v>2004</v>
      </c>
      <c r="D37" s="1">
        <v>2004</v>
      </c>
      <c r="E37" s="1">
        <v>2004</v>
      </c>
      <c r="F37" s="1" t="s">
        <v>81</v>
      </c>
      <c r="G37" s="1" t="s">
        <v>461</v>
      </c>
      <c r="H37" s="1" t="s">
        <v>462</v>
      </c>
      <c r="I37" s="1" t="s">
        <v>463</v>
      </c>
      <c r="J37" s="1">
        <v>6</v>
      </c>
      <c r="K37" s="1" t="s">
        <v>464</v>
      </c>
      <c r="L37" s="1">
        <v>16998</v>
      </c>
      <c r="M37" s="1" t="s">
        <v>73</v>
      </c>
      <c r="N37" s="1">
        <v>451.19</v>
      </c>
      <c r="O37" s="1" t="s">
        <v>465</v>
      </c>
    </row>
    <row r="38" spans="1:15">
      <c r="A38" s="1" t="s">
        <v>70</v>
      </c>
      <c r="B38" s="1" t="s">
        <v>71</v>
      </c>
      <c r="C38" s="1">
        <v>2004</v>
      </c>
      <c r="D38" s="1">
        <v>2004</v>
      </c>
      <c r="E38" s="1">
        <v>2004</v>
      </c>
      <c r="F38" s="1" t="s">
        <v>81</v>
      </c>
      <c r="G38" s="1" t="s">
        <v>461</v>
      </c>
      <c r="H38" s="1" t="s">
        <v>462</v>
      </c>
      <c r="I38" s="1" t="s">
        <v>463</v>
      </c>
      <c r="J38" s="1">
        <v>8</v>
      </c>
      <c r="K38" s="1" t="s">
        <v>464</v>
      </c>
      <c r="L38" s="1">
        <v>330003</v>
      </c>
      <c r="M38" s="1" t="s">
        <v>73</v>
      </c>
      <c r="N38" s="1">
        <v>871.04</v>
      </c>
      <c r="O38" s="1" t="s">
        <v>465</v>
      </c>
    </row>
    <row r="39" spans="1:15">
      <c r="A39" s="1" t="s">
        <v>70</v>
      </c>
      <c r="B39" s="1" t="s">
        <v>71</v>
      </c>
      <c r="C39" s="1">
        <v>2004</v>
      </c>
      <c r="D39" s="1">
        <v>2004</v>
      </c>
      <c r="E39" s="1">
        <v>2004</v>
      </c>
      <c r="F39" s="1" t="s">
        <v>81</v>
      </c>
      <c r="G39" s="1" t="s">
        <v>461</v>
      </c>
      <c r="H39" s="1" t="s">
        <v>462</v>
      </c>
      <c r="I39" s="1" t="s">
        <v>463</v>
      </c>
      <c r="J39" s="1">
        <v>10</v>
      </c>
      <c r="K39" s="1" t="s">
        <v>464</v>
      </c>
      <c r="L39" s="1">
        <v>700001</v>
      </c>
      <c r="M39" s="1" t="s">
        <v>73</v>
      </c>
      <c r="N39" s="1">
        <v>1815.17</v>
      </c>
      <c r="O39" s="1" t="s">
        <v>465</v>
      </c>
    </row>
    <row r="40" spans="1:15">
      <c r="A40" s="1" t="s">
        <v>70</v>
      </c>
      <c r="B40" s="1" t="s">
        <v>71</v>
      </c>
      <c r="C40" s="1">
        <v>2004</v>
      </c>
      <c r="D40" s="1">
        <v>2004</v>
      </c>
      <c r="E40" s="1">
        <v>2004</v>
      </c>
      <c r="F40" s="1" t="s">
        <v>81</v>
      </c>
      <c r="G40" s="1" t="s">
        <v>461</v>
      </c>
      <c r="H40" s="1" t="s">
        <v>467</v>
      </c>
      <c r="I40" s="1" t="s">
        <v>471</v>
      </c>
      <c r="J40" s="1">
        <v>223</v>
      </c>
      <c r="K40" s="1" t="s">
        <v>472</v>
      </c>
      <c r="L40" s="1" t="s">
        <v>73</v>
      </c>
      <c r="M40" s="1" t="s">
        <v>73</v>
      </c>
      <c r="N40" s="1">
        <v>9.1300000000000008</v>
      </c>
      <c r="O40" s="1" t="s">
        <v>473</v>
      </c>
    </row>
    <row r="41" spans="1:15">
      <c r="A41" s="1" t="s">
        <v>70</v>
      </c>
      <c r="B41" s="1" t="s">
        <v>71</v>
      </c>
      <c r="C41" s="1">
        <v>2007</v>
      </c>
      <c r="D41" s="1">
        <v>2007</v>
      </c>
      <c r="E41" s="1">
        <v>2007</v>
      </c>
      <c r="F41" s="1" t="s">
        <v>72</v>
      </c>
      <c r="G41" s="1" t="s">
        <v>461</v>
      </c>
      <c r="H41" s="1" t="s">
        <v>462</v>
      </c>
      <c r="I41" s="1" t="s">
        <v>463</v>
      </c>
      <c r="J41" s="1">
        <f>5/8</f>
        <v>0.625</v>
      </c>
      <c r="K41" s="1" t="s">
        <v>464</v>
      </c>
      <c r="L41" s="1">
        <v>1667</v>
      </c>
      <c r="M41" s="1" t="s">
        <v>73</v>
      </c>
      <c r="N41" s="1">
        <v>21.07</v>
      </c>
      <c r="O41" s="1" t="s">
        <v>465</v>
      </c>
    </row>
    <row r="42" spans="1:15">
      <c r="A42" s="1" t="s">
        <v>70</v>
      </c>
      <c r="B42" s="1" t="s">
        <v>71</v>
      </c>
      <c r="C42" s="1">
        <v>2007</v>
      </c>
      <c r="D42" s="1">
        <v>2007</v>
      </c>
      <c r="E42" s="1">
        <v>2007</v>
      </c>
      <c r="F42" s="1" t="s">
        <v>72</v>
      </c>
      <c r="G42" s="1" t="s">
        <v>461</v>
      </c>
      <c r="H42" s="1" t="s">
        <v>462</v>
      </c>
      <c r="I42" s="1" t="s">
        <v>463</v>
      </c>
      <c r="J42" s="1">
        <v>0.75</v>
      </c>
      <c r="K42" s="1" t="s">
        <v>464</v>
      </c>
      <c r="L42" s="1">
        <v>1667</v>
      </c>
      <c r="M42" s="1" t="s">
        <v>73</v>
      </c>
      <c r="N42" s="1">
        <v>21.07</v>
      </c>
      <c r="O42" s="1" t="s">
        <v>465</v>
      </c>
    </row>
    <row r="43" spans="1:15">
      <c r="A43" s="1" t="s">
        <v>70</v>
      </c>
      <c r="B43" s="1" t="s">
        <v>71</v>
      </c>
      <c r="C43" s="1">
        <v>2007</v>
      </c>
      <c r="D43" s="1">
        <v>2007</v>
      </c>
      <c r="E43" s="1">
        <v>2007</v>
      </c>
      <c r="F43" s="1" t="s">
        <v>72</v>
      </c>
      <c r="G43" s="1" t="s">
        <v>461</v>
      </c>
      <c r="H43" s="1" t="s">
        <v>462</v>
      </c>
      <c r="I43" s="1" t="s">
        <v>463</v>
      </c>
      <c r="J43" s="1">
        <v>1</v>
      </c>
      <c r="K43" s="1" t="s">
        <v>464</v>
      </c>
      <c r="L43" s="1">
        <v>4002</v>
      </c>
      <c r="M43" s="1" t="s">
        <v>73</v>
      </c>
      <c r="N43" s="1">
        <v>39.729999999999997</v>
      </c>
      <c r="O43" s="1" t="s">
        <v>465</v>
      </c>
    </row>
    <row r="44" spans="1:15">
      <c r="A44" s="1" t="s">
        <v>70</v>
      </c>
      <c r="B44" s="1" t="s">
        <v>71</v>
      </c>
      <c r="C44" s="1">
        <v>2007</v>
      </c>
      <c r="D44" s="1">
        <v>2007</v>
      </c>
      <c r="E44" s="1">
        <v>2007</v>
      </c>
      <c r="F44" s="1" t="s">
        <v>72</v>
      </c>
      <c r="G44" s="1" t="s">
        <v>461</v>
      </c>
      <c r="H44" s="1" t="s">
        <v>462</v>
      </c>
      <c r="I44" s="1" t="s">
        <v>463</v>
      </c>
      <c r="J44" s="1">
        <v>1.5</v>
      </c>
      <c r="K44" s="1" t="s">
        <v>464</v>
      </c>
      <c r="L44" s="1">
        <v>10225</v>
      </c>
      <c r="M44" s="1" t="s">
        <v>73</v>
      </c>
      <c r="N44" s="1">
        <v>73.599999999999994</v>
      </c>
      <c r="O44" s="1" t="s">
        <v>465</v>
      </c>
    </row>
    <row r="45" spans="1:15">
      <c r="A45" s="1" t="s">
        <v>70</v>
      </c>
      <c r="B45" s="1" t="s">
        <v>71</v>
      </c>
      <c r="C45" s="1">
        <v>2007</v>
      </c>
      <c r="D45" s="1">
        <v>2007</v>
      </c>
      <c r="E45" s="1">
        <v>2007</v>
      </c>
      <c r="F45" s="1" t="s">
        <v>72</v>
      </c>
      <c r="G45" s="1" t="s">
        <v>461</v>
      </c>
      <c r="H45" s="1" t="s">
        <v>462</v>
      </c>
      <c r="I45" s="1" t="s">
        <v>463</v>
      </c>
      <c r="J45" s="1">
        <v>2</v>
      </c>
      <c r="K45" s="1" t="s">
        <v>464</v>
      </c>
      <c r="L45" s="1">
        <v>29995</v>
      </c>
      <c r="M45" s="1" t="s">
        <v>73</v>
      </c>
      <c r="N45" s="1">
        <v>185.59</v>
      </c>
      <c r="O45" s="1" t="s">
        <v>465</v>
      </c>
    </row>
    <row r="46" spans="1:15">
      <c r="A46" s="1" t="s">
        <v>70</v>
      </c>
      <c r="B46" s="1" t="s">
        <v>71</v>
      </c>
      <c r="C46" s="1">
        <v>2007</v>
      </c>
      <c r="D46" s="1">
        <v>2007</v>
      </c>
      <c r="E46" s="1">
        <v>2007</v>
      </c>
      <c r="F46" s="1" t="s">
        <v>72</v>
      </c>
      <c r="G46" s="1" t="s">
        <v>461</v>
      </c>
      <c r="H46" s="1" t="s">
        <v>462</v>
      </c>
      <c r="I46" s="1" t="s">
        <v>463</v>
      </c>
      <c r="J46" s="1">
        <v>3</v>
      </c>
      <c r="K46" s="1" t="s">
        <v>464</v>
      </c>
      <c r="L46" s="1">
        <v>59997</v>
      </c>
      <c r="M46" s="1" t="s">
        <v>73</v>
      </c>
      <c r="N46" s="1">
        <v>296.37</v>
      </c>
      <c r="O46" s="1" t="s">
        <v>465</v>
      </c>
    </row>
    <row r="47" spans="1:15">
      <c r="A47" s="1" t="s">
        <v>70</v>
      </c>
      <c r="B47" s="1" t="s">
        <v>71</v>
      </c>
      <c r="C47" s="1">
        <v>2007</v>
      </c>
      <c r="D47" s="1">
        <v>2007</v>
      </c>
      <c r="E47" s="1">
        <v>2007</v>
      </c>
      <c r="F47" s="1" t="s">
        <v>72</v>
      </c>
      <c r="G47" s="1" t="s">
        <v>461</v>
      </c>
      <c r="H47" s="1" t="s">
        <v>462</v>
      </c>
      <c r="I47" s="1" t="s">
        <v>463</v>
      </c>
      <c r="J47" s="1">
        <v>4</v>
      </c>
      <c r="K47" s="1" t="s">
        <v>464</v>
      </c>
      <c r="L47" s="1">
        <v>89999</v>
      </c>
      <c r="M47" s="1" t="s">
        <v>73</v>
      </c>
      <c r="N47" s="1">
        <v>407.49</v>
      </c>
      <c r="O47" s="1" t="s">
        <v>465</v>
      </c>
    </row>
    <row r="48" spans="1:15">
      <c r="A48" s="1" t="s">
        <v>70</v>
      </c>
      <c r="B48" s="1" t="s">
        <v>71</v>
      </c>
      <c r="C48" s="1">
        <v>2007</v>
      </c>
      <c r="D48" s="1">
        <v>2007</v>
      </c>
      <c r="E48" s="1">
        <v>2007</v>
      </c>
      <c r="F48" s="1" t="s">
        <v>72</v>
      </c>
      <c r="G48" s="1" t="s">
        <v>461</v>
      </c>
      <c r="H48" s="1" t="s">
        <v>462</v>
      </c>
      <c r="I48" s="1" t="s">
        <v>463</v>
      </c>
      <c r="J48" s="1">
        <v>6</v>
      </c>
      <c r="K48" s="1" t="s">
        <v>464</v>
      </c>
      <c r="L48" s="1">
        <v>16998</v>
      </c>
      <c r="M48" s="1" t="s">
        <v>73</v>
      </c>
      <c r="N48" s="1">
        <v>567.66</v>
      </c>
      <c r="O48" s="1" t="s">
        <v>465</v>
      </c>
    </row>
    <row r="49" spans="1:15">
      <c r="A49" s="1" t="s">
        <v>70</v>
      </c>
      <c r="B49" s="1" t="s">
        <v>71</v>
      </c>
      <c r="C49" s="1">
        <v>2007</v>
      </c>
      <c r="D49" s="1">
        <v>2007</v>
      </c>
      <c r="E49" s="1">
        <v>2007</v>
      </c>
      <c r="F49" s="1" t="s">
        <v>72</v>
      </c>
      <c r="G49" s="1" t="s">
        <v>461</v>
      </c>
      <c r="H49" s="1" t="s">
        <v>462</v>
      </c>
      <c r="I49" s="1" t="s">
        <v>463</v>
      </c>
      <c r="J49" s="1">
        <v>8</v>
      </c>
      <c r="K49" s="1" t="s">
        <v>464</v>
      </c>
      <c r="L49" s="1">
        <v>330003</v>
      </c>
      <c r="M49" s="1" t="s">
        <v>73</v>
      </c>
      <c r="N49" s="1">
        <v>1293.18</v>
      </c>
      <c r="O49" s="1" t="s">
        <v>465</v>
      </c>
    </row>
    <row r="50" spans="1:15">
      <c r="A50" s="1" t="s">
        <v>70</v>
      </c>
      <c r="B50" s="1" t="s">
        <v>71</v>
      </c>
      <c r="C50" s="1">
        <v>2007</v>
      </c>
      <c r="D50" s="1">
        <v>2007</v>
      </c>
      <c r="E50" s="1">
        <v>2007</v>
      </c>
      <c r="F50" s="1" t="s">
        <v>72</v>
      </c>
      <c r="G50" s="1" t="s">
        <v>461</v>
      </c>
      <c r="H50" s="1" t="s">
        <v>462</v>
      </c>
      <c r="I50" s="1" t="s">
        <v>463</v>
      </c>
      <c r="J50" s="1">
        <v>10</v>
      </c>
      <c r="K50" s="1" t="s">
        <v>464</v>
      </c>
      <c r="L50" s="1">
        <v>700001</v>
      </c>
      <c r="M50" s="1" t="s">
        <v>73</v>
      </c>
      <c r="N50" s="1">
        <v>2374.8200000000002</v>
      </c>
      <c r="O50" s="1" t="s">
        <v>465</v>
      </c>
    </row>
    <row r="51" spans="1:15">
      <c r="A51" s="1" t="s">
        <v>70</v>
      </c>
      <c r="B51" s="1" t="s">
        <v>71</v>
      </c>
      <c r="C51" s="1">
        <v>2007</v>
      </c>
      <c r="D51" s="1">
        <v>2007</v>
      </c>
      <c r="E51" s="1">
        <v>2007</v>
      </c>
      <c r="F51" s="1" t="s">
        <v>72</v>
      </c>
      <c r="G51" s="1" t="s">
        <v>461</v>
      </c>
      <c r="H51" s="1" t="s">
        <v>462</v>
      </c>
      <c r="I51" s="1" t="s">
        <v>463</v>
      </c>
      <c r="J51" s="1">
        <v>12</v>
      </c>
      <c r="K51" s="1" t="s">
        <v>464</v>
      </c>
      <c r="L51" s="1">
        <v>2000002</v>
      </c>
      <c r="M51" s="1" t="s">
        <v>73</v>
      </c>
      <c r="N51" s="1">
        <v>6174.83</v>
      </c>
      <c r="O51" s="1" t="s">
        <v>465</v>
      </c>
    </row>
    <row r="52" spans="1:15">
      <c r="A52" s="1" t="s">
        <v>70</v>
      </c>
      <c r="B52" s="1" t="s">
        <v>71</v>
      </c>
      <c r="C52" s="1">
        <v>2007</v>
      </c>
      <c r="D52" s="1">
        <v>2007</v>
      </c>
      <c r="E52" s="1">
        <v>2007</v>
      </c>
      <c r="F52" s="1" t="s">
        <v>72</v>
      </c>
      <c r="G52" s="1" t="s">
        <v>461</v>
      </c>
      <c r="H52" s="1" t="s">
        <v>467</v>
      </c>
      <c r="I52" s="1" t="s">
        <v>475</v>
      </c>
      <c r="J52" s="1">
        <f>1667+2333</f>
        <v>4000</v>
      </c>
      <c r="K52" s="1" t="s">
        <v>379</v>
      </c>
      <c r="L52" s="1" t="s">
        <v>73</v>
      </c>
      <c r="M52" s="1" t="s">
        <v>73</v>
      </c>
      <c r="N52" s="1">
        <v>8.0399999999999991</v>
      </c>
      <c r="O52" s="1" t="s">
        <v>469</v>
      </c>
    </row>
    <row r="53" spans="1:15">
      <c r="A53" s="1" t="s">
        <v>70</v>
      </c>
      <c r="B53" s="1" t="s">
        <v>71</v>
      </c>
      <c r="C53" s="1">
        <v>2007</v>
      </c>
      <c r="D53" s="1">
        <v>2007</v>
      </c>
      <c r="E53" s="1">
        <v>2007</v>
      </c>
      <c r="F53" s="1" t="s">
        <v>72</v>
      </c>
      <c r="G53" s="1" t="s">
        <v>461</v>
      </c>
      <c r="H53" s="1" t="s">
        <v>467</v>
      </c>
      <c r="I53" s="1" t="s">
        <v>475</v>
      </c>
      <c r="J53" s="1">
        <v>30000</v>
      </c>
      <c r="K53" s="1" t="s">
        <v>379</v>
      </c>
      <c r="L53" s="1" t="s">
        <v>73</v>
      </c>
      <c r="M53" s="1" t="s">
        <v>73</v>
      </c>
      <c r="N53" s="1">
        <v>6.1</v>
      </c>
      <c r="O53" s="1" t="s">
        <v>469</v>
      </c>
    </row>
    <row r="54" spans="1:15">
      <c r="A54" s="1" t="s">
        <v>70</v>
      </c>
      <c r="B54" s="1" t="s">
        <v>71</v>
      </c>
      <c r="C54" s="1">
        <v>2007</v>
      </c>
      <c r="D54" s="1">
        <v>2007</v>
      </c>
      <c r="E54" s="1">
        <v>2007</v>
      </c>
      <c r="F54" s="1" t="s">
        <v>72</v>
      </c>
      <c r="G54" s="1" t="s">
        <v>461</v>
      </c>
      <c r="H54" s="1" t="s">
        <v>467</v>
      </c>
      <c r="I54" s="1" t="s">
        <v>475</v>
      </c>
      <c r="J54" s="1">
        <v>330000</v>
      </c>
      <c r="K54" s="1" t="s">
        <v>379</v>
      </c>
      <c r="L54" s="1" t="s">
        <v>73</v>
      </c>
      <c r="M54" s="1" t="s">
        <v>73</v>
      </c>
      <c r="N54" s="1">
        <v>4.53</v>
      </c>
      <c r="O54" s="1" t="s">
        <v>469</v>
      </c>
    </row>
    <row r="55" spans="1:15">
      <c r="A55" s="1" t="s">
        <v>70</v>
      </c>
      <c r="B55" s="1" t="s">
        <v>71</v>
      </c>
      <c r="C55" s="1">
        <v>2007</v>
      </c>
      <c r="D55" s="1">
        <v>2007</v>
      </c>
      <c r="E55" s="1">
        <v>2007</v>
      </c>
      <c r="F55" s="1" t="s">
        <v>72</v>
      </c>
      <c r="G55" s="1" t="s">
        <v>461</v>
      </c>
      <c r="H55" s="1" t="s">
        <v>467</v>
      </c>
      <c r="I55" s="1" t="s">
        <v>475</v>
      </c>
      <c r="J55" s="1">
        <f>J54+2000000</f>
        <v>2330000</v>
      </c>
      <c r="K55" s="1" t="s">
        <v>379</v>
      </c>
      <c r="L55" s="1" t="s">
        <v>73</v>
      </c>
      <c r="M55" s="1" t="s">
        <v>73</v>
      </c>
      <c r="N55" s="1">
        <v>3.76</v>
      </c>
      <c r="O55" s="1" t="s">
        <v>469</v>
      </c>
    </row>
    <row r="56" spans="1:15">
      <c r="A56" s="1" t="s">
        <v>70</v>
      </c>
      <c r="B56" s="1" t="s">
        <v>71</v>
      </c>
      <c r="C56" s="1">
        <v>2007</v>
      </c>
      <c r="D56" s="1">
        <v>2007</v>
      </c>
      <c r="E56" s="1">
        <v>2007</v>
      </c>
      <c r="F56" s="1" t="s">
        <v>72</v>
      </c>
      <c r="G56" s="1" t="s">
        <v>461</v>
      </c>
      <c r="H56" s="1" t="s">
        <v>467</v>
      </c>
      <c r="I56" s="1" t="s">
        <v>475</v>
      </c>
      <c r="J56" s="1" t="s">
        <v>470</v>
      </c>
      <c r="K56" s="1" t="s">
        <v>379</v>
      </c>
      <c r="L56" s="1" t="s">
        <v>73</v>
      </c>
      <c r="M56" s="1" t="s">
        <v>73</v>
      </c>
      <c r="N56" s="1">
        <v>3.33</v>
      </c>
      <c r="O56" s="1" t="s">
        <v>469</v>
      </c>
    </row>
    <row r="57" spans="1:15">
      <c r="A57" s="1" t="s">
        <v>70</v>
      </c>
      <c r="B57" s="1" t="s">
        <v>71</v>
      </c>
      <c r="C57" s="1" t="s">
        <v>73</v>
      </c>
      <c r="D57" s="1">
        <v>2019</v>
      </c>
      <c r="E57" s="1">
        <v>2019</v>
      </c>
      <c r="F57" s="1" t="s">
        <v>72</v>
      </c>
      <c r="G57" s="1" t="s">
        <v>461</v>
      </c>
      <c r="H57" s="1" t="s">
        <v>462</v>
      </c>
      <c r="I57" s="1" t="s">
        <v>463</v>
      </c>
      <c r="J57" s="1">
        <f>5/8</f>
        <v>0.625</v>
      </c>
      <c r="K57" s="1" t="s">
        <v>464</v>
      </c>
      <c r="L57" s="1" t="s">
        <v>73</v>
      </c>
      <c r="M57" s="1" t="s">
        <v>73</v>
      </c>
      <c r="N57" s="1">
        <v>29.03</v>
      </c>
      <c r="O57" s="1" t="s">
        <v>465</v>
      </c>
    </row>
    <row r="58" spans="1:15">
      <c r="A58" s="1" t="s">
        <v>70</v>
      </c>
      <c r="B58" s="1" t="s">
        <v>71</v>
      </c>
      <c r="C58" s="1" t="s">
        <v>73</v>
      </c>
      <c r="D58" s="1">
        <v>2019</v>
      </c>
      <c r="E58" s="1">
        <v>2019</v>
      </c>
      <c r="F58" s="1" t="s">
        <v>72</v>
      </c>
      <c r="G58" s="1" t="s">
        <v>461</v>
      </c>
      <c r="H58" s="1" t="s">
        <v>462</v>
      </c>
      <c r="I58" s="1" t="s">
        <v>463</v>
      </c>
      <c r="J58" s="1">
        <v>0.75</v>
      </c>
      <c r="K58" s="1" t="s">
        <v>464</v>
      </c>
      <c r="L58" s="1" t="s">
        <v>73</v>
      </c>
      <c r="M58" s="1" t="s">
        <v>73</v>
      </c>
      <c r="N58" s="1">
        <v>29.03</v>
      </c>
      <c r="O58" s="1" t="s">
        <v>465</v>
      </c>
    </row>
    <row r="59" spans="1:15">
      <c r="A59" s="1" t="s">
        <v>70</v>
      </c>
      <c r="B59" s="1" t="s">
        <v>71</v>
      </c>
      <c r="C59" s="1" t="s">
        <v>73</v>
      </c>
      <c r="D59" s="1">
        <v>2019</v>
      </c>
      <c r="E59" s="1">
        <v>2019</v>
      </c>
      <c r="F59" s="1" t="s">
        <v>72</v>
      </c>
      <c r="G59" s="1" t="s">
        <v>461</v>
      </c>
      <c r="H59" s="1" t="s">
        <v>462</v>
      </c>
      <c r="I59" s="1" t="s">
        <v>463</v>
      </c>
      <c r="J59" s="1">
        <v>1</v>
      </c>
      <c r="K59" s="1" t="s">
        <v>464</v>
      </c>
      <c r="L59" s="1" t="s">
        <v>73</v>
      </c>
      <c r="M59" s="1" t="s">
        <v>73</v>
      </c>
      <c r="N59" s="1">
        <v>54.77</v>
      </c>
      <c r="O59" s="1" t="s">
        <v>465</v>
      </c>
    </row>
    <row r="60" spans="1:15">
      <c r="A60" s="1" t="s">
        <v>70</v>
      </c>
      <c r="B60" s="1" t="s">
        <v>71</v>
      </c>
      <c r="C60" s="1" t="s">
        <v>73</v>
      </c>
      <c r="D60" s="1">
        <v>2019</v>
      </c>
      <c r="E60" s="1">
        <v>2019</v>
      </c>
      <c r="F60" s="1" t="s">
        <v>72</v>
      </c>
      <c r="G60" s="1" t="s">
        <v>461</v>
      </c>
      <c r="H60" s="1" t="s">
        <v>462</v>
      </c>
      <c r="I60" s="1" t="s">
        <v>463</v>
      </c>
      <c r="J60" s="1">
        <v>1.5</v>
      </c>
      <c r="K60" s="1" t="s">
        <v>464</v>
      </c>
      <c r="L60" s="1" t="s">
        <v>73</v>
      </c>
      <c r="M60" s="1" t="s">
        <v>73</v>
      </c>
      <c r="N60" s="1">
        <v>101.46</v>
      </c>
      <c r="O60" s="1" t="s">
        <v>465</v>
      </c>
    </row>
    <row r="61" spans="1:15">
      <c r="A61" s="1" t="s">
        <v>70</v>
      </c>
      <c r="B61" s="1" t="s">
        <v>71</v>
      </c>
      <c r="C61" s="1" t="s">
        <v>73</v>
      </c>
      <c r="D61" s="1">
        <v>2019</v>
      </c>
      <c r="E61" s="1">
        <v>2019</v>
      </c>
      <c r="F61" s="1" t="s">
        <v>72</v>
      </c>
      <c r="G61" s="1" t="s">
        <v>461</v>
      </c>
      <c r="H61" s="1" t="s">
        <v>462</v>
      </c>
      <c r="I61" s="1" t="s">
        <v>463</v>
      </c>
      <c r="J61" s="1">
        <v>2</v>
      </c>
      <c r="K61" s="1" t="s">
        <v>464</v>
      </c>
      <c r="L61" s="1" t="s">
        <v>73</v>
      </c>
      <c r="M61" s="1" t="s">
        <v>73</v>
      </c>
      <c r="N61" s="1">
        <v>255.85</v>
      </c>
      <c r="O61" s="1" t="s">
        <v>465</v>
      </c>
    </row>
    <row r="62" spans="1:15">
      <c r="A62" s="1" t="s">
        <v>70</v>
      </c>
      <c r="B62" s="1" t="s">
        <v>71</v>
      </c>
      <c r="C62" s="1" t="s">
        <v>73</v>
      </c>
      <c r="D62" s="1">
        <v>2019</v>
      </c>
      <c r="E62" s="1">
        <v>2019</v>
      </c>
      <c r="F62" s="1" t="s">
        <v>72</v>
      </c>
      <c r="G62" s="1" t="s">
        <v>461</v>
      </c>
      <c r="H62" s="1" t="s">
        <v>462</v>
      </c>
      <c r="I62" s="1" t="s">
        <v>463</v>
      </c>
      <c r="J62" s="1">
        <v>3</v>
      </c>
      <c r="K62" s="1" t="s">
        <v>464</v>
      </c>
      <c r="L62" s="1" t="s">
        <v>73</v>
      </c>
      <c r="M62" s="1" t="s">
        <v>73</v>
      </c>
      <c r="N62" s="1">
        <v>408.56</v>
      </c>
      <c r="O62" s="1" t="s">
        <v>465</v>
      </c>
    </row>
    <row r="63" spans="1:15">
      <c r="A63" s="1" t="s">
        <v>70</v>
      </c>
      <c r="B63" s="1" t="s">
        <v>71</v>
      </c>
      <c r="C63" s="1" t="s">
        <v>73</v>
      </c>
      <c r="D63" s="1">
        <v>2019</v>
      </c>
      <c r="E63" s="1">
        <v>2019</v>
      </c>
      <c r="F63" s="1" t="s">
        <v>72</v>
      </c>
      <c r="G63" s="1" t="s">
        <v>461</v>
      </c>
      <c r="H63" s="1" t="s">
        <v>462</v>
      </c>
      <c r="I63" s="1" t="s">
        <v>463</v>
      </c>
      <c r="J63" s="1">
        <v>4</v>
      </c>
      <c r="K63" s="1" t="s">
        <v>464</v>
      </c>
      <c r="L63" s="1" t="s">
        <v>73</v>
      </c>
      <c r="M63" s="1" t="s">
        <v>73</v>
      </c>
      <c r="N63" s="1">
        <v>561.75</v>
      </c>
      <c r="O63" s="1" t="s">
        <v>465</v>
      </c>
    </row>
    <row r="64" spans="1:15">
      <c r="A64" s="1" t="s">
        <v>70</v>
      </c>
      <c r="B64" s="1" t="s">
        <v>71</v>
      </c>
      <c r="C64" s="1" t="s">
        <v>73</v>
      </c>
      <c r="D64" s="1">
        <v>2019</v>
      </c>
      <c r="E64" s="1">
        <v>2019</v>
      </c>
      <c r="F64" s="1" t="s">
        <v>72</v>
      </c>
      <c r="G64" s="1" t="s">
        <v>461</v>
      </c>
      <c r="H64" s="1" t="s">
        <v>462</v>
      </c>
      <c r="I64" s="1" t="s">
        <v>463</v>
      </c>
      <c r="J64" s="1">
        <v>6</v>
      </c>
      <c r="K64" s="1" t="s">
        <v>464</v>
      </c>
      <c r="L64" s="1" t="s">
        <v>73</v>
      </c>
      <c r="M64" s="1" t="s">
        <v>73</v>
      </c>
      <c r="N64" s="1">
        <v>782.54</v>
      </c>
      <c r="O64" s="1" t="s">
        <v>465</v>
      </c>
    </row>
    <row r="65" spans="1:15">
      <c r="A65" s="1" t="s">
        <v>70</v>
      </c>
      <c r="B65" s="1" t="s">
        <v>71</v>
      </c>
      <c r="C65" s="1" t="s">
        <v>73</v>
      </c>
      <c r="D65" s="1">
        <v>2019</v>
      </c>
      <c r="E65" s="1">
        <v>2019</v>
      </c>
      <c r="F65" s="1" t="s">
        <v>72</v>
      </c>
      <c r="G65" s="1" t="s">
        <v>461</v>
      </c>
      <c r="H65" s="1" t="s">
        <v>462</v>
      </c>
      <c r="I65" s="1" t="s">
        <v>463</v>
      </c>
      <c r="J65" s="1">
        <v>8</v>
      </c>
      <c r="K65" s="1" t="s">
        <v>464</v>
      </c>
      <c r="L65" s="1" t="s">
        <v>73</v>
      </c>
      <c r="M65" s="1" t="s">
        <v>73</v>
      </c>
      <c r="N65" s="1">
        <v>1782.71</v>
      </c>
      <c r="O65" s="1" t="s">
        <v>465</v>
      </c>
    </row>
    <row r="66" spans="1:15">
      <c r="A66" s="1" t="s">
        <v>70</v>
      </c>
      <c r="B66" s="1" t="s">
        <v>71</v>
      </c>
      <c r="C66" s="1" t="s">
        <v>73</v>
      </c>
      <c r="D66" s="1">
        <v>2019</v>
      </c>
      <c r="E66" s="1">
        <v>2019</v>
      </c>
      <c r="F66" s="1" t="s">
        <v>72</v>
      </c>
      <c r="G66" s="1" t="s">
        <v>461</v>
      </c>
      <c r="H66" s="1" t="s">
        <v>462</v>
      </c>
      <c r="I66" s="1" t="s">
        <v>463</v>
      </c>
      <c r="J66" s="1">
        <v>10</v>
      </c>
      <c r="K66" s="1" t="s">
        <v>464</v>
      </c>
      <c r="L66" s="1" t="s">
        <v>73</v>
      </c>
      <c r="M66" s="1" t="s">
        <v>73</v>
      </c>
      <c r="N66" s="1">
        <v>3273.8</v>
      </c>
      <c r="O66" s="1" t="s">
        <v>465</v>
      </c>
    </row>
    <row r="67" spans="1:15">
      <c r="A67" s="1" t="s">
        <v>70</v>
      </c>
      <c r="B67" s="1" t="s">
        <v>71</v>
      </c>
      <c r="C67" s="1" t="s">
        <v>73</v>
      </c>
      <c r="D67" s="1">
        <v>2019</v>
      </c>
      <c r="E67" s="1">
        <v>2019</v>
      </c>
      <c r="F67" s="1" t="s">
        <v>72</v>
      </c>
      <c r="G67" s="1" t="s">
        <v>461</v>
      </c>
      <c r="H67" s="1" t="s">
        <v>467</v>
      </c>
      <c r="I67" s="1" t="s">
        <v>475</v>
      </c>
      <c r="J67" s="1">
        <v>1677</v>
      </c>
      <c r="K67" s="1" t="s">
        <v>379</v>
      </c>
      <c r="L67" s="1" t="s">
        <v>73</v>
      </c>
      <c r="M67" s="1" t="s">
        <v>73</v>
      </c>
      <c r="N67" s="1">
        <v>1</v>
      </c>
      <c r="O67" s="1" t="s">
        <v>469</v>
      </c>
    </row>
    <row r="68" spans="1:15">
      <c r="A68" s="1" t="s">
        <v>70</v>
      </c>
      <c r="B68" s="1" t="s">
        <v>71</v>
      </c>
      <c r="C68" s="1" t="s">
        <v>73</v>
      </c>
      <c r="D68" s="1">
        <v>2019</v>
      </c>
      <c r="E68" s="1">
        <v>2019</v>
      </c>
      <c r="F68" s="1" t="s">
        <v>72</v>
      </c>
      <c r="G68" s="1" t="s">
        <v>461</v>
      </c>
      <c r="H68" s="1" t="s">
        <v>467</v>
      </c>
      <c r="I68" s="1" t="s">
        <v>475</v>
      </c>
      <c r="J68" s="1">
        <f>1667+2333</f>
        <v>4000</v>
      </c>
      <c r="K68" s="1" t="s">
        <v>379</v>
      </c>
      <c r="L68" s="1" t="s">
        <v>73</v>
      </c>
      <c r="M68" s="1" t="s">
        <v>73</v>
      </c>
      <c r="N68" s="1">
        <v>11.08</v>
      </c>
      <c r="O68" s="1" t="s">
        <v>469</v>
      </c>
    </row>
    <row r="69" spans="1:15">
      <c r="A69" s="1" t="s">
        <v>70</v>
      </c>
      <c r="B69" s="1" t="s">
        <v>71</v>
      </c>
      <c r="C69" s="1" t="s">
        <v>73</v>
      </c>
      <c r="D69" s="1">
        <v>2019</v>
      </c>
      <c r="E69" s="1">
        <v>2019</v>
      </c>
      <c r="F69" s="1" t="s">
        <v>72</v>
      </c>
      <c r="G69" s="1" t="s">
        <v>461</v>
      </c>
      <c r="H69" s="1" t="s">
        <v>467</v>
      </c>
      <c r="I69" s="1" t="s">
        <v>475</v>
      </c>
      <c r="J69" s="1">
        <v>30000</v>
      </c>
      <c r="K69" s="1" t="s">
        <v>379</v>
      </c>
      <c r="L69" s="1" t="s">
        <v>73</v>
      </c>
      <c r="M69" s="1" t="s">
        <v>73</v>
      </c>
      <c r="N69" s="1">
        <v>8.41</v>
      </c>
      <c r="O69" s="1" t="s">
        <v>469</v>
      </c>
    </row>
    <row r="70" spans="1:15">
      <c r="A70" s="1" t="s">
        <v>70</v>
      </c>
      <c r="B70" s="1" t="s">
        <v>71</v>
      </c>
      <c r="C70" s="1" t="s">
        <v>73</v>
      </c>
      <c r="D70" s="1">
        <v>2019</v>
      </c>
      <c r="E70" s="1">
        <v>2019</v>
      </c>
      <c r="F70" s="1" t="s">
        <v>72</v>
      </c>
      <c r="G70" s="1" t="s">
        <v>461</v>
      </c>
      <c r="H70" s="1" t="s">
        <v>467</v>
      </c>
      <c r="I70" s="1" t="s">
        <v>475</v>
      </c>
      <c r="J70" s="1">
        <v>330000</v>
      </c>
      <c r="K70" s="1" t="s">
        <v>379</v>
      </c>
      <c r="L70" s="1" t="s">
        <v>73</v>
      </c>
      <c r="M70" s="1" t="s">
        <v>73</v>
      </c>
      <c r="N70" s="1">
        <v>6.26</v>
      </c>
      <c r="O70" s="1" t="s">
        <v>469</v>
      </c>
    </row>
    <row r="71" spans="1:15">
      <c r="A71" s="1" t="s">
        <v>70</v>
      </c>
      <c r="B71" s="1" t="s">
        <v>71</v>
      </c>
      <c r="C71" s="1" t="s">
        <v>73</v>
      </c>
      <c r="D71" s="1">
        <v>2019</v>
      </c>
      <c r="E71" s="1">
        <v>2019</v>
      </c>
      <c r="F71" s="1" t="s">
        <v>72</v>
      </c>
      <c r="G71" s="1" t="s">
        <v>461</v>
      </c>
      <c r="H71" s="1" t="s">
        <v>467</v>
      </c>
      <c r="I71" s="1" t="s">
        <v>475</v>
      </c>
      <c r="J71" s="1">
        <f>J70+2000000</f>
        <v>2330000</v>
      </c>
      <c r="K71" s="1" t="s">
        <v>379</v>
      </c>
      <c r="L71" s="1" t="s">
        <v>73</v>
      </c>
      <c r="M71" s="1" t="s">
        <v>73</v>
      </c>
      <c r="N71" s="1">
        <v>5.19</v>
      </c>
      <c r="O71" s="1" t="s">
        <v>469</v>
      </c>
    </row>
    <row r="72" spans="1:15">
      <c r="A72" s="1" t="s">
        <v>70</v>
      </c>
      <c r="B72" s="1" t="s">
        <v>71</v>
      </c>
      <c r="C72" s="1" t="s">
        <v>73</v>
      </c>
      <c r="D72" s="1">
        <v>2019</v>
      </c>
      <c r="E72" s="1">
        <v>2019</v>
      </c>
      <c r="F72" s="1" t="s">
        <v>72</v>
      </c>
      <c r="G72" s="1" t="s">
        <v>461</v>
      </c>
      <c r="H72" s="1" t="s">
        <v>467</v>
      </c>
      <c r="I72" s="1" t="s">
        <v>475</v>
      </c>
      <c r="J72" s="1" t="s">
        <v>470</v>
      </c>
      <c r="K72" s="1" t="s">
        <v>379</v>
      </c>
      <c r="L72" s="1" t="s">
        <v>73</v>
      </c>
      <c r="M72" s="1" t="s">
        <v>73</v>
      </c>
      <c r="N72" s="1">
        <v>4.78</v>
      </c>
      <c r="O72" s="1" t="s">
        <v>469</v>
      </c>
    </row>
    <row r="73" spans="1:15">
      <c r="A73" s="1" t="s">
        <v>70</v>
      </c>
      <c r="B73" s="1" t="s">
        <v>71</v>
      </c>
      <c r="C73" s="1" t="s">
        <v>73</v>
      </c>
      <c r="D73" s="1">
        <v>2019</v>
      </c>
      <c r="E73" s="1">
        <v>2019</v>
      </c>
      <c r="F73" s="1" t="s">
        <v>72</v>
      </c>
      <c r="G73" s="1" t="s">
        <v>461</v>
      </c>
      <c r="H73" s="1" t="s">
        <v>476</v>
      </c>
      <c r="I73" s="1" t="s">
        <v>463</v>
      </c>
      <c r="J73" s="1">
        <f>5/8</f>
        <v>0.625</v>
      </c>
      <c r="K73" s="1" t="s">
        <v>464</v>
      </c>
      <c r="L73" s="1" t="s">
        <v>73</v>
      </c>
      <c r="M73" s="1" t="s">
        <v>73</v>
      </c>
      <c r="N73" s="1">
        <v>1.54</v>
      </c>
      <c r="O73" s="1" t="s">
        <v>465</v>
      </c>
    </row>
    <row r="74" spans="1:15">
      <c r="A74" s="1" t="s">
        <v>70</v>
      </c>
      <c r="B74" s="1" t="s">
        <v>71</v>
      </c>
      <c r="C74" s="1" t="s">
        <v>73</v>
      </c>
      <c r="D74" s="1">
        <v>2019</v>
      </c>
      <c r="E74" s="1">
        <v>2019</v>
      </c>
      <c r="F74" s="1" t="s">
        <v>72</v>
      </c>
      <c r="G74" s="1" t="s">
        <v>461</v>
      </c>
      <c r="H74" s="1" t="s">
        <v>476</v>
      </c>
      <c r="I74" s="1" t="s">
        <v>463</v>
      </c>
      <c r="J74" s="1">
        <v>0.75</v>
      </c>
      <c r="K74" s="1" t="s">
        <v>464</v>
      </c>
      <c r="L74" s="1" t="s">
        <v>73</v>
      </c>
      <c r="M74" s="1" t="s">
        <v>73</v>
      </c>
      <c r="N74" s="1">
        <v>1.54</v>
      </c>
      <c r="O74" s="1" t="s">
        <v>465</v>
      </c>
    </row>
    <row r="75" spans="1:15">
      <c r="A75" s="1" t="s">
        <v>70</v>
      </c>
      <c r="B75" s="1" t="s">
        <v>71</v>
      </c>
      <c r="C75" s="1" t="s">
        <v>73</v>
      </c>
      <c r="D75" s="1">
        <v>2019</v>
      </c>
      <c r="E75" s="1">
        <v>2019</v>
      </c>
      <c r="F75" s="1" t="s">
        <v>72</v>
      </c>
      <c r="G75" s="1" t="s">
        <v>461</v>
      </c>
      <c r="H75" s="1" t="s">
        <v>476</v>
      </c>
      <c r="I75" s="1" t="s">
        <v>463</v>
      </c>
      <c r="J75" s="1">
        <v>1</v>
      </c>
      <c r="K75" s="1" t="s">
        <v>464</v>
      </c>
      <c r="L75" s="1" t="s">
        <v>73</v>
      </c>
      <c r="M75" s="1" t="s">
        <v>73</v>
      </c>
      <c r="N75" s="1">
        <v>2.9</v>
      </c>
      <c r="O75" s="1" t="s">
        <v>465</v>
      </c>
    </row>
    <row r="76" spans="1:15">
      <c r="A76" s="1" t="s">
        <v>70</v>
      </c>
      <c r="B76" s="1" t="s">
        <v>71</v>
      </c>
      <c r="C76" s="1" t="s">
        <v>73</v>
      </c>
      <c r="D76" s="1">
        <v>2019</v>
      </c>
      <c r="E76" s="1">
        <v>2019</v>
      </c>
      <c r="F76" s="1" t="s">
        <v>72</v>
      </c>
      <c r="G76" s="1" t="s">
        <v>461</v>
      </c>
      <c r="H76" s="1" t="s">
        <v>476</v>
      </c>
      <c r="I76" s="1" t="s">
        <v>463</v>
      </c>
      <c r="J76" s="1">
        <v>1.5</v>
      </c>
      <c r="K76" s="1" t="s">
        <v>464</v>
      </c>
      <c r="L76" s="1" t="s">
        <v>73</v>
      </c>
      <c r="M76" s="1" t="s">
        <v>73</v>
      </c>
      <c r="N76" s="1">
        <v>5.38</v>
      </c>
      <c r="O76" s="1" t="s">
        <v>465</v>
      </c>
    </row>
    <row r="77" spans="1:15">
      <c r="A77" s="1" t="s">
        <v>70</v>
      </c>
      <c r="B77" s="1" t="s">
        <v>71</v>
      </c>
      <c r="C77" s="1" t="s">
        <v>73</v>
      </c>
      <c r="D77" s="1">
        <v>2019</v>
      </c>
      <c r="E77" s="1">
        <v>2019</v>
      </c>
      <c r="F77" s="1" t="s">
        <v>72</v>
      </c>
      <c r="G77" s="1" t="s">
        <v>461</v>
      </c>
      <c r="H77" s="1" t="s">
        <v>476</v>
      </c>
      <c r="I77" s="1" t="s">
        <v>463</v>
      </c>
      <c r="J77" s="1">
        <v>2</v>
      </c>
      <c r="K77" s="1" t="s">
        <v>464</v>
      </c>
      <c r="L77" s="1" t="s">
        <v>73</v>
      </c>
      <c r="M77" s="1" t="s">
        <v>73</v>
      </c>
      <c r="N77" s="1">
        <v>13.56</v>
      </c>
      <c r="O77" s="1" t="s">
        <v>465</v>
      </c>
    </row>
    <row r="78" spans="1:15">
      <c r="A78" s="1" t="s">
        <v>70</v>
      </c>
      <c r="B78" s="1" t="s">
        <v>71</v>
      </c>
      <c r="C78" s="1" t="s">
        <v>73</v>
      </c>
      <c r="D78" s="1">
        <v>2019</v>
      </c>
      <c r="E78" s="1">
        <v>2019</v>
      </c>
      <c r="F78" s="1" t="s">
        <v>72</v>
      </c>
      <c r="G78" s="1" t="s">
        <v>461</v>
      </c>
      <c r="H78" s="1" t="s">
        <v>476</v>
      </c>
      <c r="I78" s="1" t="s">
        <v>463</v>
      </c>
      <c r="J78" s="1">
        <v>3</v>
      </c>
      <c r="K78" s="1" t="s">
        <v>464</v>
      </c>
      <c r="L78" s="1" t="s">
        <v>73</v>
      </c>
      <c r="M78" s="1" t="s">
        <v>73</v>
      </c>
      <c r="N78" s="1">
        <v>21.65</v>
      </c>
      <c r="O78" s="1" t="s">
        <v>465</v>
      </c>
    </row>
    <row r="79" spans="1:15">
      <c r="A79" s="1" t="s">
        <v>70</v>
      </c>
      <c r="B79" s="1" t="s">
        <v>71</v>
      </c>
      <c r="C79" s="1" t="s">
        <v>73</v>
      </c>
      <c r="D79" s="1">
        <v>2019</v>
      </c>
      <c r="E79" s="1">
        <v>2019</v>
      </c>
      <c r="F79" s="1" t="s">
        <v>72</v>
      </c>
      <c r="G79" s="1" t="s">
        <v>461</v>
      </c>
      <c r="H79" s="1" t="s">
        <v>476</v>
      </c>
      <c r="I79" s="1" t="s">
        <v>463</v>
      </c>
      <c r="J79" s="1">
        <v>4</v>
      </c>
      <c r="K79" s="1" t="s">
        <v>464</v>
      </c>
      <c r="L79" s="1" t="s">
        <v>73</v>
      </c>
      <c r="M79" s="1" t="s">
        <v>73</v>
      </c>
      <c r="N79" s="1">
        <v>29.77</v>
      </c>
      <c r="O79" s="1" t="s">
        <v>465</v>
      </c>
    </row>
    <row r="80" spans="1:15">
      <c r="A80" s="1" t="s">
        <v>70</v>
      </c>
      <c r="B80" s="1" t="s">
        <v>71</v>
      </c>
      <c r="C80" s="1" t="s">
        <v>73</v>
      </c>
      <c r="D80" s="1">
        <v>2019</v>
      </c>
      <c r="E80" s="1">
        <v>2019</v>
      </c>
      <c r="F80" s="1" t="s">
        <v>72</v>
      </c>
      <c r="G80" s="1" t="s">
        <v>461</v>
      </c>
      <c r="H80" s="1" t="s">
        <v>476</v>
      </c>
      <c r="I80" s="1" t="s">
        <v>463</v>
      </c>
      <c r="J80" s="1">
        <v>6</v>
      </c>
      <c r="K80" s="1" t="s">
        <v>464</v>
      </c>
      <c r="L80" s="1" t="s">
        <v>73</v>
      </c>
      <c r="M80" s="1" t="s">
        <v>73</v>
      </c>
      <c r="N80" s="1">
        <v>41.47</v>
      </c>
      <c r="O80" s="1" t="s">
        <v>465</v>
      </c>
    </row>
    <row r="81" spans="1:15">
      <c r="A81" s="1" t="s">
        <v>70</v>
      </c>
      <c r="B81" s="1" t="s">
        <v>71</v>
      </c>
      <c r="C81" s="1" t="s">
        <v>73</v>
      </c>
      <c r="D81" s="1">
        <v>2019</v>
      </c>
      <c r="E81" s="1">
        <v>2019</v>
      </c>
      <c r="F81" s="1" t="s">
        <v>72</v>
      </c>
      <c r="G81" s="1" t="s">
        <v>461</v>
      </c>
      <c r="H81" s="1" t="s">
        <v>476</v>
      </c>
      <c r="I81" s="1" t="s">
        <v>463</v>
      </c>
      <c r="J81" s="1">
        <v>8</v>
      </c>
      <c r="K81" s="1" t="s">
        <v>464</v>
      </c>
      <c r="L81" s="1" t="s">
        <v>73</v>
      </c>
      <c r="M81" s="1" t="s">
        <v>73</v>
      </c>
      <c r="N81" s="1">
        <v>94.48</v>
      </c>
      <c r="O81" s="1" t="s">
        <v>465</v>
      </c>
    </row>
    <row r="82" spans="1:15">
      <c r="A82" s="1" t="s">
        <v>70</v>
      </c>
      <c r="B82" s="1" t="s">
        <v>71</v>
      </c>
      <c r="C82" s="1" t="s">
        <v>73</v>
      </c>
      <c r="D82" s="1">
        <v>2019</v>
      </c>
      <c r="E82" s="1">
        <v>2019</v>
      </c>
      <c r="F82" s="1" t="s">
        <v>72</v>
      </c>
      <c r="G82" s="1" t="s">
        <v>461</v>
      </c>
      <c r="H82" s="1" t="s">
        <v>476</v>
      </c>
      <c r="I82" s="1" t="s">
        <v>463</v>
      </c>
      <c r="J82" s="1">
        <v>10</v>
      </c>
      <c r="K82" s="1" t="s">
        <v>464</v>
      </c>
      <c r="L82" s="1" t="s">
        <v>73</v>
      </c>
      <c r="M82" s="1" t="s">
        <v>73</v>
      </c>
      <c r="N82" s="1">
        <v>173.51</v>
      </c>
      <c r="O82" s="1" t="s">
        <v>465</v>
      </c>
    </row>
    <row r="83" spans="1:15">
      <c r="A83" s="1" t="s">
        <v>70</v>
      </c>
      <c r="B83" s="1" t="s">
        <v>71</v>
      </c>
      <c r="C83" s="1" t="s">
        <v>73</v>
      </c>
      <c r="D83" s="1">
        <v>2018</v>
      </c>
      <c r="E83" s="1">
        <v>2018</v>
      </c>
      <c r="F83" s="1" t="s">
        <v>81</v>
      </c>
      <c r="G83" s="1" t="s">
        <v>461</v>
      </c>
      <c r="H83" s="1" t="s">
        <v>462</v>
      </c>
      <c r="I83" s="1" t="s">
        <v>463</v>
      </c>
      <c r="J83" s="1">
        <f>5/8</f>
        <v>0.625</v>
      </c>
      <c r="K83" s="1" t="s">
        <v>464</v>
      </c>
      <c r="L83" s="1">
        <v>1667</v>
      </c>
      <c r="M83" s="1" t="s">
        <v>73</v>
      </c>
      <c r="N83" s="1">
        <v>20.88</v>
      </c>
      <c r="O83" s="1" t="s">
        <v>465</v>
      </c>
    </row>
    <row r="84" spans="1:15">
      <c r="A84" s="1" t="s">
        <v>70</v>
      </c>
      <c r="B84" s="1" t="s">
        <v>71</v>
      </c>
      <c r="C84" s="1" t="s">
        <v>73</v>
      </c>
      <c r="D84" s="1">
        <v>2018</v>
      </c>
      <c r="E84" s="1">
        <v>2018</v>
      </c>
      <c r="F84" s="1" t="s">
        <v>81</v>
      </c>
      <c r="G84" s="1" t="s">
        <v>461</v>
      </c>
      <c r="H84" s="1" t="s">
        <v>462</v>
      </c>
      <c r="I84" s="1" t="s">
        <v>463</v>
      </c>
      <c r="J84" s="1">
        <v>0.75</v>
      </c>
      <c r="K84" s="1" t="s">
        <v>464</v>
      </c>
      <c r="L84" s="1">
        <v>1667</v>
      </c>
      <c r="M84" s="1" t="s">
        <v>73</v>
      </c>
      <c r="N84" s="1">
        <v>20.88</v>
      </c>
      <c r="O84" s="1" t="s">
        <v>465</v>
      </c>
    </row>
    <row r="85" spans="1:15">
      <c r="A85" s="1" t="s">
        <v>70</v>
      </c>
      <c r="B85" s="1" t="s">
        <v>71</v>
      </c>
      <c r="C85" s="1" t="s">
        <v>73</v>
      </c>
      <c r="D85" s="1">
        <v>2018</v>
      </c>
      <c r="E85" s="1">
        <v>2018</v>
      </c>
      <c r="F85" s="1" t="s">
        <v>81</v>
      </c>
      <c r="G85" s="1" t="s">
        <v>461</v>
      </c>
      <c r="H85" s="1" t="s">
        <v>462</v>
      </c>
      <c r="I85" s="1" t="s">
        <v>463</v>
      </c>
      <c r="J85" s="1">
        <v>1</v>
      </c>
      <c r="K85" s="1" t="s">
        <v>464</v>
      </c>
      <c r="L85" s="1">
        <v>4002</v>
      </c>
      <c r="M85" s="1" t="s">
        <v>73</v>
      </c>
      <c r="N85" s="1">
        <v>34.31</v>
      </c>
      <c r="O85" s="1" t="s">
        <v>465</v>
      </c>
    </row>
    <row r="86" spans="1:15">
      <c r="A86" s="1" t="s">
        <v>70</v>
      </c>
      <c r="B86" s="1" t="s">
        <v>71</v>
      </c>
      <c r="C86" s="1" t="s">
        <v>73</v>
      </c>
      <c r="D86" s="1">
        <v>2018</v>
      </c>
      <c r="E86" s="1">
        <v>2018</v>
      </c>
      <c r="F86" s="1" t="s">
        <v>81</v>
      </c>
      <c r="G86" s="1" t="s">
        <v>461</v>
      </c>
      <c r="H86" s="1" t="s">
        <v>462</v>
      </c>
      <c r="I86" s="1" t="s">
        <v>463</v>
      </c>
      <c r="J86" s="1">
        <v>1.5</v>
      </c>
      <c r="K86" s="1" t="s">
        <v>464</v>
      </c>
      <c r="L86" s="1">
        <v>10225</v>
      </c>
      <c r="M86" s="1" t="s">
        <v>73</v>
      </c>
      <c r="N86" s="1">
        <v>70.2</v>
      </c>
      <c r="O86" s="1" t="s">
        <v>465</v>
      </c>
    </row>
    <row r="87" spans="1:15">
      <c r="A87" s="1" t="s">
        <v>70</v>
      </c>
      <c r="B87" s="1" t="s">
        <v>71</v>
      </c>
      <c r="C87" s="1" t="s">
        <v>73</v>
      </c>
      <c r="D87" s="1">
        <v>2018</v>
      </c>
      <c r="E87" s="1">
        <v>2018</v>
      </c>
      <c r="F87" s="1" t="s">
        <v>81</v>
      </c>
      <c r="G87" s="1" t="s">
        <v>461</v>
      </c>
      <c r="H87" s="1" t="s">
        <v>462</v>
      </c>
      <c r="I87" s="1" t="s">
        <v>463</v>
      </c>
      <c r="J87" s="1">
        <v>2</v>
      </c>
      <c r="K87" s="1" t="s">
        <v>464</v>
      </c>
      <c r="L87" s="1">
        <v>29995</v>
      </c>
      <c r="M87" s="1" t="s">
        <v>73</v>
      </c>
      <c r="N87" s="1">
        <v>184.11</v>
      </c>
      <c r="O87" s="1" t="s">
        <v>465</v>
      </c>
    </row>
    <row r="88" spans="1:15">
      <c r="A88" s="1" t="s">
        <v>70</v>
      </c>
      <c r="B88" s="1" t="s">
        <v>71</v>
      </c>
      <c r="C88" s="1" t="s">
        <v>73</v>
      </c>
      <c r="D88" s="1">
        <v>2018</v>
      </c>
      <c r="E88" s="1">
        <v>2018</v>
      </c>
      <c r="F88" s="1" t="s">
        <v>81</v>
      </c>
      <c r="G88" s="1" t="s">
        <v>461</v>
      </c>
      <c r="H88" s="1" t="s">
        <v>462</v>
      </c>
      <c r="I88" s="1" t="s">
        <v>463</v>
      </c>
      <c r="J88" s="1">
        <v>3</v>
      </c>
      <c r="K88" s="1" t="s">
        <v>464</v>
      </c>
      <c r="L88" s="1">
        <v>59997</v>
      </c>
      <c r="M88" s="1" t="s">
        <v>73</v>
      </c>
      <c r="N88" s="1">
        <v>357.02</v>
      </c>
      <c r="O88" s="1" t="s">
        <v>465</v>
      </c>
    </row>
    <row r="89" spans="1:15">
      <c r="A89" s="1" t="s">
        <v>70</v>
      </c>
      <c r="B89" s="1" t="s">
        <v>71</v>
      </c>
      <c r="C89" s="1" t="s">
        <v>73</v>
      </c>
      <c r="D89" s="1">
        <v>2018</v>
      </c>
      <c r="E89" s="1">
        <v>2018</v>
      </c>
      <c r="F89" s="1" t="s">
        <v>81</v>
      </c>
      <c r="G89" s="1" t="s">
        <v>461</v>
      </c>
      <c r="H89" s="1" t="s">
        <v>462</v>
      </c>
      <c r="I89" s="1" t="s">
        <v>463</v>
      </c>
      <c r="J89" s="1">
        <v>4</v>
      </c>
      <c r="K89" s="1" t="s">
        <v>464</v>
      </c>
      <c r="L89" s="1">
        <v>89999</v>
      </c>
      <c r="M89" s="1" t="s">
        <v>73</v>
      </c>
      <c r="N89" s="1">
        <v>529.94000000000005</v>
      </c>
      <c r="O89" s="1" t="s">
        <v>465</v>
      </c>
    </row>
    <row r="90" spans="1:15">
      <c r="A90" s="1" t="s">
        <v>70</v>
      </c>
      <c r="B90" s="1" t="s">
        <v>71</v>
      </c>
      <c r="C90" s="1" t="s">
        <v>73</v>
      </c>
      <c r="D90" s="1">
        <v>2018</v>
      </c>
      <c r="E90" s="1">
        <v>2018</v>
      </c>
      <c r="F90" s="1" t="s">
        <v>81</v>
      </c>
      <c r="G90" s="1" t="s">
        <v>461</v>
      </c>
      <c r="H90" s="1" t="s">
        <v>462</v>
      </c>
      <c r="I90" s="1" t="s">
        <v>463</v>
      </c>
      <c r="J90" s="1">
        <v>6</v>
      </c>
      <c r="K90" s="1" t="s">
        <v>464</v>
      </c>
      <c r="L90" s="1">
        <v>16998</v>
      </c>
      <c r="M90" s="1" t="s">
        <v>73</v>
      </c>
      <c r="N90" s="1">
        <v>990.94</v>
      </c>
      <c r="O90" s="1" t="s">
        <v>465</v>
      </c>
    </row>
    <row r="91" spans="1:15">
      <c r="A91" s="1" t="s">
        <v>70</v>
      </c>
      <c r="B91" s="1" t="s">
        <v>71</v>
      </c>
      <c r="C91" s="1" t="s">
        <v>73</v>
      </c>
      <c r="D91" s="1">
        <v>2018</v>
      </c>
      <c r="E91" s="1">
        <v>2018</v>
      </c>
      <c r="F91" s="1" t="s">
        <v>81</v>
      </c>
      <c r="G91" s="1" t="s">
        <v>461</v>
      </c>
      <c r="H91" s="1" t="s">
        <v>462</v>
      </c>
      <c r="I91" s="1" t="s">
        <v>463</v>
      </c>
      <c r="J91" s="1">
        <v>8</v>
      </c>
      <c r="K91" s="1" t="s">
        <v>464</v>
      </c>
      <c r="L91" s="1">
        <v>330003</v>
      </c>
      <c r="M91" s="1" t="s">
        <v>73</v>
      </c>
      <c r="N91" s="1">
        <v>1913.02</v>
      </c>
      <c r="O91" s="1" t="s">
        <v>465</v>
      </c>
    </row>
    <row r="92" spans="1:15">
      <c r="A92" s="1" t="s">
        <v>70</v>
      </c>
      <c r="B92" s="1" t="s">
        <v>71</v>
      </c>
      <c r="C92" s="1" t="s">
        <v>73</v>
      </c>
      <c r="D92" s="1">
        <v>2018</v>
      </c>
      <c r="E92" s="1">
        <v>2018</v>
      </c>
      <c r="F92" s="1" t="s">
        <v>81</v>
      </c>
      <c r="G92" s="1" t="s">
        <v>461</v>
      </c>
      <c r="H92" s="1" t="s">
        <v>462</v>
      </c>
      <c r="I92" s="1" t="s">
        <v>463</v>
      </c>
      <c r="J92" s="1">
        <v>10</v>
      </c>
      <c r="K92" s="1" t="s">
        <v>464</v>
      </c>
      <c r="L92" s="1">
        <v>700001</v>
      </c>
      <c r="M92" s="1" t="s">
        <v>73</v>
      </c>
      <c r="N92" s="1">
        <v>3986.66</v>
      </c>
      <c r="O92" s="1" t="s">
        <v>465</v>
      </c>
    </row>
    <row r="93" spans="1:15">
      <c r="A93" s="1" t="s">
        <v>70</v>
      </c>
      <c r="B93" s="1" t="s">
        <v>71</v>
      </c>
      <c r="C93" s="1" t="s">
        <v>73</v>
      </c>
      <c r="D93" s="1">
        <v>2018</v>
      </c>
      <c r="E93" s="1">
        <v>2018</v>
      </c>
      <c r="F93" s="1" t="s">
        <v>81</v>
      </c>
      <c r="G93" s="1" t="s">
        <v>461</v>
      </c>
      <c r="H93" s="1" t="s">
        <v>467</v>
      </c>
      <c r="I93" s="1" t="s">
        <v>475</v>
      </c>
      <c r="J93" s="1" t="s">
        <v>73</v>
      </c>
      <c r="K93" s="1" t="s">
        <v>472</v>
      </c>
      <c r="L93" s="1" t="s">
        <v>73</v>
      </c>
      <c r="M93" s="1" t="s">
        <v>73</v>
      </c>
      <c r="N93" s="1">
        <v>7.3999999999999996E-2</v>
      </c>
      <c r="O93" s="1" t="s">
        <v>477</v>
      </c>
    </row>
    <row r="94" spans="1:15">
      <c r="A94" s="1" t="s">
        <v>70</v>
      </c>
      <c r="B94" s="1" t="s">
        <v>71</v>
      </c>
      <c r="C94" s="1" t="s">
        <v>73</v>
      </c>
      <c r="D94" s="1">
        <v>2018</v>
      </c>
      <c r="E94" s="1">
        <v>2018</v>
      </c>
      <c r="F94" s="1" t="s">
        <v>81</v>
      </c>
      <c r="G94" s="1" t="s">
        <v>461</v>
      </c>
      <c r="H94" s="1" t="s">
        <v>476</v>
      </c>
      <c r="I94" s="1" t="s">
        <v>463</v>
      </c>
      <c r="J94" s="1">
        <f>5/8</f>
        <v>0.625</v>
      </c>
      <c r="K94" s="1" t="s">
        <v>464</v>
      </c>
      <c r="L94" s="1">
        <v>1667</v>
      </c>
      <c r="M94" s="1" t="s">
        <v>73</v>
      </c>
      <c r="N94" s="1">
        <v>1.94</v>
      </c>
      <c r="O94" s="1" t="s">
        <v>465</v>
      </c>
    </row>
    <row r="95" spans="1:15">
      <c r="A95" s="1" t="s">
        <v>70</v>
      </c>
      <c r="B95" s="1" t="s">
        <v>71</v>
      </c>
      <c r="C95" s="1" t="s">
        <v>73</v>
      </c>
      <c r="D95" s="1">
        <v>2018</v>
      </c>
      <c r="E95" s="1">
        <v>2018</v>
      </c>
      <c r="F95" s="1" t="s">
        <v>81</v>
      </c>
      <c r="G95" s="1" t="s">
        <v>461</v>
      </c>
      <c r="H95" s="1" t="s">
        <v>476</v>
      </c>
      <c r="I95" s="1" t="s">
        <v>463</v>
      </c>
      <c r="J95" s="1">
        <v>0.75</v>
      </c>
      <c r="K95" s="1" t="s">
        <v>464</v>
      </c>
      <c r="L95" s="1">
        <v>1667</v>
      </c>
      <c r="M95" s="1" t="s">
        <v>73</v>
      </c>
      <c r="N95" s="1">
        <v>1.94</v>
      </c>
      <c r="O95" s="1" t="s">
        <v>465</v>
      </c>
    </row>
    <row r="96" spans="1:15">
      <c r="A96" s="1" t="s">
        <v>70</v>
      </c>
      <c r="B96" s="1" t="s">
        <v>71</v>
      </c>
      <c r="C96" s="1" t="s">
        <v>73</v>
      </c>
      <c r="D96" s="1">
        <v>2018</v>
      </c>
      <c r="E96" s="1">
        <v>2018</v>
      </c>
      <c r="F96" s="1" t="s">
        <v>81</v>
      </c>
      <c r="G96" s="1" t="s">
        <v>461</v>
      </c>
      <c r="H96" s="1" t="s">
        <v>476</v>
      </c>
      <c r="I96" s="1" t="s">
        <v>463</v>
      </c>
      <c r="J96" s="1">
        <v>1</v>
      </c>
      <c r="K96" s="1" t="s">
        <v>464</v>
      </c>
      <c r="L96" s="1">
        <v>4002</v>
      </c>
      <c r="M96" s="1" t="s">
        <v>73</v>
      </c>
      <c r="N96" s="1">
        <v>3.19</v>
      </c>
      <c r="O96" s="1" t="s">
        <v>465</v>
      </c>
    </row>
    <row r="97" spans="1:15">
      <c r="A97" s="1" t="s">
        <v>70</v>
      </c>
      <c r="B97" s="1" t="s">
        <v>71</v>
      </c>
      <c r="C97" s="1" t="s">
        <v>73</v>
      </c>
      <c r="D97" s="1">
        <v>2018</v>
      </c>
      <c r="E97" s="1">
        <v>2018</v>
      </c>
      <c r="F97" s="1" t="s">
        <v>81</v>
      </c>
      <c r="G97" s="1" t="s">
        <v>461</v>
      </c>
      <c r="H97" s="1" t="s">
        <v>476</v>
      </c>
      <c r="I97" s="1" t="s">
        <v>463</v>
      </c>
      <c r="J97" s="1">
        <v>1.5</v>
      </c>
      <c r="K97" s="1" t="s">
        <v>464</v>
      </c>
      <c r="L97" s="1">
        <v>10225</v>
      </c>
      <c r="M97" s="1" t="s">
        <v>73</v>
      </c>
      <c r="N97" s="1">
        <v>6.53</v>
      </c>
      <c r="O97" s="1" t="s">
        <v>465</v>
      </c>
    </row>
    <row r="98" spans="1:15">
      <c r="A98" s="1" t="s">
        <v>70</v>
      </c>
      <c r="B98" s="1" t="s">
        <v>71</v>
      </c>
      <c r="C98" s="1" t="s">
        <v>73</v>
      </c>
      <c r="D98" s="1">
        <v>2018</v>
      </c>
      <c r="E98" s="1">
        <v>2018</v>
      </c>
      <c r="F98" s="1" t="s">
        <v>81</v>
      </c>
      <c r="G98" s="1" t="s">
        <v>461</v>
      </c>
      <c r="H98" s="1" t="s">
        <v>476</v>
      </c>
      <c r="I98" s="1" t="s">
        <v>463</v>
      </c>
      <c r="J98" s="1">
        <v>2</v>
      </c>
      <c r="K98" s="1" t="s">
        <v>464</v>
      </c>
      <c r="L98" s="1">
        <v>29995</v>
      </c>
      <c r="M98" s="1" t="s">
        <v>73</v>
      </c>
      <c r="N98" s="1">
        <v>17.12</v>
      </c>
      <c r="O98" s="1" t="s">
        <v>465</v>
      </c>
    </row>
    <row r="99" spans="1:15">
      <c r="A99" s="1" t="s">
        <v>70</v>
      </c>
      <c r="B99" s="1" t="s">
        <v>71</v>
      </c>
      <c r="C99" s="1" t="s">
        <v>73</v>
      </c>
      <c r="D99" s="1">
        <v>2018</v>
      </c>
      <c r="E99" s="1">
        <v>2018</v>
      </c>
      <c r="F99" s="1" t="s">
        <v>81</v>
      </c>
      <c r="G99" s="1" t="s">
        <v>461</v>
      </c>
      <c r="H99" s="1" t="s">
        <v>476</v>
      </c>
      <c r="I99" s="1" t="s">
        <v>463</v>
      </c>
      <c r="J99" s="1">
        <v>3</v>
      </c>
      <c r="K99" s="1" t="s">
        <v>464</v>
      </c>
      <c r="L99" s="1">
        <v>59997</v>
      </c>
      <c r="M99" s="1" t="s">
        <v>73</v>
      </c>
      <c r="N99" s="1">
        <v>33.200000000000003</v>
      </c>
      <c r="O99" s="1" t="s">
        <v>465</v>
      </c>
    </row>
    <row r="100" spans="1:15">
      <c r="A100" s="1" t="s">
        <v>70</v>
      </c>
      <c r="B100" s="1" t="s">
        <v>71</v>
      </c>
      <c r="C100" s="1" t="s">
        <v>73</v>
      </c>
      <c r="D100" s="1">
        <v>2018</v>
      </c>
      <c r="E100" s="1">
        <v>2018</v>
      </c>
      <c r="F100" s="1" t="s">
        <v>81</v>
      </c>
      <c r="G100" s="1" t="s">
        <v>461</v>
      </c>
      <c r="H100" s="1" t="s">
        <v>476</v>
      </c>
      <c r="I100" s="1" t="s">
        <v>463</v>
      </c>
      <c r="J100" s="1">
        <v>4</v>
      </c>
      <c r="K100" s="1" t="s">
        <v>464</v>
      </c>
      <c r="L100" s="1">
        <v>89999</v>
      </c>
      <c r="M100" s="1" t="s">
        <v>73</v>
      </c>
      <c r="N100" s="1">
        <v>49.28</v>
      </c>
      <c r="O100" s="1" t="s">
        <v>465</v>
      </c>
    </row>
    <row r="101" spans="1:15">
      <c r="A101" s="1" t="s">
        <v>70</v>
      </c>
      <c r="B101" s="1" t="s">
        <v>71</v>
      </c>
      <c r="C101" s="1" t="s">
        <v>73</v>
      </c>
      <c r="D101" s="1">
        <v>2018</v>
      </c>
      <c r="E101" s="1">
        <v>2018</v>
      </c>
      <c r="F101" s="1" t="s">
        <v>81</v>
      </c>
      <c r="G101" s="1" t="s">
        <v>461</v>
      </c>
      <c r="H101" s="1" t="s">
        <v>476</v>
      </c>
      <c r="I101" s="1" t="s">
        <v>463</v>
      </c>
      <c r="J101" s="1">
        <v>6</v>
      </c>
      <c r="K101" s="1" t="s">
        <v>464</v>
      </c>
      <c r="L101" s="1">
        <v>16998</v>
      </c>
      <c r="M101" s="1" t="s">
        <v>73</v>
      </c>
      <c r="N101" s="1">
        <v>92.16</v>
      </c>
      <c r="O101" s="1" t="s">
        <v>465</v>
      </c>
    </row>
    <row r="102" spans="1:15">
      <c r="A102" s="1" t="s">
        <v>70</v>
      </c>
      <c r="B102" s="1" t="s">
        <v>71</v>
      </c>
      <c r="C102" s="1" t="s">
        <v>73</v>
      </c>
      <c r="D102" s="1">
        <v>2018</v>
      </c>
      <c r="E102" s="1">
        <v>2018</v>
      </c>
      <c r="F102" s="1" t="s">
        <v>81</v>
      </c>
      <c r="G102" s="1" t="s">
        <v>461</v>
      </c>
      <c r="H102" s="1" t="s">
        <v>476</v>
      </c>
      <c r="I102" s="1" t="s">
        <v>463</v>
      </c>
      <c r="J102" s="1">
        <v>8</v>
      </c>
      <c r="K102" s="1" t="s">
        <v>464</v>
      </c>
      <c r="L102" s="1">
        <v>330003</v>
      </c>
      <c r="M102" s="1" t="s">
        <v>73</v>
      </c>
      <c r="N102" s="1">
        <v>177.91</v>
      </c>
      <c r="O102" s="1" t="s">
        <v>465</v>
      </c>
    </row>
    <row r="103" spans="1:15">
      <c r="A103" s="1" t="s">
        <v>70</v>
      </c>
      <c r="B103" s="1" t="s">
        <v>71</v>
      </c>
      <c r="C103" s="1" t="s">
        <v>73</v>
      </c>
      <c r="D103" s="1">
        <v>2018</v>
      </c>
      <c r="E103" s="1">
        <v>2018</v>
      </c>
      <c r="F103" s="1" t="s">
        <v>81</v>
      </c>
      <c r="G103" s="1" t="s">
        <v>461</v>
      </c>
      <c r="H103" s="1" t="s">
        <v>476</v>
      </c>
      <c r="I103" s="1" t="s">
        <v>463</v>
      </c>
      <c r="J103" s="1">
        <v>10</v>
      </c>
      <c r="K103" s="1" t="s">
        <v>464</v>
      </c>
      <c r="L103" s="1">
        <v>700001</v>
      </c>
      <c r="M103" s="1" t="s">
        <v>73</v>
      </c>
      <c r="N103" s="1">
        <v>370.76</v>
      </c>
      <c r="O103" s="1" t="s">
        <v>465</v>
      </c>
    </row>
    <row r="104" spans="1:15">
      <c r="A104" s="1" t="s">
        <v>70</v>
      </c>
      <c r="B104" s="1" t="s">
        <v>71</v>
      </c>
      <c r="C104" s="1" t="s">
        <v>73</v>
      </c>
      <c r="D104" s="1">
        <v>2017</v>
      </c>
      <c r="E104" s="1">
        <v>2017</v>
      </c>
      <c r="F104" s="1" t="s">
        <v>81</v>
      </c>
      <c r="G104" s="1" t="s">
        <v>461</v>
      </c>
      <c r="H104" s="1" t="s">
        <v>462</v>
      </c>
      <c r="I104" s="1" t="s">
        <v>463</v>
      </c>
      <c r="J104" s="1">
        <f>5/8</f>
        <v>0.625</v>
      </c>
      <c r="K104" s="1" t="s">
        <v>464</v>
      </c>
      <c r="L104" s="1">
        <v>1667</v>
      </c>
      <c r="M104" s="1" t="s">
        <v>73</v>
      </c>
      <c r="N104" s="1">
        <v>19.7</v>
      </c>
      <c r="O104" s="1" t="s">
        <v>465</v>
      </c>
    </row>
    <row r="105" spans="1:15">
      <c r="A105" s="1" t="s">
        <v>70</v>
      </c>
      <c r="B105" s="1" t="s">
        <v>71</v>
      </c>
      <c r="C105" s="1" t="s">
        <v>73</v>
      </c>
      <c r="D105" s="1">
        <v>2017</v>
      </c>
      <c r="E105" s="1">
        <v>2017</v>
      </c>
      <c r="F105" s="1" t="s">
        <v>81</v>
      </c>
      <c r="G105" s="1" t="s">
        <v>461</v>
      </c>
      <c r="H105" s="1" t="s">
        <v>462</v>
      </c>
      <c r="I105" s="1" t="s">
        <v>463</v>
      </c>
      <c r="J105" s="1">
        <v>0.75</v>
      </c>
      <c r="K105" s="1" t="s">
        <v>464</v>
      </c>
      <c r="L105" s="1">
        <v>1667</v>
      </c>
      <c r="M105" s="1" t="s">
        <v>73</v>
      </c>
      <c r="N105" s="1">
        <v>19.7</v>
      </c>
      <c r="O105" s="1" t="s">
        <v>465</v>
      </c>
    </row>
    <row r="106" spans="1:15">
      <c r="A106" s="1" t="s">
        <v>70</v>
      </c>
      <c r="B106" s="1" t="s">
        <v>71</v>
      </c>
      <c r="C106" s="1" t="s">
        <v>73</v>
      </c>
      <c r="D106" s="1">
        <v>2017</v>
      </c>
      <c r="E106" s="1">
        <v>2017</v>
      </c>
      <c r="F106" s="1" t="s">
        <v>81</v>
      </c>
      <c r="G106" s="1" t="s">
        <v>461</v>
      </c>
      <c r="H106" s="1" t="s">
        <v>462</v>
      </c>
      <c r="I106" s="1" t="s">
        <v>463</v>
      </c>
      <c r="J106" s="1">
        <v>1</v>
      </c>
      <c r="K106" s="1" t="s">
        <v>464</v>
      </c>
      <c r="L106" s="1">
        <v>4002</v>
      </c>
      <c r="M106" s="1" t="s">
        <v>73</v>
      </c>
      <c r="N106" s="1">
        <v>32.369999999999997</v>
      </c>
      <c r="O106" s="1" t="s">
        <v>465</v>
      </c>
    </row>
    <row r="107" spans="1:15">
      <c r="A107" s="1" t="s">
        <v>70</v>
      </c>
      <c r="B107" s="1" t="s">
        <v>71</v>
      </c>
      <c r="C107" s="1" t="s">
        <v>73</v>
      </c>
      <c r="D107" s="1">
        <v>2017</v>
      </c>
      <c r="E107" s="1">
        <v>2017</v>
      </c>
      <c r="F107" s="1" t="s">
        <v>81</v>
      </c>
      <c r="G107" s="1" t="s">
        <v>461</v>
      </c>
      <c r="H107" s="1" t="s">
        <v>462</v>
      </c>
      <c r="I107" s="1" t="s">
        <v>463</v>
      </c>
      <c r="J107" s="1">
        <v>1.5</v>
      </c>
      <c r="K107" s="1" t="s">
        <v>464</v>
      </c>
      <c r="L107" s="1">
        <v>10225</v>
      </c>
      <c r="M107" s="1" t="s">
        <v>73</v>
      </c>
      <c r="N107" s="1">
        <v>66.23</v>
      </c>
      <c r="O107" s="1" t="s">
        <v>465</v>
      </c>
    </row>
    <row r="108" spans="1:15">
      <c r="A108" s="1" t="s">
        <v>70</v>
      </c>
      <c r="B108" s="1" t="s">
        <v>71</v>
      </c>
      <c r="C108" s="1" t="s">
        <v>73</v>
      </c>
      <c r="D108" s="1">
        <v>2017</v>
      </c>
      <c r="E108" s="1">
        <v>2017</v>
      </c>
      <c r="F108" s="1" t="s">
        <v>81</v>
      </c>
      <c r="G108" s="1" t="s">
        <v>461</v>
      </c>
      <c r="H108" s="1" t="s">
        <v>462</v>
      </c>
      <c r="I108" s="1" t="s">
        <v>463</v>
      </c>
      <c r="J108" s="1">
        <v>2</v>
      </c>
      <c r="K108" s="1" t="s">
        <v>464</v>
      </c>
      <c r="L108" s="1">
        <v>29995</v>
      </c>
      <c r="M108" s="1" t="s">
        <v>73</v>
      </c>
      <c r="N108" s="1">
        <v>173.69</v>
      </c>
      <c r="O108" s="1" t="s">
        <v>465</v>
      </c>
    </row>
    <row r="109" spans="1:15">
      <c r="A109" s="1" t="s">
        <v>70</v>
      </c>
      <c r="B109" s="1" t="s">
        <v>71</v>
      </c>
      <c r="C109" s="1" t="s">
        <v>73</v>
      </c>
      <c r="D109" s="1">
        <v>2017</v>
      </c>
      <c r="E109" s="1">
        <v>2017</v>
      </c>
      <c r="F109" s="1" t="s">
        <v>81</v>
      </c>
      <c r="G109" s="1" t="s">
        <v>461</v>
      </c>
      <c r="H109" s="1" t="s">
        <v>462</v>
      </c>
      <c r="I109" s="1" t="s">
        <v>463</v>
      </c>
      <c r="J109" s="1">
        <v>3</v>
      </c>
      <c r="K109" s="1" t="s">
        <v>464</v>
      </c>
      <c r="L109" s="1">
        <v>59997</v>
      </c>
      <c r="M109" s="1" t="s">
        <v>73</v>
      </c>
      <c r="N109" s="1">
        <v>336.81</v>
      </c>
      <c r="O109" s="1" t="s">
        <v>465</v>
      </c>
    </row>
    <row r="110" spans="1:15">
      <c r="A110" s="1" t="s">
        <v>70</v>
      </c>
      <c r="B110" s="1" t="s">
        <v>71</v>
      </c>
      <c r="C110" s="1" t="s">
        <v>73</v>
      </c>
      <c r="D110" s="1">
        <v>2017</v>
      </c>
      <c r="E110" s="1">
        <v>2017</v>
      </c>
      <c r="F110" s="1" t="s">
        <v>81</v>
      </c>
      <c r="G110" s="1" t="s">
        <v>461</v>
      </c>
      <c r="H110" s="1" t="s">
        <v>462</v>
      </c>
      <c r="I110" s="1" t="s">
        <v>463</v>
      </c>
      <c r="J110" s="1">
        <v>4</v>
      </c>
      <c r="K110" s="1" t="s">
        <v>464</v>
      </c>
      <c r="L110" s="1">
        <v>89999</v>
      </c>
      <c r="M110" s="1" t="s">
        <v>73</v>
      </c>
      <c r="N110" s="1">
        <v>499.94</v>
      </c>
      <c r="O110" s="1" t="s">
        <v>465</v>
      </c>
    </row>
    <row r="111" spans="1:15">
      <c r="A111" s="1" t="s">
        <v>70</v>
      </c>
      <c r="B111" s="1" t="s">
        <v>71</v>
      </c>
      <c r="C111" s="1" t="s">
        <v>73</v>
      </c>
      <c r="D111" s="1">
        <v>2017</v>
      </c>
      <c r="E111" s="1">
        <v>2017</v>
      </c>
      <c r="F111" s="1" t="s">
        <v>81</v>
      </c>
      <c r="G111" s="1" t="s">
        <v>461</v>
      </c>
      <c r="H111" s="1" t="s">
        <v>462</v>
      </c>
      <c r="I111" s="1" t="s">
        <v>463</v>
      </c>
      <c r="J111" s="1">
        <v>6</v>
      </c>
      <c r="K111" s="1" t="s">
        <v>464</v>
      </c>
      <c r="L111" s="1">
        <v>16998</v>
      </c>
      <c r="M111" s="1" t="s">
        <v>73</v>
      </c>
      <c r="N111" s="1">
        <v>934.85</v>
      </c>
      <c r="O111" s="1" t="s">
        <v>465</v>
      </c>
    </row>
    <row r="112" spans="1:15">
      <c r="A112" s="1" t="s">
        <v>70</v>
      </c>
      <c r="B112" s="1" t="s">
        <v>71</v>
      </c>
      <c r="C112" s="1" t="s">
        <v>73</v>
      </c>
      <c r="D112" s="1">
        <v>2017</v>
      </c>
      <c r="E112" s="1">
        <v>2017</v>
      </c>
      <c r="F112" s="1" t="s">
        <v>81</v>
      </c>
      <c r="G112" s="1" t="s">
        <v>461</v>
      </c>
      <c r="H112" s="1" t="s">
        <v>462</v>
      </c>
      <c r="I112" s="1" t="s">
        <v>463</v>
      </c>
      <c r="J112" s="1">
        <v>8</v>
      </c>
      <c r="K112" s="1" t="s">
        <v>464</v>
      </c>
      <c r="L112" s="1">
        <v>330003</v>
      </c>
      <c r="M112" s="1" t="s">
        <v>73</v>
      </c>
      <c r="N112" s="1">
        <v>1804.74</v>
      </c>
      <c r="O112" s="1" t="s">
        <v>465</v>
      </c>
    </row>
    <row r="113" spans="1:15">
      <c r="A113" s="1" t="s">
        <v>70</v>
      </c>
      <c r="B113" s="1" t="s">
        <v>71</v>
      </c>
      <c r="C113" s="1" t="s">
        <v>73</v>
      </c>
      <c r="D113" s="1">
        <v>2017</v>
      </c>
      <c r="E113" s="1">
        <v>2017</v>
      </c>
      <c r="F113" s="1" t="s">
        <v>81</v>
      </c>
      <c r="G113" s="1" t="s">
        <v>461</v>
      </c>
      <c r="H113" s="1" t="s">
        <v>462</v>
      </c>
      <c r="I113" s="1" t="s">
        <v>463</v>
      </c>
      <c r="J113" s="1">
        <v>10</v>
      </c>
      <c r="K113" s="1" t="s">
        <v>464</v>
      </c>
      <c r="L113" s="1">
        <v>700001</v>
      </c>
      <c r="M113" s="1" t="s">
        <v>73</v>
      </c>
      <c r="N113" s="1">
        <v>3761</v>
      </c>
      <c r="O113" s="1" t="s">
        <v>465</v>
      </c>
    </row>
    <row r="114" spans="1:15">
      <c r="A114" s="1" t="s">
        <v>70</v>
      </c>
      <c r="B114" s="1" t="s">
        <v>71</v>
      </c>
      <c r="C114" s="1" t="s">
        <v>73</v>
      </c>
      <c r="D114" s="1">
        <v>2017</v>
      </c>
      <c r="E114" s="1">
        <v>2017</v>
      </c>
      <c r="F114" s="1" t="s">
        <v>81</v>
      </c>
      <c r="G114" s="1" t="s">
        <v>461</v>
      </c>
      <c r="H114" s="1" t="s">
        <v>467</v>
      </c>
      <c r="I114" s="1" t="s">
        <v>475</v>
      </c>
      <c r="J114" s="1" t="s">
        <v>73</v>
      </c>
      <c r="K114" s="1" t="s">
        <v>472</v>
      </c>
      <c r="L114" s="1" t="s">
        <v>73</v>
      </c>
      <c r="M114" s="1" t="s">
        <v>73</v>
      </c>
      <c r="N114" s="1">
        <v>7.0199999999999999E-2</v>
      </c>
      <c r="O114" s="1" t="s">
        <v>477</v>
      </c>
    </row>
    <row r="115" spans="1:15">
      <c r="A115" s="1" t="s">
        <v>70</v>
      </c>
      <c r="B115" s="1" t="s">
        <v>71</v>
      </c>
      <c r="C115" s="1">
        <v>2010</v>
      </c>
      <c r="D115" s="1">
        <v>2010</v>
      </c>
      <c r="E115" s="1" t="s">
        <v>73</v>
      </c>
      <c r="F115" s="1" t="s">
        <v>81</v>
      </c>
      <c r="G115" s="1" t="s">
        <v>461</v>
      </c>
      <c r="H115" s="1" t="s">
        <v>462</v>
      </c>
      <c r="I115" s="1" t="s">
        <v>463</v>
      </c>
      <c r="J115" s="1">
        <f>5/8</f>
        <v>0.625</v>
      </c>
      <c r="K115" s="1" t="s">
        <v>464</v>
      </c>
      <c r="L115" s="1">
        <v>1667</v>
      </c>
      <c r="M115" s="1" t="s">
        <v>73</v>
      </c>
      <c r="N115" s="1">
        <v>11.87</v>
      </c>
      <c r="O115" s="1" t="s">
        <v>465</v>
      </c>
    </row>
    <row r="116" spans="1:15">
      <c r="A116" s="1" t="s">
        <v>70</v>
      </c>
      <c r="B116" s="1" t="s">
        <v>71</v>
      </c>
      <c r="C116" s="1">
        <v>2010</v>
      </c>
      <c r="D116" s="1">
        <v>2010</v>
      </c>
      <c r="E116" s="1" t="s">
        <v>73</v>
      </c>
      <c r="F116" s="1" t="s">
        <v>81</v>
      </c>
      <c r="G116" s="1" t="s">
        <v>461</v>
      </c>
      <c r="H116" s="1" t="s">
        <v>462</v>
      </c>
      <c r="I116" s="1" t="s">
        <v>463</v>
      </c>
      <c r="J116" s="1">
        <v>0.75</v>
      </c>
      <c r="K116" s="1" t="s">
        <v>464</v>
      </c>
      <c r="L116" s="1">
        <v>1667</v>
      </c>
      <c r="M116" s="1" t="s">
        <v>73</v>
      </c>
      <c r="N116" s="1">
        <v>11.87</v>
      </c>
      <c r="O116" s="1" t="s">
        <v>465</v>
      </c>
    </row>
    <row r="117" spans="1:15">
      <c r="A117" s="1" t="s">
        <v>70</v>
      </c>
      <c r="B117" s="1" t="s">
        <v>71</v>
      </c>
      <c r="C117" s="1">
        <v>2010</v>
      </c>
      <c r="D117" s="1">
        <v>2010</v>
      </c>
      <c r="E117" s="1" t="s">
        <v>73</v>
      </c>
      <c r="F117" s="1" t="s">
        <v>81</v>
      </c>
      <c r="G117" s="1" t="s">
        <v>461</v>
      </c>
      <c r="H117" s="1" t="s">
        <v>462</v>
      </c>
      <c r="I117" s="1" t="s">
        <v>463</v>
      </c>
      <c r="J117" s="1">
        <v>1</v>
      </c>
      <c r="K117" s="1" t="s">
        <v>464</v>
      </c>
      <c r="L117" s="1">
        <v>4002</v>
      </c>
      <c r="M117" s="1" t="s">
        <v>73</v>
      </c>
      <c r="N117" s="1">
        <v>19.510000000000002</v>
      </c>
      <c r="O117" s="1" t="s">
        <v>465</v>
      </c>
    </row>
    <row r="118" spans="1:15">
      <c r="A118" s="1" t="s">
        <v>70</v>
      </c>
      <c r="B118" s="1" t="s">
        <v>71</v>
      </c>
      <c r="C118" s="1">
        <v>2010</v>
      </c>
      <c r="D118" s="1">
        <v>2010</v>
      </c>
      <c r="E118" s="1" t="s">
        <v>73</v>
      </c>
      <c r="F118" s="1" t="s">
        <v>81</v>
      </c>
      <c r="G118" s="1" t="s">
        <v>461</v>
      </c>
      <c r="H118" s="1" t="s">
        <v>462</v>
      </c>
      <c r="I118" s="1" t="s">
        <v>463</v>
      </c>
      <c r="J118" s="1">
        <v>1.5</v>
      </c>
      <c r="K118" s="1" t="s">
        <v>464</v>
      </c>
      <c r="L118" s="1">
        <v>10225</v>
      </c>
      <c r="M118" s="1" t="s">
        <v>73</v>
      </c>
      <c r="N118" s="1">
        <v>39.93</v>
      </c>
      <c r="O118" s="1" t="s">
        <v>465</v>
      </c>
    </row>
    <row r="119" spans="1:15">
      <c r="A119" s="1" t="s">
        <v>70</v>
      </c>
      <c r="B119" s="1" t="s">
        <v>71</v>
      </c>
      <c r="C119" s="1">
        <v>2010</v>
      </c>
      <c r="D119" s="1">
        <v>2010</v>
      </c>
      <c r="E119" s="1" t="s">
        <v>73</v>
      </c>
      <c r="F119" s="1" t="s">
        <v>81</v>
      </c>
      <c r="G119" s="1" t="s">
        <v>461</v>
      </c>
      <c r="H119" s="1" t="s">
        <v>462</v>
      </c>
      <c r="I119" s="1" t="s">
        <v>463</v>
      </c>
      <c r="J119" s="1">
        <v>2</v>
      </c>
      <c r="K119" s="1" t="s">
        <v>464</v>
      </c>
      <c r="L119" s="1">
        <v>29995</v>
      </c>
      <c r="M119" s="1" t="s">
        <v>73</v>
      </c>
      <c r="N119" s="1">
        <v>104.7</v>
      </c>
      <c r="O119" s="1" t="s">
        <v>465</v>
      </c>
    </row>
    <row r="120" spans="1:15">
      <c r="A120" s="1" t="s">
        <v>70</v>
      </c>
      <c r="B120" s="1" t="s">
        <v>71</v>
      </c>
      <c r="C120" s="1">
        <v>2010</v>
      </c>
      <c r="D120" s="1">
        <v>2010</v>
      </c>
      <c r="E120" s="1" t="s">
        <v>73</v>
      </c>
      <c r="F120" s="1" t="s">
        <v>81</v>
      </c>
      <c r="G120" s="1" t="s">
        <v>461</v>
      </c>
      <c r="H120" s="1" t="s">
        <v>462</v>
      </c>
      <c r="I120" s="1" t="s">
        <v>463</v>
      </c>
      <c r="J120" s="1">
        <v>3</v>
      </c>
      <c r="K120" s="1" t="s">
        <v>464</v>
      </c>
      <c r="L120" s="1">
        <v>59997</v>
      </c>
      <c r="M120" s="1" t="s">
        <v>73</v>
      </c>
      <c r="N120" s="1">
        <v>203.03</v>
      </c>
      <c r="O120" s="1" t="s">
        <v>465</v>
      </c>
    </row>
    <row r="121" spans="1:15">
      <c r="A121" s="1" t="s">
        <v>70</v>
      </c>
      <c r="B121" s="1" t="s">
        <v>71</v>
      </c>
      <c r="C121" s="1">
        <v>2010</v>
      </c>
      <c r="D121" s="1">
        <v>2010</v>
      </c>
      <c r="E121" s="1" t="s">
        <v>73</v>
      </c>
      <c r="F121" s="1" t="s">
        <v>81</v>
      </c>
      <c r="G121" s="1" t="s">
        <v>461</v>
      </c>
      <c r="H121" s="1" t="s">
        <v>462</v>
      </c>
      <c r="I121" s="1" t="s">
        <v>463</v>
      </c>
      <c r="J121" s="1">
        <v>4</v>
      </c>
      <c r="K121" s="1" t="s">
        <v>464</v>
      </c>
      <c r="L121" s="1">
        <v>89999</v>
      </c>
      <c r="M121" s="1" t="s">
        <v>73</v>
      </c>
      <c r="N121" s="1">
        <v>301.36</v>
      </c>
      <c r="O121" s="1" t="s">
        <v>465</v>
      </c>
    </row>
    <row r="122" spans="1:15">
      <c r="A122" s="1" t="s">
        <v>70</v>
      </c>
      <c r="B122" s="1" t="s">
        <v>71</v>
      </c>
      <c r="C122" s="1">
        <v>2010</v>
      </c>
      <c r="D122" s="1">
        <v>2010</v>
      </c>
      <c r="E122" s="1" t="s">
        <v>73</v>
      </c>
      <c r="F122" s="1" t="s">
        <v>81</v>
      </c>
      <c r="G122" s="1" t="s">
        <v>461</v>
      </c>
      <c r="H122" s="1" t="s">
        <v>462</v>
      </c>
      <c r="I122" s="1" t="s">
        <v>463</v>
      </c>
      <c r="J122" s="1">
        <v>6</v>
      </c>
      <c r="K122" s="1" t="s">
        <v>464</v>
      </c>
      <c r="L122" s="1">
        <v>16998</v>
      </c>
      <c r="M122" s="1" t="s">
        <v>73</v>
      </c>
      <c r="N122" s="1">
        <v>563.54</v>
      </c>
      <c r="O122" s="1" t="s">
        <v>465</v>
      </c>
    </row>
    <row r="123" spans="1:15">
      <c r="A123" s="1" t="s">
        <v>70</v>
      </c>
      <c r="B123" s="1" t="s">
        <v>71</v>
      </c>
      <c r="C123" s="1">
        <v>2010</v>
      </c>
      <c r="D123" s="1">
        <v>2010</v>
      </c>
      <c r="E123" s="1" t="s">
        <v>73</v>
      </c>
      <c r="F123" s="1" t="s">
        <v>81</v>
      </c>
      <c r="G123" s="1" t="s">
        <v>461</v>
      </c>
      <c r="H123" s="1" t="s">
        <v>462</v>
      </c>
      <c r="I123" s="1" t="s">
        <v>463</v>
      </c>
      <c r="J123" s="1">
        <v>8</v>
      </c>
      <c r="K123" s="1" t="s">
        <v>464</v>
      </c>
      <c r="L123" s="1">
        <v>330003</v>
      </c>
      <c r="M123" s="1" t="s">
        <v>73</v>
      </c>
      <c r="N123" s="1">
        <v>1087.94</v>
      </c>
      <c r="O123" s="1" t="s">
        <v>465</v>
      </c>
    </row>
    <row r="124" spans="1:15">
      <c r="A124" s="1" t="s">
        <v>70</v>
      </c>
      <c r="B124" s="1" t="s">
        <v>71</v>
      </c>
      <c r="C124" s="1">
        <v>2010</v>
      </c>
      <c r="D124" s="1">
        <v>2010</v>
      </c>
      <c r="E124" s="1" t="s">
        <v>73</v>
      </c>
      <c r="F124" s="1" t="s">
        <v>81</v>
      </c>
      <c r="G124" s="1" t="s">
        <v>461</v>
      </c>
      <c r="H124" s="1" t="s">
        <v>462</v>
      </c>
      <c r="I124" s="1" t="s">
        <v>463</v>
      </c>
      <c r="J124" s="1">
        <v>10</v>
      </c>
      <c r="K124" s="1" t="s">
        <v>464</v>
      </c>
      <c r="L124" s="1">
        <v>700001</v>
      </c>
      <c r="M124" s="1" t="s">
        <v>73</v>
      </c>
      <c r="N124" s="1">
        <v>2267.19</v>
      </c>
      <c r="O124" s="1" t="s">
        <v>465</v>
      </c>
    </row>
    <row r="125" spans="1:15">
      <c r="A125" s="1" t="s">
        <v>70</v>
      </c>
      <c r="B125" s="1" t="s">
        <v>71</v>
      </c>
      <c r="C125" s="1">
        <v>2010</v>
      </c>
      <c r="D125" s="1">
        <v>2010</v>
      </c>
      <c r="E125" s="1" t="s">
        <v>73</v>
      </c>
      <c r="F125" s="1" t="s">
        <v>81</v>
      </c>
      <c r="G125" s="1" t="s">
        <v>461</v>
      </c>
      <c r="H125" s="1" t="s">
        <v>467</v>
      </c>
      <c r="I125" s="1" t="s">
        <v>475</v>
      </c>
      <c r="J125" s="1" t="s">
        <v>73</v>
      </c>
      <c r="K125" s="1" t="s">
        <v>472</v>
      </c>
      <c r="L125" s="1" t="s">
        <v>73</v>
      </c>
      <c r="M125" s="1" t="s">
        <v>73</v>
      </c>
      <c r="N125" s="1">
        <v>4.24E-2</v>
      </c>
      <c r="O125" s="1" t="s">
        <v>477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E46"/>
  <sheetViews>
    <sheetView workbookViewId="0">
      <pane xSplit="4" ySplit="2" topLeftCell="E8" activePane="bottomRight" state="frozen"/>
      <selection pane="bottomRight" activeCell="D21" sqref="D21"/>
      <selection pane="bottomLeft" activeCell="A3" sqref="A3"/>
      <selection pane="topRight" activeCell="E1" sqref="E1"/>
    </sheetView>
  </sheetViews>
  <sheetFormatPr defaultColWidth="8.85546875" defaultRowHeight="14.45"/>
  <cols>
    <col min="1" max="3" width="8.85546875" style="1"/>
    <col min="4" max="4" width="27.5703125" style="1" customWidth="1"/>
    <col min="5" max="5" width="11.42578125" style="1" customWidth="1"/>
    <col min="6" max="7" width="10.5703125" style="1" bestFit="1" customWidth="1"/>
    <col min="8" max="8" width="11.5703125" style="1" customWidth="1"/>
    <col min="9" max="9" width="11.5703125" style="1" bestFit="1" customWidth="1"/>
    <col min="10" max="12" width="8.42578125" style="23" bestFit="1" customWidth="1"/>
    <col min="13" max="14" width="10.5703125" style="1" bestFit="1" customWidth="1"/>
    <col min="15" max="15" width="11.42578125" style="1" customWidth="1"/>
    <col min="16" max="17" width="11.140625" style="1" bestFit="1" customWidth="1"/>
    <col min="18" max="20" width="12.5703125" style="1" bestFit="1" customWidth="1"/>
    <col min="21" max="21" width="13.42578125" style="1" customWidth="1"/>
    <col min="22" max="22" width="12.5703125" style="1" bestFit="1" customWidth="1"/>
    <col min="23" max="23" width="13.5703125" style="1" customWidth="1"/>
    <col min="24" max="25" width="12.5703125" style="1" customWidth="1"/>
    <col min="26" max="29" width="12.5703125" style="1" bestFit="1" customWidth="1"/>
    <col min="30" max="30" width="13.42578125" style="1" bestFit="1" customWidth="1"/>
    <col min="31" max="31" width="12.140625" style="1" bestFit="1" customWidth="1"/>
    <col min="32" max="16384" width="8.85546875" style="1"/>
  </cols>
  <sheetData>
    <row r="1" spans="1:31">
      <c r="E1" s="12"/>
      <c r="F1" s="12"/>
      <c r="G1" s="12"/>
      <c r="H1" s="11"/>
      <c r="I1" s="11"/>
      <c r="J1" s="11"/>
      <c r="K1" s="11"/>
      <c r="L1" s="11"/>
      <c r="M1" s="13"/>
      <c r="N1" s="13"/>
      <c r="O1" s="13"/>
      <c r="P1" s="13"/>
      <c r="Q1" s="13"/>
      <c r="R1" s="13" t="s">
        <v>478</v>
      </c>
      <c r="S1" s="13"/>
      <c r="T1" s="13"/>
      <c r="U1" s="14" t="s">
        <v>479</v>
      </c>
      <c r="V1" s="13"/>
      <c r="W1" s="13"/>
      <c r="X1" s="13"/>
      <c r="Y1" s="14" t="s">
        <v>480</v>
      </c>
      <c r="Z1" s="13"/>
      <c r="AA1" s="13"/>
      <c r="AB1" s="13"/>
      <c r="AC1" s="13"/>
      <c r="AD1" s="13"/>
    </row>
    <row r="2" spans="1:31">
      <c r="A2" s="2" t="s">
        <v>51</v>
      </c>
      <c r="B2" s="2" t="s">
        <v>52</v>
      </c>
      <c r="C2" s="2" t="s">
        <v>481</v>
      </c>
      <c r="D2" s="2" t="s">
        <v>482</v>
      </c>
      <c r="E2" s="55">
        <v>1992</v>
      </c>
      <c r="F2" s="55">
        <f>E2+1</f>
        <v>1993</v>
      </c>
      <c r="G2" s="55">
        <f t="shared" ref="G2:AE2" si="0">F2+1</f>
        <v>1994</v>
      </c>
      <c r="H2" s="55">
        <f t="shared" si="0"/>
        <v>1995</v>
      </c>
      <c r="I2" s="55">
        <f t="shared" si="0"/>
        <v>1996</v>
      </c>
      <c r="J2" s="55">
        <f t="shared" si="0"/>
        <v>1997</v>
      </c>
      <c r="K2" s="55">
        <f t="shared" si="0"/>
        <v>1998</v>
      </c>
      <c r="L2" s="55">
        <f t="shared" si="0"/>
        <v>1999</v>
      </c>
      <c r="M2" s="55">
        <f t="shared" si="0"/>
        <v>2000</v>
      </c>
      <c r="N2" s="55">
        <f t="shared" si="0"/>
        <v>2001</v>
      </c>
      <c r="O2" s="55">
        <f t="shared" si="0"/>
        <v>2002</v>
      </c>
      <c r="P2" s="55">
        <f t="shared" si="0"/>
        <v>2003</v>
      </c>
      <c r="Q2" s="55">
        <f t="shared" si="0"/>
        <v>2004</v>
      </c>
      <c r="R2" s="55">
        <f t="shared" si="0"/>
        <v>2005</v>
      </c>
      <c r="S2" s="55">
        <f t="shared" si="0"/>
        <v>2006</v>
      </c>
      <c r="T2" s="55">
        <f t="shared" si="0"/>
        <v>2007</v>
      </c>
      <c r="U2" s="55">
        <f t="shared" si="0"/>
        <v>2008</v>
      </c>
      <c r="V2" s="55">
        <f t="shared" si="0"/>
        <v>2009</v>
      </c>
      <c r="W2" s="55">
        <f t="shared" si="0"/>
        <v>2010</v>
      </c>
      <c r="X2" s="55">
        <f t="shared" si="0"/>
        <v>2011</v>
      </c>
      <c r="Y2" s="55">
        <f t="shared" si="0"/>
        <v>2012</v>
      </c>
      <c r="Z2" s="55">
        <f t="shared" si="0"/>
        <v>2013</v>
      </c>
      <c r="AA2" s="55">
        <f t="shared" si="0"/>
        <v>2014</v>
      </c>
      <c r="AB2" s="55">
        <f t="shared" si="0"/>
        <v>2015</v>
      </c>
      <c r="AC2" s="55">
        <f t="shared" si="0"/>
        <v>2016</v>
      </c>
      <c r="AD2" s="55">
        <f t="shared" si="0"/>
        <v>2017</v>
      </c>
      <c r="AE2" s="55">
        <f t="shared" si="0"/>
        <v>2018</v>
      </c>
    </row>
    <row r="3" spans="1:31">
      <c r="A3" s="1" t="s">
        <v>70</v>
      </c>
      <c r="B3" s="1" t="s">
        <v>71</v>
      </c>
      <c r="C3" s="1" t="s">
        <v>483</v>
      </c>
      <c r="D3" s="1" t="s">
        <v>484</v>
      </c>
      <c r="E3" s="11">
        <v>5280681</v>
      </c>
      <c r="F3" s="11">
        <v>6720314</v>
      </c>
      <c r="G3" s="11">
        <v>7386410</v>
      </c>
      <c r="H3" s="11">
        <v>9470067</v>
      </c>
      <c r="I3" s="11">
        <v>9433765</v>
      </c>
      <c r="J3" s="11" t="s">
        <v>73</v>
      </c>
      <c r="K3" s="11" t="s">
        <v>73</v>
      </c>
      <c r="L3" s="11" t="s">
        <v>73</v>
      </c>
      <c r="M3" s="13">
        <v>5948733</v>
      </c>
      <c r="N3" s="13">
        <v>6080629</v>
      </c>
      <c r="O3" s="13" t="s">
        <v>73</v>
      </c>
      <c r="P3" s="11" t="s">
        <v>73</v>
      </c>
      <c r="Q3" s="11" t="s">
        <v>73</v>
      </c>
      <c r="R3" s="13">
        <v>21185971</v>
      </c>
      <c r="S3" s="13">
        <v>21119015</v>
      </c>
      <c r="T3" s="13">
        <v>21885713</v>
      </c>
      <c r="U3" s="13">
        <v>21748019</v>
      </c>
      <c r="V3" s="13">
        <v>22514746</v>
      </c>
      <c r="W3" s="13">
        <v>23697312</v>
      </c>
      <c r="X3" s="13">
        <v>25174846</v>
      </c>
      <c r="Y3" s="13">
        <v>25900739</v>
      </c>
      <c r="Z3" s="13">
        <v>26211737</v>
      </c>
      <c r="AA3" s="13">
        <v>25750237</v>
      </c>
      <c r="AB3" s="13">
        <v>26891368</v>
      </c>
      <c r="AC3" s="13">
        <v>27234701</v>
      </c>
      <c r="AD3" s="13">
        <v>28033026</v>
      </c>
      <c r="AE3" s="1">
        <v>30794341</v>
      </c>
    </row>
    <row r="4" spans="1:31">
      <c r="A4" s="1" t="s">
        <v>70</v>
      </c>
      <c r="B4" s="1" t="s">
        <v>71</v>
      </c>
      <c r="C4" s="1" t="s">
        <v>483</v>
      </c>
      <c r="D4" s="1" t="s">
        <v>328</v>
      </c>
      <c r="E4" s="11" t="s">
        <v>73</v>
      </c>
      <c r="F4" s="11" t="s">
        <v>73</v>
      </c>
      <c r="G4" s="11" t="s">
        <v>73</v>
      </c>
      <c r="H4" s="11" t="s">
        <v>73</v>
      </c>
      <c r="I4" s="11" t="s">
        <v>73</v>
      </c>
      <c r="J4" s="11" t="s">
        <v>73</v>
      </c>
      <c r="K4" s="11" t="s">
        <v>73</v>
      </c>
      <c r="L4" s="11" t="s">
        <v>73</v>
      </c>
      <c r="M4" s="11" t="s">
        <v>73</v>
      </c>
      <c r="N4" s="11" t="s">
        <v>73</v>
      </c>
      <c r="O4" s="13">
        <v>4349445</v>
      </c>
      <c r="P4" s="11" t="s">
        <v>73</v>
      </c>
      <c r="Q4" s="11" t="s">
        <v>73</v>
      </c>
      <c r="R4" s="11" t="s">
        <v>73</v>
      </c>
      <c r="S4" s="11" t="s">
        <v>73</v>
      </c>
      <c r="T4" s="11" t="s">
        <v>73</v>
      </c>
      <c r="U4" s="11" t="s">
        <v>73</v>
      </c>
      <c r="V4" s="11" t="s">
        <v>73</v>
      </c>
      <c r="W4" s="11" t="s">
        <v>73</v>
      </c>
      <c r="X4" s="11" t="s">
        <v>73</v>
      </c>
      <c r="Y4" s="11" t="s">
        <v>73</v>
      </c>
      <c r="Z4" s="11" t="s">
        <v>73</v>
      </c>
      <c r="AA4" s="11" t="s">
        <v>73</v>
      </c>
      <c r="AB4" s="11" t="s">
        <v>73</v>
      </c>
      <c r="AC4" s="11" t="s">
        <v>73</v>
      </c>
      <c r="AD4" s="11" t="s">
        <v>73</v>
      </c>
      <c r="AE4" s="11" t="s">
        <v>73</v>
      </c>
    </row>
    <row r="5" spans="1:31">
      <c r="A5" s="1" t="s">
        <v>70</v>
      </c>
      <c r="B5" s="1" t="s">
        <v>71</v>
      </c>
      <c r="C5" s="1" t="s">
        <v>483</v>
      </c>
      <c r="D5" s="1" t="s">
        <v>329</v>
      </c>
      <c r="E5" s="11" t="s">
        <v>73</v>
      </c>
      <c r="F5" s="11" t="s">
        <v>73</v>
      </c>
      <c r="G5" s="11" t="s">
        <v>73</v>
      </c>
      <c r="H5" s="11" t="s">
        <v>73</v>
      </c>
      <c r="I5" s="11" t="s">
        <v>73</v>
      </c>
      <c r="J5" s="11" t="s">
        <v>73</v>
      </c>
      <c r="K5" s="11" t="s">
        <v>73</v>
      </c>
      <c r="L5" s="11" t="s">
        <v>73</v>
      </c>
      <c r="M5" s="11" t="s">
        <v>73</v>
      </c>
      <c r="N5" s="11" t="s">
        <v>73</v>
      </c>
      <c r="O5" s="13">
        <v>861902.88978622633</v>
      </c>
      <c r="P5" s="11" t="s">
        <v>73</v>
      </c>
      <c r="Q5" s="11" t="s">
        <v>73</v>
      </c>
      <c r="R5" s="11" t="s">
        <v>73</v>
      </c>
      <c r="S5" s="11" t="s">
        <v>73</v>
      </c>
      <c r="T5" s="11" t="s">
        <v>73</v>
      </c>
      <c r="U5" s="11" t="s">
        <v>73</v>
      </c>
      <c r="V5" s="11" t="s">
        <v>73</v>
      </c>
      <c r="W5" s="11" t="s">
        <v>73</v>
      </c>
      <c r="X5" s="11" t="s">
        <v>73</v>
      </c>
      <c r="Y5" s="11" t="s">
        <v>73</v>
      </c>
      <c r="Z5" s="11" t="s">
        <v>73</v>
      </c>
      <c r="AA5" s="11" t="s">
        <v>73</v>
      </c>
      <c r="AB5" s="11" t="s">
        <v>73</v>
      </c>
      <c r="AC5" s="11" t="s">
        <v>73</v>
      </c>
      <c r="AD5" s="11" t="s">
        <v>73</v>
      </c>
      <c r="AE5" s="11" t="s">
        <v>73</v>
      </c>
    </row>
    <row r="6" spans="1:31">
      <c r="A6" s="1" t="s">
        <v>70</v>
      </c>
      <c r="B6" s="1" t="s">
        <v>71</v>
      </c>
      <c r="C6" s="1" t="s">
        <v>483</v>
      </c>
      <c r="D6" s="1" t="s">
        <v>330</v>
      </c>
      <c r="E6" s="11" t="s">
        <v>73</v>
      </c>
      <c r="F6" s="11" t="s">
        <v>73</v>
      </c>
      <c r="G6" s="11" t="s">
        <v>73</v>
      </c>
      <c r="H6" s="11" t="s">
        <v>73</v>
      </c>
      <c r="I6" s="11" t="s">
        <v>73</v>
      </c>
      <c r="J6" s="11" t="s">
        <v>73</v>
      </c>
      <c r="K6" s="11" t="s">
        <v>73</v>
      </c>
      <c r="L6" s="11" t="s">
        <v>73</v>
      </c>
      <c r="M6" s="11" t="s">
        <v>73</v>
      </c>
      <c r="N6" s="11" t="s">
        <v>73</v>
      </c>
      <c r="O6" s="13">
        <v>245147.49802523671</v>
      </c>
      <c r="P6" s="11" t="s">
        <v>73</v>
      </c>
      <c r="Q6" s="11" t="s">
        <v>73</v>
      </c>
      <c r="R6" s="11" t="s">
        <v>73</v>
      </c>
      <c r="S6" s="11" t="s">
        <v>73</v>
      </c>
      <c r="T6" s="11" t="s">
        <v>73</v>
      </c>
      <c r="U6" s="11" t="s">
        <v>73</v>
      </c>
      <c r="V6" s="11" t="s">
        <v>73</v>
      </c>
      <c r="W6" s="11" t="s">
        <v>73</v>
      </c>
      <c r="X6" s="11" t="s">
        <v>73</v>
      </c>
      <c r="Y6" s="11" t="s">
        <v>73</v>
      </c>
      <c r="Z6" s="11" t="s">
        <v>73</v>
      </c>
      <c r="AA6" s="11" t="s">
        <v>73</v>
      </c>
      <c r="AB6" s="11" t="s">
        <v>73</v>
      </c>
      <c r="AC6" s="11" t="s">
        <v>73</v>
      </c>
      <c r="AD6" s="11" t="s">
        <v>73</v>
      </c>
      <c r="AE6" s="11" t="s">
        <v>73</v>
      </c>
    </row>
    <row r="7" spans="1:31">
      <c r="A7" s="1" t="s">
        <v>70</v>
      </c>
      <c r="B7" s="1" t="s">
        <v>71</v>
      </c>
      <c r="C7" s="1" t="s">
        <v>483</v>
      </c>
      <c r="D7" s="1" t="s">
        <v>331</v>
      </c>
      <c r="E7" s="11" t="s">
        <v>73</v>
      </c>
      <c r="F7" s="11" t="s">
        <v>73</v>
      </c>
      <c r="G7" s="11" t="s">
        <v>73</v>
      </c>
      <c r="H7" s="11" t="s">
        <v>73</v>
      </c>
      <c r="I7" s="11" t="s">
        <v>73</v>
      </c>
      <c r="J7" s="11" t="s">
        <v>73</v>
      </c>
      <c r="K7" s="11" t="s">
        <v>73</v>
      </c>
      <c r="L7" s="11" t="s">
        <v>73</v>
      </c>
      <c r="M7" s="11" t="s">
        <v>73</v>
      </c>
      <c r="N7" s="11" t="s">
        <v>73</v>
      </c>
      <c r="O7" s="13">
        <v>652741.18501982011</v>
      </c>
      <c r="P7" s="11" t="s">
        <v>73</v>
      </c>
      <c r="Q7" s="11" t="s">
        <v>73</v>
      </c>
      <c r="R7" s="11" t="s">
        <v>73</v>
      </c>
      <c r="S7" s="11" t="s">
        <v>73</v>
      </c>
      <c r="T7" s="11" t="s">
        <v>73</v>
      </c>
      <c r="U7" s="11" t="s">
        <v>73</v>
      </c>
      <c r="V7" s="11" t="s">
        <v>73</v>
      </c>
      <c r="W7" s="11" t="s">
        <v>73</v>
      </c>
      <c r="X7" s="11" t="s">
        <v>73</v>
      </c>
      <c r="Y7" s="11" t="s">
        <v>73</v>
      </c>
      <c r="Z7" s="11" t="s">
        <v>73</v>
      </c>
      <c r="AA7" s="11" t="s">
        <v>73</v>
      </c>
      <c r="AB7" s="11" t="s">
        <v>73</v>
      </c>
      <c r="AC7" s="11" t="s">
        <v>73</v>
      </c>
      <c r="AD7" s="11" t="s">
        <v>73</v>
      </c>
      <c r="AE7" s="11" t="s">
        <v>73</v>
      </c>
    </row>
    <row r="8" spans="1:31">
      <c r="A8" s="1" t="s">
        <v>70</v>
      </c>
      <c r="B8" s="1" t="s">
        <v>71</v>
      </c>
      <c r="C8" s="1" t="s">
        <v>483</v>
      </c>
      <c r="D8" s="1" t="s">
        <v>485</v>
      </c>
      <c r="E8" s="11">
        <v>94501</v>
      </c>
      <c r="F8" s="11">
        <v>74810</v>
      </c>
      <c r="G8" s="11">
        <v>92239</v>
      </c>
      <c r="H8" s="11">
        <v>85172</v>
      </c>
      <c r="I8" s="11">
        <v>105852</v>
      </c>
      <c r="J8" s="11" t="s">
        <v>73</v>
      </c>
      <c r="K8" s="11" t="s">
        <v>73</v>
      </c>
      <c r="L8" s="11" t="s">
        <v>73</v>
      </c>
      <c r="M8" s="13">
        <v>36001</v>
      </c>
      <c r="N8" s="13">
        <v>19555</v>
      </c>
      <c r="O8" s="13">
        <v>57660</v>
      </c>
      <c r="P8" s="11" t="s">
        <v>73</v>
      </c>
      <c r="Q8" s="11" t="s">
        <v>73</v>
      </c>
      <c r="R8" s="13">
        <v>109304</v>
      </c>
      <c r="S8" s="13">
        <v>143186</v>
      </c>
      <c r="T8" s="13">
        <v>72761</v>
      </c>
      <c r="U8" s="13">
        <v>173102</v>
      </c>
      <c r="V8" s="13">
        <v>223620</v>
      </c>
      <c r="W8" s="13">
        <v>110061</v>
      </c>
      <c r="X8" s="13">
        <v>128285</v>
      </c>
      <c r="Y8" s="13">
        <v>77399</v>
      </c>
      <c r="Z8" s="13">
        <v>81000</v>
      </c>
      <c r="AA8" s="13">
        <v>113954</v>
      </c>
      <c r="AB8" s="13">
        <v>178642</v>
      </c>
      <c r="AC8" s="13">
        <v>116080</v>
      </c>
      <c r="AD8" s="13">
        <v>119509</v>
      </c>
      <c r="AE8" s="1">
        <v>139503</v>
      </c>
    </row>
    <row r="9" spans="1:31">
      <c r="A9" s="1" t="s">
        <v>70</v>
      </c>
      <c r="B9" s="1" t="s">
        <v>71</v>
      </c>
      <c r="C9" s="1" t="s">
        <v>483</v>
      </c>
      <c r="D9" s="1" t="s">
        <v>486</v>
      </c>
      <c r="E9" s="11">
        <v>36704</v>
      </c>
      <c r="F9" s="11">
        <v>41499</v>
      </c>
      <c r="G9" s="11">
        <v>70545</v>
      </c>
      <c r="H9" s="11">
        <v>56455</v>
      </c>
      <c r="I9" s="11">
        <v>97190</v>
      </c>
      <c r="J9" s="11" t="s">
        <v>73</v>
      </c>
      <c r="K9" s="11" t="s">
        <v>73</v>
      </c>
      <c r="L9" s="11" t="s">
        <v>73</v>
      </c>
      <c r="M9" s="13">
        <v>90906</v>
      </c>
      <c r="N9" s="13">
        <v>99406</v>
      </c>
      <c r="O9" s="13">
        <v>96331</v>
      </c>
      <c r="P9" s="11" t="s">
        <v>73</v>
      </c>
      <c r="Q9" s="11" t="s">
        <v>73</v>
      </c>
      <c r="R9" s="13">
        <v>229412</v>
      </c>
      <c r="S9" s="13">
        <v>236391</v>
      </c>
      <c r="T9" s="13">
        <v>171530</v>
      </c>
      <c r="U9" s="13">
        <v>174627</v>
      </c>
      <c r="V9" s="13">
        <v>185033</v>
      </c>
      <c r="W9" s="13">
        <v>165106</v>
      </c>
      <c r="X9" s="13">
        <v>191724</v>
      </c>
      <c r="Y9" s="13">
        <v>182219</v>
      </c>
      <c r="Z9" s="13">
        <v>172840</v>
      </c>
      <c r="AA9" s="13">
        <v>224802</v>
      </c>
      <c r="AB9" s="13">
        <v>244292</v>
      </c>
      <c r="AC9" s="13">
        <v>224676</v>
      </c>
      <c r="AD9" s="13">
        <v>224910</v>
      </c>
      <c r="AE9" s="1">
        <v>250565</v>
      </c>
    </row>
    <row r="10" spans="1:31">
      <c r="A10" s="1" t="s">
        <v>70</v>
      </c>
      <c r="B10" s="1" t="s">
        <v>71</v>
      </c>
      <c r="C10" s="1" t="s">
        <v>483</v>
      </c>
      <c r="D10" s="1" t="s">
        <v>487</v>
      </c>
      <c r="E10" s="11">
        <v>68545</v>
      </c>
      <c r="F10" s="11">
        <v>51166</v>
      </c>
      <c r="G10" s="11">
        <v>42517</v>
      </c>
      <c r="H10" s="11">
        <v>111379</v>
      </c>
      <c r="I10" s="11">
        <v>106561</v>
      </c>
      <c r="J10" s="11" t="s">
        <v>73</v>
      </c>
      <c r="K10" s="11" t="s">
        <v>73</v>
      </c>
      <c r="L10" s="11" t="s">
        <v>73</v>
      </c>
      <c r="M10" s="11" t="s">
        <v>73</v>
      </c>
      <c r="N10" s="11" t="s">
        <v>73</v>
      </c>
      <c r="O10" s="11" t="s">
        <v>73</v>
      </c>
      <c r="P10" s="11" t="s">
        <v>73</v>
      </c>
      <c r="Q10" s="11" t="s">
        <v>73</v>
      </c>
      <c r="R10" s="13">
        <v>0</v>
      </c>
      <c r="S10" s="13">
        <v>621411</v>
      </c>
      <c r="T10" s="13">
        <v>358686</v>
      </c>
      <c r="U10" s="13">
        <v>150566</v>
      </c>
      <c r="V10" s="13">
        <v>700</v>
      </c>
      <c r="W10" s="13">
        <v>0</v>
      </c>
      <c r="X10" s="13">
        <v>83764</v>
      </c>
      <c r="Y10" s="13">
        <v>0</v>
      </c>
      <c r="Z10" s="13">
        <v>0</v>
      </c>
      <c r="AA10" s="13">
        <v>95154</v>
      </c>
      <c r="AB10" s="13">
        <v>123017</v>
      </c>
      <c r="AC10" s="13">
        <v>142007</v>
      </c>
      <c r="AD10" s="13">
        <v>40197</v>
      </c>
      <c r="AE10" s="1">
        <v>116337</v>
      </c>
    </row>
    <row r="11" spans="1:31">
      <c r="A11" s="1" t="s">
        <v>70</v>
      </c>
      <c r="B11" s="1" t="s">
        <v>71</v>
      </c>
      <c r="C11" s="1" t="s">
        <v>483</v>
      </c>
      <c r="D11" s="1" t="s">
        <v>488</v>
      </c>
      <c r="E11" s="11">
        <v>118170</v>
      </c>
      <c r="F11" s="11">
        <v>119096</v>
      </c>
      <c r="G11" s="11">
        <v>124810</v>
      </c>
      <c r="H11" s="11">
        <v>130974</v>
      </c>
      <c r="I11" s="11">
        <v>131710</v>
      </c>
      <c r="J11" s="11" t="s">
        <v>73</v>
      </c>
      <c r="K11" s="11" t="s">
        <v>73</v>
      </c>
      <c r="L11" s="11" t="s">
        <v>73</v>
      </c>
      <c r="M11" s="11" t="s">
        <v>73</v>
      </c>
      <c r="N11" s="11" t="s">
        <v>73</v>
      </c>
      <c r="O11" s="11" t="s">
        <v>73</v>
      </c>
      <c r="P11" s="11" t="s">
        <v>73</v>
      </c>
      <c r="Q11" s="11" t="s">
        <v>73</v>
      </c>
      <c r="R11" s="13">
        <v>205690</v>
      </c>
      <c r="S11" s="13">
        <v>749105</v>
      </c>
      <c r="T11" s="13">
        <v>243848</v>
      </c>
      <c r="U11" s="13">
        <v>232839</v>
      </c>
      <c r="V11" s="13">
        <v>241288</v>
      </c>
      <c r="W11" s="13">
        <v>265359</v>
      </c>
      <c r="X11" s="13">
        <v>285004</v>
      </c>
      <c r="Y11" s="13">
        <v>283900</v>
      </c>
      <c r="Z11" s="13">
        <v>295118</v>
      </c>
      <c r="AA11" s="13">
        <v>280078</v>
      </c>
      <c r="AB11" s="13">
        <v>299750</v>
      </c>
      <c r="AC11" s="13">
        <v>331999</v>
      </c>
      <c r="AD11" s="13">
        <v>343767</v>
      </c>
      <c r="AE11" s="1">
        <v>341023</v>
      </c>
    </row>
    <row r="12" spans="1:31">
      <c r="A12" s="1" t="s">
        <v>70</v>
      </c>
      <c r="B12" s="1" t="s">
        <v>71</v>
      </c>
      <c r="C12" s="1" t="s">
        <v>483</v>
      </c>
      <c r="D12" s="1" t="s">
        <v>489</v>
      </c>
      <c r="E12" s="11">
        <v>0</v>
      </c>
      <c r="F12" s="11">
        <v>0</v>
      </c>
      <c r="G12" s="11">
        <v>0</v>
      </c>
      <c r="H12" s="11">
        <v>0</v>
      </c>
      <c r="I12" s="11">
        <v>0</v>
      </c>
      <c r="J12" s="11" t="s">
        <v>73</v>
      </c>
      <c r="K12" s="11" t="s">
        <v>73</v>
      </c>
      <c r="L12" s="11" t="s">
        <v>73</v>
      </c>
      <c r="M12" s="11" t="s">
        <v>73</v>
      </c>
      <c r="N12" s="11" t="s">
        <v>73</v>
      </c>
      <c r="O12" s="11" t="s">
        <v>73</v>
      </c>
      <c r="P12" s="11" t="s">
        <v>73</v>
      </c>
      <c r="Q12" s="11" t="s">
        <v>73</v>
      </c>
      <c r="R12" s="13" t="s">
        <v>73</v>
      </c>
      <c r="S12" s="13" t="s">
        <v>73</v>
      </c>
      <c r="T12" s="13" t="s">
        <v>73</v>
      </c>
      <c r="U12" s="13" t="s">
        <v>73</v>
      </c>
      <c r="V12" s="13" t="s">
        <v>73</v>
      </c>
      <c r="W12" s="13" t="s">
        <v>73</v>
      </c>
      <c r="X12" s="13" t="s">
        <v>73</v>
      </c>
      <c r="Y12" s="13" t="s">
        <v>73</v>
      </c>
      <c r="Z12" s="13" t="s">
        <v>73</v>
      </c>
      <c r="AA12" s="13" t="s">
        <v>73</v>
      </c>
      <c r="AB12" s="13" t="s">
        <v>73</v>
      </c>
      <c r="AC12" s="13" t="s">
        <v>73</v>
      </c>
      <c r="AD12" s="13" t="s">
        <v>73</v>
      </c>
      <c r="AE12" s="13" t="s">
        <v>73</v>
      </c>
    </row>
    <row r="13" spans="1:31">
      <c r="A13" s="1" t="s">
        <v>70</v>
      </c>
      <c r="B13" s="1" t="s">
        <v>71</v>
      </c>
      <c r="C13" s="1" t="s">
        <v>483</v>
      </c>
      <c r="D13" s="1" t="s">
        <v>490</v>
      </c>
      <c r="E13" s="11">
        <v>0</v>
      </c>
      <c r="F13" s="11">
        <v>0</v>
      </c>
      <c r="G13" s="11">
        <v>195770</v>
      </c>
      <c r="H13" s="11">
        <v>674154</v>
      </c>
      <c r="I13" s="11">
        <v>711891</v>
      </c>
      <c r="J13" s="11" t="s">
        <v>73</v>
      </c>
      <c r="K13" s="11" t="s">
        <v>73</v>
      </c>
      <c r="L13" s="11" t="s">
        <v>73</v>
      </c>
      <c r="M13" s="13">
        <v>225714</v>
      </c>
      <c r="N13" s="13">
        <v>230817</v>
      </c>
      <c r="O13" s="13">
        <v>331030</v>
      </c>
      <c r="P13" s="11" t="s">
        <v>73</v>
      </c>
      <c r="Q13" s="11" t="s">
        <v>73</v>
      </c>
      <c r="R13" s="13">
        <v>1235636</v>
      </c>
      <c r="S13" s="13">
        <v>1135468</v>
      </c>
      <c r="T13" s="13">
        <v>1107769</v>
      </c>
      <c r="U13" s="13">
        <v>1203027</v>
      </c>
      <c r="V13" s="13">
        <v>1110161</v>
      </c>
      <c r="W13" s="13">
        <v>1116598</v>
      </c>
      <c r="X13" s="13">
        <v>1122525</v>
      </c>
      <c r="Y13" s="13">
        <v>927486</v>
      </c>
      <c r="Z13" s="13">
        <v>1222138</v>
      </c>
      <c r="AA13" s="13">
        <v>1195640</v>
      </c>
      <c r="AB13" s="13">
        <v>1191663</v>
      </c>
      <c r="AC13" s="13">
        <v>1346227</v>
      </c>
      <c r="AD13" s="13">
        <v>1409183</v>
      </c>
      <c r="AE13" s="13">
        <v>1231099</v>
      </c>
    </row>
    <row r="14" spans="1:31">
      <c r="A14" s="1" t="s">
        <v>70</v>
      </c>
      <c r="B14" s="1" t="s">
        <v>71</v>
      </c>
      <c r="C14" s="1" t="s">
        <v>483</v>
      </c>
      <c r="D14" s="1" t="s">
        <v>491</v>
      </c>
      <c r="E14" s="11">
        <v>720</v>
      </c>
      <c r="F14" s="11">
        <v>720</v>
      </c>
      <c r="G14" s="11">
        <v>720</v>
      </c>
      <c r="H14" s="11">
        <v>720</v>
      </c>
      <c r="I14" s="11">
        <v>15081</v>
      </c>
      <c r="J14" s="11" t="s">
        <v>73</v>
      </c>
      <c r="K14" s="11" t="s">
        <v>73</v>
      </c>
      <c r="L14" s="11" t="s">
        <v>73</v>
      </c>
      <c r="M14" s="11" t="s">
        <v>73</v>
      </c>
      <c r="N14" s="11" t="s">
        <v>73</v>
      </c>
      <c r="O14" s="11" t="s">
        <v>73</v>
      </c>
      <c r="P14" s="11" t="s">
        <v>73</v>
      </c>
      <c r="Q14" s="11" t="s">
        <v>73</v>
      </c>
      <c r="R14" s="11" t="s">
        <v>73</v>
      </c>
      <c r="S14" s="11" t="s">
        <v>73</v>
      </c>
      <c r="T14" s="11" t="s">
        <v>73</v>
      </c>
      <c r="U14" s="11" t="s">
        <v>73</v>
      </c>
      <c r="V14" s="11" t="s">
        <v>73</v>
      </c>
      <c r="W14" s="11" t="s">
        <v>73</v>
      </c>
      <c r="X14" s="11" t="s">
        <v>73</v>
      </c>
      <c r="Y14" s="11" t="s">
        <v>73</v>
      </c>
      <c r="Z14" s="11" t="s">
        <v>73</v>
      </c>
      <c r="AA14" s="11" t="s">
        <v>73</v>
      </c>
      <c r="AB14" s="11" t="s">
        <v>73</v>
      </c>
      <c r="AC14" s="11" t="s">
        <v>73</v>
      </c>
      <c r="AD14" s="13" t="s">
        <v>73</v>
      </c>
      <c r="AE14" s="13" t="s">
        <v>73</v>
      </c>
    </row>
    <row r="15" spans="1:31">
      <c r="A15" s="1" t="s">
        <v>70</v>
      </c>
      <c r="B15" s="1" t="s">
        <v>71</v>
      </c>
      <c r="C15" s="1" t="s">
        <v>483</v>
      </c>
      <c r="D15" s="1" t="s">
        <v>492</v>
      </c>
      <c r="E15" s="11">
        <v>229211</v>
      </c>
      <c r="F15" s="11">
        <v>178708</v>
      </c>
      <c r="G15" s="11">
        <v>353117</v>
      </c>
      <c r="H15" s="11">
        <v>2390521</v>
      </c>
      <c r="I15" s="11">
        <v>1266998</v>
      </c>
      <c r="J15" s="11" t="s">
        <v>73</v>
      </c>
      <c r="K15" s="11" t="s">
        <v>73</v>
      </c>
      <c r="L15" s="11" t="s">
        <v>73</v>
      </c>
      <c r="M15" s="11" t="s">
        <v>73</v>
      </c>
      <c r="N15" s="11" t="s">
        <v>73</v>
      </c>
      <c r="O15" s="11" t="s">
        <v>73</v>
      </c>
      <c r="P15" s="11" t="s">
        <v>73</v>
      </c>
      <c r="Q15" s="11" t="s">
        <v>73</v>
      </c>
      <c r="R15" s="11" t="s">
        <v>73</v>
      </c>
      <c r="S15" s="11" t="s">
        <v>73</v>
      </c>
      <c r="T15" s="11" t="s">
        <v>73</v>
      </c>
      <c r="U15" s="11" t="s">
        <v>73</v>
      </c>
      <c r="V15" s="11" t="s">
        <v>73</v>
      </c>
      <c r="W15" s="11" t="s">
        <v>73</v>
      </c>
      <c r="X15" s="11" t="s">
        <v>73</v>
      </c>
      <c r="Y15" s="11" t="s">
        <v>73</v>
      </c>
      <c r="Z15" s="11" t="s">
        <v>73</v>
      </c>
      <c r="AA15" s="11" t="s">
        <v>73</v>
      </c>
      <c r="AB15" s="11" t="s">
        <v>73</v>
      </c>
      <c r="AC15" s="11" t="s">
        <v>73</v>
      </c>
      <c r="AD15" s="13" t="s">
        <v>73</v>
      </c>
      <c r="AE15" s="13" t="s">
        <v>73</v>
      </c>
    </row>
    <row r="16" spans="1:31">
      <c r="A16" s="1" t="s">
        <v>70</v>
      </c>
      <c r="B16" s="1" t="s">
        <v>71</v>
      </c>
      <c r="C16" s="1" t="s">
        <v>483</v>
      </c>
      <c r="D16" s="1" t="s">
        <v>493</v>
      </c>
      <c r="E16" s="11">
        <v>500000</v>
      </c>
      <c r="F16" s="11">
        <v>528000</v>
      </c>
      <c r="G16" s="11">
        <v>570000</v>
      </c>
      <c r="H16" s="11">
        <v>627000</v>
      </c>
      <c r="I16" s="11">
        <v>675000</v>
      </c>
      <c r="J16" s="11" t="s">
        <v>73</v>
      </c>
      <c r="K16" s="11" t="s">
        <v>73</v>
      </c>
      <c r="L16" s="11" t="s">
        <v>73</v>
      </c>
      <c r="M16" s="13">
        <v>107321</v>
      </c>
      <c r="N16" s="13">
        <v>76653</v>
      </c>
      <c r="O16" s="13">
        <v>77368</v>
      </c>
      <c r="P16" s="11" t="s">
        <v>73</v>
      </c>
      <c r="Q16" s="11" t="s">
        <v>73</v>
      </c>
      <c r="R16" s="13">
        <v>987448</v>
      </c>
      <c r="S16" s="13">
        <v>0</v>
      </c>
      <c r="T16" s="13">
        <v>764515</v>
      </c>
      <c r="U16" s="13">
        <v>861557</v>
      </c>
      <c r="V16" s="13">
        <v>796409</v>
      </c>
      <c r="W16" s="13">
        <v>875218</v>
      </c>
      <c r="X16" s="13">
        <v>986737</v>
      </c>
      <c r="Y16" s="13">
        <v>1014283</v>
      </c>
      <c r="Z16" s="13">
        <v>1019052</v>
      </c>
      <c r="AA16" s="13">
        <v>1079637</v>
      </c>
      <c r="AB16" s="13">
        <v>1081212</v>
      </c>
      <c r="AC16" s="13">
        <v>1097406</v>
      </c>
      <c r="AD16" s="13">
        <v>1057455</v>
      </c>
      <c r="AE16" s="13">
        <v>1047022</v>
      </c>
    </row>
    <row r="17" spans="1:31">
      <c r="A17" s="1" t="s">
        <v>70</v>
      </c>
      <c r="B17" s="1" t="s">
        <v>71</v>
      </c>
      <c r="C17" s="1" t="s">
        <v>483</v>
      </c>
      <c r="D17" s="1" t="s">
        <v>494</v>
      </c>
      <c r="E17" s="11">
        <v>67799</v>
      </c>
      <c r="F17" s="11">
        <v>69390</v>
      </c>
      <c r="G17" s="11">
        <v>77447</v>
      </c>
      <c r="H17" s="11">
        <v>122711</v>
      </c>
      <c r="I17" s="11">
        <v>0</v>
      </c>
      <c r="J17" s="11" t="s">
        <v>73</v>
      </c>
      <c r="K17" s="11" t="s">
        <v>73</v>
      </c>
      <c r="L17" s="11" t="s">
        <v>73</v>
      </c>
      <c r="M17" s="11" t="s">
        <v>73</v>
      </c>
      <c r="N17" s="11" t="s">
        <v>73</v>
      </c>
      <c r="O17" s="11" t="s">
        <v>73</v>
      </c>
      <c r="P17" s="11" t="s">
        <v>73</v>
      </c>
      <c r="Q17" s="11" t="s">
        <v>73</v>
      </c>
      <c r="R17" s="11" t="s">
        <v>73</v>
      </c>
      <c r="S17" s="11" t="s">
        <v>73</v>
      </c>
      <c r="T17" s="11" t="s">
        <v>73</v>
      </c>
      <c r="U17" s="11" t="s">
        <v>73</v>
      </c>
      <c r="V17" s="11" t="s">
        <v>73</v>
      </c>
      <c r="W17" s="11" t="s">
        <v>73</v>
      </c>
      <c r="X17" s="11" t="s">
        <v>73</v>
      </c>
      <c r="Y17" s="11" t="s">
        <v>73</v>
      </c>
      <c r="Z17" s="11" t="s">
        <v>73</v>
      </c>
      <c r="AA17" s="11" t="s">
        <v>73</v>
      </c>
      <c r="AB17" s="13" t="s">
        <v>73</v>
      </c>
      <c r="AC17" s="13" t="s">
        <v>73</v>
      </c>
      <c r="AD17" s="13" t="s">
        <v>73</v>
      </c>
      <c r="AE17" s="13" t="s">
        <v>73</v>
      </c>
    </row>
    <row r="18" spans="1:31">
      <c r="A18" s="1" t="s">
        <v>70</v>
      </c>
      <c r="B18" s="1" t="s">
        <v>71</v>
      </c>
      <c r="C18" s="1" t="s">
        <v>483</v>
      </c>
      <c r="D18" s="1" t="s">
        <v>495</v>
      </c>
      <c r="E18" s="11">
        <v>0</v>
      </c>
      <c r="F18" s="11">
        <v>0</v>
      </c>
      <c r="G18" s="11">
        <v>0</v>
      </c>
      <c r="H18" s="11">
        <v>0</v>
      </c>
      <c r="I18" s="11">
        <v>35649</v>
      </c>
      <c r="J18" s="11" t="s">
        <v>73</v>
      </c>
      <c r="K18" s="11" t="s">
        <v>73</v>
      </c>
      <c r="L18" s="11" t="s">
        <v>73</v>
      </c>
      <c r="M18" s="11" t="s">
        <v>73</v>
      </c>
      <c r="N18" s="11" t="s">
        <v>73</v>
      </c>
      <c r="O18" s="11" t="s">
        <v>73</v>
      </c>
      <c r="P18" s="11" t="s">
        <v>73</v>
      </c>
      <c r="Q18" s="11" t="s">
        <v>73</v>
      </c>
      <c r="R18" s="11" t="s">
        <v>73</v>
      </c>
      <c r="S18" s="11" t="s">
        <v>73</v>
      </c>
      <c r="T18" s="11" t="s">
        <v>73</v>
      </c>
      <c r="U18" s="11" t="s">
        <v>73</v>
      </c>
      <c r="V18" s="11" t="s">
        <v>73</v>
      </c>
      <c r="W18" s="11" t="s">
        <v>73</v>
      </c>
      <c r="X18" s="11" t="s">
        <v>73</v>
      </c>
      <c r="Y18" s="11" t="s">
        <v>73</v>
      </c>
      <c r="Z18" s="11" t="s">
        <v>73</v>
      </c>
      <c r="AA18" s="11" t="s">
        <v>73</v>
      </c>
      <c r="AB18" s="13" t="s">
        <v>73</v>
      </c>
      <c r="AC18" s="13" t="s">
        <v>73</v>
      </c>
      <c r="AD18" s="13" t="s">
        <v>73</v>
      </c>
      <c r="AE18" s="13" t="s">
        <v>73</v>
      </c>
    </row>
    <row r="19" spans="1:31">
      <c r="A19" s="1" t="s">
        <v>70</v>
      </c>
      <c r="B19" s="1" t="s">
        <v>71</v>
      </c>
      <c r="C19" s="1" t="s">
        <v>483</v>
      </c>
      <c r="D19" s="1" t="s">
        <v>496</v>
      </c>
      <c r="E19" s="11">
        <v>27703</v>
      </c>
      <c r="F19" s="11">
        <v>51234</v>
      </c>
      <c r="G19" s="11">
        <v>20801</v>
      </c>
      <c r="H19" s="11">
        <v>25421</v>
      </c>
      <c r="I19" s="11">
        <v>31720</v>
      </c>
      <c r="J19" s="11" t="s">
        <v>73</v>
      </c>
      <c r="K19" s="11" t="s">
        <v>73</v>
      </c>
      <c r="L19" s="11" t="s">
        <v>73</v>
      </c>
      <c r="M19" s="11">
        <v>3468</v>
      </c>
      <c r="N19" s="11">
        <v>3930</v>
      </c>
      <c r="O19" s="11">
        <v>21554</v>
      </c>
      <c r="P19" s="11" t="s">
        <v>73</v>
      </c>
      <c r="Q19" s="11" t="s">
        <v>73</v>
      </c>
      <c r="R19" s="11">
        <v>103877</v>
      </c>
      <c r="S19" s="11">
        <v>130806</v>
      </c>
      <c r="T19" s="11">
        <v>150334</v>
      </c>
      <c r="U19" s="11">
        <v>222585</v>
      </c>
      <c r="V19" s="11">
        <v>170166</v>
      </c>
      <c r="W19" s="11">
        <v>206710</v>
      </c>
      <c r="X19" s="11">
        <v>363163</v>
      </c>
      <c r="Y19" s="13">
        <v>431676</v>
      </c>
      <c r="Z19" s="13">
        <v>513381</v>
      </c>
      <c r="AA19" s="13">
        <v>320889</v>
      </c>
      <c r="AB19" s="13">
        <v>337769</v>
      </c>
      <c r="AC19" s="13">
        <v>414937</v>
      </c>
      <c r="AD19" s="13">
        <v>322114</v>
      </c>
      <c r="AE19" s="1">
        <v>421392</v>
      </c>
    </row>
    <row r="20" spans="1:31">
      <c r="A20" s="1" t="s">
        <v>70</v>
      </c>
      <c r="B20" s="1" t="s">
        <v>71</v>
      </c>
      <c r="C20" s="1" t="s">
        <v>483</v>
      </c>
      <c r="D20" s="1" t="s">
        <v>497</v>
      </c>
      <c r="E20" s="11" t="s">
        <v>73</v>
      </c>
      <c r="F20" s="11" t="s">
        <v>73</v>
      </c>
      <c r="G20" s="11" t="s">
        <v>73</v>
      </c>
      <c r="H20" s="11" t="s">
        <v>73</v>
      </c>
      <c r="I20" s="11" t="s">
        <v>73</v>
      </c>
      <c r="J20" s="11" t="s">
        <v>73</v>
      </c>
      <c r="K20" s="11" t="s">
        <v>73</v>
      </c>
      <c r="L20" s="11" t="s">
        <v>73</v>
      </c>
      <c r="M20" s="11" t="s">
        <v>73</v>
      </c>
      <c r="N20" s="11" t="s">
        <v>73</v>
      </c>
      <c r="O20" s="11" t="s">
        <v>73</v>
      </c>
      <c r="P20" s="11" t="s">
        <v>73</v>
      </c>
      <c r="Q20" s="11" t="s">
        <v>73</v>
      </c>
      <c r="R20" s="13">
        <v>133310</v>
      </c>
      <c r="S20" s="13">
        <v>365003</v>
      </c>
      <c r="T20" s="13">
        <v>123505</v>
      </c>
      <c r="U20" s="13">
        <v>203418</v>
      </c>
      <c r="V20" s="13">
        <v>172650</v>
      </c>
      <c r="W20" s="13">
        <v>135159</v>
      </c>
      <c r="X20" s="13">
        <v>106579</v>
      </c>
      <c r="Y20" s="13">
        <v>88963</v>
      </c>
      <c r="Z20" s="13">
        <v>113716</v>
      </c>
      <c r="AA20" s="13">
        <v>127283</v>
      </c>
      <c r="AB20" s="13">
        <v>80236</v>
      </c>
      <c r="AC20" s="13">
        <v>81269</v>
      </c>
      <c r="AD20" s="13">
        <v>75649</v>
      </c>
      <c r="AE20" s="1">
        <v>2269905</v>
      </c>
    </row>
    <row r="21" spans="1:31">
      <c r="A21" s="1" t="s">
        <v>70</v>
      </c>
      <c r="B21" s="1" t="s">
        <v>71</v>
      </c>
      <c r="C21" s="8" t="s">
        <v>483</v>
      </c>
      <c r="D21" s="8" t="s">
        <v>498</v>
      </c>
      <c r="E21" s="15">
        <f>SUM(E3:E19)</f>
        <v>6424034</v>
      </c>
      <c r="F21" s="15">
        <f t="shared" ref="F21:I21" si="1">SUM(F3:F19)</f>
        <v>7834937</v>
      </c>
      <c r="G21" s="15">
        <f t="shared" si="1"/>
        <v>8934376</v>
      </c>
      <c r="H21" s="15">
        <f t="shared" si="1"/>
        <v>13694574</v>
      </c>
      <c r="I21" s="15">
        <f t="shared" si="1"/>
        <v>12611417</v>
      </c>
      <c r="J21" s="11" t="s">
        <v>73</v>
      </c>
      <c r="K21" s="11" t="s">
        <v>73</v>
      </c>
      <c r="L21" s="11" t="s">
        <v>73</v>
      </c>
      <c r="M21" s="15">
        <f t="shared" ref="M21:T21" si="2">SUM(M3:M20)</f>
        <v>6412143</v>
      </c>
      <c r="N21" s="15">
        <f t="shared" si="2"/>
        <v>6510990</v>
      </c>
      <c r="O21" s="15">
        <f t="shared" si="2"/>
        <v>6693179.5728312833</v>
      </c>
      <c r="P21" s="11" t="s">
        <v>73</v>
      </c>
      <c r="Q21" s="11" t="s">
        <v>73</v>
      </c>
      <c r="R21" s="15">
        <f t="shared" si="2"/>
        <v>24190648</v>
      </c>
      <c r="S21" s="15">
        <f t="shared" si="2"/>
        <v>24500385</v>
      </c>
      <c r="T21" s="15">
        <f t="shared" si="2"/>
        <v>24878661</v>
      </c>
      <c r="U21" s="15">
        <f t="shared" ref="U21:V21" si="3">SUM(U3:U20)</f>
        <v>24969740</v>
      </c>
      <c r="V21" s="15">
        <f t="shared" si="3"/>
        <v>25414773</v>
      </c>
      <c r="W21" s="15">
        <f t="shared" ref="W21" si="4">SUM(W3:W20)</f>
        <v>26571523</v>
      </c>
      <c r="X21" s="15">
        <f t="shared" ref="X21" si="5">SUM(X3:X20)</f>
        <v>28442627</v>
      </c>
      <c r="Y21" s="15">
        <f>SUM(Y3:Y20)</f>
        <v>28906665</v>
      </c>
      <c r="Z21" s="15">
        <f t="shared" ref="Z21" si="6">SUM(Z3:Z20)</f>
        <v>29628982</v>
      </c>
      <c r="AA21" s="15">
        <f t="shared" ref="AA21" si="7">SUM(AA3:AA20)</f>
        <v>29187674</v>
      </c>
      <c r="AB21" s="15">
        <f t="shared" ref="AB21" si="8">SUM(AB3:AB20)</f>
        <v>30427949</v>
      </c>
      <c r="AC21" s="15">
        <f t="shared" ref="AC21" si="9">SUM(AC3:AC20)</f>
        <v>30989302</v>
      </c>
      <c r="AD21" s="15">
        <f t="shared" ref="AD21" si="10">SUM(AD3:AD20)</f>
        <v>31625810</v>
      </c>
      <c r="AE21" s="15">
        <f t="shared" ref="AE21" si="11">SUM(AE3:AE20)</f>
        <v>36611187</v>
      </c>
    </row>
    <row r="22" spans="1:31">
      <c r="A22" s="1" t="s">
        <v>70</v>
      </c>
      <c r="B22" s="1" t="s">
        <v>71</v>
      </c>
      <c r="C22" s="1" t="s">
        <v>499</v>
      </c>
      <c r="D22" s="1" t="s">
        <v>500</v>
      </c>
      <c r="E22" s="13">
        <v>517844</v>
      </c>
      <c r="F22" s="11">
        <v>529586</v>
      </c>
      <c r="G22" s="11">
        <v>561907</v>
      </c>
      <c r="H22" s="13">
        <v>718915</v>
      </c>
      <c r="I22" s="13">
        <v>669206</v>
      </c>
      <c r="J22" s="11" t="s">
        <v>73</v>
      </c>
      <c r="K22" s="11" t="s">
        <v>73</v>
      </c>
      <c r="L22" s="11" t="s">
        <v>73</v>
      </c>
      <c r="M22" s="13">
        <v>1075458</v>
      </c>
      <c r="N22" s="13">
        <v>1168724</v>
      </c>
      <c r="O22" s="13">
        <v>1137681</v>
      </c>
      <c r="P22" s="11" t="s">
        <v>73</v>
      </c>
      <c r="Q22" s="11" t="s">
        <v>73</v>
      </c>
      <c r="R22" s="13">
        <v>4678318</v>
      </c>
      <c r="S22" s="13">
        <v>4541180</v>
      </c>
      <c r="T22" s="13">
        <v>4560308</v>
      </c>
      <c r="U22" s="13">
        <v>4630361</v>
      </c>
      <c r="V22" s="13">
        <v>4357256</v>
      </c>
      <c r="W22" s="13">
        <v>4418137</v>
      </c>
      <c r="X22" s="13">
        <v>4720998</v>
      </c>
      <c r="Y22" s="13">
        <v>4805871</v>
      </c>
      <c r="Z22" s="13">
        <v>4862961</v>
      </c>
      <c r="AA22" s="13">
        <v>5193130</v>
      </c>
      <c r="AB22" s="13">
        <v>5153507</v>
      </c>
      <c r="AC22" s="13">
        <v>5106472</v>
      </c>
      <c r="AD22" s="13">
        <v>2117738</v>
      </c>
      <c r="AE22" s="1">
        <v>2180781</v>
      </c>
    </row>
    <row r="23" spans="1:31">
      <c r="A23" s="1" t="s">
        <v>70</v>
      </c>
      <c r="B23" s="1" t="s">
        <v>71</v>
      </c>
      <c r="C23" s="1" t="s">
        <v>499</v>
      </c>
      <c r="D23" s="1" t="s">
        <v>501</v>
      </c>
      <c r="E23" s="13">
        <v>250034</v>
      </c>
      <c r="F23" s="11">
        <v>267670</v>
      </c>
      <c r="G23" s="11">
        <v>282903</v>
      </c>
      <c r="H23" s="13">
        <v>292391</v>
      </c>
      <c r="I23" s="13">
        <v>353704</v>
      </c>
      <c r="J23" s="11" t="s">
        <v>73</v>
      </c>
      <c r="K23" s="11" t="s">
        <v>73</v>
      </c>
      <c r="L23" s="11" t="s">
        <v>73</v>
      </c>
      <c r="M23" s="11" t="s">
        <v>73</v>
      </c>
      <c r="N23" s="11" t="s">
        <v>73</v>
      </c>
      <c r="O23" s="11" t="s">
        <v>73</v>
      </c>
      <c r="P23" s="11" t="s">
        <v>73</v>
      </c>
      <c r="Q23" s="11" t="s">
        <v>73</v>
      </c>
      <c r="R23" s="13">
        <v>487224</v>
      </c>
      <c r="S23" s="13">
        <v>486956</v>
      </c>
      <c r="T23" s="13">
        <v>507873</v>
      </c>
      <c r="U23" s="13">
        <v>506745</v>
      </c>
      <c r="V23" s="13">
        <v>518187</v>
      </c>
      <c r="W23" s="13">
        <v>532088</v>
      </c>
      <c r="X23" s="13">
        <v>569421</v>
      </c>
      <c r="Y23" s="13">
        <v>608359</v>
      </c>
      <c r="Z23" s="13">
        <v>658310</v>
      </c>
      <c r="AA23" s="13">
        <v>659928</v>
      </c>
      <c r="AB23" s="13">
        <v>698804</v>
      </c>
      <c r="AC23" s="13">
        <v>750662</v>
      </c>
      <c r="AD23" s="13">
        <v>709035</v>
      </c>
      <c r="AE23" s="1">
        <v>681880</v>
      </c>
    </row>
    <row r="24" spans="1:31">
      <c r="A24" s="1" t="s">
        <v>70</v>
      </c>
      <c r="B24" s="1" t="s">
        <v>71</v>
      </c>
      <c r="C24" s="1" t="s">
        <v>499</v>
      </c>
      <c r="D24" s="1" t="s">
        <v>502</v>
      </c>
      <c r="E24" s="13">
        <v>913898</v>
      </c>
      <c r="F24" s="11">
        <v>877508</v>
      </c>
      <c r="G24" s="11">
        <v>1193919</v>
      </c>
      <c r="H24" s="13">
        <v>1420362</v>
      </c>
      <c r="I24" s="13">
        <v>1523103</v>
      </c>
      <c r="J24" s="11" t="s">
        <v>73</v>
      </c>
      <c r="K24" s="11" t="s">
        <v>73</v>
      </c>
      <c r="L24" s="11" t="s">
        <v>73</v>
      </c>
      <c r="M24" s="13">
        <v>2161654</v>
      </c>
      <c r="N24" s="13">
        <v>2238037</v>
      </c>
      <c r="O24" s="13">
        <v>2403449</v>
      </c>
      <c r="P24" s="11" t="s">
        <v>73</v>
      </c>
      <c r="Q24" s="11" t="s">
        <v>73</v>
      </c>
      <c r="R24" s="13">
        <v>4151159</v>
      </c>
      <c r="S24" s="13">
        <v>4221573</v>
      </c>
      <c r="T24" s="13">
        <v>4495627</v>
      </c>
      <c r="U24" s="13">
        <v>4307339</v>
      </c>
      <c r="V24" s="13">
        <v>4181676</v>
      </c>
      <c r="W24" s="13">
        <v>4215472</v>
      </c>
      <c r="X24" s="13">
        <v>4456281</v>
      </c>
      <c r="Y24" s="13">
        <v>4336178</v>
      </c>
      <c r="Z24" s="13">
        <v>4407675</v>
      </c>
      <c r="AA24" s="13">
        <v>4453262</v>
      </c>
      <c r="AB24" s="13">
        <v>4516486</v>
      </c>
      <c r="AC24" s="13">
        <v>5078445</v>
      </c>
      <c r="AD24" s="13">
        <v>5001575</v>
      </c>
      <c r="AE24" s="1">
        <v>5060425</v>
      </c>
    </row>
    <row r="25" spans="1:31">
      <c r="A25" s="1" t="s">
        <v>70</v>
      </c>
      <c r="B25" s="1" t="s">
        <v>71</v>
      </c>
      <c r="C25" s="1" t="s">
        <v>499</v>
      </c>
      <c r="D25" s="1" t="s">
        <v>503</v>
      </c>
      <c r="E25" s="13">
        <v>301392</v>
      </c>
      <c r="F25" s="11">
        <v>315355</v>
      </c>
      <c r="G25" s="11">
        <v>331719</v>
      </c>
      <c r="H25" s="13">
        <v>313532</v>
      </c>
      <c r="I25" s="13">
        <v>307909</v>
      </c>
      <c r="J25" s="11" t="s">
        <v>73</v>
      </c>
      <c r="K25" s="11" t="s">
        <v>73</v>
      </c>
      <c r="L25" s="11" t="s">
        <v>73</v>
      </c>
      <c r="M25" s="11" t="s">
        <v>73</v>
      </c>
      <c r="N25" s="11" t="s">
        <v>73</v>
      </c>
      <c r="O25" s="11" t="s">
        <v>73</v>
      </c>
      <c r="P25" s="11" t="s">
        <v>73</v>
      </c>
      <c r="Q25" s="11" t="s">
        <v>73</v>
      </c>
      <c r="R25" s="13">
        <v>495047</v>
      </c>
      <c r="S25" s="13">
        <v>377273</v>
      </c>
      <c r="T25" s="13">
        <v>383295</v>
      </c>
      <c r="U25" s="13">
        <v>357473</v>
      </c>
      <c r="V25" s="13">
        <v>376929</v>
      </c>
      <c r="W25" s="13">
        <v>378935</v>
      </c>
      <c r="X25" s="13">
        <v>414247</v>
      </c>
      <c r="Y25" s="13">
        <v>424922</v>
      </c>
      <c r="Z25" s="13">
        <v>476219</v>
      </c>
      <c r="AA25" s="13">
        <v>594362</v>
      </c>
      <c r="AB25" s="13">
        <v>471682</v>
      </c>
      <c r="AC25" s="13">
        <v>476819</v>
      </c>
      <c r="AD25" s="13">
        <v>482163</v>
      </c>
      <c r="AE25" s="1">
        <v>505784</v>
      </c>
    </row>
    <row r="26" spans="1:31">
      <c r="A26" s="1" t="s">
        <v>70</v>
      </c>
      <c r="B26" s="1" t="s">
        <v>71</v>
      </c>
      <c r="C26" s="1" t="s">
        <v>499</v>
      </c>
      <c r="D26" s="1" t="s">
        <v>504</v>
      </c>
      <c r="E26" s="13">
        <v>1389005</v>
      </c>
      <c r="F26" s="11">
        <v>1466604</v>
      </c>
      <c r="G26" s="11">
        <v>1627803</v>
      </c>
      <c r="H26" s="13">
        <v>1737296</v>
      </c>
      <c r="I26" s="13">
        <v>1738373</v>
      </c>
      <c r="J26" s="11" t="s">
        <v>73</v>
      </c>
      <c r="K26" s="11" t="s">
        <v>73</v>
      </c>
      <c r="L26" s="11" t="s">
        <v>73</v>
      </c>
      <c r="M26" s="13">
        <v>648124</v>
      </c>
      <c r="N26" s="13">
        <v>677731</v>
      </c>
      <c r="O26" s="13">
        <v>651013</v>
      </c>
      <c r="P26" s="11" t="s">
        <v>73</v>
      </c>
      <c r="Q26" s="11" t="s">
        <v>73</v>
      </c>
      <c r="R26" s="13">
        <v>3194565</v>
      </c>
      <c r="S26" s="13">
        <v>3230945</v>
      </c>
      <c r="T26" s="13">
        <v>3394524</v>
      </c>
      <c r="U26" s="13">
        <v>3475158</v>
      </c>
      <c r="V26" s="13">
        <v>3583239</v>
      </c>
      <c r="W26" s="13">
        <v>3718543</v>
      </c>
      <c r="X26" s="13">
        <v>3654767</v>
      </c>
      <c r="Y26" s="13">
        <v>3457474</v>
      </c>
      <c r="Z26" s="13">
        <v>3573419</v>
      </c>
      <c r="AA26" s="13">
        <v>3711844</v>
      </c>
      <c r="AB26" s="13">
        <v>4023129</v>
      </c>
      <c r="AC26" s="13">
        <v>3918953</v>
      </c>
      <c r="AD26" s="13">
        <v>3823793</v>
      </c>
      <c r="AE26" s="1">
        <v>3956167</v>
      </c>
    </row>
    <row r="27" spans="1:31">
      <c r="A27" s="1" t="s">
        <v>70</v>
      </c>
      <c r="B27" s="1" t="s">
        <v>71</v>
      </c>
      <c r="C27" s="1" t="s">
        <v>499</v>
      </c>
      <c r="D27" s="1" t="s">
        <v>505</v>
      </c>
      <c r="E27" s="11">
        <v>994391</v>
      </c>
      <c r="F27" s="11">
        <v>1047953</v>
      </c>
      <c r="G27" s="11">
        <v>1155963</v>
      </c>
      <c r="H27" s="11">
        <v>1168309</v>
      </c>
      <c r="I27" s="11">
        <v>1137308</v>
      </c>
      <c r="J27" s="11" t="s">
        <v>73</v>
      </c>
      <c r="K27" s="11" t="s">
        <v>73</v>
      </c>
      <c r="L27" s="11" t="s">
        <v>73</v>
      </c>
      <c r="M27" s="11">
        <v>685115</v>
      </c>
      <c r="N27" s="11">
        <v>733405</v>
      </c>
      <c r="O27" s="11">
        <v>782183</v>
      </c>
      <c r="P27" s="11" t="s">
        <v>73</v>
      </c>
      <c r="Q27" s="11" t="s">
        <v>73</v>
      </c>
      <c r="R27" s="11">
        <v>2722850</v>
      </c>
      <c r="S27" s="11">
        <v>2892238</v>
      </c>
      <c r="T27" s="11">
        <v>2821435</v>
      </c>
      <c r="U27" s="11">
        <v>2955964</v>
      </c>
      <c r="V27" s="13">
        <v>2931032</v>
      </c>
      <c r="W27" s="13">
        <v>2924650</v>
      </c>
      <c r="X27" s="13">
        <v>3247838</v>
      </c>
      <c r="Y27" s="13">
        <v>3092322</v>
      </c>
      <c r="Z27" s="13">
        <v>3296522</v>
      </c>
      <c r="AA27" s="13">
        <v>3246864</v>
      </c>
      <c r="AB27" s="13">
        <v>3546882</v>
      </c>
      <c r="AC27" s="13">
        <v>3838891</v>
      </c>
      <c r="AD27" s="13">
        <v>3706216</v>
      </c>
      <c r="AE27" s="1">
        <v>4133886</v>
      </c>
    </row>
    <row r="28" spans="1:31">
      <c r="A28" s="1" t="s">
        <v>70</v>
      </c>
      <c r="B28" s="1" t="s">
        <v>71</v>
      </c>
      <c r="C28" s="1" t="s">
        <v>499</v>
      </c>
      <c r="D28" s="1" t="s">
        <v>506</v>
      </c>
      <c r="E28" s="11">
        <v>543890</v>
      </c>
      <c r="F28" s="11">
        <v>510819</v>
      </c>
      <c r="G28" s="11">
        <v>673910</v>
      </c>
      <c r="H28" s="11">
        <v>4321437</v>
      </c>
      <c r="I28" s="11">
        <v>4246215</v>
      </c>
      <c r="J28" s="11" t="s">
        <v>73</v>
      </c>
      <c r="K28" s="11" t="s">
        <v>73</v>
      </c>
      <c r="L28" s="11" t="s">
        <v>73</v>
      </c>
      <c r="M28" s="11" t="s">
        <v>73</v>
      </c>
      <c r="N28" s="11" t="s">
        <v>73</v>
      </c>
      <c r="O28" s="11" t="s">
        <v>73</v>
      </c>
      <c r="P28" s="11" t="s">
        <v>73</v>
      </c>
      <c r="Q28" s="11" t="s">
        <v>73</v>
      </c>
      <c r="R28" s="11" t="s">
        <v>73</v>
      </c>
      <c r="S28" s="11" t="s">
        <v>73</v>
      </c>
      <c r="T28" s="11" t="s">
        <v>73</v>
      </c>
      <c r="U28" s="11" t="s">
        <v>73</v>
      </c>
      <c r="V28" s="11" t="s">
        <v>73</v>
      </c>
      <c r="W28" s="11" t="s">
        <v>73</v>
      </c>
      <c r="X28" s="11" t="s">
        <v>73</v>
      </c>
      <c r="Y28" s="11" t="s">
        <v>73</v>
      </c>
      <c r="Z28" s="11" t="s">
        <v>73</v>
      </c>
      <c r="AA28" s="11" t="s">
        <v>73</v>
      </c>
      <c r="AB28" s="11" t="s">
        <v>73</v>
      </c>
      <c r="AC28" s="11" t="s">
        <v>73</v>
      </c>
      <c r="AD28" s="11" t="s">
        <v>73</v>
      </c>
      <c r="AE28" s="11" t="s">
        <v>73</v>
      </c>
    </row>
    <row r="29" spans="1:31">
      <c r="A29" s="1" t="s">
        <v>70</v>
      </c>
      <c r="B29" s="1" t="s">
        <v>71</v>
      </c>
      <c r="C29" s="1" t="s">
        <v>499</v>
      </c>
      <c r="D29" s="1" t="s">
        <v>507</v>
      </c>
      <c r="E29" s="11">
        <v>0</v>
      </c>
      <c r="F29" s="11">
        <v>0</v>
      </c>
      <c r="G29" s="11">
        <v>0</v>
      </c>
      <c r="H29" s="11">
        <v>0</v>
      </c>
      <c r="I29" s="11">
        <v>0</v>
      </c>
      <c r="J29" s="11" t="s">
        <v>73</v>
      </c>
      <c r="K29" s="11" t="s">
        <v>73</v>
      </c>
      <c r="L29" s="11" t="s">
        <v>73</v>
      </c>
      <c r="M29" s="11" t="s">
        <v>73</v>
      </c>
      <c r="N29" s="11" t="s">
        <v>73</v>
      </c>
      <c r="O29" s="11" t="s">
        <v>73</v>
      </c>
      <c r="P29" s="11" t="s">
        <v>73</v>
      </c>
      <c r="Q29" s="11" t="s">
        <v>73</v>
      </c>
      <c r="R29" s="11" t="s">
        <v>73</v>
      </c>
      <c r="S29" s="11" t="s">
        <v>73</v>
      </c>
      <c r="T29" s="11" t="s">
        <v>73</v>
      </c>
      <c r="U29" s="11" t="s">
        <v>73</v>
      </c>
      <c r="V29" s="11" t="s">
        <v>73</v>
      </c>
      <c r="W29" s="11" t="s">
        <v>73</v>
      </c>
      <c r="X29" s="11" t="s">
        <v>73</v>
      </c>
      <c r="Y29" s="11" t="s">
        <v>73</v>
      </c>
      <c r="Z29" s="11" t="s">
        <v>73</v>
      </c>
      <c r="AA29" s="11" t="s">
        <v>73</v>
      </c>
      <c r="AB29" s="11" t="s">
        <v>73</v>
      </c>
      <c r="AC29" s="11" t="s">
        <v>73</v>
      </c>
      <c r="AD29" s="11" t="s">
        <v>73</v>
      </c>
      <c r="AE29" s="11" t="s">
        <v>73</v>
      </c>
    </row>
    <row r="30" spans="1:31">
      <c r="A30" s="1" t="s">
        <v>70</v>
      </c>
      <c r="B30" s="1" t="s">
        <v>71</v>
      </c>
      <c r="C30" s="1" t="s">
        <v>499</v>
      </c>
      <c r="D30" s="1" t="s">
        <v>508</v>
      </c>
      <c r="E30" s="11">
        <v>220570</v>
      </c>
      <c r="F30" s="11">
        <v>53475</v>
      </c>
      <c r="G30" s="11">
        <v>86325</v>
      </c>
      <c r="H30" s="11">
        <v>5464</v>
      </c>
      <c r="I30" s="11">
        <v>85800</v>
      </c>
      <c r="J30" s="11" t="s">
        <v>73</v>
      </c>
      <c r="K30" s="11" t="s">
        <v>73</v>
      </c>
      <c r="L30" s="11" t="s">
        <v>73</v>
      </c>
      <c r="M30" s="11" t="s">
        <v>73</v>
      </c>
      <c r="N30" s="11" t="s">
        <v>73</v>
      </c>
      <c r="O30" s="11" t="s">
        <v>73</v>
      </c>
      <c r="P30" s="11" t="s">
        <v>73</v>
      </c>
      <c r="Q30" s="11" t="s">
        <v>73</v>
      </c>
      <c r="R30" s="11" t="s">
        <v>73</v>
      </c>
      <c r="S30" s="11" t="s">
        <v>73</v>
      </c>
      <c r="T30" s="11" t="s">
        <v>73</v>
      </c>
      <c r="U30" s="11" t="s">
        <v>73</v>
      </c>
      <c r="V30" s="11" t="s">
        <v>73</v>
      </c>
      <c r="W30" s="11" t="s">
        <v>73</v>
      </c>
      <c r="X30" s="11" t="s">
        <v>73</v>
      </c>
      <c r="Y30" s="11" t="s">
        <v>73</v>
      </c>
      <c r="Z30" s="11" t="s">
        <v>73</v>
      </c>
      <c r="AA30" s="11" t="s">
        <v>73</v>
      </c>
      <c r="AB30" s="11" t="s">
        <v>73</v>
      </c>
      <c r="AC30" s="11" t="s">
        <v>73</v>
      </c>
      <c r="AD30" s="11" t="s">
        <v>73</v>
      </c>
      <c r="AE30" s="11" t="s">
        <v>73</v>
      </c>
    </row>
    <row r="31" spans="1:31">
      <c r="A31" s="1" t="s">
        <v>70</v>
      </c>
      <c r="B31" s="1" t="s">
        <v>71</v>
      </c>
      <c r="C31" s="1" t="s">
        <v>499</v>
      </c>
      <c r="D31" s="1" t="s">
        <v>509</v>
      </c>
      <c r="E31" s="11">
        <v>523819</v>
      </c>
      <c r="F31" s="11">
        <v>571944</v>
      </c>
      <c r="G31" s="11">
        <v>582772</v>
      </c>
      <c r="H31" s="11">
        <v>1402829</v>
      </c>
      <c r="I31" s="11">
        <v>1427313</v>
      </c>
      <c r="J31" s="11" t="s">
        <v>73</v>
      </c>
      <c r="K31" s="11" t="s">
        <v>73</v>
      </c>
      <c r="L31" s="11" t="s">
        <v>73</v>
      </c>
      <c r="M31" s="11">
        <v>2447941</v>
      </c>
      <c r="N31" s="11">
        <v>2477600</v>
      </c>
      <c r="O31" s="11">
        <v>2486527</v>
      </c>
      <c r="P31" s="11" t="s">
        <v>73</v>
      </c>
      <c r="Q31" s="11" t="s">
        <v>73</v>
      </c>
      <c r="R31" s="11">
        <v>5451569</v>
      </c>
      <c r="S31" s="11">
        <v>5389566</v>
      </c>
      <c r="T31" s="11">
        <v>5406395</v>
      </c>
      <c r="U31" s="11">
        <v>5334811</v>
      </c>
      <c r="V31" s="13">
        <v>5366913</v>
      </c>
      <c r="W31" s="13">
        <v>5340140</v>
      </c>
      <c r="X31" s="13">
        <v>5481829</v>
      </c>
      <c r="Y31" s="13">
        <v>5582828</v>
      </c>
      <c r="Z31" s="13">
        <v>5826691</v>
      </c>
      <c r="AA31" s="13">
        <v>6502653</v>
      </c>
      <c r="AB31" s="13">
        <v>7593563</v>
      </c>
      <c r="AC31" s="13">
        <v>7861126</v>
      </c>
      <c r="AD31" s="13">
        <v>6796548</v>
      </c>
      <c r="AE31" s="1">
        <v>6070090</v>
      </c>
    </row>
    <row r="32" spans="1:31">
      <c r="A32" s="1" t="s">
        <v>70</v>
      </c>
      <c r="B32" s="1" t="s">
        <v>71</v>
      </c>
      <c r="C32" s="1" t="s">
        <v>499</v>
      </c>
      <c r="D32" s="1" t="s">
        <v>510</v>
      </c>
      <c r="E32" s="13">
        <v>23875</v>
      </c>
      <c r="F32" s="11">
        <v>13578</v>
      </c>
      <c r="G32" s="11">
        <v>2039664</v>
      </c>
      <c r="H32" s="13">
        <v>0</v>
      </c>
      <c r="I32" s="13">
        <v>0</v>
      </c>
      <c r="J32" s="11" t="s">
        <v>73</v>
      </c>
      <c r="K32" s="11" t="s">
        <v>73</v>
      </c>
      <c r="L32" s="11" t="s">
        <v>73</v>
      </c>
      <c r="M32" s="11" t="s">
        <v>73</v>
      </c>
      <c r="N32" s="11" t="s">
        <v>73</v>
      </c>
      <c r="O32" s="11" t="s">
        <v>73</v>
      </c>
      <c r="P32" s="11" t="s">
        <v>73</v>
      </c>
      <c r="Q32" s="11" t="s">
        <v>73</v>
      </c>
      <c r="R32" s="13">
        <v>0</v>
      </c>
      <c r="S32" s="13">
        <v>0</v>
      </c>
      <c r="T32" s="13">
        <v>0</v>
      </c>
      <c r="U32" s="13">
        <v>0</v>
      </c>
      <c r="V32" s="11" t="s">
        <v>73</v>
      </c>
      <c r="W32" s="11" t="s">
        <v>73</v>
      </c>
      <c r="X32" s="11" t="s">
        <v>73</v>
      </c>
      <c r="Y32" s="11" t="s">
        <v>73</v>
      </c>
      <c r="Z32" s="11" t="s">
        <v>73</v>
      </c>
      <c r="AA32" s="11" t="s">
        <v>73</v>
      </c>
      <c r="AB32" s="11" t="s">
        <v>73</v>
      </c>
      <c r="AC32" s="11" t="s">
        <v>73</v>
      </c>
      <c r="AD32" s="13" t="s">
        <v>73</v>
      </c>
      <c r="AE32" s="1" t="s">
        <v>73</v>
      </c>
    </row>
    <row r="33" spans="1:31">
      <c r="A33" s="1" t="s">
        <v>70</v>
      </c>
      <c r="B33" s="1" t="s">
        <v>71</v>
      </c>
      <c r="C33" s="8" t="s">
        <v>499</v>
      </c>
      <c r="D33" s="8" t="s">
        <v>511</v>
      </c>
      <c r="E33" s="15">
        <f>SUM(E22:E32)</f>
        <v>5678718</v>
      </c>
      <c r="F33" s="15">
        <f>SUM(F22:F32)</f>
        <v>5654492</v>
      </c>
      <c r="G33" s="15">
        <f>SUM(G22:G32)</f>
        <v>8536885</v>
      </c>
      <c r="H33" s="15">
        <f>SUM(H22:H32)</f>
        <v>11380535</v>
      </c>
      <c r="I33" s="15">
        <f>SUM(I22:I32)</f>
        <v>11488931</v>
      </c>
      <c r="J33" s="15" t="s">
        <v>73</v>
      </c>
      <c r="K33" s="15" t="s">
        <v>73</v>
      </c>
      <c r="L33" s="15" t="s">
        <v>73</v>
      </c>
      <c r="M33" s="15">
        <f>SUM(M22:M32)</f>
        <v>7018292</v>
      </c>
      <c r="N33" s="15">
        <f>SUM(N22:N32)</f>
        <v>7295497</v>
      </c>
      <c r="O33" s="15">
        <f>SUM(O22:O32)</f>
        <v>7460853</v>
      </c>
      <c r="P33" s="15" t="s">
        <v>73</v>
      </c>
      <c r="Q33" s="15" t="s">
        <v>73</v>
      </c>
      <c r="R33" s="15">
        <f t="shared" ref="R33:AE33" si="12">SUM(R22:R32)</f>
        <v>21180732</v>
      </c>
      <c r="S33" s="15">
        <f t="shared" si="12"/>
        <v>21139731</v>
      </c>
      <c r="T33" s="15">
        <f t="shared" si="12"/>
        <v>21569457</v>
      </c>
      <c r="U33" s="15">
        <f t="shared" si="12"/>
        <v>21567851</v>
      </c>
      <c r="V33" s="15">
        <f t="shared" si="12"/>
        <v>21315232</v>
      </c>
      <c r="W33" s="15">
        <f t="shared" si="12"/>
        <v>21527965</v>
      </c>
      <c r="X33" s="15">
        <f t="shared" si="12"/>
        <v>22545381</v>
      </c>
      <c r="Y33" s="15">
        <f t="shared" si="12"/>
        <v>22307954</v>
      </c>
      <c r="Z33" s="15">
        <f t="shared" si="12"/>
        <v>23101797</v>
      </c>
      <c r="AA33" s="15">
        <f t="shared" si="12"/>
        <v>24362043</v>
      </c>
      <c r="AB33" s="15">
        <f t="shared" si="12"/>
        <v>26004053</v>
      </c>
      <c r="AC33" s="15">
        <f t="shared" si="12"/>
        <v>27031368</v>
      </c>
      <c r="AD33" s="15">
        <f t="shared" si="12"/>
        <v>22637068</v>
      </c>
      <c r="AE33" s="15">
        <f t="shared" si="12"/>
        <v>22589013</v>
      </c>
    </row>
    <row r="34" spans="1:31">
      <c r="A34" s="1" t="s">
        <v>70</v>
      </c>
      <c r="B34" s="1" t="s">
        <v>71</v>
      </c>
      <c r="C34" s="8" t="s">
        <v>512</v>
      </c>
      <c r="D34" s="8" t="s">
        <v>513</v>
      </c>
      <c r="E34" s="15" t="s">
        <v>73</v>
      </c>
      <c r="F34" s="15" t="s">
        <v>73</v>
      </c>
      <c r="G34" s="15" t="s">
        <v>73</v>
      </c>
      <c r="H34" s="15" t="s">
        <v>73</v>
      </c>
      <c r="I34" s="15" t="s">
        <v>73</v>
      </c>
      <c r="J34" s="15" t="s">
        <v>73</v>
      </c>
      <c r="K34" s="15" t="s">
        <v>73</v>
      </c>
      <c r="L34" s="15" t="s">
        <v>73</v>
      </c>
      <c r="M34" s="16">
        <f>M21-M33</f>
        <v>-606149</v>
      </c>
      <c r="N34" s="16">
        <f>N21-N33</f>
        <v>-784507</v>
      </c>
      <c r="O34" s="16">
        <f>O21-O33</f>
        <v>-767673.42716871668</v>
      </c>
      <c r="P34" s="15" t="s">
        <v>73</v>
      </c>
      <c r="Q34" s="15" t="s">
        <v>73</v>
      </c>
      <c r="R34" s="16">
        <f t="shared" ref="R34:AE34" si="13">R21-R33</f>
        <v>3009916</v>
      </c>
      <c r="S34" s="16">
        <f t="shared" si="13"/>
        <v>3360654</v>
      </c>
      <c r="T34" s="16">
        <f t="shared" si="13"/>
        <v>3309204</v>
      </c>
      <c r="U34" s="16">
        <f t="shared" si="13"/>
        <v>3401889</v>
      </c>
      <c r="V34" s="16">
        <f t="shared" si="13"/>
        <v>4099541</v>
      </c>
      <c r="W34" s="16">
        <f t="shared" si="13"/>
        <v>5043558</v>
      </c>
      <c r="X34" s="16">
        <f t="shared" si="13"/>
        <v>5897246</v>
      </c>
      <c r="Y34" s="16">
        <f t="shared" si="13"/>
        <v>6598711</v>
      </c>
      <c r="Z34" s="16">
        <f t="shared" si="13"/>
        <v>6527185</v>
      </c>
      <c r="AA34" s="16">
        <f t="shared" si="13"/>
        <v>4825631</v>
      </c>
      <c r="AB34" s="16">
        <f t="shared" si="13"/>
        <v>4423896</v>
      </c>
      <c r="AC34" s="16">
        <f t="shared" si="13"/>
        <v>3957934</v>
      </c>
      <c r="AD34" s="16">
        <f t="shared" si="13"/>
        <v>8988742</v>
      </c>
      <c r="AE34" s="16">
        <f t="shared" si="13"/>
        <v>14022174</v>
      </c>
    </row>
    <row r="35" spans="1:31" s="19" customFormat="1">
      <c r="A35" s="1" t="s">
        <v>70</v>
      </c>
      <c r="B35" s="1" t="s">
        <v>71</v>
      </c>
      <c r="C35" s="19" t="s">
        <v>514</v>
      </c>
      <c r="D35" s="19" t="s">
        <v>515</v>
      </c>
      <c r="E35" s="11" t="s">
        <v>73</v>
      </c>
      <c r="F35" s="11" t="s">
        <v>73</v>
      </c>
      <c r="G35" s="11" t="s">
        <v>73</v>
      </c>
      <c r="H35" s="11" t="s">
        <v>73</v>
      </c>
      <c r="I35" s="11" t="s">
        <v>73</v>
      </c>
      <c r="J35" s="11" t="s">
        <v>73</v>
      </c>
      <c r="K35" s="11" t="s">
        <v>73</v>
      </c>
      <c r="L35" s="11" t="s">
        <v>73</v>
      </c>
      <c r="M35" s="11" t="s">
        <v>73</v>
      </c>
      <c r="N35" s="11" t="s">
        <v>73</v>
      </c>
      <c r="O35" s="11" t="s">
        <v>73</v>
      </c>
      <c r="P35" s="11" t="s">
        <v>73</v>
      </c>
      <c r="Q35" s="11" t="s">
        <v>73</v>
      </c>
      <c r="R35" s="17">
        <v>0</v>
      </c>
      <c r="S35" s="17">
        <v>1201358</v>
      </c>
      <c r="T35" s="17">
        <v>0</v>
      </c>
      <c r="U35" s="17">
        <v>0</v>
      </c>
      <c r="V35" s="11">
        <v>156017</v>
      </c>
      <c r="W35" s="11">
        <f>1000000+56680</f>
        <v>1056680</v>
      </c>
      <c r="X35" s="11">
        <v>4930667</v>
      </c>
      <c r="Y35" s="11">
        <v>6777518</v>
      </c>
      <c r="Z35" s="11">
        <v>1367940</v>
      </c>
      <c r="AA35" s="11">
        <v>2655430</v>
      </c>
      <c r="AB35" s="11">
        <v>157970</v>
      </c>
      <c r="AC35" s="11">
        <v>0</v>
      </c>
      <c r="AD35" s="17">
        <f>-223701014+16825</f>
        <v>-223684189</v>
      </c>
      <c r="AE35" s="17">
        <f>-4277135+201042</f>
        <v>-4076093</v>
      </c>
    </row>
    <row r="36" spans="1:31" s="19" customFormat="1">
      <c r="A36" s="1" t="s">
        <v>70</v>
      </c>
      <c r="B36" s="1" t="s">
        <v>71</v>
      </c>
      <c r="C36" s="19" t="s">
        <v>514</v>
      </c>
      <c r="D36" s="19" t="s">
        <v>516</v>
      </c>
      <c r="E36" s="11" t="s">
        <v>73</v>
      </c>
      <c r="F36" s="11" t="s">
        <v>73</v>
      </c>
      <c r="G36" s="11" t="s">
        <v>73</v>
      </c>
      <c r="H36" s="11" t="s">
        <v>73</v>
      </c>
      <c r="I36" s="11" t="s">
        <v>73</v>
      </c>
      <c r="J36" s="11" t="s">
        <v>73</v>
      </c>
      <c r="K36" s="11" t="s">
        <v>73</v>
      </c>
      <c r="L36" s="11" t="s">
        <v>73</v>
      </c>
      <c r="M36" s="31">
        <v>174686</v>
      </c>
      <c r="N36" s="31">
        <v>174686</v>
      </c>
      <c r="O36" s="31">
        <v>174686</v>
      </c>
      <c r="P36" s="11" t="s">
        <v>73</v>
      </c>
      <c r="Q36" s="11" t="s">
        <v>73</v>
      </c>
      <c r="R36" s="11" t="s">
        <v>73</v>
      </c>
      <c r="S36" s="11" t="s">
        <v>73</v>
      </c>
      <c r="T36" s="11" t="s">
        <v>73</v>
      </c>
      <c r="U36" s="11" t="s">
        <v>73</v>
      </c>
      <c r="V36" s="11" t="s">
        <v>73</v>
      </c>
      <c r="W36" s="11" t="s">
        <v>73</v>
      </c>
      <c r="X36" s="11" t="s">
        <v>73</v>
      </c>
      <c r="Y36" s="11" t="s">
        <v>73</v>
      </c>
      <c r="Z36" s="11" t="s">
        <v>73</v>
      </c>
      <c r="AA36" s="11" t="s">
        <v>73</v>
      </c>
      <c r="AB36" s="11" t="s">
        <v>73</v>
      </c>
      <c r="AC36" s="11" t="s">
        <v>73</v>
      </c>
      <c r="AD36" s="11" t="s">
        <v>73</v>
      </c>
      <c r="AE36" s="11" t="s">
        <v>73</v>
      </c>
    </row>
    <row r="37" spans="1:31" s="19" customFormat="1">
      <c r="A37" s="1" t="s">
        <v>70</v>
      </c>
      <c r="B37" s="1" t="s">
        <v>71</v>
      </c>
      <c r="C37" s="19" t="s">
        <v>514</v>
      </c>
      <c r="D37" s="19" t="s">
        <v>492</v>
      </c>
      <c r="E37" s="11" t="s">
        <v>73</v>
      </c>
      <c r="F37" s="11" t="s">
        <v>73</v>
      </c>
      <c r="G37" s="11" t="s">
        <v>73</v>
      </c>
      <c r="H37" s="11" t="s">
        <v>73</v>
      </c>
      <c r="I37" s="11" t="s">
        <v>73</v>
      </c>
      <c r="J37" s="11" t="s">
        <v>73</v>
      </c>
      <c r="K37" s="11" t="s">
        <v>73</v>
      </c>
      <c r="L37" s="11" t="s">
        <v>73</v>
      </c>
      <c r="M37" s="31">
        <v>256145</v>
      </c>
      <c r="N37" s="31">
        <v>204222</v>
      </c>
      <c r="O37" s="31">
        <v>75560</v>
      </c>
      <c r="P37" s="11" t="s">
        <v>73</v>
      </c>
      <c r="Q37" s="11" t="s">
        <v>73</v>
      </c>
      <c r="R37" s="31">
        <v>925254</v>
      </c>
      <c r="S37" s="31">
        <v>643230</v>
      </c>
      <c r="T37" s="31">
        <v>1214385</v>
      </c>
      <c r="U37" s="31">
        <v>331464</v>
      </c>
      <c r="V37" s="31">
        <v>97910</v>
      </c>
      <c r="W37" s="31">
        <v>60996</v>
      </c>
      <c r="X37" s="31">
        <v>66951</v>
      </c>
      <c r="Y37" s="31">
        <v>53894</v>
      </c>
      <c r="Z37" s="31">
        <v>55343</v>
      </c>
      <c r="AA37" s="31">
        <v>56566</v>
      </c>
      <c r="AB37" s="31">
        <v>57438</v>
      </c>
      <c r="AC37" s="31">
        <v>50052</v>
      </c>
      <c r="AD37" s="31">
        <v>80223</v>
      </c>
      <c r="AE37" s="31">
        <v>170111</v>
      </c>
    </row>
    <row r="38" spans="1:31" s="19" customFormat="1">
      <c r="A38" s="1" t="s">
        <v>70</v>
      </c>
      <c r="B38" s="1" t="s">
        <v>71</v>
      </c>
      <c r="C38" s="19" t="s">
        <v>514</v>
      </c>
      <c r="D38" s="19" t="s">
        <v>517</v>
      </c>
      <c r="E38" s="11" t="s">
        <v>73</v>
      </c>
      <c r="F38" s="11" t="s">
        <v>73</v>
      </c>
      <c r="G38" s="11" t="s">
        <v>73</v>
      </c>
      <c r="H38" s="11" t="s">
        <v>73</v>
      </c>
      <c r="I38" s="11" t="s">
        <v>73</v>
      </c>
      <c r="J38" s="11" t="s">
        <v>73</v>
      </c>
      <c r="K38" s="11" t="s">
        <v>73</v>
      </c>
      <c r="L38" s="11" t="s">
        <v>73</v>
      </c>
      <c r="M38" s="31">
        <v>-446430</v>
      </c>
      <c r="N38" s="31">
        <v>-400582</v>
      </c>
      <c r="O38" s="31">
        <v>-354045</v>
      </c>
      <c r="P38" s="11" t="s">
        <v>73</v>
      </c>
      <c r="Q38" s="11" t="s">
        <v>73</v>
      </c>
      <c r="R38" s="31">
        <v>-3518067</v>
      </c>
      <c r="S38" s="31">
        <v>-3373296</v>
      </c>
      <c r="T38" s="31">
        <v>-3579830</v>
      </c>
      <c r="U38" s="31">
        <v>-2837287</v>
      </c>
      <c r="V38" s="31">
        <v>-2633031</v>
      </c>
      <c r="W38" s="31">
        <v>-2382709</v>
      </c>
      <c r="X38" s="31">
        <v>-2423454</v>
      </c>
      <c r="Y38" s="31">
        <v>-2249264</v>
      </c>
      <c r="Z38" s="31">
        <v>-2830278</v>
      </c>
      <c r="AA38" s="31">
        <v>-3391208</v>
      </c>
      <c r="AB38" s="31">
        <v>-3153107</v>
      </c>
      <c r="AC38" s="31">
        <v>-2983688</v>
      </c>
      <c r="AD38" s="31">
        <v>-2813892</v>
      </c>
      <c r="AE38" s="31">
        <v>-6783092</v>
      </c>
    </row>
    <row r="39" spans="1:31" s="19" customFormat="1">
      <c r="A39" s="1" t="s">
        <v>70</v>
      </c>
      <c r="B39" s="1" t="s">
        <v>71</v>
      </c>
      <c r="C39" s="19" t="s">
        <v>514</v>
      </c>
      <c r="D39" s="19" t="s">
        <v>518</v>
      </c>
      <c r="E39" s="11" t="s">
        <v>73</v>
      </c>
      <c r="F39" s="11" t="s">
        <v>73</v>
      </c>
      <c r="G39" s="11" t="s">
        <v>73</v>
      </c>
      <c r="H39" s="11" t="s">
        <v>73</v>
      </c>
      <c r="I39" s="11" t="s">
        <v>73</v>
      </c>
      <c r="J39" s="11" t="s">
        <v>73</v>
      </c>
      <c r="K39" s="11" t="s">
        <v>73</v>
      </c>
      <c r="L39" s="11" t="s">
        <v>73</v>
      </c>
      <c r="M39" s="11" t="s">
        <v>73</v>
      </c>
      <c r="N39" s="11" t="s">
        <v>73</v>
      </c>
      <c r="O39" s="11" t="s">
        <v>73</v>
      </c>
      <c r="P39" s="11" t="s">
        <v>73</v>
      </c>
      <c r="Q39" s="11" t="s">
        <v>73</v>
      </c>
      <c r="R39" s="17">
        <v>-126317</v>
      </c>
      <c r="S39" s="17">
        <v>-126317</v>
      </c>
      <c r="T39" s="31">
        <v>-123007</v>
      </c>
      <c r="U39" s="31">
        <v>-106461</v>
      </c>
      <c r="V39" s="31">
        <v>-97159</v>
      </c>
      <c r="W39" s="31">
        <v>-131198</v>
      </c>
      <c r="X39" s="31">
        <v>-158146</v>
      </c>
      <c r="Y39" s="31">
        <v>-143700</v>
      </c>
      <c r="Z39" s="31">
        <v>-134820</v>
      </c>
      <c r="AA39" s="31">
        <v>-133747</v>
      </c>
      <c r="AB39" s="31">
        <v>-126915</v>
      </c>
      <c r="AC39" s="31">
        <v>-126251</v>
      </c>
      <c r="AD39" s="31">
        <v>-125478</v>
      </c>
      <c r="AE39" s="31">
        <v>-154988</v>
      </c>
    </row>
    <row r="40" spans="1:31" s="19" customFormat="1">
      <c r="A40" s="1" t="s">
        <v>70</v>
      </c>
      <c r="B40" s="1" t="s">
        <v>71</v>
      </c>
      <c r="C40" s="19" t="s">
        <v>514</v>
      </c>
      <c r="D40" s="19" t="s">
        <v>519</v>
      </c>
      <c r="E40" s="11" t="s">
        <v>73</v>
      </c>
      <c r="F40" s="11" t="s">
        <v>73</v>
      </c>
      <c r="G40" s="11" t="s">
        <v>73</v>
      </c>
      <c r="H40" s="11" t="s">
        <v>73</v>
      </c>
      <c r="I40" s="11" t="s">
        <v>73</v>
      </c>
      <c r="J40" s="11" t="s">
        <v>73</v>
      </c>
      <c r="K40" s="11" t="s">
        <v>73</v>
      </c>
      <c r="L40" s="11" t="s">
        <v>73</v>
      </c>
      <c r="M40" s="31">
        <v>4076</v>
      </c>
      <c r="N40" s="31">
        <v>-11033</v>
      </c>
      <c r="O40" s="31">
        <v>0</v>
      </c>
      <c r="P40" s="11" t="s">
        <v>73</v>
      </c>
      <c r="Q40" s="11" t="s">
        <v>73</v>
      </c>
      <c r="R40" s="31">
        <v>1265673</v>
      </c>
      <c r="S40" s="31">
        <v>-474</v>
      </c>
      <c r="T40" s="31">
        <v>68695</v>
      </c>
      <c r="U40" s="31">
        <v>-29115</v>
      </c>
      <c r="V40" s="31">
        <v>121879</v>
      </c>
      <c r="W40" s="31">
        <v>-13395</v>
      </c>
      <c r="X40" s="31">
        <v>132921</v>
      </c>
      <c r="Y40" s="31">
        <v>800</v>
      </c>
      <c r="Z40" s="31">
        <v>14504</v>
      </c>
      <c r="AA40" s="31">
        <v>12400</v>
      </c>
      <c r="AB40" s="31">
        <v>8900</v>
      </c>
      <c r="AC40" s="31">
        <v>34612</v>
      </c>
      <c r="AD40" s="31">
        <v>45961</v>
      </c>
      <c r="AE40" s="31">
        <v>105075</v>
      </c>
    </row>
    <row r="41" spans="1:31" s="19" customFormat="1">
      <c r="A41" s="1" t="s">
        <v>70</v>
      </c>
      <c r="B41" s="1" t="s">
        <v>71</v>
      </c>
      <c r="C41" s="19" t="s">
        <v>514</v>
      </c>
      <c r="D41" s="19" t="s">
        <v>510</v>
      </c>
      <c r="E41" s="11" t="s">
        <v>73</v>
      </c>
      <c r="F41" s="11" t="s">
        <v>73</v>
      </c>
      <c r="G41" s="11" t="s">
        <v>73</v>
      </c>
      <c r="H41" s="11" t="s">
        <v>73</v>
      </c>
      <c r="I41" s="11" t="s">
        <v>73</v>
      </c>
      <c r="J41" s="11" t="s">
        <v>73</v>
      </c>
      <c r="K41" s="11" t="s">
        <v>73</v>
      </c>
      <c r="L41" s="11" t="s">
        <v>73</v>
      </c>
      <c r="M41" s="11" t="s">
        <v>73</v>
      </c>
      <c r="N41" s="11" t="s">
        <v>73</v>
      </c>
      <c r="O41" s="11" t="s">
        <v>73</v>
      </c>
      <c r="P41" s="11" t="s">
        <v>73</v>
      </c>
      <c r="Q41" s="11" t="s">
        <v>73</v>
      </c>
      <c r="R41" s="31">
        <v>-18</v>
      </c>
      <c r="S41" s="31">
        <v>4262</v>
      </c>
      <c r="T41" s="31">
        <v>0</v>
      </c>
      <c r="U41" s="31">
        <f>-3630-1239236</f>
        <v>-1242866</v>
      </c>
      <c r="V41" s="31">
        <v>-34</v>
      </c>
      <c r="W41" s="31">
        <v>-190</v>
      </c>
      <c r="X41" s="31">
        <v>-134</v>
      </c>
      <c r="Y41" s="31">
        <v>48</v>
      </c>
      <c r="Z41" s="31">
        <v>-56</v>
      </c>
      <c r="AA41" s="31">
        <v>13967</v>
      </c>
      <c r="AB41" s="31">
        <v>16599</v>
      </c>
      <c r="AC41" s="31">
        <v>-839</v>
      </c>
      <c r="AD41" s="11">
        <v>-379</v>
      </c>
      <c r="AE41" s="31">
        <v>0</v>
      </c>
    </row>
    <row r="42" spans="1:31" s="19" customFormat="1">
      <c r="A42" s="1" t="s">
        <v>70</v>
      </c>
      <c r="B42" s="1" t="s">
        <v>71</v>
      </c>
      <c r="C42" s="8" t="s">
        <v>514</v>
      </c>
      <c r="D42" s="8" t="s">
        <v>520</v>
      </c>
      <c r="E42" s="15" t="s">
        <v>73</v>
      </c>
      <c r="F42" s="15" t="s">
        <v>73</v>
      </c>
      <c r="G42" s="15" t="s">
        <v>73</v>
      </c>
      <c r="H42" s="15" t="s">
        <v>73</v>
      </c>
      <c r="I42" s="15" t="s">
        <v>73</v>
      </c>
      <c r="J42" s="15" t="s">
        <v>73</v>
      </c>
      <c r="K42" s="15" t="s">
        <v>73</v>
      </c>
      <c r="L42" s="15" t="s">
        <v>73</v>
      </c>
      <c r="M42" s="15">
        <f>SUM(M36:M40)</f>
        <v>-11523</v>
      </c>
      <c r="N42" s="15">
        <f>SUM(N36:N40)</f>
        <v>-32707</v>
      </c>
      <c r="O42" s="15">
        <f>SUM(O36:O40)</f>
        <v>-103799</v>
      </c>
      <c r="P42" s="15" t="s">
        <v>73</v>
      </c>
      <c r="Q42" s="15" t="s">
        <v>73</v>
      </c>
      <c r="R42" s="15">
        <f>SUM(R35:R41)</f>
        <v>-1453475</v>
      </c>
      <c r="S42" s="15">
        <f>SUM(S35:S41)</f>
        <v>-1651237</v>
      </c>
      <c r="T42" s="15">
        <f>SUM(T35:T41)</f>
        <v>-2419757</v>
      </c>
      <c r="U42" s="15">
        <f>SUM(U35:U41)</f>
        <v>-3884265</v>
      </c>
      <c r="V42" s="15">
        <f t="shared" ref="V42:AE42" si="14">SUM(V35:V41)</f>
        <v>-2354418</v>
      </c>
      <c r="W42" s="15">
        <f t="shared" si="14"/>
        <v>-1409816</v>
      </c>
      <c r="X42" s="15">
        <f t="shared" si="14"/>
        <v>2548805</v>
      </c>
      <c r="Y42" s="15">
        <f t="shared" si="14"/>
        <v>4439296</v>
      </c>
      <c r="Z42" s="15">
        <f t="shared" si="14"/>
        <v>-1527367</v>
      </c>
      <c r="AA42" s="15">
        <f t="shared" si="14"/>
        <v>-786592</v>
      </c>
      <c r="AB42" s="15">
        <f t="shared" si="14"/>
        <v>-3039115</v>
      </c>
      <c r="AC42" s="15">
        <f t="shared" si="14"/>
        <v>-3026114</v>
      </c>
      <c r="AD42" s="15">
        <f t="shared" si="14"/>
        <v>-226497754</v>
      </c>
      <c r="AE42" s="15">
        <f t="shared" si="14"/>
        <v>-10738987</v>
      </c>
    </row>
    <row r="43" spans="1:31" s="8" customFormat="1">
      <c r="A43" s="1" t="s">
        <v>70</v>
      </c>
      <c r="B43" s="1" t="s">
        <v>71</v>
      </c>
      <c r="C43" s="8" t="s">
        <v>512</v>
      </c>
      <c r="D43" s="8" t="s">
        <v>521</v>
      </c>
      <c r="E43" s="16">
        <f>E21-E33</f>
        <v>745316</v>
      </c>
      <c r="F43" s="16">
        <f>F21-F33</f>
        <v>2180445</v>
      </c>
      <c r="G43" s="16">
        <f>G21-G33</f>
        <v>397491</v>
      </c>
      <c r="H43" s="16">
        <f>H21-H33</f>
        <v>2314039</v>
      </c>
      <c r="I43" s="16">
        <f>I21-I33</f>
        <v>1122486</v>
      </c>
      <c r="J43" s="15" t="s">
        <v>73</v>
      </c>
      <c r="K43" s="15" t="s">
        <v>73</v>
      </c>
      <c r="L43" s="15" t="s">
        <v>73</v>
      </c>
      <c r="M43" s="15">
        <f>M21-M33+M42</f>
        <v>-617672</v>
      </c>
      <c r="N43" s="15">
        <f>N21-N33+N42</f>
        <v>-817214</v>
      </c>
      <c r="O43" s="15">
        <f>O21-O33+O42</f>
        <v>-871472.42716871668</v>
      </c>
      <c r="P43" s="15" t="s">
        <v>73</v>
      </c>
      <c r="Q43" s="15" t="s">
        <v>73</v>
      </c>
      <c r="R43" s="15">
        <f>R42+R34</f>
        <v>1556441</v>
      </c>
      <c r="S43" s="15">
        <f>S42+S34</f>
        <v>1709417</v>
      </c>
      <c r="T43" s="15">
        <f>T42+T34</f>
        <v>889447</v>
      </c>
      <c r="U43" s="15">
        <f>U42+U34</f>
        <v>-482376</v>
      </c>
      <c r="V43" s="15">
        <f t="shared" ref="V43:AE43" si="15">V42+V34</f>
        <v>1745123</v>
      </c>
      <c r="W43" s="15">
        <f t="shared" si="15"/>
        <v>3633742</v>
      </c>
      <c r="X43" s="15">
        <f t="shared" si="15"/>
        <v>8446051</v>
      </c>
      <c r="Y43" s="15">
        <f t="shared" si="15"/>
        <v>11038007</v>
      </c>
      <c r="Z43" s="15">
        <f t="shared" si="15"/>
        <v>4999818</v>
      </c>
      <c r="AA43" s="15">
        <f t="shared" si="15"/>
        <v>4039039</v>
      </c>
      <c r="AB43" s="15">
        <f t="shared" si="15"/>
        <v>1384781</v>
      </c>
      <c r="AC43" s="15">
        <f t="shared" si="15"/>
        <v>931820</v>
      </c>
      <c r="AD43" s="15">
        <f t="shared" si="15"/>
        <v>-217509012</v>
      </c>
      <c r="AE43" s="15">
        <f t="shared" si="15"/>
        <v>3283187</v>
      </c>
    </row>
    <row r="44" spans="1:31" s="8" customFormat="1">
      <c r="A44" s="1" t="s">
        <v>70</v>
      </c>
      <c r="B44" s="1" t="s">
        <v>71</v>
      </c>
      <c r="C44" s="19" t="s">
        <v>514</v>
      </c>
      <c r="D44" s="19" t="s">
        <v>522</v>
      </c>
      <c r="E44" s="11" t="s">
        <v>73</v>
      </c>
      <c r="F44" s="11" t="s">
        <v>73</v>
      </c>
      <c r="G44" s="11" t="s">
        <v>73</v>
      </c>
      <c r="H44" s="11" t="s">
        <v>73</v>
      </c>
      <c r="I44" s="11" t="s">
        <v>73</v>
      </c>
      <c r="J44" s="11" t="s">
        <v>73</v>
      </c>
      <c r="K44" s="11" t="s">
        <v>73</v>
      </c>
      <c r="L44" s="11" t="s">
        <v>73</v>
      </c>
      <c r="M44" s="11" t="s">
        <v>73</v>
      </c>
      <c r="N44" s="11" t="s">
        <v>73</v>
      </c>
      <c r="O44" s="11" t="s">
        <v>73</v>
      </c>
      <c r="P44" s="11" t="s">
        <v>73</v>
      </c>
      <c r="Q44" s="11" t="s">
        <v>73</v>
      </c>
      <c r="R44" s="11" t="s">
        <v>73</v>
      </c>
      <c r="S44" s="11" t="s">
        <v>73</v>
      </c>
      <c r="T44" s="11" t="s">
        <v>73</v>
      </c>
      <c r="U44" s="11">
        <v>-3</v>
      </c>
      <c r="V44" s="11" t="s">
        <v>73</v>
      </c>
      <c r="W44" s="11" t="s">
        <v>73</v>
      </c>
      <c r="X44" s="11" t="s">
        <v>73</v>
      </c>
      <c r="Y44" s="11" t="s">
        <v>73</v>
      </c>
      <c r="Z44" s="11" t="s">
        <v>73</v>
      </c>
      <c r="AA44" s="31">
        <v>-1138357</v>
      </c>
      <c r="AB44" s="31">
        <v>0</v>
      </c>
      <c r="AC44" s="15">
        <v>0</v>
      </c>
      <c r="AD44" s="15">
        <v>0</v>
      </c>
      <c r="AE44" s="15">
        <v>0</v>
      </c>
    </row>
    <row r="45" spans="1:31">
      <c r="A45" s="1" t="s">
        <v>70</v>
      </c>
      <c r="B45" s="1" t="s">
        <v>71</v>
      </c>
      <c r="C45" s="8" t="s">
        <v>523</v>
      </c>
      <c r="D45" s="8" t="s">
        <v>524</v>
      </c>
      <c r="E45" s="15"/>
      <c r="F45" s="11"/>
      <c r="G45" s="11"/>
      <c r="H45" s="15"/>
      <c r="I45" s="15"/>
      <c r="J45" s="15" t="s">
        <v>73</v>
      </c>
      <c r="K45" s="15" t="s">
        <v>73</v>
      </c>
      <c r="L45" s="15" t="s">
        <v>73</v>
      </c>
      <c r="M45" s="15">
        <v>8441537</v>
      </c>
      <c r="N45" s="15">
        <f>M46</f>
        <v>7823865</v>
      </c>
      <c r="O45" s="15">
        <f>N46</f>
        <v>7006651</v>
      </c>
      <c r="P45" s="15" t="s">
        <v>73</v>
      </c>
      <c r="Q45" s="15" t="s">
        <v>73</v>
      </c>
      <c r="R45" s="15">
        <v>108141719</v>
      </c>
      <c r="S45" s="15">
        <f t="shared" ref="S45:Y45" si="16">R46</f>
        <v>109698160</v>
      </c>
      <c r="T45" s="15">
        <f t="shared" si="16"/>
        <v>111407577</v>
      </c>
      <c r="U45" s="15">
        <f t="shared" si="16"/>
        <v>112297024</v>
      </c>
      <c r="V45" s="15">
        <f t="shared" si="16"/>
        <v>111814645</v>
      </c>
      <c r="W45" s="15">
        <f t="shared" si="16"/>
        <v>113559768</v>
      </c>
      <c r="X45" s="15">
        <f t="shared" si="16"/>
        <v>117193510</v>
      </c>
      <c r="Y45" s="15">
        <f t="shared" si="16"/>
        <v>125639561</v>
      </c>
      <c r="Z45" s="15">
        <v>136677568</v>
      </c>
      <c r="AA45" s="15">
        <f>Z46</f>
        <v>141677386</v>
      </c>
      <c r="AB45" s="15">
        <f>AA46</f>
        <v>144578068</v>
      </c>
      <c r="AC45" s="15">
        <f>AB46</f>
        <v>145962849</v>
      </c>
      <c r="AD45" s="15">
        <f>AC46</f>
        <v>146894669</v>
      </c>
      <c r="AE45" s="15">
        <f>AD46</f>
        <v>-70614343</v>
      </c>
    </row>
    <row r="46" spans="1:31">
      <c r="A46" s="1" t="s">
        <v>70</v>
      </c>
      <c r="B46" s="1" t="s">
        <v>71</v>
      </c>
      <c r="C46" s="8" t="s">
        <v>523</v>
      </c>
      <c r="D46" s="8" t="s">
        <v>525</v>
      </c>
      <c r="E46" s="15"/>
      <c r="F46" s="11"/>
      <c r="G46" s="11"/>
      <c r="H46" s="15"/>
      <c r="I46" s="15"/>
      <c r="J46" s="15" t="s">
        <v>73</v>
      </c>
      <c r="K46" s="15" t="s">
        <v>73</v>
      </c>
      <c r="L46" s="15" t="s">
        <v>73</v>
      </c>
      <c r="M46" s="15">
        <f>SUM(M43:M45)</f>
        <v>7823865</v>
      </c>
      <c r="N46" s="15">
        <f>SUM(N43:N45)</f>
        <v>7006651</v>
      </c>
      <c r="O46" s="15">
        <f>SUM(O43:O45)</f>
        <v>6135178.5728312833</v>
      </c>
      <c r="P46" s="15" t="s">
        <v>73</v>
      </c>
      <c r="Q46" s="15" t="s">
        <v>73</v>
      </c>
      <c r="R46" s="15">
        <f t="shared" ref="R46:AE46" si="17">SUM(R43:R45)</f>
        <v>109698160</v>
      </c>
      <c r="S46" s="15">
        <f t="shared" si="17"/>
        <v>111407577</v>
      </c>
      <c r="T46" s="15">
        <f t="shared" si="17"/>
        <v>112297024</v>
      </c>
      <c r="U46" s="15">
        <f t="shared" si="17"/>
        <v>111814645</v>
      </c>
      <c r="V46" s="15">
        <f t="shared" si="17"/>
        <v>113559768</v>
      </c>
      <c r="W46" s="15">
        <f t="shared" si="17"/>
        <v>117193510</v>
      </c>
      <c r="X46" s="15">
        <f t="shared" si="17"/>
        <v>125639561</v>
      </c>
      <c r="Y46" s="15">
        <f t="shared" si="17"/>
        <v>136677568</v>
      </c>
      <c r="Z46" s="15">
        <f t="shared" si="17"/>
        <v>141677386</v>
      </c>
      <c r="AA46" s="15">
        <f t="shared" si="17"/>
        <v>144578068</v>
      </c>
      <c r="AB46" s="15">
        <f t="shared" si="17"/>
        <v>145962849</v>
      </c>
      <c r="AC46" s="15">
        <f t="shared" si="17"/>
        <v>146894669</v>
      </c>
      <c r="AD46" s="15">
        <f t="shared" si="17"/>
        <v>-70614343</v>
      </c>
      <c r="AE46" s="15">
        <f t="shared" si="17"/>
        <v>-67331156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D51"/>
  <sheetViews>
    <sheetView workbookViewId="0">
      <pane xSplit="4" ySplit="2" topLeftCell="V24" activePane="bottomRight" state="frozen"/>
      <selection pane="bottomRight" activeCell="AA43" sqref="AA43:AC43"/>
      <selection pane="bottomLeft" activeCell="A3" sqref="A3"/>
      <selection pane="topRight" activeCell="E1" sqref="E1"/>
    </sheetView>
  </sheetViews>
  <sheetFormatPr defaultColWidth="8.85546875" defaultRowHeight="14.45"/>
  <cols>
    <col min="1" max="1" width="10.42578125" style="1" bestFit="1" customWidth="1"/>
    <col min="2" max="2" width="13" style="1" customWidth="1"/>
    <col min="3" max="3" width="8.85546875" style="1"/>
    <col min="4" max="4" width="28.42578125" style="1" customWidth="1"/>
    <col min="5" max="5" width="8.85546875" style="1"/>
    <col min="6" max="6" width="12.42578125" style="1" bestFit="1" customWidth="1"/>
    <col min="7" max="7" width="12.5703125" style="1" bestFit="1" customWidth="1"/>
    <col min="8" max="10" width="8.42578125" style="1" bestFit="1" customWidth="1"/>
    <col min="11" max="14" width="11.5703125" style="1" bestFit="1" customWidth="1"/>
    <col min="15" max="18" width="12.5703125" style="1" bestFit="1" customWidth="1"/>
    <col min="19" max="19" width="12.42578125" style="1" customWidth="1"/>
    <col min="20" max="21" width="12.5703125" style="1" bestFit="1" customWidth="1"/>
    <col min="22" max="22" width="12.42578125" style="1" customWidth="1"/>
    <col min="23" max="23" width="12.5703125" style="1" customWidth="1"/>
    <col min="24" max="24" width="14.42578125" style="1" customWidth="1"/>
    <col min="25" max="25" width="12.5703125" style="1" customWidth="1"/>
    <col min="26" max="29" width="12.5703125" style="1" bestFit="1" customWidth="1"/>
    <col min="30" max="16384" width="8.85546875" style="1"/>
  </cols>
  <sheetData>
    <row r="1" spans="1:30">
      <c r="E1" s="56">
        <v>1994</v>
      </c>
      <c r="F1" s="56">
        <f>E1+1</f>
        <v>1995</v>
      </c>
      <c r="G1" s="56">
        <f>F1+1</f>
        <v>1996</v>
      </c>
      <c r="H1" s="56">
        <f t="shared" ref="H1:AC1" si="0">G1+1</f>
        <v>1997</v>
      </c>
      <c r="I1" s="56">
        <f t="shared" si="0"/>
        <v>1998</v>
      </c>
      <c r="J1" s="56">
        <f t="shared" si="0"/>
        <v>1999</v>
      </c>
      <c r="K1" s="56">
        <f t="shared" si="0"/>
        <v>2000</v>
      </c>
      <c r="L1" s="56">
        <f t="shared" si="0"/>
        <v>2001</v>
      </c>
      <c r="M1" s="56">
        <f t="shared" si="0"/>
        <v>2002</v>
      </c>
      <c r="N1" s="56">
        <f t="shared" si="0"/>
        <v>2003</v>
      </c>
      <c r="O1" s="56">
        <f t="shared" si="0"/>
        <v>2004</v>
      </c>
      <c r="P1" s="56">
        <f t="shared" si="0"/>
        <v>2005</v>
      </c>
      <c r="Q1" s="56">
        <f t="shared" si="0"/>
        <v>2006</v>
      </c>
      <c r="R1" s="56">
        <f t="shared" si="0"/>
        <v>2007</v>
      </c>
      <c r="S1" s="56">
        <f t="shared" si="0"/>
        <v>2008</v>
      </c>
      <c r="T1" s="56">
        <f t="shared" si="0"/>
        <v>2009</v>
      </c>
      <c r="U1" s="56">
        <f t="shared" si="0"/>
        <v>2010</v>
      </c>
      <c r="V1" s="56">
        <f t="shared" si="0"/>
        <v>2011</v>
      </c>
      <c r="W1" s="56">
        <f t="shared" si="0"/>
        <v>2012</v>
      </c>
      <c r="X1" s="56">
        <f t="shared" si="0"/>
        <v>2013</v>
      </c>
      <c r="Y1" s="56">
        <f t="shared" si="0"/>
        <v>2014</v>
      </c>
      <c r="Z1" s="56">
        <f t="shared" si="0"/>
        <v>2015</v>
      </c>
      <c r="AA1" s="56">
        <f t="shared" si="0"/>
        <v>2016</v>
      </c>
      <c r="AB1" s="56">
        <f t="shared" si="0"/>
        <v>2017</v>
      </c>
      <c r="AC1" s="56">
        <f t="shared" si="0"/>
        <v>2018</v>
      </c>
    </row>
    <row r="2" spans="1:30">
      <c r="A2" s="2" t="s">
        <v>51</v>
      </c>
      <c r="B2" s="2" t="s">
        <v>52</v>
      </c>
      <c r="C2" s="2" t="s">
        <v>481</v>
      </c>
      <c r="D2" s="2" t="s">
        <v>482</v>
      </c>
      <c r="E2" s="7" t="s">
        <v>526</v>
      </c>
      <c r="F2" s="7" t="s">
        <v>527</v>
      </c>
      <c r="G2" s="7" t="s">
        <v>528</v>
      </c>
      <c r="H2" s="7" t="s">
        <v>529</v>
      </c>
      <c r="I2" s="7" t="s">
        <v>530</v>
      </c>
      <c r="J2" s="7" t="s">
        <v>531</v>
      </c>
      <c r="K2" s="7" t="s">
        <v>532</v>
      </c>
      <c r="L2" s="7" t="s">
        <v>533</v>
      </c>
      <c r="M2" s="7" t="s">
        <v>534</v>
      </c>
      <c r="N2" s="7" t="s">
        <v>535</v>
      </c>
      <c r="O2" s="7" t="s">
        <v>536</v>
      </c>
      <c r="P2" s="7" t="s">
        <v>537</v>
      </c>
      <c r="Q2" s="7" t="s">
        <v>538</v>
      </c>
      <c r="R2" s="7" t="s">
        <v>539</v>
      </c>
      <c r="S2" s="7" t="s">
        <v>540</v>
      </c>
      <c r="T2" s="7" t="s">
        <v>541</v>
      </c>
      <c r="U2" s="7" t="s">
        <v>542</v>
      </c>
      <c r="V2" s="7" t="s">
        <v>543</v>
      </c>
      <c r="W2" s="7" t="s">
        <v>544</v>
      </c>
      <c r="X2" s="7" t="s">
        <v>545</v>
      </c>
      <c r="Y2" s="7" t="s">
        <v>546</v>
      </c>
      <c r="Z2" s="7" t="s">
        <v>547</v>
      </c>
      <c r="AA2" s="7" t="s">
        <v>548</v>
      </c>
      <c r="AB2" s="7" t="s">
        <v>549</v>
      </c>
      <c r="AC2" s="7" t="s">
        <v>550</v>
      </c>
    </row>
    <row r="3" spans="1:30">
      <c r="A3" s="1" t="s">
        <v>70</v>
      </c>
      <c r="B3" s="1" t="s">
        <v>71</v>
      </c>
      <c r="C3" s="1" t="s">
        <v>551</v>
      </c>
      <c r="D3" s="1" t="s">
        <v>552</v>
      </c>
      <c r="E3" s="11"/>
      <c r="F3" s="11">
        <v>253040</v>
      </c>
      <c r="G3" s="11">
        <v>287356</v>
      </c>
      <c r="H3" s="11"/>
      <c r="I3" s="11"/>
      <c r="J3" s="13"/>
      <c r="K3" s="13">
        <v>1601579</v>
      </c>
      <c r="L3" s="13">
        <v>1586121</v>
      </c>
      <c r="M3" s="13">
        <v>1908135</v>
      </c>
      <c r="N3" s="13"/>
      <c r="O3" s="13"/>
      <c r="P3" s="13">
        <v>2938394</v>
      </c>
      <c r="Q3" s="13">
        <v>1500470</v>
      </c>
      <c r="R3" s="13">
        <v>1148551</v>
      </c>
      <c r="S3" s="13">
        <v>2124406</v>
      </c>
      <c r="T3" s="13">
        <v>1164346</v>
      </c>
      <c r="U3" s="13">
        <v>1346773</v>
      </c>
      <c r="V3" s="13">
        <v>2788085</v>
      </c>
      <c r="W3" s="13">
        <v>2723582</v>
      </c>
      <c r="X3" s="13">
        <v>2464784</v>
      </c>
      <c r="Y3" s="13">
        <v>1750572</v>
      </c>
      <c r="Z3" s="13">
        <v>2257395</v>
      </c>
      <c r="AA3" s="13">
        <v>2426395</v>
      </c>
      <c r="AB3" s="13">
        <v>1187229</v>
      </c>
      <c r="AC3" s="1">
        <v>2420679</v>
      </c>
    </row>
    <row r="4" spans="1:30">
      <c r="A4" s="1" t="s">
        <v>70</v>
      </c>
      <c r="B4" s="1" t="s">
        <v>71</v>
      </c>
      <c r="C4" s="1" t="s">
        <v>551</v>
      </c>
      <c r="D4" s="1" t="s">
        <v>553</v>
      </c>
      <c r="E4" s="11"/>
      <c r="F4" s="11">
        <v>888948</v>
      </c>
      <c r="G4" s="11">
        <v>720846</v>
      </c>
      <c r="H4" s="11"/>
      <c r="I4" s="11"/>
      <c r="J4" s="13"/>
      <c r="K4" s="13">
        <v>592634</v>
      </c>
      <c r="L4" s="13">
        <v>565581</v>
      </c>
      <c r="M4" s="13">
        <v>548674</v>
      </c>
      <c r="N4" s="13"/>
      <c r="O4" s="13"/>
      <c r="P4" s="13">
        <v>2537983</v>
      </c>
      <c r="Q4" s="13">
        <v>2524829</v>
      </c>
      <c r="R4" s="13">
        <v>2951217</v>
      </c>
      <c r="S4" s="13">
        <v>2595865</v>
      </c>
      <c r="T4" s="13">
        <v>2931359</v>
      </c>
      <c r="U4" s="13">
        <v>2814750</v>
      </c>
      <c r="V4" s="13">
        <v>3178987</v>
      </c>
      <c r="W4" s="13">
        <v>3575691</v>
      </c>
      <c r="X4" s="13">
        <v>3840192</v>
      </c>
      <c r="Y4" s="13">
        <v>3550609</v>
      </c>
      <c r="Z4" s="13">
        <v>3972404</v>
      </c>
      <c r="AA4" s="13">
        <v>3890186</v>
      </c>
      <c r="AB4" s="13">
        <v>3728307</v>
      </c>
      <c r="AC4" s="1">
        <v>4460455</v>
      </c>
    </row>
    <row r="5" spans="1:30">
      <c r="A5" s="1" t="s">
        <v>70</v>
      </c>
      <c r="B5" s="1" t="s">
        <v>71</v>
      </c>
      <c r="C5" s="1" t="s">
        <v>551</v>
      </c>
      <c r="D5" s="1" t="s">
        <v>554</v>
      </c>
      <c r="E5" s="11"/>
      <c r="F5" s="11">
        <v>83483</v>
      </c>
      <c r="G5" s="11">
        <v>138895</v>
      </c>
      <c r="H5" s="11"/>
      <c r="I5" s="11"/>
      <c r="J5" s="11"/>
      <c r="K5" s="11">
        <v>90303</v>
      </c>
      <c r="L5" s="11">
        <v>20472</v>
      </c>
      <c r="M5" s="11">
        <v>8487</v>
      </c>
      <c r="N5" s="11"/>
      <c r="O5" s="11"/>
      <c r="P5" s="11">
        <v>34486</v>
      </c>
      <c r="Q5" s="11">
        <v>114195</v>
      </c>
      <c r="R5" s="11">
        <v>90583</v>
      </c>
      <c r="S5" s="11">
        <v>3356</v>
      </c>
      <c r="T5" s="11">
        <v>0</v>
      </c>
      <c r="U5" s="13">
        <v>1026</v>
      </c>
      <c r="V5" s="13">
        <v>0</v>
      </c>
      <c r="W5" s="13" t="s">
        <v>73</v>
      </c>
      <c r="X5" s="13" t="s">
        <v>73</v>
      </c>
      <c r="Y5" s="13" t="s">
        <v>73</v>
      </c>
      <c r="Z5" s="13" t="s">
        <v>73</v>
      </c>
      <c r="AA5" s="13" t="s">
        <v>73</v>
      </c>
      <c r="AB5" s="13">
        <v>15956</v>
      </c>
      <c r="AC5" s="13">
        <v>29077</v>
      </c>
    </row>
    <row r="6" spans="1:30">
      <c r="A6" s="1" t="s">
        <v>70</v>
      </c>
      <c r="B6" s="1" t="s">
        <v>71</v>
      </c>
      <c r="C6" s="1" t="s">
        <v>551</v>
      </c>
      <c r="D6" s="1" t="s">
        <v>555</v>
      </c>
      <c r="E6" s="11"/>
      <c r="F6" s="11">
        <v>72907</v>
      </c>
      <c r="G6" s="11">
        <v>131784</v>
      </c>
      <c r="H6" s="11"/>
      <c r="I6" s="11"/>
      <c r="J6" s="13"/>
      <c r="K6" s="13">
        <v>27668</v>
      </c>
      <c r="L6" s="13">
        <v>82341</v>
      </c>
      <c r="M6" s="13">
        <v>147922</v>
      </c>
      <c r="N6" s="13"/>
      <c r="O6" s="13"/>
      <c r="P6" s="13">
        <v>455360</v>
      </c>
      <c r="Q6" s="13">
        <v>372632</v>
      </c>
      <c r="R6" s="13">
        <v>374241</v>
      </c>
      <c r="S6" s="13">
        <v>377447</v>
      </c>
      <c r="T6" s="13">
        <v>275446</v>
      </c>
      <c r="U6" s="13">
        <v>509550</v>
      </c>
      <c r="V6" s="13">
        <v>675502</v>
      </c>
      <c r="W6" s="13">
        <v>383206</v>
      </c>
      <c r="X6" s="13">
        <v>386305</v>
      </c>
      <c r="Y6" s="13">
        <v>373823</v>
      </c>
      <c r="Z6" s="13">
        <v>302466</v>
      </c>
      <c r="AA6" s="13">
        <v>301183</v>
      </c>
      <c r="AB6" s="13">
        <v>476123</v>
      </c>
      <c r="AC6" s="1">
        <v>307825</v>
      </c>
    </row>
    <row r="7" spans="1:30">
      <c r="A7" s="1" t="s">
        <v>70</v>
      </c>
      <c r="B7" s="1" t="s">
        <v>71</v>
      </c>
      <c r="C7" s="1" t="s">
        <v>551</v>
      </c>
      <c r="D7" s="1" t="s">
        <v>556</v>
      </c>
      <c r="E7" s="11"/>
      <c r="F7" s="11">
        <v>0</v>
      </c>
      <c r="G7" s="11">
        <v>1142559</v>
      </c>
      <c r="H7" s="11"/>
      <c r="I7" s="11"/>
      <c r="J7" s="13"/>
      <c r="K7" s="13" t="s">
        <v>73</v>
      </c>
      <c r="L7" s="13" t="s">
        <v>73</v>
      </c>
      <c r="M7" s="13" t="s">
        <v>73</v>
      </c>
      <c r="N7" s="13"/>
      <c r="O7" s="13"/>
      <c r="P7" s="13" t="s">
        <v>73</v>
      </c>
      <c r="Q7" s="13" t="s">
        <v>73</v>
      </c>
      <c r="R7" s="11" t="s">
        <v>73</v>
      </c>
      <c r="S7" s="11" t="s">
        <v>73</v>
      </c>
      <c r="T7" s="11" t="s">
        <v>73</v>
      </c>
      <c r="U7" s="11" t="s">
        <v>73</v>
      </c>
      <c r="V7" s="13" t="s">
        <v>73</v>
      </c>
      <c r="W7" s="13" t="s">
        <v>73</v>
      </c>
      <c r="X7" s="13" t="s">
        <v>73</v>
      </c>
      <c r="Y7" s="13" t="s">
        <v>73</v>
      </c>
      <c r="Z7" s="13" t="s">
        <v>73</v>
      </c>
      <c r="AA7" s="13" t="s">
        <v>73</v>
      </c>
      <c r="AB7" s="13" t="s">
        <v>73</v>
      </c>
      <c r="AC7" s="13" t="s">
        <v>73</v>
      </c>
    </row>
    <row r="8" spans="1:30">
      <c r="A8" s="1" t="s">
        <v>70</v>
      </c>
      <c r="B8" s="1" t="s">
        <v>71</v>
      </c>
      <c r="C8" s="1" t="s">
        <v>551</v>
      </c>
      <c r="D8" s="1" t="s">
        <v>557</v>
      </c>
      <c r="E8" s="11"/>
      <c r="F8" s="11"/>
      <c r="G8" s="11">
        <v>0</v>
      </c>
      <c r="H8" s="11"/>
      <c r="I8" s="11"/>
      <c r="J8" s="11"/>
      <c r="K8" s="13">
        <v>0</v>
      </c>
      <c r="L8" s="13">
        <v>0</v>
      </c>
      <c r="M8" s="13">
        <v>0</v>
      </c>
      <c r="N8" s="11"/>
      <c r="O8" s="11"/>
      <c r="P8" s="13">
        <v>521292</v>
      </c>
      <c r="Q8" s="13">
        <v>7401699</v>
      </c>
      <c r="R8" s="11">
        <v>7279358</v>
      </c>
      <c r="S8" s="11">
        <v>2051200</v>
      </c>
      <c r="T8" s="11">
        <v>2667487</v>
      </c>
      <c r="U8" s="11">
        <v>3174268</v>
      </c>
      <c r="V8" s="13">
        <v>3180645</v>
      </c>
      <c r="W8" s="13">
        <v>3687544</v>
      </c>
      <c r="X8" s="13">
        <v>4321527</v>
      </c>
      <c r="Y8" s="13">
        <v>4031344</v>
      </c>
      <c r="Z8" s="13">
        <v>3583825</v>
      </c>
      <c r="AA8" s="13">
        <v>3590996</v>
      </c>
      <c r="AB8" s="13">
        <v>3009242</v>
      </c>
      <c r="AC8" s="1">
        <v>4484450</v>
      </c>
    </row>
    <row r="9" spans="1:30">
      <c r="A9" s="1" t="s">
        <v>70</v>
      </c>
      <c r="B9" s="1" t="s">
        <v>71</v>
      </c>
      <c r="C9" s="1" t="s">
        <v>551</v>
      </c>
      <c r="D9" s="1" t="s">
        <v>510</v>
      </c>
      <c r="E9" s="11"/>
      <c r="F9" s="11" t="s">
        <v>558</v>
      </c>
      <c r="G9" s="11" t="s">
        <v>73</v>
      </c>
      <c r="H9" s="11"/>
      <c r="I9" s="11"/>
      <c r="J9" s="11"/>
      <c r="K9" s="13" t="s">
        <v>73</v>
      </c>
      <c r="L9" s="13" t="s">
        <v>73</v>
      </c>
      <c r="M9" s="13" t="s">
        <v>73</v>
      </c>
      <c r="N9" s="13"/>
      <c r="O9" s="13"/>
      <c r="P9" s="13" t="s">
        <v>73</v>
      </c>
      <c r="Q9" s="13" t="s">
        <v>73</v>
      </c>
      <c r="R9" s="11" t="s">
        <v>73</v>
      </c>
      <c r="S9" s="11" t="s">
        <v>73</v>
      </c>
      <c r="T9" s="11" t="s">
        <v>73</v>
      </c>
      <c r="U9" s="11" t="s">
        <v>73</v>
      </c>
      <c r="V9" s="13" t="s">
        <v>73</v>
      </c>
      <c r="W9" s="13" t="s">
        <v>73</v>
      </c>
      <c r="X9" s="13" t="s">
        <v>73</v>
      </c>
      <c r="Y9" s="13" t="s">
        <v>73</v>
      </c>
      <c r="Z9" s="13" t="s">
        <v>73</v>
      </c>
      <c r="AA9" s="13" t="s">
        <v>73</v>
      </c>
      <c r="AB9" s="13" t="s">
        <v>73</v>
      </c>
      <c r="AC9" s="1" t="s">
        <v>73</v>
      </c>
    </row>
    <row r="10" spans="1:30" s="8" customFormat="1">
      <c r="A10" s="1" t="s">
        <v>70</v>
      </c>
      <c r="B10" s="1" t="s">
        <v>71</v>
      </c>
      <c r="C10" s="8" t="s">
        <v>551</v>
      </c>
      <c r="D10" s="8" t="s">
        <v>559</v>
      </c>
      <c r="E10" s="11"/>
      <c r="F10" s="15">
        <f>SUM(F3:F9)</f>
        <v>1298378</v>
      </c>
      <c r="G10" s="15">
        <f>SUM(G3:G9)</f>
        <v>2421440</v>
      </c>
      <c r="H10" s="15"/>
      <c r="I10" s="15"/>
      <c r="J10" s="15"/>
      <c r="K10" s="15">
        <f>SUM(K3:K9)</f>
        <v>2312184</v>
      </c>
      <c r="L10" s="15">
        <f>SUM(L3:L9)</f>
        <v>2254515</v>
      </c>
      <c r="M10" s="15">
        <f>SUM(M3:M9)</f>
        <v>2613218</v>
      </c>
      <c r="N10" s="15"/>
      <c r="O10" s="15"/>
      <c r="P10" s="15">
        <f t="shared" ref="P10:U10" si="1">SUM(P3:P9)</f>
        <v>6487515</v>
      </c>
      <c r="Q10" s="15">
        <f t="shared" si="1"/>
        <v>11913825</v>
      </c>
      <c r="R10" s="15">
        <f t="shared" si="1"/>
        <v>11843950</v>
      </c>
      <c r="S10" s="15">
        <f t="shared" si="1"/>
        <v>7152274</v>
      </c>
      <c r="T10" s="15">
        <f t="shared" si="1"/>
        <v>7038638</v>
      </c>
      <c r="U10" s="15">
        <f t="shared" si="1"/>
        <v>7846367</v>
      </c>
      <c r="V10" s="15">
        <f t="shared" ref="V10:AC10" si="2">SUM(V3:V9)</f>
        <v>9823219</v>
      </c>
      <c r="W10" s="15">
        <f t="shared" si="2"/>
        <v>10370023</v>
      </c>
      <c r="X10" s="15">
        <f t="shared" si="2"/>
        <v>11012808</v>
      </c>
      <c r="Y10" s="15">
        <f t="shared" si="2"/>
        <v>9706348</v>
      </c>
      <c r="Z10" s="15">
        <f t="shared" si="2"/>
        <v>10116090</v>
      </c>
      <c r="AA10" s="15">
        <f t="shared" si="2"/>
        <v>10208760</v>
      </c>
      <c r="AB10" s="15">
        <f t="shared" si="2"/>
        <v>8416857</v>
      </c>
      <c r="AC10" s="15">
        <f t="shared" si="2"/>
        <v>11702486</v>
      </c>
    </row>
    <row r="11" spans="1:30">
      <c r="A11" s="1" t="s">
        <v>70</v>
      </c>
      <c r="B11" s="1" t="s">
        <v>71</v>
      </c>
      <c r="C11" s="1" t="s">
        <v>560</v>
      </c>
      <c r="D11" s="1" t="s">
        <v>561</v>
      </c>
      <c r="E11" s="11"/>
      <c r="F11" s="11">
        <v>31938346</v>
      </c>
      <c r="G11" s="11">
        <v>28989663</v>
      </c>
      <c r="H11" s="11"/>
      <c r="I11" s="11"/>
      <c r="J11" s="13"/>
      <c r="K11" s="13">
        <v>3075810</v>
      </c>
      <c r="L11" s="13">
        <v>3294339</v>
      </c>
      <c r="M11" s="13">
        <v>3367965</v>
      </c>
      <c r="N11" s="13"/>
      <c r="O11" s="13"/>
      <c r="P11" s="13">
        <f>6440606</f>
        <v>6440606</v>
      </c>
      <c r="Q11" s="13">
        <f>1001474</f>
        <v>1001474</v>
      </c>
      <c r="R11" s="13">
        <f>6376476</f>
        <v>6376476</v>
      </c>
      <c r="S11" s="13">
        <f>4711303</f>
        <v>4711303</v>
      </c>
      <c r="T11" s="13">
        <f>2393191</f>
        <v>2393191</v>
      </c>
      <c r="U11" s="13">
        <v>19012941</v>
      </c>
      <c r="V11" s="13">
        <v>13094693</v>
      </c>
      <c r="W11" s="13">
        <v>6665216</v>
      </c>
      <c r="X11" s="13">
        <v>2875018</v>
      </c>
      <c r="Y11" s="13">
        <v>3842463</v>
      </c>
      <c r="Z11" s="13">
        <v>2260868</v>
      </c>
      <c r="AA11" s="13">
        <v>1220873</v>
      </c>
      <c r="AB11" s="13">
        <v>243872</v>
      </c>
      <c r="AC11" s="13">
        <v>247194</v>
      </c>
    </row>
    <row r="12" spans="1:30">
      <c r="A12" s="1" t="s">
        <v>70</v>
      </c>
      <c r="B12" s="1" t="s">
        <v>71</v>
      </c>
      <c r="C12" s="1" t="s">
        <v>560</v>
      </c>
      <c r="D12" s="1" t="s">
        <v>562</v>
      </c>
      <c r="E12" s="11"/>
      <c r="F12" s="11">
        <v>397827</v>
      </c>
      <c r="G12" s="11">
        <v>355462</v>
      </c>
      <c r="H12" s="11"/>
      <c r="I12" s="11"/>
      <c r="J12" s="13"/>
      <c r="K12" s="13" t="s">
        <v>73</v>
      </c>
      <c r="L12" s="13" t="s">
        <v>73</v>
      </c>
      <c r="M12" s="13" t="s">
        <v>73</v>
      </c>
      <c r="N12" s="13"/>
      <c r="O12" s="13"/>
      <c r="P12" s="13">
        <v>1086331</v>
      </c>
      <c r="Q12" s="13">
        <v>5968325</v>
      </c>
      <c r="R12" s="13">
        <v>781454</v>
      </c>
      <c r="S12" s="13">
        <v>804964</v>
      </c>
      <c r="T12" s="13">
        <v>837216</v>
      </c>
      <c r="U12" s="13">
        <v>876519</v>
      </c>
      <c r="V12" s="13">
        <v>884555</v>
      </c>
      <c r="W12" s="13">
        <v>1022413</v>
      </c>
      <c r="X12" s="13">
        <v>1055241</v>
      </c>
      <c r="Y12" s="13">
        <v>1054883</v>
      </c>
      <c r="Z12" s="13">
        <v>1056046</v>
      </c>
      <c r="AA12" s="13">
        <v>1053440</v>
      </c>
      <c r="AB12" s="13">
        <v>1152851</v>
      </c>
      <c r="AC12" s="13">
        <v>1041048</v>
      </c>
    </row>
    <row r="13" spans="1:30">
      <c r="A13" s="1" t="s">
        <v>70</v>
      </c>
      <c r="B13" s="1" t="s">
        <v>71</v>
      </c>
      <c r="C13" s="1" t="s">
        <v>560</v>
      </c>
      <c r="D13" s="1" t="s">
        <v>116</v>
      </c>
      <c r="E13" s="11"/>
      <c r="F13" s="11" t="s">
        <v>73</v>
      </c>
      <c r="G13" s="11" t="s">
        <v>73</v>
      </c>
      <c r="H13" s="11"/>
      <c r="I13" s="11"/>
      <c r="J13" s="13"/>
      <c r="K13" s="13" t="s">
        <v>73</v>
      </c>
      <c r="L13" s="13" t="s">
        <v>73</v>
      </c>
      <c r="M13" s="13" t="s">
        <v>73</v>
      </c>
      <c r="N13" s="13"/>
      <c r="O13" s="13"/>
      <c r="P13" s="13">
        <v>5046399</v>
      </c>
      <c r="Q13" s="13">
        <v>0</v>
      </c>
      <c r="R13" s="13" t="s">
        <v>73</v>
      </c>
      <c r="S13" s="13" t="s">
        <v>73</v>
      </c>
      <c r="T13" s="13" t="s">
        <v>73</v>
      </c>
      <c r="U13" s="13">
        <v>1999199</v>
      </c>
      <c r="V13" s="13">
        <v>1999199</v>
      </c>
      <c r="W13" s="13">
        <v>1999199</v>
      </c>
      <c r="X13" s="13">
        <v>1999199</v>
      </c>
      <c r="Y13" s="13">
        <v>2001710</v>
      </c>
      <c r="Z13" s="13">
        <v>2131528</v>
      </c>
      <c r="AA13" s="13">
        <v>2132427</v>
      </c>
      <c r="AB13" s="13">
        <v>2036583</v>
      </c>
      <c r="AC13" s="13">
        <v>2067009</v>
      </c>
    </row>
    <row r="14" spans="1:30">
      <c r="A14" s="1" t="s">
        <v>70</v>
      </c>
      <c r="B14" s="1" t="s">
        <v>71</v>
      </c>
      <c r="C14" s="1" t="s">
        <v>560</v>
      </c>
      <c r="D14" s="1" t="s">
        <v>563</v>
      </c>
      <c r="E14" s="11"/>
      <c r="F14" s="11" t="s">
        <v>73</v>
      </c>
      <c r="G14" s="11" t="s">
        <v>73</v>
      </c>
      <c r="H14" s="11"/>
      <c r="I14" s="11"/>
      <c r="J14" s="11"/>
      <c r="K14" s="13" t="s">
        <v>73</v>
      </c>
      <c r="L14" s="13" t="s">
        <v>73</v>
      </c>
      <c r="M14" s="13" t="s">
        <v>73</v>
      </c>
      <c r="N14" s="11"/>
      <c r="O14" s="11"/>
      <c r="P14" s="11" t="s">
        <v>73</v>
      </c>
      <c r="Q14" s="11" t="s">
        <v>73</v>
      </c>
      <c r="R14" s="11" t="s">
        <v>73</v>
      </c>
      <c r="S14" s="11" t="s">
        <v>73</v>
      </c>
      <c r="T14" s="11" t="s">
        <v>73</v>
      </c>
      <c r="U14" s="11" t="s">
        <v>73</v>
      </c>
      <c r="V14" s="13" t="s">
        <v>73</v>
      </c>
      <c r="W14" s="13" t="s">
        <v>73</v>
      </c>
      <c r="X14" s="13" t="s">
        <v>73</v>
      </c>
      <c r="Y14" s="13" t="s">
        <v>73</v>
      </c>
      <c r="Z14" s="13">
        <v>364110</v>
      </c>
      <c r="AA14" s="13">
        <v>364266</v>
      </c>
      <c r="AB14" s="13">
        <v>1081611</v>
      </c>
      <c r="AC14" s="13">
        <v>1097730</v>
      </c>
    </row>
    <row r="15" spans="1:30">
      <c r="A15" s="1" t="s">
        <v>70</v>
      </c>
      <c r="B15" s="1" t="s">
        <v>71</v>
      </c>
      <c r="C15" s="1" t="s">
        <v>560</v>
      </c>
      <c r="D15" s="1" t="s">
        <v>564</v>
      </c>
      <c r="E15" s="11"/>
      <c r="F15" s="11">
        <v>2317471</v>
      </c>
      <c r="G15" s="11">
        <v>146695</v>
      </c>
      <c r="H15" s="11"/>
      <c r="I15" s="11"/>
      <c r="J15" s="11"/>
      <c r="K15" s="13" t="s">
        <v>73</v>
      </c>
      <c r="L15" s="13" t="s">
        <v>73</v>
      </c>
      <c r="M15" s="13" t="s">
        <v>73</v>
      </c>
      <c r="N15" s="11"/>
      <c r="O15" s="11"/>
      <c r="P15" s="11">
        <v>134811</v>
      </c>
      <c r="Q15" s="11">
        <v>142295</v>
      </c>
      <c r="R15" s="11">
        <v>149685</v>
      </c>
      <c r="S15" s="11">
        <v>0</v>
      </c>
      <c r="T15" s="11">
        <v>0</v>
      </c>
      <c r="U15" s="11">
        <v>0</v>
      </c>
      <c r="V15" s="13" t="s">
        <v>73</v>
      </c>
      <c r="W15" s="13" t="s">
        <v>73</v>
      </c>
      <c r="X15" s="13" t="s">
        <v>73</v>
      </c>
      <c r="Y15" s="13" t="s">
        <v>73</v>
      </c>
      <c r="Z15" s="13" t="s">
        <v>73</v>
      </c>
      <c r="AA15" s="13" t="s">
        <v>73</v>
      </c>
      <c r="AB15" s="13" t="s">
        <v>73</v>
      </c>
      <c r="AC15" s="13" t="s">
        <v>73</v>
      </c>
    </row>
    <row r="16" spans="1:30" s="8" customFormat="1">
      <c r="A16" s="1" t="s">
        <v>70</v>
      </c>
      <c r="B16" s="1" t="s">
        <v>71</v>
      </c>
      <c r="C16" s="8" t="s">
        <v>560</v>
      </c>
      <c r="D16" s="8" t="s">
        <v>565</v>
      </c>
      <c r="E16" s="11"/>
      <c r="F16" s="15">
        <f>SUM(F11:F15)</f>
        <v>34653644</v>
      </c>
      <c r="G16" s="15">
        <f>SUM(G11:G15)</f>
        <v>29491820</v>
      </c>
      <c r="H16" s="15"/>
      <c r="I16" s="15"/>
      <c r="J16" s="15"/>
      <c r="K16" s="15">
        <f>SUM(K11:K15)</f>
        <v>3075810</v>
      </c>
      <c r="L16" s="15">
        <f>SUM(L11:L15)</f>
        <v>3294339</v>
      </c>
      <c r="M16" s="15">
        <f>SUM(M11:M15)</f>
        <v>3367965</v>
      </c>
      <c r="N16" s="15"/>
      <c r="O16" s="15"/>
      <c r="P16" s="15">
        <f t="shared" ref="P16:U16" si="3">SUM(P11:P15)</f>
        <v>12708147</v>
      </c>
      <c r="Q16" s="15">
        <f t="shared" si="3"/>
        <v>7112094</v>
      </c>
      <c r="R16" s="15">
        <f t="shared" si="3"/>
        <v>7307615</v>
      </c>
      <c r="S16" s="15">
        <f t="shared" si="3"/>
        <v>5516267</v>
      </c>
      <c r="T16" s="15">
        <f t="shared" si="3"/>
        <v>3230407</v>
      </c>
      <c r="U16" s="15">
        <f t="shared" si="3"/>
        <v>21888659</v>
      </c>
      <c r="V16" s="15">
        <f t="shared" ref="V16:AC16" si="4">SUM(V11:V15)</f>
        <v>15978447</v>
      </c>
      <c r="W16" s="15">
        <f t="shared" si="4"/>
        <v>9686828</v>
      </c>
      <c r="X16" s="15">
        <f t="shared" si="4"/>
        <v>5929458</v>
      </c>
      <c r="Y16" s="15">
        <f t="shared" si="4"/>
        <v>6899056</v>
      </c>
      <c r="Z16" s="15">
        <f t="shared" si="4"/>
        <v>5812552</v>
      </c>
      <c r="AA16" s="15">
        <f t="shared" si="4"/>
        <v>4771006</v>
      </c>
      <c r="AB16" s="15">
        <f t="shared" si="4"/>
        <v>4514917</v>
      </c>
      <c r="AC16" s="15">
        <f t="shared" si="4"/>
        <v>4452981</v>
      </c>
      <c r="AD16" s="15"/>
    </row>
    <row r="17" spans="1:29">
      <c r="A17" s="1" t="s">
        <v>70</v>
      </c>
      <c r="B17" s="1" t="s">
        <v>71</v>
      </c>
      <c r="C17" s="1" t="s">
        <v>566</v>
      </c>
      <c r="D17" s="1" t="s">
        <v>567</v>
      </c>
      <c r="E17" s="11"/>
      <c r="F17" s="11">
        <v>89734575</v>
      </c>
      <c r="G17" s="11">
        <v>97244852</v>
      </c>
      <c r="H17" s="11"/>
      <c r="I17" s="11"/>
      <c r="J17" s="11"/>
      <c r="K17" s="11">
        <v>95741107</v>
      </c>
      <c r="L17" s="11">
        <v>96014787</v>
      </c>
      <c r="M17" s="11">
        <v>96437523</v>
      </c>
      <c r="N17" s="11"/>
      <c r="O17" s="11"/>
      <c r="P17" s="11">
        <v>241162674</v>
      </c>
      <c r="Q17" s="11">
        <v>242860382</v>
      </c>
      <c r="R17" s="11">
        <v>243748588</v>
      </c>
      <c r="S17" s="11">
        <v>247014963</v>
      </c>
      <c r="T17" s="11">
        <v>251509271</v>
      </c>
      <c r="U17" s="11">
        <v>270742969</v>
      </c>
      <c r="V17" s="11">
        <v>297987471</v>
      </c>
      <c r="W17" s="11">
        <v>319777496</v>
      </c>
      <c r="X17" s="11">
        <v>329664187</v>
      </c>
      <c r="Y17" s="13">
        <v>338442058</v>
      </c>
      <c r="Z17" s="13">
        <v>345863609</v>
      </c>
      <c r="AA17" s="13">
        <v>348811369</v>
      </c>
      <c r="AB17" s="13">
        <v>0</v>
      </c>
      <c r="AC17" s="13"/>
    </row>
    <row r="18" spans="1:29">
      <c r="A18" s="1" t="s">
        <v>70</v>
      </c>
      <c r="B18" s="1" t="s">
        <v>71</v>
      </c>
      <c r="C18" s="1" t="s">
        <v>566</v>
      </c>
      <c r="D18" s="1" t="s">
        <v>568</v>
      </c>
      <c r="E18" s="11"/>
      <c r="F18" s="11">
        <v>-9768464</v>
      </c>
      <c r="G18" s="11">
        <v>-11028532</v>
      </c>
      <c r="H18" s="11"/>
      <c r="I18" s="11"/>
      <c r="J18" s="13"/>
      <c r="K18" s="11">
        <v>-19611801</v>
      </c>
      <c r="L18" s="11">
        <v>-22014606</v>
      </c>
      <c r="M18" s="11">
        <v>-24492213</v>
      </c>
      <c r="N18" s="11"/>
      <c r="O18" s="11"/>
      <c r="P18" s="11">
        <v>-62505762</v>
      </c>
      <c r="Q18" s="11">
        <v>-67691440</v>
      </c>
      <c r="R18" s="11">
        <v>-72978375</v>
      </c>
      <c r="S18" s="11">
        <v>-78031237</v>
      </c>
      <c r="T18" s="11">
        <v>-83190875</v>
      </c>
      <c r="U18" s="11">
        <v>-88165247</v>
      </c>
      <c r="V18" s="11">
        <v>-93498117</v>
      </c>
      <c r="W18" s="11">
        <v>-99066355</v>
      </c>
      <c r="X18" s="11">
        <v>-104823137</v>
      </c>
      <c r="Y18" s="13">
        <v>-111071419</v>
      </c>
      <c r="Z18" s="13">
        <v>-118561046</v>
      </c>
      <c r="AA18" s="13">
        <v>-126269611</v>
      </c>
      <c r="AB18" s="13">
        <v>0</v>
      </c>
      <c r="AC18" s="13"/>
    </row>
    <row r="19" spans="1:29">
      <c r="A19" s="1" t="s">
        <v>70</v>
      </c>
      <c r="B19" s="1" t="s">
        <v>71</v>
      </c>
      <c r="C19" s="1" t="s">
        <v>566</v>
      </c>
      <c r="D19" s="1" t="s">
        <v>569</v>
      </c>
      <c r="E19" s="11"/>
      <c r="F19" s="11">
        <f>SUM(F17:F18)</f>
        <v>79966111</v>
      </c>
      <c r="G19" s="11">
        <f>SUM(G17:G18)</f>
        <v>86216320</v>
      </c>
      <c r="H19" s="11"/>
      <c r="I19" s="11"/>
      <c r="J19" s="11"/>
      <c r="K19" s="11">
        <f>SUM(K17:K18)</f>
        <v>76129306</v>
      </c>
      <c r="L19" s="11">
        <f>SUM(L17:L18)</f>
        <v>74000181</v>
      </c>
      <c r="M19" s="11">
        <f>SUM(M17:M18)</f>
        <v>71945310</v>
      </c>
      <c r="N19" s="31"/>
      <c r="O19" s="31"/>
      <c r="P19" s="11">
        <f t="shared" ref="P19:U19" si="5">SUM(P17:P18)</f>
        <v>178656912</v>
      </c>
      <c r="Q19" s="11">
        <f t="shared" si="5"/>
        <v>175168942</v>
      </c>
      <c r="R19" s="11">
        <f t="shared" si="5"/>
        <v>170770213</v>
      </c>
      <c r="S19" s="11">
        <f t="shared" si="5"/>
        <v>168983726</v>
      </c>
      <c r="T19" s="11">
        <f t="shared" si="5"/>
        <v>168318396</v>
      </c>
      <c r="U19" s="11">
        <f t="shared" si="5"/>
        <v>182577722</v>
      </c>
      <c r="V19" s="11">
        <f t="shared" ref="V19:AC19" si="6">SUM(V17:V18)</f>
        <v>204489354</v>
      </c>
      <c r="W19" s="11">
        <f t="shared" si="6"/>
        <v>220711141</v>
      </c>
      <c r="X19" s="11">
        <f t="shared" si="6"/>
        <v>224841050</v>
      </c>
      <c r="Y19" s="11">
        <f t="shared" si="6"/>
        <v>227370639</v>
      </c>
      <c r="Z19" s="11">
        <f t="shared" si="6"/>
        <v>227302563</v>
      </c>
      <c r="AA19" s="11">
        <f t="shared" si="6"/>
        <v>222541758</v>
      </c>
      <c r="AB19" s="11">
        <f t="shared" si="6"/>
        <v>0</v>
      </c>
      <c r="AC19" s="11">
        <f t="shared" si="6"/>
        <v>0</v>
      </c>
    </row>
    <row r="20" spans="1:29">
      <c r="A20" s="1" t="s">
        <v>70</v>
      </c>
      <c r="B20" s="1" t="s">
        <v>71</v>
      </c>
      <c r="C20" s="1" t="s">
        <v>566</v>
      </c>
      <c r="D20" s="1" t="s">
        <v>570</v>
      </c>
      <c r="E20" s="11"/>
      <c r="F20" s="11" t="s">
        <v>73</v>
      </c>
      <c r="G20" s="11" t="s">
        <v>73</v>
      </c>
      <c r="H20" s="11"/>
      <c r="I20" s="11"/>
      <c r="J20" s="13"/>
      <c r="K20" s="11" t="s">
        <v>73</v>
      </c>
      <c r="L20" s="11" t="s">
        <v>73</v>
      </c>
      <c r="M20" s="11" t="s">
        <v>73</v>
      </c>
      <c r="N20" s="13"/>
      <c r="O20" s="13"/>
      <c r="P20" s="11" t="s">
        <v>73</v>
      </c>
      <c r="Q20" s="11" t="s">
        <v>73</v>
      </c>
      <c r="R20" s="11" t="s">
        <v>73</v>
      </c>
      <c r="S20" s="11" t="s">
        <v>73</v>
      </c>
      <c r="T20" s="11" t="s">
        <v>73</v>
      </c>
      <c r="U20" s="11" t="s">
        <v>73</v>
      </c>
      <c r="V20" s="13" t="s">
        <v>73</v>
      </c>
      <c r="W20" s="13" t="s">
        <v>73</v>
      </c>
      <c r="X20" s="13" t="s">
        <v>73</v>
      </c>
      <c r="Y20" s="13" t="s">
        <v>73</v>
      </c>
      <c r="Z20" s="13" t="s">
        <v>73</v>
      </c>
      <c r="AA20" s="13" t="s">
        <v>73</v>
      </c>
      <c r="AB20" s="13" t="s">
        <v>73</v>
      </c>
      <c r="AC20" s="1" t="s">
        <v>73</v>
      </c>
    </row>
    <row r="21" spans="1:29" s="8" customFormat="1">
      <c r="A21" s="1" t="s">
        <v>70</v>
      </c>
      <c r="B21" s="1" t="s">
        <v>71</v>
      </c>
      <c r="C21" s="8" t="s">
        <v>566</v>
      </c>
      <c r="D21" s="8" t="s">
        <v>571</v>
      </c>
      <c r="E21" s="11"/>
      <c r="F21" s="15">
        <f>SUM(F19:F20)</f>
        <v>79966111</v>
      </c>
      <c r="G21" s="15">
        <f>SUM(G19:G20)</f>
        <v>86216320</v>
      </c>
      <c r="H21" s="15"/>
      <c r="I21" s="15"/>
      <c r="J21" s="15"/>
      <c r="K21" s="15">
        <f>SUM(K19:K20)</f>
        <v>76129306</v>
      </c>
      <c r="L21" s="15">
        <f>SUM(L19:L20)</f>
        <v>74000181</v>
      </c>
      <c r="M21" s="15">
        <f>SUM(M19:M20)</f>
        <v>71945310</v>
      </c>
      <c r="N21" s="15"/>
      <c r="O21" s="15"/>
      <c r="P21" s="15">
        <f t="shared" ref="P21:U21" si="7">SUM(P19:P20)</f>
        <v>178656912</v>
      </c>
      <c r="Q21" s="15">
        <f t="shared" si="7"/>
        <v>175168942</v>
      </c>
      <c r="R21" s="15">
        <f t="shared" si="7"/>
        <v>170770213</v>
      </c>
      <c r="S21" s="15">
        <f t="shared" si="7"/>
        <v>168983726</v>
      </c>
      <c r="T21" s="15">
        <f t="shared" si="7"/>
        <v>168318396</v>
      </c>
      <c r="U21" s="15">
        <f t="shared" si="7"/>
        <v>182577722</v>
      </c>
      <c r="V21" s="15">
        <f t="shared" ref="V21:AC21" si="8">SUM(V19:V20)</f>
        <v>204489354</v>
      </c>
      <c r="W21" s="15">
        <f t="shared" si="8"/>
        <v>220711141</v>
      </c>
      <c r="X21" s="15">
        <f t="shared" si="8"/>
        <v>224841050</v>
      </c>
      <c r="Y21" s="15">
        <f t="shared" si="8"/>
        <v>227370639</v>
      </c>
      <c r="Z21" s="15">
        <f t="shared" si="8"/>
        <v>227302563</v>
      </c>
      <c r="AA21" s="15">
        <f t="shared" si="8"/>
        <v>222541758</v>
      </c>
      <c r="AB21" s="15">
        <f t="shared" si="8"/>
        <v>0</v>
      </c>
      <c r="AC21" s="15">
        <f t="shared" si="8"/>
        <v>0</v>
      </c>
    </row>
    <row r="22" spans="1:29" s="19" customFormat="1">
      <c r="A22" s="1" t="s">
        <v>70</v>
      </c>
      <c r="B22" s="1" t="s">
        <v>71</v>
      </c>
      <c r="C22" s="19" t="s">
        <v>572</v>
      </c>
      <c r="D22" s="19" t="s">
        <v>573</v>
      </c>
      <c r="E22" s="31"/>
      <c r="F22" s="11" t="s">
        <v>73</v>
      </c>
      <c r="G22" s="11" t="s">
        <v>73</v>
      </c>
      <c r="H22" s="11"/>
      <c r="I22" s="11"/>
      <c r="J22" s="11"/>
      <c r="K22" s="11" t="s">
        <v>73</v>
      </c>
      <c r="L22" s="11" t="s">
        <v>73</v>
      </c>
      <c r="M22" s="11" t="s">
        <v>73</v>
      </c>
      <c r="N22" s="31"/>
      <c r="O22" s="31"/>
      <c r="P22" s="31">
        <v>0</v>
      </c>
      <c r="Q22" s="31">
        <v>1196561</v>
      </c>
      <c r="R22" s="31">
        <v>1141197</v>
      </c>
      <c r="S22" s="31">
        <v>1086119</v>
      </c>
      <c r="T22" s="31">
        <v>1019881</v>
      </c>
      <c r="U22" s="31">
        <v>953642</v>
      </c>
      <c r="V22" s="31">
        <v>887404</v>
      </c>
      <c r="W22" s="31">
        <v>821165</v>
      </c>
      <c r="X22" s="31">
        <v>754927</v>
      </c>
      <c r="Y22" s="11">
        <v>688688</v>
      </c>
      <c r="Z22" s="11">
        <v>0</v>
      </c>
      <c r="AA22" s="11">
        <v>0</v>
      </c>
      <c r="AB22" s="11">
        <v>0</v>
      </c>
      <c r="AC22" s="11">
        <v>0</v>
      </c>
    </row>
    <row r="23" spans="1:29" s="19" customFormat="1">
      <c r="A23" s="1" t="s">
        <v>70</v>
      </c>
      <c r="B23" s="1" t="s">
        <v>71</v>
      </c>
      <c r="C23" s="19" t="s">
        <v>572</v>
      </c>
      <c r="D23" s="19" t="s">
        <v>574</v>
      </c>
      <c r="E23" s="31"/>
      <c r="F23" s="11" t="s">
        <v>73</v>
      </c>
      <c r="G23" s="11" t="s">
        <v>73</v>
      </c>
      <c r="H23" s="11"/>
      <c r="I23" s="11"/>
      <c r="J23" s="11"/>
      <c r="K23" s="11" t="s">
        <v>73</v>
      </c>
      <c r="L23" s="11" t="s">
        <v>73</v>
      </c>
      <c r="M23" s="11" t="s">
        <v>73</v>
      </c>
      <c r="N23" s="11"/>
      <c r="O23" s="11"/>
      <c r="P23" s="11" t="s">
        <v>73</v>
      </c>
      <c r="Q23" s="11" t="s">
        <v>73</v>
      </c>
      <c r="R23" s="11" t="s">
        <v>73</v>
      </c>
      <c r="S23" s="11" t="s">
        <v>73</v>
      </c>
      <c r="T23" s="11" t="s">
        <v>73</v>
      </c>
      <c r="U23" s="11" t="s">
        <v>73</v>
      </c>
      <c r="V23" s="11" t="s">
        <v>73</v>
      </c>
      <c r="W23" s="11" t="s">
        <v>73</v>
      </c>
      <c r="X23" s="11" t="s">
        <v>73</v>
      </c>
      <c r="Y23" s="11" t="s">
        <v>73</v>
      </c>
      <c r="Z23" s="11" t="s">
        <v>73</v>
      </c>
      <c r="AA23" s="11" t="s">
        <v>73</v>
      </c>
      <c r="AB23" s="11">
        <v>112668376</v>
      </c>
      <c r="AC23" s="11">
        <v>106598286</v>
      </c>
    </row>
    <row r="24" spans="1:29" s="8" customFormat="1">
      <c r="A24" s="1" t="s">
        <v>70</v>
      </c>
      <c r="B24" s="1" t="s">
        <v>71</v>
      </c>
      <c r="C24" s="8" t="s">
        <v>572</v>
      </c>
      <c r="D24" s="8" t="s">
        <v>575</v>
      </c>
      <c r="E24" s="11"/>
      <c r="F24" s="15">
        <v>0</v>
      </c>
      <c r="G24" s="15">
        <v>0</v>
      </c>
      <c r="H24" s="15"/>
      <c r="I24" s="15"/>
      <c r="J24" s="15"/>
      <c r="K24" s="15">
        <v>0</v>
      </c>
      <c r="L24" s="15">
        <v>0</v>
      </c>
      <c r="M24" s="15">
        <v>0</v>
      </c>
      <c r="N24" s="15"/>
      <c r="O24" s="15"/>
      <c r="P24" s="15">
        <f t="shared" ref="P24:U24" si="9">SUM(P22:P23)</f>
        <v>0</v>
      </c>
      <c r="Q24" s="15">
        <f t="shared" si="9"/>
        <v>1196561</v>
      </c>
      <c r="R24" s="15">
        <f t="shared" si="9"/>
        <v>1141197</v>
      </c>
      <c r="S24" s="15">
        <f t="shared" si="9"/>
        <v>1086119</v>
      </c>
      <c r="T24" s="15">
        <f t="shared" si="9"/>
        <v>1019881</v>
      </c>
      <c r="U24" s="15">
        <f t="shared" si="9"/>
        <v>953642</v>
      </c>
      <c r="V24" s="15">
        <v>887404</v>
      </c>
      <c r="W24" s="15">
        <f t="shared" ref="W24:AC24" si="10">SUM(W22:W23)</f>
        <v>821165</v>
      </c>
      <c r="X24" s="15">
        <f t="shared" si="10"/>
        <v>754927</v>
      </c>
      <c r="Y24" s="15">
        <f t="shared" si="10"/>
        <v>688688</v>
      </c>
      <c r="Z24" s="15">
        <f t="shared" si="10"/>
        <v>0</v>
      </c>
      <c r="AA24" s="15">
        <f t="shared" si="10"/>
        <v>0</v>
      </c>
      <c r="AB24" s="15">
        <f t="shared" si="10"/>
        <v>112668376</v>
      </c>
      <c r="AC24" s="15">
        <f t="shared" si="10"/>
        <v>106598286</v>
      </c>
    </row>
    <row r="25" spans="1:29" s="19" customFormat="1">
      <c r="A25" s="1" t="s">
        <v>70</v>
      </c>
      <c r="B25" s="1" t="s">
        <v>71</v>
      </c>
      <c r="C25" s="19" t="s">
        <v>576</v>
      </c>
      <c r="D25" s="19" t="s">
        <v>577</v>
      </c>
      <c r="E25" s="11"/>
      <c r="F25" s="15">
        <v>0</v>
      </c>
      <c r="G25" s="15">
        <v>0</v>
      </c>
      <c r="H25" s="11"/>
      <c r="I25" s="11"/>
      <c r="J25" s="11"/>
      <c r="K25" s="15">
        <v>0</v>
      </c>
      <c r="L25" s="15">
        <v>0</v>
      </c>
      <c r="M25" s="15">
        <v>0</v>
      </c>
      <c r="N25" s="11"/>
      <c r="O25" s="11"/>
      <c r="P25" s="11">
        <v>0</v>
      </c>
      <c r="Q25" s="11">
        <v>0</v>
      </c>
      <c r="R25" s="11">
        <v>0</v>
      </c>
      <c r="S25" s="11">
        <v>0</v>
      </c>
      <c r="T25" s="11">
        <v>0</v>
      </c>
      <c r="U25" s="11">
        <v>0</v>
      </c>
      <c r="V25" s="31">
        <v>0</v>
      </c>
      <c r="W25" s="31">
        <v>0</v>
      </c>
      <c r="X25" s="31">
        <v>0</v>
      </c>
      <c r="Y25" s="31">
        <v>0</v>
      </c>
      <c r="Z25" s="31">
        <v>868766</v>
      </c>
      <c r="AA25" s="31">
        <v>792553</v>
      </c>
      <c r="AB25" s="31">
        <v>1526330</v>
      </c>
      <c r="AC25" s="31">
        <v>2359034</v>
      </c>
    </row>
    <row r="26" spans="1:29" s="8" customFormat="1">
      <c r="A26" s="1" t="s">
        <v>70</v>
      </c>
      <c r="B26" s="1" t="s">
        <v>71</v>
      </c>
      <c r="C26" s="8" t="s">
        <v>559</v>
      </c>
      <c r="D26" s="8" t="s">
        <v>559</v>
      </c>
      <c r="E26" s="11"/>
      <c r="F26" s="16">
        <f>F25+F24+F21+F16+F10</f>
        <v>115918133</v>
      </c>
      <c r="G26" s="16">
        <f>G25+G24+G21+G16+G10</f>
        <v>118129580</v>
      </c>
      <c r="H26" s="16"/>
      <c r="I26" s="16"/>
      <c r="J26" s="16"/>
      <c r="K26" s="16">
        <f>K25+K24+K21+K16+K10</f>
        <v>81517300</v>
      </c>
      <c r="L26" s="16">
        <f>L25+L24+L21+L16+L10</f>
        <v>79549035</v>
      </c>
      <c r="M26" s="16">
        <f>M25+M24+M21+M16+M10</f>
        <v>77926493</v>
      </c>
      <c r="N26" s="16"/>
      <c r="O26" s="16"/>
      <c r="P26" s="16">
        <f t="shared" ref="P26:U26" si="11">P25+P24+P21+P16+P10</f>
        <v>197852574</v>
      </c>
      <c r="Q26" s="16">
        <f t="shared" si="11"/>
        <v>195391422</v>
      </c>
      <c r="R26" s="16">
        <f t="shared" si="11"/>
        <v>191062975</v>
      </c>
      <c r="S26" s="16">
        <f t="shared" si="11"/>
        <v>182738386</v>
      </c>
      <c r="T26" s="16">
        <f t="shared" si="11"/>
        <v>179607322</v>
      </c>
      <c r="U26" s="16">
        <f t="shared" si="11"/>
        <v>213266390</v>
      </c>
      <c r="V26" s="16">
        <f t="shared" ref="V26:AC26" si="12">V25+V24+V21+V16+V10</f>
        <v>231178424</v>
      </c>
      <c r="W26" s="16">
        <f t="shared" si="12"/>
        <v>241589157</v>
      </c>
      <c r="X26" s="16">
        <f t="shared" si="12"/>
        <v>242538243</v>
      </c>
      <c r="Y26" s="16">
        <f t="shared" si="12"/>
        <v>244664731</v>
      </c>
      <c r="Z26" s="16">
        <f t="shared" si="12"/>
        <v>244099971</v>
      </c>
      <c r="AA26" s="16">
        <f t="shared" si="12"/>
        <v>238314077</v>
      </c>
      <c r="AB26" s="16">
        <f t="shared" si="12"/>
        <v>127126480</v>
      </c>
      <c r="AC26" s="16">
        <f t="shared" si="12"/>
        <v>125112787</v>
      </c>
    </row>
    <row r="27" spans="1:29" s="19" customFormat="1">
      <c r="A27" s="1" t="s">
        <v>70</v>
      </c>
      <c r="B27" s="1" t="s">
        <v>71</v>
      </c>
      <c r="C27" s="1" t="s">
        <v>578</v>
      </c>
      <c r="D27" s="1" t="s">
        <v>579</v>
      </c>
      <c r="E27" s="11"/>
      <c r="F27" s="17">
        <v>779447</v>
      </c>
      <c r="G27" s="17">
        <v>1103388</v>
      </c>
      <c r="H27" s="17"/>
      <c r="I27" s="17"/>
      <c r="J27" s="17"/>
      <c r="K27" s="17">
        <v>169955</v>
      </c>
      <c r="L27" s="17">
        <v>236769</v>
      </c>
      <c r="M27" s="17">
        <v>255176</v>
      </c>
      <c r="N27" s="17"/>
      <c r="O27" s="17"/>
      <c r="P27" s="17">
        <v>659438</v>
      </c>
      <c r="Q27" s="17">
        <v>546447</v>
      </c>
      <c r="R27" s="17">
        <v>648546</v>
      </c>
      <c r="S27" s="17">
        <v>801383</v>
      </c>
      <c r="T27" s="17">
        <v>827939</v>
      </c>
      <c r="U27" s="17">
        <v>722925</v>
      </c>
      <c r="V27" s="17">
        <v>741523</v>
      </c>
      <c r="W27" s="17">
        <v>718557</v>
      </c>
      <c r="X27" s="17">
        <v>745731</v>
      </c>
      <c r="Y27" s="17">
        <v>728194</v>
      </c>
      <c r="Z27" s="17">
        <v>1200385</v>
      </c>
      <c r="AA27" s="17">
        <v>1353287</v>
      </c>
      <c r="AB27" s="17">
        <v>1211479</v>
      </c>
      <c r="AC27" s="19">
        <v>1079614</v>
      </c>
    </row>
    <row r="28" spans="1:29" s="19" customFormat="1">
      <c r="A28" s="1" t="s">
        <v>70</v>
      </c>
      <c r="B28" s="1" t="s">
        <v>71</v>
      </c>
      <c r="C28" s="1" t="s">
        <v>578</v>
      </c>
      <c r="D28" s="1" t="s">
        <v>580</v>
      </c>
      <c r="E28" s="11"/>
      <c r="F28" s="11" t="s">
        <v>73</v>
      </c>
      <c r="G28" s="11" t="s">
        <v>73</v>
      </c>
      <c r="H28" s="17"/>
      <c r="I28" s="17"/>
      <c r="J28" s="17"/>
      <c r="K28" s="17">
        <v>47922</v>
      </c>
      <c r="L28" s="17">
        <v>99265</v>
      </c>
      <c r="M28" s="17">
        <v>120262</v>
      </c>
      <c r="N28" s="17"/>
      <c r="O28" s="17"/>
      <c r="P28" s="17">
        <v>627494</v>
      </c>
      <c r="Q28" s="17">
        <v>687295</v>
      </c>
      <c r="R28" s="17">
        <v>568147</v>
      </c>
      <c r="S28" s="17">
        <v>527520</v>
      </c>
      <c r="T28" s="17">
        <v>499940</v>
      </c>
      <c r="U28" s="17">
        <v>478892</v>
      </c>
      <c r="V28" s="17">
        <v>534407</v>
      </c>
      <c r="W28" s="17">
        <v>515205</v>
      </c>
      <c r="X28" s="17">
        <v>461759</v>
      </c>
      <c r="Y28" s="17">
        <v>452387</v>
      </c>
      <c r="Z28" s="17">
        <v>435776</v>
      </c>
      <c r="AA28" s="17">
        <v>382098</v>
      </c>
      <c r="AB28" s="17">
        <v>353388</v>
      </c>
      <c r="AC28" s="19">
        <v>352761</v>
      </c>
    </row>
    <row r="29" spans="1:29" s="19" customFormat="1">
      <c r="A29" s="1" t="s">
        <v>70</v>
      </c>
      <c r="B29" s="1" t="s">
        <v>71</v>
      </c>
      <c r="C29" s="1" t="s">
        <v>578</v>
      </c>
      <c r="D29" s="1" t="s">
        <v>581</v>
      </c>
      <c r="E29" s="11"/>
      <c r="F29" s="17">
        <v>46304</v>
      </c>
      <c r="G29" s="17">
        <v>71355</v>
      </c>
      <c r="H29" s="11"/>
      <c r="I29" s="11"/>
      <c r="J29" s="11"/>
      <c r="K29" s="11">
        <v>115824</v>
      </c>
      <c r="L29" s="11">
        <v>112137</v>
      </c>
      <c r="M29" s="11">
        <v>85357</v>
      </c>
      <c r="N29" s="11"/>
      <c r="O29" s="11"/>
      <c r="P29" s="11">
        <v>177790</v>
      </c>
      <c r="Q29" s="11">
        <v>170455</v>
      </c>
      <c r="R29" s="11">
        <v>197883</v>
      </c>
      <c r="S29" s="11">
        <v>172980</v>
      </c>
      <c r="T29" s="11">
        <v>195970</v>
      </c>
      <c r="U29" s="11">
        <v>213466</v>
      </c>
      <c r="V29" s="11">
        <v>217402</v>
      </c>
      <c r="W29" s="11">
        <v>250170</v>
      </c>
      <c r="X29" s="11">
        <v>278334</v>
      </c>
      <c r="Y29" s="17">
        <v>304937</v>
      </c>
      <c r="Z29" s="17">
        <v>208221</v>
      </c>
      <c r="AA29" s="17">
        <v>234996</v>
      </c>
      <c r="AB29" s="17">
        <v>236925</v>
      </c>
      <c r="AC29" s="19">
        <v>274897</v>
      </c>
    </row>
    <row r="30" spans="1:29" s="19" customFormat="1">
      <c r="A30" s="1" t="s">
        <v>70</v>
      </c>
      <c r="B30" s="1" t="s">
        <v>71</v>
      </c>
      <c r="C30" s="1" t="s">
        <v>578</v>
      </c>
      <c r="D30" s="1" t="s">
        <v>582</v>
      </c>
      <c r="E30" s="11"/>
      <c r="F30" s="11" t="s">
        <v>73</v>
      </c>
      <c r="G30" s="11" t="s">
        <v>73</v>
      </c>
      <c r="H30" s="11"/>
      <c r="I30" s="11"/>
      <c r="J30" s="11"/>
      <c r="K30" s="11" t="s">
        <v>73</v>
      </c>
      <c r="L30" s="11" t="s">
        <v>73</v>
      </c>
      <c r="M30" s="11" t="s">
        <v>73</v>
      </c>
      <c r="N30" s="11"/>
      <c r="O30" s="11"/>
      <c r="P30" s="11">
        <v>96986</v>
      </c>
      <c r="Q30" s="11">
        <v>101210</v>
      </c>
      <c r="R30" s="11">
        <v>114292</v>
      </c>
      <c r="S30" s="11">
        <v>115979</v>
      </c>
      <c r="T30" s="11">
        <v>99505</v>
      </c>
      <c r="U30" s="11">
        <v>101237</v>
      </c>
      <c r="V30" s="11">
        <v>110817</v>
      </c>
      <c r="W30" s="11">
        <v>110917</v>
      </c>
      <c r="X30" s="11">
        <v>111298</v>
      </c>
      <c r="Y30" s="17">
        <v>111398</v>
      </c>
      <c r="Z30" s="17">
        <v>104700</v>
      </c>
      <c r="AA30" s="17">
        <v>98909</v>
      </c>
      <c r="AB30" s="17">
        <v>99009</v>
      </c>
      <c r="AC30" s="19">
        <v>92183</v>
      </c>
    </row>
    <row r="31" spans="1:29" s="19" customFormat="1">
      <c r="A31" s="1" t="s">
        <v>70</v>
      </c>
      <c r="B31" s="1" t="s">
        <v>71</v>
      </c>
      <c r="C31" s="1" t="s">
        <v>578</v>
      </c>
      <c r="D31" s="1" t="s">
        <v>583</v>
      </c>
      <c r="E31" s="11"/>
      <c r="F31" s="19">
        <v>397827</v>
      </c>
      <c r="G31" s="19">
        <v>355462</v>
      </c>
      <c r="H31" s="11"/>
      <c r="I31" s="11"/>
      <c r="J31" s="11"/>
      <c r="K31" s="11" t="s">
        <v>73</v>
      </c>
      <c r="L31" s="11" t="s">
        <v>73</v>
      </c>
      <c r="M31" s="11" t="s">
        <v>73</v>
      </c>
      <c r="N31" s="31"/>
      <c r="O31" s="31"/>
      <c r="P31" s="31">
        <f>3042624+2675000</f>
        <v>5717624</v>
      </c>
      <c r="Q31" s="31">
        <f>3071840+2810000</f>
        <v>5881840</v>
      </c>
      <c r="R31" s="31">
        <f>3091292+3140000+55138</f>
        <v>6286430</v>
      </c>
      <c r="S31" s="31">
        <f>107840+2492430+3375000</f>
        <v>5975270</v>
      </c>
      <c r="T31" s="17">
        <f>885164+2276630+3545000</f>
        <v>6706794</v>
      </c>
      <c r="U31" s="17">
        <f>3779025+2101489+3940000</f>
        <v>9820514</v>
      </c>
      <c r="V31" s="13">
        <f>3296621+2145969+4065000</f>
        <v>9507590</v>
      </c>
      <c r="W31" s="13">
        <f>2061002+4410000</f>
        <v>6471002</v>
      </c>
      <c r="X31" s="13">
        <f>2090490+5115000</f>
        <v>7205490</v>
      </c>
      <c r="Y31" s="13">
        <f>2410999+5300000</f>
        <v>7710999</v>
      </c>
      <c r="Z31" s="13">
        <f>2754882+5510000</f>
        <v>8264882</v>
      </c>
      <c r="AA31" s="13">
        <f>1862721+5725000</f>
        <v>7587721</v>
      </c>
      <c r="AB31" s="13">
        <f>2682406+6010000</f>
        <v>8692406</v>
      </c>
      <c r="AC31" s="13">
        <f>6305000+2974950</f>
        <v>9279950</v>
      </c>
    </row>
    <row r="32" spans="1:29" s="19" customFormat="1">
      <c r="A32" s="1" t="s">
        <v>70</v>
      </c>
      <c r="B32" s="1" t="s">
        <v>71</v>
      </c>
      <c r="C32" s="1" t="s">
        <v>578</v>
      </c>
      <c r="D32" s="1" t="s">
        <v>584</v>
      </c>
      <c r="E32" s="11"/>
      <c r="F32" s="11" t="s">
        <v>73</v>
      </c>
      <c r="G32" s="11" t="s">
        <v>73</v>
      </c>
      <c r="H32" s="11"/>
      <c r="I32" s="11"/>
      <c r="J32" s="11"/>
      <c r="K32" s="11" t="s">
        <v>73</v>
      </c>
      <c r="L32" s="11" t="s">
        <v>73</v>
      </c>
      <c r="M32" s="11" t="s">
        <v>73</v>
      </c>
      <c r="N32" s="31"/>
      <c r="O32" s="31"/>
      <c r="P32" s="11" t="s">
        <v>73</v>
      </c>
      <c r="Q32" s="11" t="s">
        <v>73</v>
      </c>
      <c r="R32" s="11" t="s">
        <v>73</v>
      </c>
      <c r="S32" s="11" t="s">
        <v>73</v>
      </c>
      <c r="T32" s="11" t="s">
        <v>73</v>
      </c>
      <c r="U32" s="11" t="s">
        <v>73</v>
      </c>
      <c r="V32" s="11" t="s">
        <v>73</v>
      </c>
      <c r="W32" s="11" t="s">
        <v>73</v>
      </c>
      <c r="X32" s="11" t="s">
        <v>73</v>
      </c>
      <c r="Y32" s="11" t="s">
        <v>73</v>
      </c>
      <c r="Z32" s="11" t="s">
        <v>73</v>
      </c>
      <c r="AA32" s="11" t="s">
        <v>73</v>
      </c>
      <c r="AB32" s="13">
        <v>29982</v>
      </c>
      <c r="AC32" s="13">
        <v>1114720</v>
      </c>
    </row>
    <row r="33" spans="1:29" s="19" customFormat="1">
      <c r="A33" s="1" t="s">
        <v>70</v>
      </c>
      <c r="B33" s="1" t="s">
        <v>71</v>
      </c>
      <c r="C33" s="1" t="s">
        <v>578</v>
      </c>
      <c r="D33" s="1" t="s">
        <v>585</v>
      </c>
      <c r="E33" s="11"/>
      <c r="F33" s="11">
        <v>1753</v>
      </c>
      <c r="G33" s="11">
        <v>8374</v>
      </c>
      <c r="H33" s="11"/>
      <c r="I33" s="11"/>
      <c r="J33" s="11"/>
      <c r="K33" s="11">
        <v>79760</v>
      </c>
      <c r="L33" s="11">
        <v>79760</v>
      </c>
      <c r="M33" s="11">
        <v>82190</v>
      </c>
      <c r="N33" s="11"/>
      <c r="O33" s="11"/>
      <c r="P33" s="11" t="s">
        <v>73</v>
      </c>
      <c r="Q33" s="11" t="s">
        <v>73</v>
      </c>
      <c r="R33" s="11" t="s">
        <v>73</v>
      </c>
      <c r="S33" s="11" t="s">
        <v>73</v>
      </c>
      <c r="T33" s="11" t="s">
        <v>73</v>
      </c>
      <c r="U33" s="11" t="s">
        <v>73</v>
      </c>
      <c r="V33" s="13" t="s">
        <v>73</v>
      </c>
      <c r="W33" s="13">
        <v>433504</v>
      </c>
      <c r="X33" s="13">
        <v>677354</v>
      </c>
      <c r="Y33" s="13">
        <v>0</v>
      </c>
      <c r="Z33" s="13" t="s">
        <v>73</v>
      </c>
      <c r="AA33" s="13" t="s">
        <v>73</v>
      </c>
      <c r="AB33" s="13" t="s">
        <v>73</v>
      </c>
      <c r="AC33" s="13" t="s">
        <v>73</v>
      </c>
    </row>
    <row r="34" spans="1:29" s="19" customFormat="1">
      <c r="A34" s="1" t="s">
        <v>70</v>
      </c>
      <c r="B34" s="1" t="s">
        <v>71</v>
      </c>
      <c r="C34" s="1" t="s">
        <v>578</v>
      </c>
      <c r="D34" s="1" t="s">
        <v>586</v>
      </c>
      <c r="E34" s="11"/>
      <c r="F34" s="11">
        <v>2317471</v>
      </c>
      <c r="G34" s="11">
        <v>146695</v>
      </c>
      <c r="H34" s="11"/>
      <c r="I34" s="11"/>
      <c r="J34" s="31"/>
      <c r="K34" s="11" t="s">
        <v>73</v>
      </c>
      <c r="L34" s="11" t="s">
        <v>73</v>
      </c>
      <c r="M34" s="11" t="s">
        <v>73</v>
      </c>
      <c r="N34" s="11"/>
      <c r="O34" s="11"/>
      <c r="P34" s="11" t="s">
        <v>73</v>
      </c>
      <c r="Q34" s="11" t="s">
        <v>73</v>
      </c>
      <c r="R34" s="11" t="s">
        <v>73</v>
      </c>
      <c r="S34" s="11" t="s">
        <v>73</v>
      </c>
      <c r="T34" s="11" t="s">
        <v>73</v>
      </c>
      <c r="U34" s="11" t="s">
        <v>73</v>
      </c>
      <c r="V34" s="13" t="s">
        <v>73</v>
      </c>
      <c r="W34" s="13" t="s">
        <v>73</v>
      </c>
      <c r="X34" s="13" t="s">
        <v>73</v>
      </c>
      <c r="Y34" s="13" t="s">
        <v>73</v>
      </c>
      <c r="Z34" s="13" t="s">
        <v>73</v>
      </c>
      <c r="AA34" s="13" t="s">
        <v>73</v>
      </c>
      <c r="AB34" s="13" t="s">
        <v>73</v>
      </c>
      <c r="AC34" s="13" t="s">
        <v>73</v>
      </c>
    </row>
    <row r="35" spans="1:29" s="19" customFormat="1">
      <c r="A35" s="1" t="s">
        <v>70</v>
      </c>
      <c r="B35" s="1" t="s">
        <v>71</v>
      </c>
      <c r="C35" s="1" t="s">
        <v>578</v>
      </c>
      <c r="D35" s="1" t="s">
        <v>510</v>
      </c>
      <c r="E35" s="11"/>
      <c r="F35" s="11" t="s">
        <v>73</v>
      </c>
      <c r="G35" s="11" t="s">
        <v>73</v>
      </c>
      <c r="H35" s="11"/>
      <c r="I35" s="11"/>
      <c r="J35" s="31"/>
      <c r="K35" s="11" t="s">
        <v>73</v>
      </c>
      <c r="L35" s="11" t="s">
        <v>73</v>
      </c>
      <c r="M35" s="11" t="s">
        <v>73</v>
      </c>
      <c r="N35" s="11"/>
      <c r="O35" s="11"/>
      <c r="P35" s="11" t="s">
        <v>73</v>
      </c>
      <c r="Q35" s="11" t="s">
        <v>73</v>
      </c>
      <c r="R35" s="11" t="s">
        <v>73</v>
      </c>
      <c r="S35" s="11" t="s">
        <v>73</v>
      </c>
      <c r="T35" s="11" t="s">
        <v>73</v>
      </c>
      <c r="U35" s="11" t="s">
        <v>73</v>
      </c>
      <c r="V35" s="13" t="s">
        <v>73</v>
      </c>
      <c r="W35" s="13" t="s">
        <v>73</v>
      </c>
      <c r="X35" s="13" t="s">
        <v>73</v>
      </c>
      <c r="Y35" s="13" t="s">
        <v>73</v>
      </c>
      <c r="Z35" s="13" t="s">
        <v>73</v>
      </c>
      <c r="AA35" s="13" t="s">
        <v>73</v>
      </c>
      <c r="AB35" s="13" t="s">
        <v>73</v>
      </c>
      <c r="AC35" s="13">
        <v>1464081</v>
      </c>
    </row>
    <row r="36" spans="1:29" s="19" customFormat="1">
      <c r="A36" s="1" t="s">
        <v>70</v>
      </c>
      <c r="B36" s="1" t="s">
        <v>71</v>
      </c>
      <c r="C36" s="8" t="s">
        <v>578</v>
      </c>
      <c r="D36" s="8" t="s">
        <v>587</v>
      </c>
      <c r="E36" s="11"/>
      <c r="F36" s="16">
        <f>SUM(F27:F35)</f>
        <v>3542802</v>
      </c>
      <c r="G36" s="16">
        <f>SUM(G27:G35)</f>
        <v>1685274</v>
      </c>
      <c r="H36" s="16"/>
      <c r="I36" s="16"/>
      <c r="J36" s="16"/>
      <c r="K36" s="16">
        <f>SUM(K27:K35)</f>
        <v>413461</v>
      </c>
      <c r="L36" s="16">
        <f>SUM(L27:L35)</f>
        <v>527931</v>
      </c>
      <c r="M36" s="16">
        <f>SUM(M27:M35)</f>
        <v>542985</v>
      </c>
      <c r="N36" s="16"/>
      <c r="O36" s="16"/>
      <c r="P36" s="16">
        <f>SUM(P27:P35)</f>
        <v>7279332</v>
      </c>
      <c r="Q36" s="16">
        <f>SUM(Q27:Q35)</f>
        <v>7387247</v>
      </c>
      <c r="R36" s="16">
        <f>SUM(R27:R35)</f>
        <v>7815298</v>
      </c>
      <c r="S36" s="16">
        <f>SUM(S27:S35)</f>
        <v>7593132</v>
      </c>
      <c r="T36" s="16">
        <f>SUM(T27:T35)</f>
        <v>8330148</v>
      </c>
      <c r="U36" s="16">
        <f t="shared" ref="U36:AC36" si="13">SUM(U27:U35)</f>
        <v>11337034</v>
      </c>
      <c r="V36" s="16">
        <f t="shared" si="13"/>
        <v>11111739</v>
      </c>
      <c r="W36" s="16">
        <f t="shared" si="13"/>
        <v>8499355</v>
      </c>
      <c r="X36" s="16">
        <f t="shared" si="13"/>
        <v>9479966</v>
      </c>
      <c r="Y36" s="16">
        <f t="shared" si="13"/>
        <v>9307915</v>
      </c>
      <c r="Z36" s="16">
        <f t="shared" si="13"/>
        <v>10213964</v>
      </c>
      <c r="AA36" s="16">
        <f t="shared" si="13"/>
        <v>9657011</v>
      </c>
      <c r="AB36" s="16">
        <f t="shared" si="13"/>
        <v>10623189</v>
      </c>
      <c r="AC36" s="16">
        <f t="shared" si="13"/>
        <v>13658206</v>
      </c>
    </row>
    <row r="37" spans="1:29" s="19" customFormat="1">
      <c r="A37" s="1" t="s">
        <v>70</v>
      </c>
      <c r="B37" s="1" t="s">
        <v>71</v>
      </c>
      <c r="C37" s="1" t="s">
        <v>588</v>
      </c>
      <c r="D37" s="19" t="s">
        <v>584</v>
      </c>
      <c r="E37" s="11"/>
      <c r="F37" s="11" t="s">
        <v>73</v>
      </c>
      <c r="G37" s="11" t="s">
        <v>73</v>
      </c>
      <c r="H37" s="11"/>
      <c r="I37" s="11"/>
      <c r="J37" s="11"/>
      <c r="K37" s="11" t="s">
        <v>73</v>
      </c>
      <c r="L37" s="11" t="s">
        <v>73</v>
      </c>
      <c r="M37" s="11" t="s">
        <v>73</v>
      </c>
      <c r="N37" s="31"/>
      <c r="O37" s="31"/>
      <c r="P37" s="11" t="s">
        <v>73</v>
      </c>
      <c r="Q37" s="11" t="s">
        <v>73</v>
      </c>
      <c r="R37" s="11" t="s">
        <v>73</v>
      </c>
      <c r="S37" s="11" t="s">
        <v>73</v>
      </c>
      <c r="T37" s="11" t="s">
        <v>73</v>
      </c>
      <c r="U37" s="11" t="s">
        <v>73</v>
      </c>
      <c r="V37" s="11" t="s">
        <v>73</v>
      </c>
      <c r="W37" s="11" t="s">
        <v>73</v>
      </c>
      <c r="X37" s="11" t="s">
        <v>73</v>
      </c>
      <c r="Y37" s="11" t="s">
        <v>73</v>
      </c>
      <c r="Z37" s="11" t="s">
        <v>73</v>
      </c>
      <c r="AA37" s="11" t="s">
        <v>73</v>
      </c>
      <c r="AB37" s="17">
        <v>113242714</v>
      </c>
      <c r="AC37" s="17">
        <v>112127994</v>
      </c>
    </row>
    <row r="38" spans="1:29" s="19" customFormat="1">
      <c r="A38" s="1" t="s">
        <v>70</v>
      </c>
      <c r="B38" s="1" t="s">
        <v>71</v>
      </c>
      <c r="C38" s="1" t="s">
        <v>588</v>
      </c>
      <c r="D38" s="1" t="s">
        <v>589</v>
      </c>
      <c r="E38" s="11"/>
      <c r="F38" s="31">
        <f>55990000+5725000</f>
        <v>61715000</v>
      </c>
      <c r="G38" s="31">
        <f>55310000+4895000</f>
        <v>60205000</v>
      </c>
      <c r="H38" s="31"/>
      <c r="I38" s="11"/>
      <c r="J38" s="11"/>
      <c r="K38" s="11" t="s">
        <v>73</v>
      </c>
      <c r="L38" s="11" t="s">
        <v>73</v>
      </c>
      <c r="M38" s="11" t="s">
        <v>73</v>
      </c>
      <c r="N38" s="11"/>
      <c r="O38" s="11"/>
      <c r="P38" s="11">
        <v>49284942</v>
      </c>
      <c r="Q38" s="11">
        <v>46810609</v>
      </c>
      <c r="R38" s="11">
        <v>44150444</v>
      </c>
      <c r="S38" s="11">
        <v>41132386</v>
      </c>
      <c r="T38" s="11">
        <v>37936141</v>
      </c>
      <c r="U38" s="11">
        <v>65512978</v>
      </c>
      <c r="V38" s="11">
        <v>61858834</v>
      </c>
      <c r="W38" s="11">
        <v>57845244</v>
      </c>
      <c r="X38" s="11">
        <v>52767774</v>
      </c>
      <c r="Y38" s="11">
        <v>47854032</v>
      </c>
      <c r="Z38" s="11">
        <v>42721261</v>
      </c>
      <c r="AA38" s="11">
        <v>37372825</v>
      </c>
      <c r="AB38" s="11">
        <v>38640937</v>
      </c>
      <c r="AC38" s="11">
        <v>35892461</v>
      </c>
    </row>
    <row r="39" spans="1:29" s="19" customFormat="1">
      <c r="A39" s="1" t="s">
        <v>70</v>
      </c>
      <c r="B39" s="1" t="s">
        <v>71</v>
      </c>
      <c r="C39" s="1" t="s">
        <v>588</v>
      </c>
      <c r="D39" s="1" t="s">
        <v>590</v>
      </c>
      <c r="E39" s="11"/>
      <c r="F39" s="31">
        <v>24469940</v>
      </c>
      <c r="G39" s="31">
        <v>26117417</v>
      </c>
      <c r="H39" s="11"/>
      <c r="I39" s="11"/>
      <c r="J39" s="11"/>
      <c r="K39" s="11">
        <v>11455531</v>
      </c>
      <c r="L39" s="11">
        <v>10190010</v>
      </c>
      <c r="M39" s="11">
        <v>9425664</v>
      </c>
      <c r="N39" s="11"/>
      <c r="O39" s="11"/>
      <c r="P39" s="11">
        <v>28909239</v>
      </c>
      <c r="Q39" s="11">
        <v>27142061</v>
      </c>
      <c r="R39" s="11">
        <v>24050769</v>
      </c>
      <c r="S39" s="11">
        <v>21558340</v>
      </c>
      <c r="T39" s="11">
        <v>19254712</v>
      </c>
      <c r="U39" s="11">
        <v>18748970</v>
      </c>
      <c r="V39" s="11">
        <v>32147047</v>
      </c>
      <c r="W39" s="11">
        <v>38198404</v>
      </c>
      <c r="X39" s="11">
        <v>38297184</v>
      </c>
      <c r="Y39" s="11">
        <v>41523082</v>
      </c>
      <c r="Z39" s="11">
        <v>42890064</v>
      </c>
      <c r="AA39" s="11">
        <v>41937165</v>
      </c>
      <c r="AB39" s="11">
        <v>31728617</v>
      </c>
      <c r="AC39" s="11">
        <v>25798561</v>
      </c>
    </row>
    <row r="40" spans="1:29" s="19" customFormat="1">
      <c r="A40" s="1" t="s">
        <v>70</v>
      </c>
      <c r="B40" s="1" t="s">
        <v>71</v>
      </c>
      <c r="C40" s="1" t="s">
        <v>588</v>
      </c>
      <c r="D40" s="1" t="s">
        <v>591</v>
      </c>
      <c r="E40" s="11"/>
      <c r="F40" s="11" t="s">
        <v>73</v>
      </c>
      <c r="G40" s="11" t="s">
        <v>73</v>
      </c>
      <c r="H40" s="11"/>
      <c r="I40" s="11"/>
      <c r="J40" s="11"/>
      <c r="K40" s="11" t="s">
        <v>73</v>
      </c>
      <c r="L40" s="11" t="s">
        <v>73</v>
      </c>
      <c r="M40" s="11" t="s">
        <v>73</v>
      </c>
      <c r="N40" s="11"/>
      <c r="O40" s="11"/>
      <c r="P40" s="11">
        <v>2172941</v>
      </c>
      <c r="Q40" s="31">
        <v>2172688</v>
      </c>
      <c r="R40" s="31">
        <v>2117549</v>
      </c>
      <c r="S40" s="11">
        <v>60674</v>
      </c>
      <c r="T40" s="11">
        <v>0</v>
      </c>
      <c r="U40" s="11">
        <v>0</v>
      </c>
      <c r="V40" s="11">
        <v>0</v>
      </c>
      <c r="W40" s="11">
        <v>0</v>
      </c>
      <c r="X40" s="11">
        <v>0</v>
      </c>
      <c r="Y40" s="11">
        <v>0</v>
      </c>
      <c r="Z40" s="11"/>
      <c r="AA40" s="11">
        <v>0</v>
      </c>
      <c r="AB40" s="11">
        <v>0</v>
      </c>
      <c r="AC40" s="11">
        <v>0</v>
      </c>
    </row>
    <row r="41" spans="1:29" s="19" customFormat="1">
      <c r="A41" s="1" t="s">
        <v>70</v>
      </c>
      <c r="B41" s="1" t="s">
        <v>71</v>
      </c>
      <c r="C41" s="1" t="s">
        <v>588</v>
      </c>
      <c r="D41" s="1" t="s">
        <v>592</v>
      </c>
      <c r="E41" s="11"/>
      <c r="F41" s="11" t="s">
        <v>73</v>
      </c>
      <c r="G41" s="11" t="s">
        <v>73</v>
      </c>
      <c r="H41" s="11"/>
      <c r="I41" s="11"/>
      <c r="J41" s="11"/>
      <c r="K41" s="11" t="s">
        <v>73</v>
      </c>
      <c r="L41" s="11" t="s">
        <v>73</v>
      </c>
      <c r="M41" s="11" t="s">
        <v>73</v>
      </c>
      <c r="N41" s="11"/>
      <c r="O41" s="11"/>
      <c r="P41" s="11" t="s">
        <v>73</v>
      </c>
      <c r="Q41" s="11" t="s">
        <v>73</v>
      </c>
      <c r="R41" s="11" t="s">
        <v>73</v>
      </c>
      <c r="S41" s="11" t="s">
        <v>73</v>
      </c>
      <c r="T41" s="11" t="s">
        <v>73</v>
      </c>
      <c r="U41" s="11" t="s">
        <v>73</v>
      </c>
      <c r="V41" s="11" t="s">
        <v>73</v>
      </c>
      <c r="W41" s="11" t="s">
        <v>73</v>
      </c>
      <c r="X41" s="11" t="s">
        <v>73</v>
      </c>
      <c r="Y41" s="11" t="s">
        <v>73</v>
      </c>
      <c r="Z41" s="11">
        <v>1876939</v>
      </c>
      <c r="AA41" s="11">
        <v>2101758</v>
      </c>
      <c r="AB41" s="11">
        <v>2570058</v>
      </c>
      <c r="AC41" s="11">
        <v>4271068</v>
      </c>
    </row>
    <row r="42" spans="1:29" s="19" customFormat="1">
      <c r="A42" s="1" t="s">
        <v>70</v>
      </c>
      <c r="B42" s="1" t="s">
        <v>71</v>
      </c>
      <c r="C42" s="1" t="s">
        <v>588</v>
      </c>
      <c r="D42" s="1" t="s">
        <v>593</v>
      </c>
      <c r="E42" s="11"/>
      <c r="F42" s="17">
        <v>1144605</v>
      </c>
      <c r="G42" s="17">
        <v>1107885</v>
      </c>
      <c r="H42" s="11"/>
      <c r="I42" s="11"/>
      <c r="J42" s="11"/>
      <c r="K42" s="11" t="s">
        <v>73</v>
      </c>
      <c r="L42" s="11" t="s">
        <v>73</v>
      </c>
      <c r="M42" s="11" t="s">
        <v>73</v>
      </c>
      <c r="N42" s="11"/>
      <c r="O42" s="11"/>
      <c r="P42" s="11">
        <v>507960</v>
      </c>
      <c r="Q42" s="31">
        <v>471240</v>
      </c>
      <c r="R42" s="31">
        <v>631864</v>
      </c>
      <c r="S42" s="11">
        <v>579209</v>
      </c>
      <c r="T42" s="11">
        <v>526553</v>
      </c>
      <c r="U42" s="11">
        <v>473898</v>
      </c>
      <c r="V42" s="11">
        <v>421243</v>
      </c>
      <c r="W42" s="11">
        <v>368587</v>
      </c>
      <c r="X42" s="11">
        <v>315933</v>
      </c>
      <c r="Y42" s="11">
        <v>263277</v>
      </c>
      <c r="Z42" s="11">
        <v>210621</v>
      </c>
      <c r="AA42" s="11">
        <v>157966</v>
      </c>
      <c r="AB42" s="11">
        <v>105310</v>
      </c>
      <c r="AC42" s="11">
        <v>52655</v>
      </c>
    </row>
    <row r="43" spans="1:29" s="19" customFormat="1">
      <c r="A43" s="1" t="s">
        <v>70</v>
      </c>
      <c r="B43" s="1" t="s">
        <v>71</v>
      </c>
      <c r="C43" s="8" t="s">
        <v>588</v>
      </c>
      <c r="D43" s="8" t="s">
        <v>594</v>
      </c>
      <c r="E43" s="11"/>
      <c r="F43" s="16">
        <f>SUM(F38:F42)</f>
        <v>87329545</v>
      </c>
      <c r="G43" s="16">
        <f>SUM(G38:G42)</f>
        <v>87430302</v>
      </c>
      <c r="H43" s="11"/>
      <c r="I43" s="11"/>
      <c r="J43" s="11"/>
      <c r="K43" s="16">
        <f>SUM(K38:K42)</f>
        <v>11455531</v>
      </c>
      <c r="L43" s="16">
        <f>SUM(L38:L42)</f>
        <v>10190010</v>
      </c>
      <c r="M43" s="16">
        <f>SUM(M38:M42)</f>
        <v>9425664</v>
      </c>
      <c r="N43" s="16"/>
      <c r="O43" s="16"/>
      <c r="P43" s="16">
        <f t="shared" ref="P43:U43" si="14">SUM(P38:P42)</f>
        <v>80875082</v>
      </c>
      <c r="Q43" s="16">
        <f t="shared" si="14"/>
        <v>76596598</v>
      </c>
      <c r="R43" s="16">
        <f t="shared" si="14"/>
        <v>70950626</v>
      </c>
      <c r="S43" s="16">
        <f t="shared" si="14"/>
        <v>63330609</v>
      </c>
      <c r="T43" s="16">
        <f t="shared" si="14"/>
        <v>57717406</v>
      </c>
      <c r="U43" s="16">
        <f t="shared" si="14"/>
        <v>84735846</v>
      </c>
      <c r="V43" s="16">
        <f t="shared" ref="V43:AA43" si="15">SUM(V38:V42)</f>
        <v>94427124</v>
      </c>
      <c r="W43" s="16">
        <f t="shared" si="15"/>
        <v>96412235</v>
      </c>
      <c r="X43" s="16">
        <f t="shared" si="15"/>
        <v>91380891</v>
      </c>
      <c r="Y43" s="16">
        <f t="shared" si="15"/>
        <v>89640391</v>
      </c>
      <c r="Z43" s="16">
        <f t="shared" si="15"/>
        <v>87698885</v>
      </c>
      <c r="AA43" s="16">
        <f t="shared" si="15"/>
        <v>81569714</v>
      </c>
      <c r="AB43" s="16">
        <f>SUM(AB37:AB42)</f>
        <v>186287636</v>
      </c>
      <c r="AC43" s="16">
        <f>SUM(AC37:AC42)</f>
        <v>178142739</v>
      </c>
    </row>
    <row r="44" spans="1:29" s="19" customFormat="1">
      <c r="A44" s="1" t="s">
        <v>70</v>
      </c>
      <c r="B44" s="1" t="s">
        <v>71</v>
      </c>
      <c r="C44" s="8" t="s">
        <v>595</v>
      </c>
      <c r="D44" s="8" t="s">
        <v>595</v>
      </c>
      <c r="E44" s="11"/>
      <c r="F44" s="16">
        <f>F43+F36</f>
        <v>90872347</v>
      </c>
      <c r="G44" s="16">
        <f>G43+G36</f>
        <v>89115576</v>
      </c>
      <c r="H44" s="11"/>
      <c r="I44" s="11"/>
      <c r="J44" s="11"/>
      <c r="K44" s="16">
        <f>K43+K36</f>
        <v>11868992</v>
      </c>
      <c r="L44" s="16">
        <f>L43+L36</f>
        <v>10717941</v>
      </c>
      <c r="M44" s="16">
        <f>M43+M36</f>
        <v>9968649</v>
      </c>
      <c r="N44" s="16"/>
      <c r="O44" s="16"/>
      <c r="P44" s="16">
        <f t="shared" ref="P44:U44" si="16">P43+P36</f>
        <v>88154414</v>
      </c>
      <c r="Q44" s="16">
        <f t="shared" si="16"/>
        <v>83983845</v>
      </c>
      <c r="R44" s="16">
        <f t="shared" si="16"/>
        <v>78765924</v>
      </c>
      <c r="S44" s="16">
        <f t="shared" si="16"/>
        <v>70923741</v>
      </c>
      <c r="T44" s="16">
        <f t="shared" si="16"/>
        <v>66047554</v>
      </c>
      <c r="U44" s="16">
        <f t="shared" si="16"/>
        <v>96072880</v>
      </c>
      <c r="V44" s="16">
        <f t="shared" ref="V44:AC44" si="17">V43+V36</f>
        <v>105538863</v>
      </c>
      <c r="W44" s="16">
        <f t="shared" si="17"/>
        <v>104911590</v>
      </c>
      <c r="X44" s="16">
        <f t="shared" si="17"/>
        <v>100860857</v>
      </c>
      <c r="Y44" s="16">
        <f t="shared" si="17"/>
        <v>98948306</v>
      </c>
      <c r="Z44" s="16">
        <f t="shared" si="17"/>
        <v>97912849</v>
      </c>
      <c r="AA44" s="16">
        <f t="shared" si="17"/>
        <v>91226725</v>
      </c>
      <c r="AB44" s="16">
        <f t="shared" si="17"/>
        <v>196910825</v>
      </c>
      <c r="AC44" s="16">
        <f t="shared" si="17"/>
        <v>191800945</v>
      </c>
    </row>
    <row r="45" spans="1:29" s="19" customFormat="1">
      <c r="A45" s="1" t="s">
        <v>70</v>
      </c>
      <c r="B45" s="1" t="s">
        <v>71</v>
      </c>
      <c r="C45" s="19" t="s">
        <v>596</v>
      </c>
      <c r="D45" s="19" t="s">
        <v>597</v>
      </c>
      <c r="E45" s="31"/>
      <c r="F45" s="11">
        <v>2958747</v>
      </c>
      <c r="G45" s="11">
        <v>5804479</v>
      </c>
      <c r="H45" s="11"/>
      <c r="I45" s="11"/>
      <c r="J45" s="11"/>
      <c r="K45" s="11">
        <v>61824442</v>
      </c>
      <c r="L45" s="11">
        <v>61824442</v>
      </c>
      <c r="M45" s="11">
        <v>61824442</v>
      </c>
      <c r="N45" s="11"/>
      <c r="O45" s="11"/>
      <c r="P45" s="11">
        <v>93810481</v>
      </c>
      <c r="Q45" s="11">
        <v>95219774</v>
      </c>
      <c r="R45" s="11">
        <v>94796855</v>
      </c>
      <c r="S45" s="11">
        <v>101061997</v>
      </c>
      <c r="T45" s="11">
        <v>105257965</v>
      </c>
      <c r="U45" s="11">
        <v>109281146</v>
      </c>
      <c r="V45" s="11">
        <v>115848481</v>
      </c>
      <c r="W45" s="11">
        <v>126342478</v>
      </c>
      <c r="X45" s="11">
        <v>129661461</v>
      </c>
      <c r="Y45" s="11">
        <v>134852299</v>
      </c>
      <c r="Z45" s="11">
        <v>137253390</v>
      </c>
      <c r="AA45" s="17">
        <v>138861752</v>
      </c>
      <c r="AB45" s="17">
        <v>0</v>
      </c>
      <c r="AC45" s="17">
        <v>0</v>
      </c>
    </row>
    <row r="46" spans="1:29" s="19" customFormat="1">
      <c r="A46" s="1" t="s">
        <v>70</v>
      </c>
      <c r="B46" s="1" t="s">
        <v>71</v>
      </c>
      <c r="C46" s="1" t="s">
        <v>596</v>
      </c>
      <c r="D46" s="1" t="s">
        <v>598</v>
      </c>
      <c r="E46" s="11"/>
      <c r="F46" s="17">
        <v>3120001</v>
      </c>
      <c r="G46" s="17">
        <v>2973838</v>
      </c>
      <c r="H46" s="17"/>
      <c r="I46" s="17"/>
      <c r="J46" s="17"/>
      <c r="K46" s="17">
        <v>2849333</v>
      </c>
      <c r="L46" s="17">
        <v>1985729</v>
      </c>
      <c r="M46" s="17">
        <v>1242905</v>
      </c>
      <c r="N46" s="17"/>
      <c r="O46" s="13"/>
      <c r="P46" s="13">
        <f>656103+6132730</f>
        <v>6788833</v>
      </c>
      <c r="Q46" s="13">
        <f>142295+5968325</f>
        <v>6110620</v>
      </c>
      <c r="R46" s="13">
        <f>6526161+781454</f>
        <v>7307615</v>
      </c>
      <c r="S46" s="13">
        <f>4711303+804940</f>
        <v>5516243</v>
      </c>
      <c r="T46" s="13">
        <f>2393191+837216</f>
        <v>3230407</v>
      </c>
      <c r="U46" s="13">
        <f>1102773+876517</f>
        <v>1979290</v>
      </c>
      <c r="V46" s="13">
        <f>1105848+880329</f>
        <v>1986177</v>
      </c>
      <c r="W46" s="13">
        <f>1107337+1019180</f>
        <v>2126517</v>
      </c>
      <c r="X46" s="13">
        <f>1108808+1052437</f>
        <v>2161245</v>
      </c>
      <c r="Y46" s="13">
        <f>1274404+1054879</f>
        <v>2329283</v>
      </c>
      <c r="Z46" s="13">
        <f>929481+1056037</f>
        <v>1985518</v>
      </c>
      <c r="AA46" s="13">
        <f>499882+1053419</f>
        <v>1553301</v>
      </c>
      <c r="AB46" s="13">
        <f>222881+1045329</f>
        <v>1268210</v>
      </c>
      <c r="AC46" s="13">
        <f>226203+1040814</f>
        <v>1267017</v>
      </c>
    </row>
    <row r="47" spans="1:29" s="19" customFormat="1">
      <c r="A47" s="1" t="s">
        <v>70</v>
      </c>
      <c r="B47" s="1" t="s">
        <v>71</v>
      </c>
      <c r="C47" s="1" t="s">
        <v>596</v>
      </c>
      <c r="D47" s="1" t="s">
        <v>599</v>
      </c>
      <c r="E47" s="11"/>
      <c r="F47" s="17">
        <v>18967038</v>
      </c>
      <c r="G47" s="17">
        <v>20235687</v>
      </c>
      <c r="H47" s="17"/>
      <c r="I47" s="17"/>
      <c r="J47" s="17"/>
      <c r="K47" s="17">
        <v>4974533</v>
      </c>
      <c r="L47" s="17">
        <v>5020923</v>
      </c>
      <c r="M47" s="17">
        <v>4890517</v>
      </c>
      <c r="N47" s="17"/>
      <c r="O47" s="13"/>
      <c r="P47" s="13">
        <v>9098846</v>
      </c>
      <c r="Q47" s="13">
        <v>10077183</v>
      </c>
      <c r="R47" s="13">
        <v>10192551</v>
      </c>
      <c r="S47" s="13">
        <v>5236405</v>
      </c>
      <c r="T47" s="13">
        <v>5071396</v>
      </c>
      <c r="U47" s="13">
        <v>5933517</v>
      </c>
      <c r="V47" s="13">
        <v>7804903</v>
      </c>
      <c r="W47" s="13">
        <v>8208572</v>
      </c>
      <c r="X47" s="13">
        <v>9854680</v>
      </c>
      <c r="Y47" s="13">
        <v>8534843</v>
      </c>
      <c r="Z47" s="13">
        <v>6723941</v>
      </c>
      <c r="AA47" s="13">
        <v>6479616</v>
      </c>
      <c r="AB47" s="13">
        <v>-71882553</v>
      </c>
      <c r="AC47" s="13">
        <v>-68598173</v>
      </c>
    </row>
    <row r="48" spans="1:29" s="19" customFormat="1">
      <c r="A48" s="1" t="s">
        <v>70</v>
      </c>
      <c r="B48" s="1" t="s">
        <v>71</v>
      </c>
      <c r="C48" s="8" t="s">
        <v>596</v>
      </c>
      <c r="D48" s="8" t="s">
        <v>600</v>
      </c>
      <c r="E48" s="11"/>
      <c r="F48" s="15">
        <f>SUM(F45:F47)</f>
        <v>25045786</v>
      </c>
      <c r="G48" s="15">
        <f>SUM(G45:G47)</f>
        <v>29014004</v>
      </c>
      <c r="H48" s="15"/>
      <c r="I48" s="15"/>
      <c r="J48" s="15"/>
      <c r="K48" s="15">
        <f>SUM(K45:K47)</f>
        <v>69648308</v>
      </c>
      <c r="L48" s="15">
        <f>SUM(L45:L47)</f>
        <v>68831094</v>
      </c>
      <c r="M48" s="15">
        <f>SUM(M45:M47)</f>
        <v>67957864</v>
      </c>
      <c r="N48" s="15"/>
      <c r="O48" s="15"/>
      <c r="P48" s="15">
        <f t="shared" ref="P48:U48" si="18">SUM(P45:P47)</f>
        <v>109698160</v>
      </c>
      <c r="Q48" s="15">
        <f t="shared" si="18"/>
        <v>111407577</v>
      </c>
      <c r="R48" s="15">
        <f t="shared" si="18"/>
        <v>112297021</v>
      </c>
      <c r="S48" s="15">
        <f t="shared" si="18"/>
        <v>111814645</v>
      </c>
      <c r="T48" s="15">
        <f t="shared" si="18"/>
        <v>113559768</v>
      </c>
      <c r="U48" s="15">
        <f t="shared" si="18"/>
        <v>117193953</v>
      </c>
      <c r="V48" s="15">
        <f t="shared" ref="V48:AC48" si="19">SUM(V45:V47)</f>
        <v>125639561</v>
      </c>
      <c r="W48" s="15">
        <f t="shared" si="19"/>
        <v>136677567</v>
      </c>
      <c r="X48" s="15">
        <f t="shared" si="19"/>
        <v>141677386</v>
      </c>
      <c r="Y48" s="15">
        <f t="shared" si="19"/>
        <v>145716425</v>
      </c>
      <c r="Z48" s="15">
        <f t="shared" si="19"/>
        <v>145962849</v>
      </c>
      <c r="AA48" s="15">
        <f t="shared" si="19"/>
        <v>146894669</v>
      </c>
      <c r="AB48" s="15">
        <f t="shared" si="19"/>
        <v>-70614343</v>
      </c>
      <c r="AC48" s="15">
        <f t="shared" si="19"/>
        <v>-67331156</v>
      </c>
    </row>
    <row r="49" spans="1:29" s="19" customFormat="1">
      <c r="A49" s="1" t="s">
        <v>70</v>
      </c>
      <c r="B49" s="1" t="s">
        <v>71</v>
      </c>
      <c r="C49" s="1" t="s">
        <v>576</v>
      </c>
      <c r="D49" s="1" t="s">
        <v>601</v>
      </c>
      <c r="E49" s="31"/>
      <c r="F49" s="11" t="s">
        <v>73</v>
      </c>
      <c r="G49" s="11" t="s">
        <v>73</v>
      </c>
      <c r="H49" s="31"/>
      <c r="I49" s="31"/>
      <c r="J49" s="31"/>
      <c r="K49" s="11" t="s">
        <v>73</v>
      </c>
      <c r="L49" s="11" t="s">
        <v>73</v>
      </c>
      <c r="M49" s="11" t="s">
        <v>73</v>
      </c>
      <c r="N49" s="31"/>
      <c r="O49" s="31"/>
      <c r="P49" s="11">
        <v>0</v>
      </c>
      <c r="Q49" s="11">
        <v>0</v>
      </c>
      <c r="R49" s="11">
        <v>0</v>
      </c>
      <c r="S49" s="11">
        <v>0</v>
      </c>
      <c r="T49" s="11">
        <v>0</v>
      </c>
      <c r="U49" s="11">
        <v>0</v>
      </c>
      <c r="V49" s="11">
        <v>0</v>
      </c>
      <c r="W49" s="11">
        <v>0</v>
      </c>
      <c r="X49" s="11">
        <v>0</v>
      </c>
      <c r="Y49" s="11">
        <v>0</v>
      </c>
      <c r="Z49" s="11">
        <v>224271</v>
      </c>
      <c r="AA49" s="11">
        <v>192683</v>
      </c>
      <c r="AB49" s="11">
        <v>829998</v>
      </c>
      <c r="AC49" s="11">
        <v>642998</v>
      </c>
    </row>
    <row r="50" spans="1:29" s="19" customFormat="1">
      <c r="A50" s="1" t="s">
        <v>70</v>
      </c>
      <c r="B50" s="1" t="s">
        <v>71</v>
      </c>
      <c r="C50" s="8" t="s">
        <v>602</v>
      </c>
      <c r="D50" s="8" t="s">
        <v>602</v>
      </c>
      <c r="E50" s="11"/>
      <c r="F50" s="15">
        <f>F48+F44</f>
        <v>115918133</v>
      </c>
      <c r="G50" s="15">
        <f>G48+G44</f>
        <v>118129580</v>
      </c>
      <c r="H50" s="15"/>
      <c r="I50" s="15"/>
      <c r="J50" s="15"/>
      <c r="K50" s="15">
        <f>K48+K44</f>
        <v>81517300</v>
      </c>
      <c r="L50" s="15">
        <f>L48+L44</f>
        <v>79549035</v>
      </c>
      <c r="M50" s="15">
        <f>M48+M44</f>
        <v>77926513</v>
      </c>
      <c r="N50" s="15"/>
      <c r="O50" s="15"/>
      <c r="P50" s="15">
        <f t="shared" ref="P50:U50" si="20">P48+P44</f>
        <v>197852574</v>
      </c>
      <c r="Q50" s="15">
        <f t="shared" si="20"/>
        <v>195391422</v>
      </c>
      <c r="R50" s="15">
        <f t="shared" si="20"/>
        <v>191062945</v>
      </c>
      <c r="S50" s="15">
        <f t="shared" si="20"/>
        <v>182738386</v>
      </c>
      <c r="T50" s="15">
        <f t="shared" si="20"/>
        <v>179607322</v>
      </c>
      <c r="U50" s="15">
        <f t="shared" si="20"/>
        <v>213266833</v>
      </c>
      <c r="V50" s="15">
        <f t="shared" ref="V50:AA50" si="21">V48+V44</f>
        <v>231178424</v>
      </c>
      <c r="W50" s="15">
        <f t="shared" si="21"/>
        <v>241589157</v>
      </c>
      <c r="X50" s="15">
        <f t="shared" si="21"/>
        <v>242538243</v>
      </c>
      <c r="Y50" s="15">
        <f t="shared" si="21"/>
        <v>244664731</v>
      </c>
      <c r="Z50" s="15">
        <f>Z48+Z44+Z49</f>
        <v>244099969</v>
      </c>
      <c r="AA50" s="15">
        <f t="shared" si="21"/>
        <v>238121394</v>
      </c>
      <c r="AB50" s="15">
        <f>AB48+AB44+AB49</f>
        <v>127126480</v>
      </c>
      <c r="AC50" s="15">
        <f>AC48+AC44+AC49</f>
        <v>125112787</v>
      </c>
    </row>
    <row r="51" spans="1:29">
      <c r="Z51" s="3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8"/>
  <sheetViews>
    <sheetView workbookViewId="0">
      <selection activeCell="F8" sqref="F2:F8"/>
    </sheetView>
  </sheetViews>
  <sheetFormatPr defaultColWidth="8.85546875" defaultRowHeight="14.45"/>
  <cols>
    <col min="1" max="1" width="10.140625" style="1" bestFit="1" customWidth="1"/>
    <col min="2" max="2" width="11.5703125" style="1" customWidth="1"/>
    <col min="3" max="16384" width="8.85546875" style="1"/>
  </cols>
  <sheetData>
    <row r="1" spans="1:19">
      <c r="A1" s="2" t="s">
        <v>51</v>
      </c>
      <c r="B1" s="2" t="s">
        <v>52</v>
      </c>
      <c r="C1" s="3" t="s">
        <v>53</v>
      </c>
      <c r="D1" s="3" t="s">
        <v>54</v>
      </c>
      <c r="E1" s="4" t="s">
        <v>55</v>
      </c>
      <c r="F1" s="4" t="s">
        <v>56</v>
      </c>
      <c r="G1" s="4" t="s">
        <v>57</v>
      </c>
      <c r="H1" s="5" t="s">
        <v>58</v>
      </c>
      <c r="I1" s="2" t="s">
        <v>59</v>
      </c>
      <c r="J1" s="2" t="s">
        <v>60</v>
      </c>
      <c r="K1" s="2" t="s">
        <v>61</v>
      </c>
      <c r="L1" s="6" t="s">
        <v>62</v>
      </c>
      <c r="M1" s="38" t="s">
        <v>63</v>
      </c>
      <c r="N1" s="38" t="s">
        <v>64</v>
      </c>
      <c r="O1" s="38" t="s">
        <v>65</v>
      </c>
      <c r="P1" s="39" t="s">
        <v>66</v>
      </c>
      <c r="Q1" s="2" t="s">
        <v>67</v>
      </c>
      <c r="R1" s="6" t="s">
        <v>68</v>
      </c>
      <c r="S1" s="6" t="s">
        <v>69</v>
      </c>
    </row>
    <row r="2" spans="1:19">
      <c r="A2" s="1" t="s">
        <v>70</v>
      </c>
      <c r="B2" s="1" t="s">
        <v>71</v>
      </c>
      <c r="C2" s="1">
        <v>1997</v>
      </c>
      <c r="D2" s="1" t="s">
        <v>72</v>
      </c>
      <c r="E2" s="1" t="s">
        <v>73</v>
      </c>
      <c r="F2" s="1" t="s">
        <v>74</v>
      </c>
      <c r="G2" s="1" t="s">
        <v>73</v>
      </c>
      <c r="H2" s="1">
        <v>53085000</v>
      </c>
      <c r="I2" s="1">
        <v>1997</v>
      </c>
      <c r="J2" s="1">
        <v>2019</v>
      </c>
      <c r="K2" s="1" t="s">
        <v>75</v>
      </c>
      <c r="L2" s="1" t="s">
        <v>76</v>
      </c>
      <c r="M2" s="1">
        <v>120</v>
      </c>
      <c r="N2" s="1">
        <v>100</v>
      </c>
      <c r="O2" s="1" t="s">
        <v>77</v>
      </c>
      <c r="P2" s="1" t="s">
        <v>78</v>
      </c>
      <c r="Q2" s="1" t="s">
        <v>79</v>
      </c>
      <c r="R2" s="1" t="s">
        <v>80</v>
      </c>
    </row>
    <row r="3" spans="1:19">
      <c r="A3" s="1" t="s">
        <v>70</v>
      </c>
      <c r="B3" s="1" t="s">
        <v>71</v>
      </c>
      <c r="C3" s="1">
        <v>2003</v>
      </c>
      <c r="D3" s="1" t="s">
        <v>81</v>
      </c>
      <c r="E3" s="1" t="s">
        <v>73</v>
      </c>
      <c r="F3" s="1" t="s">
        <v>82</v>
      </c>
      <c r="G3" s="1" t="s">
        <v>73</v>
      </c>
      <c r="H3" s="1">
        <v>4830000</v>
      </c>
      <c r="I3" s="1">
        <v>2003</v>
      </c>
      <c r="J3" s="1">
        <v>2009</v>
      </c>
      <c r="K3" s="1" t="s">
        <v>75</v>
      </c>
      <c r="L3" s="1" t="s">
        <v>83</v>
      </c>
      <c r="M3" s="1">
        <v>115</v>
      </c>
      <c r="N3" s="1">
        <v>115</v>
      </c>
      <c r="O3" s="1" t="s">
        <v>84</v>
      </c>
      <c r="P3" s="1" t="s">
        <v>78</v>
      </c>
      <c r="Q3" s="1" t="s">
        <v>79</v>
      </c>
      <c r="R3" s="1" t="s">
        <v>85</v>
      </c>
    </row>
    <row r="4" spans="1:19">
      <c r="A4" s="1" t="s">
        <v>70</v>
      </c>
      <c r="B4" s="1" t="s">
        <v>71</v>
      </c>
      <c r="C4" s="1">
        <v>2004</v>
      </c>
      <c r="D4" s="1" t="s">
        <v>81</v>
      </c>
      <c r="E4" s="1" t="s">
        <v>73</v>
      </c>
      <c r="F4" s="1" t="s">
        <v>82</v>
      </c>
      <c r="G4" s="1" t="s">
        <v>73</v>
      </c>
      <c r="H4" s="1">
        <v>3105000</v>
      </c>
      <c r="I4" s="1">
        <v>2004</v>
      </c>
      <c r="J4" s="1">
        <v>2012</v>
      </c>
      <c r="K4" s="1" t="s">
        <v>75</v>
      </c>
      <c r="L4" s="1" t="s">
        <v>83</v>
      </c>
      <c r="M4" s="1">
        <v>115</v>
      </c>
      <c r="N4" s="1">
        <v>115</v>
      </c>
      <c r="O4" s="1" t="s">
        <v>84</v>
      </c>
      <c r="P4" s="1" t="s">
        <v>78</v>
      </c>
      <c r="Q4" s="1" t="s">
        <v>79</v>
      </c>
      <c r="R4" s="1" t="s">
        <v>85</v>
      </c>
    </row>
    <row r="5" spans="1:19">
      <c r="A5" s="1" t="s">
        <v>70</v>
      </c>
      <c r="B5" s="1" t="s">
        <v>71</v>
      </c>
      <c r="C5" s="1">
        <v>2007</v>
      </c>
      <c r="D5" s="1" t="s">
        <v>72</v>
      </c>
      <c r="E5" s="1" t="s">
        <v>86</v>
      </c>
      <c r="F5" s="1" t="s">
        <v>73</v>
      </c>
      <c r="G5" s="1" t="s">
        <v>73</v>
      </c>
      <c r="H5" s="1">
        <v>47740000</v>
      </c>
      <c r="I5" s="1">
        <v>2007</v>
      </c>
      <c r="J5" s="1">
        <v>2019</v>
      </c>
      <c r="K5" s="1" t="s">
        <v>75</v>
      </c>
      <c r="L5" s="1" t="s">
        <v>83</v>
      </c>
      <c r="M5" s="1">
        <v>110</v>
      </c>
      <c r="N5" s="1">
        <v>110</v>
      </c>
      <c r="O5" s="1" t="s">
        <v>87</v>
      </c>
      <c r="P5" s="1" t="s">
        <v>78</v>
      </c>
      <c r="Q5" s="1" t="s">
        <v>79</v>
      </c>
      <c r="R5" s="1" t="s">
        <v>85</v>
      </c>
      <c r="S5" s="1" t="s">
        <v>88</v>
      </c>
    </row>
    <row r="6" spans="1:19">
      <c r="A6" s="1" t="s">
        <v>70</v>
      </c>
      <c r="B6" s="1" t="s">
        <v>71</v>
      </c>
      <c r="C6" s="1">
        <v>2010</v>
      </c>
      <c r="D6" s="1" t="s">
        <v>81</v>
      </c>
      <c r="E6" s="1" t="s">
        <v>73</v>
      </c>
      <c r="F6" s="1" t="s">
        <v>75</v>
      </c>
      <c r="G6" s="1" t="s">
        <v>75</v>
      </c>
      <c r="H6" s="1">
        <v>289000</v>
      </c>
      <c r="I6" s="1">
        <v>2010</v>
      </c>
      <c r="J6" s="1">
        <v>2012</v>
      </c>
      <c r="K6" s="1" t="s">
        <v>75</v>
      </c>
      <c r="L6" s="1" t="s">
        <v>83</v>
      </c>
      <c r="M6" s="1">
        <v>110</v>
      </c>
      <c r="N6" s="1">
        <v>110</v>
      </c>
      <c r="O6" s="1" t="s">
        <v>89</v>
      </c>
      <c r="P6" s="1" t="s">
        <v>78</v>
      </c>
      <c r="Q6" s="1" t="s">
        <v>79</v>
      </c>
      <c r="R6" s="1" t="s">
        <v>90</v>
      </c>
    </row>
    <row r="7" spans="1:19">
      <c r="A7" s="1" t="s">
        <v>70</v>
      </c>
      <c r="B7" s="1" t="s">
        <v>71</v>
      </c>
      <c r="C7" s="1">
        <v>2010</v>
      </c>
      <c r="D7" s="1" t="s">
        <v>81</v>
      </c>
      <c r="E7" s="1" t="s">
        <v>73</v>
      </c>
      <c r="F7" s="1" t="s">
        <v>74</v>
      </c>
      <c r="G7" s="1" t="s">
        <v>75</v>
      </c>
      <c r="H7" s="1">
        <v>16340000</v>
      </c>
      <c r="I7" s="1">
        <v>2010</v>
      </c>
      <c r="J7" s="1">
        <v>2039</v>
      </c>
      <c r="K7" s="1" t="s">
        <v>91</v>
      </c>
      <c r="L7" s="1" t="s">
        <v>83</v>
      </c>
      <c r="M7" s="1">
        <v>110</v>
      </c>
      <c r="N7" s="1">
        <v>110</v>
      </c>
      <c r="O7" s="1" t="s">
        <v>89</v>
      </c>
      <c r="P7" s="1" t="s">
        <v>78</v>
      </c>
      <c r="Q7" s="1" t="s">
        <v>92</v>
      </c>
      <c r="R7" s="1" t="s">
        <v>90</v>
      </c>
    </row>
    <row r="8" spans="1:19">
      <c r="A8" s="1" t="s">
        <v>70</v>
      </c>
      <c r="B8" s="1" t="s">
        <v>71</v>
      </c>
      <c r="C8" s="1">
        <v>2010</v>
      </c>
      <c r="D8" s="1" t="s">
        <v>81</v>
      </c>
      <c r="E8" s="1" t="s">
        <v>73</v>
      </c>
      <c r="F8" s="1" t="s">
        <v>93</v>
      </c>
      <c r="G8" s="1" t="s">
        <v>75</v>
      </c>
      <c r="H8" s="1">
        <v>15745000</v>
      </c>
      <c r="I8" s="1">
        <v>2010</v>
      </c>
      <c r="J8" s="1">
        <v>2040</v>
      </c>
      <c r="K8" s="1" t="s">
        <v>94</v>
      </c>
      <c r="L8" s="1" t="s">
        <v>83</v>
      </c>
      <c r="M8" s="1">
        <v>110</v>
      </c>
      <c r="N8" s="1">
        <v>110</v>
      </c>
      <c r="O8" s="1" t="s">
        <v>89</v>
      </c>
      <c r="P8" s="1" t="s">
        <v>78</v>
      </c>
      <c r="Q8" s="1" t="s">
        <v>92</v>
      </c>
      <c r="R8" s="1" t="s">
        <v>90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1"/>
  <sheetViews>
    <sheetView workbookViewId="0">
      <selection sqref="A1:I1"/>
    </sheetView>
  </sheetViews>
  <sheetFormatPr defaultColWidth="8.85546875" defaultRowHeight="14.45"/>
  <cols>
    <col min="1" max="16384" width="8.85546875" style="1"/>
  </cols>
  <sheetData>
    <row r="1" spans="1:9">
      <c r="A1" s="2" t="s">
        <v>51</v>
      </c>
      <c r="B1" s="2" t="s">
        <v>52</v>
      </c>
      <c r="C1" s="2" t="s">
        <v>53</v>
      </c>
      <c r="D1" s="2" t="s">
        <v>54</v>
      </c>
      <c r="E1" s="9" t="s">
        <v>189</v>
      </c>
      <c r="F1" s="7" t="s">
        <v>603</v>
      </c>
      <c r="G1" s="10" t="s">
        <v>604</v>
      </c>
      <c r="H1" s="2" t="s">
        <v>605</v>
      </c>
      <c r="I1" s="6" t="s">
        <v>69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E4B6C-9498-4F36-9D88-3D2815525430}">
  <dimension ref="A1:AL38"/>
  <sheetViews>
    <sheetView topLeftCell="A15" workbookViewId="0">
      <selection activeCell="AF27" sqref="I27:AF27"/>
    </sheetView>
  </sheetViews>
  <sheetFormatPr defaultRowHeight="14.45"/>
  <cols>
    <col min="2" max="2" width="6.85546875" customWidth="1"/>
    <col min="3" max="3" width="61.140625" customWidth="1"/>
    <col min="4" max="4" width="16.42578125" customWidth="1"/>
    <col min="5" max="5" width="2.5703125" customWidth="1"/>
    <col min="6" max="10" width="11.5703125" bestFit="1" customWidth="1"/>
    <col min="11" max="14" width="12.5703125" bestFit="1" customWidth="1"/>
    <col min="15" max="17" width="11.5703125" bestFit="1" customWidth="1"/>
    <col min="18" max="18" width="12.5703125" bestFit="1" customWidth="1"/>
    <col min="19" max="28" width="10.5703125" bestFit="1" customWidth="1"/>
    <col min="29" max="31" width="10" bestFit="1" customWidth="1"/>
    <col min="32" max="32" width="10.42578125" bestFit="1" customWidth="1"/>
  </cols>
  <sheetData>
    <row r="1" spans="1:32">
      <c r="C1" s="40" t="s">
        <v>606</v>
      </c>
      <c r="D1" s="40" t="s">
        <v>607</v>
      </c>
      <c r="E1" s="40"/>
      <c r="F1" s="40">
        <v>1992</v>
      </c>
      <c r="G1" s="40">
        <v>1993</v>
      </c>
      <c r="H1" s="40">
        <v>1994</v>
      </c>
      <c r="I1" s="40">
        <v>1995</v>
      </c>
      <c r="J1" s="40">
        <v>1996</v>
      </c>
      <c r="K1" s="40">
        <v>1997</v>
      </c>
      <c r="L1" s="40">
        <v>1998</v>
      </c>
      <c r="M1" s="40">
        <v>1999</v>
      </c>
      <c r="N1" s="40">
        <v>2000</v>
      </c>
      <c r="O1" s="40">
        <v>2001</v>
      </c>
      <c r="P1" s="40">
        <v>2002</v>
      </c>
      <c r="Q1" s="40">
        <v>2003</v>
      </c>
      <c r="R1" s="40">
        <v>2004</v>
      </c>
      <c r="S1" s="40">
        <v>2005</v>
      </c>
      <c r="T1" s="40">
        <v>2006</v>
      </c>
      <c r="U1" s="40">
        <v>2007</v>
      </c>
      <c r="V1" s="40">
        <v>2008</v>
      </c>
      <c r="W1" s="40">
        <v>2009</v>
      </c>
      <c r="X1" s="40">
        <v>2010</v>
      </c>
      <c r="Y1" s="40">
        <v>2011</v>
      </c>
      <c r="Z1" s="40">
        <v>2012</v>
      </c>
      <c r="AA1" s="40">
        <v>2013</v>
      </c>
      <c r="AB1" s="40">
        <v>2014</v>
      </c>
      <c r="AC1" s="40">
        <v>2015</v>
      </c>
      <c r="AD1" s="40">
        <v>2016</v>
      </c>
      <c r="AE1" s="40">
        <v>2017</v>
      </c>
      <c r="AF1" s="40">
        <v>2018</v>
      </c>
    </row>
    <row r="2" spans="1:32" ht="15.6">
      <c r="A2" s="41" t="s">
        <v>498</v>
      </c>
      <c r="B2" t="s">
        <v>608</v>
      </c>
      <c r="C2" s="41" t="s">
        <v>498</v>
      </c>
      <c r="D2" s="42" t="s">
        <v>609</v>
      </c>
      <c r="E2" s="42" t="s">
        <v>610</v>
      </c>
      <c r="F2">
        <f>INDEX(fiscal!$A$2:$AE$46,MATCH($A2,fiscal!$D$2:$D$46,0),MATCH(F$1,fiscal!$A$2:$AE$2,0))</f>
        <v>6424034</v>
      </c>
      <c r="G2">
        <f>INDEX(fiscal!$A$2:$AE$46,MATCH($A2,fiscal!$D$2:$D$46,0),MATCH(G$1,fiscal!$A$2:$AE$2,0))</f>
        <v>7834937</v>
      </c>
      <c r="H2">
        <f>INDEX(fiscal!$A$2:$AE$46,MATCH($A2,fiscal!$D$2:$D$46,0),MATCH(H$1,fiscal!$A$2:$AE$2,0))</f>
        <v>8934376</v>
      </c>
      <c r="I2">
        <f>INDEX(fiscal!$A$2:$AE$46,MATCH($A2,fiscal!$D$2:$D$46,0),MATCH(I$1,fiscal!$A$2:$AE$2,0))</f>
        <v>13694574</v>
      </c>
      <c r="J2">
        <f>INDEX(fiscal!$A$2:$AE$46,MATCH($A2,fiscal!$D$2:$D$46,0),MATCH(J$1,fiscal!$A$2:$AE$2,0))</f>
        <v>12611417</v>
      </c>
      <c r="K2" t="str">
        <f>INDEX(fiscal!$A$2:$AE$46,MATCH($A2,fiscal!$D$2:$D$46,0),MATCH(K$1,fiscal!$A$2:$AE$2,0))</f>
        <v>NA</v>
      </c>
      <c r="L2" t="str">
        <f>INDEX(fiscal!$A$2:$AE$46,MATCH($A2,fiscal!$D$2:$D$46,0),MATCH(L$1,fiscal!$A$2:$AE$2,0))</f>
        <v>NA</v>
      </c>
      <c r="M2" t="str">
        <f>INDEX(fiscal!$A$2:$AE$46,MATCH($A2,fiscal!$D$2:$D$46,0),MATCH(M$1,fiscal!$A$2:$AE$2,0))</f>
        <v>NA</v>
      </c>
      <c r="N2">
        <f>INDEX(fiscal!$A$2:$AE$46,MATCH($A2,fiscal!$D$2:$D$46,0),MATCH(N$1,fiscal!$A$2:$AE$2,0))</f>
        <v>6412143</v>
      </c>
      <c r="O2">
        <f>INDEX(fiscal!$A$2:$AE$46,MATCH($A2,fiscal!$D$2:$D$46,0),MATCH(O$1,fiscal!$A$2:$AE$2,0))</f>
        <v>6510990</v>
      </c>
      <c r="P2">
        <f>INDEX(fiscal!$A$2:$AE$46,MATCH($A2,fiscal!$D$2:$D$46,0),MATCH(P$1,fiscal!$A$2:$AE$2,0))</f>
        <v>6693179.5728312833</v>
      </c>
      <c r="Q2" t="str">
        <f>INDEX(fiscal!$A$2:$AE$46,MATCH($A2,fiscal!$D$2:$D$46,0),MATCH(Q$1,fiscal!$A$2:$AE$2,0))</f>
        <v>NA</v>
      </c>
      <c r="R2" t="str">
        <f>INDEX(fiscal!$A$2:$AE$46,MATCH($A2,fiscal!$D$2:$D$46,0),MATCH(R$1,fiscal!$A$2:$AE$2,0))</f>
        <v>NA</v>
      </c>
      <c r="S2">
        <f>INDEX(fiscal!$A$2:$AE$46,MATCH($A2,fiscal!$D$2:$D$46,0),MATCH(S$1,fiscal!$A$2:$AE$2,0))</f>
        <v>24190648</v>
      </c>
      <c r="T2">
        <f>INDEX(fiscal!$A$2:$AE$46,MATCH($A2,fiscal!$D$2:$D$46,0),MATCH(T$1,fiscal!$A$2:$AE$2,0))</f>
        <v>24500385</v>
      </c>
      <c r="U2">
        <f>INDEX(fiscal!$A$2:$AE$46,MATCH($A2,fiscal!$D$2:$D$46,0),MATCH(U$1,fiscal!$A$2:$AE$2,0))</f>
        <v>24878661</v>
      </c>
      <c r="V2">
        <f>INDEX(fiscal!$A$2:$AE$46,MATCH($A2,fiscal!$D$2:$D$46,0),MATCH(V$1,fiscal!$A$2:$AE$2,0))</f>
        <v>24969740</v>
      </c>
      <c r="W2">
        <f>INDEX(fiscal!$A$2:$AE$46,MATCH($A2,fiscal!$D$2:$D$46,0),MATCH(W$1,fiscal!$A$2:$AE$2,0))</f>
        <v>25414773</v>
      </c>
      <c r="X2">
        <f>INDEX(fiscal!$A$2:$AE$46,MATCH($A2,fiscal!$D$2:$D$46,0),MATCH(X$1,fiscal!$A$2:$AE$2,0))</f>
        <v>26571523</v>
      </c>
      <c r="Y2">
        <f>INDEX(fiscal!$A$2:$AE$46,MATCH($A2,fiscal!$D$2:$D$46,0),MATCH(Y$1,fiscal!$A$2:$AE$2,0))</f>
        <v>28442627</v>
      </c>
      <c r="Z2">
        <f>INDEX(fiscal!$A$2:$AE$46,MATCH($A2,fiscal!$D$2:$D$46,0),MATCH(Z$1,fiscal!$A$2:$AE$2,0))</f>
        <v>28906665</v>
      </c>
      <c r="AA2">
        <f>INDEX(fiscal!$A$2:$AE$46,MATCH($A2,fiscal!$D$2:$D$46,0),MATCH(AA$1,fiscal!$A$2:$AE$2,0))</f>
        <v>29628982</v>
      </c>
      <c r="AB2">
        <f>INDEX(fiscal!$A$2:$AE$46,MATCH($A2,fiscal!$D$2:$D$46,0),MATCH(AB$1,fiscal!$A$2:$AE$2,0))</f>
        <v>29187674</v>
      </c>
      <c r="AC2">
        <f>INDEX(fiscal!$A$2:$AE$46,MATCH($A2,fiscal!$D$2:$D$46,0),MATCH(AC$1,fiscal!$A$2:$AE$2,0))</f>
        <v>30427949</v>
      </c>
      <c r="AD2">
        <f>INDEX(fiscal!$A$2:$AE$46,MATCH($A2,fiscal!$D$2:$D$46,0),MATCH(AD$1,fiscal!$A$2:$AE$2,0))</f>
        <v>30989302</v>
      </c>
      <c r="AE2">
        <f>INDEX(fiscal!$A$2:$AE$46,MATCH($A2,fiscal!$D$2:$D$46,0),MATCH(AE$1,fiscal!$A$2:$AE$2,0))</f>
        <v>31625810</v>
      </c>
      <c r="AF2">
        <f>INDEX(fiscal!$A$2:$AE$46,MATCH($A2,fiscal!$D$2:$D$46,0),MATCH(AF$1,fiscal!$A$2:$AE$2,0))</f>
        <v>36611187</v>
      </c>
    </row>
    <row r="3" spans="1:32" ht="15.6">
      <c r="A3" s="41" t="s">
        <v>511</v>
      </c>
      <c r="B3" t="s">
        <v>611</v>
      </c>
      <c r="C3" s="41" t="s">
        <v>511</v>
      </c>
      <c r="D3" s="42" t="s">
        <v>612</v>
      </c>
      <c r="E3" s="42" t="s">
        <v>610</v>
      </c>
      <c r="F3">
        <f>INDEX(fiscal!$A$2:$AE$46,MATCH($A3,fiscal!$D$2:$D$46,0),MATCH(F$1,fiscal!$A$2:$AE$2,0))</f>
        <v>5678718</v>
      </c>
      <c r="G3">
        <f>INDEX(fiscal!$A$2:$AE$46,MATCH($A3,fiscal!$D$2:$D$46,0),MATCH(G$1,fiscal!$A$2:$AE$2,0))</f>
        <v>5654492</v>
      </c>
      <c r="H3">
        <f>INDEX(fiscal!$A$2:$AE$46,MATCH($A3,fiscal!$D$2:$D$46,0),MATCH(H$1,fiscal!$A$2:$AE$2,0))</f>
        <v>8536885</v>
      </c>
      <c r="I3">
        <f>INDEX(fiscal!$A$2:$AE$46,MATCH($A3,fiscal!$D$2:$D$46,0),MATCH(I$1,fiscal!$A$2:$AE$2,0))</f>
        <v>11380535</v>
      </c>
      <c r="J3">
        <f>INDEX(fiscal!$A$2:$AE$46,MATCH($A3,fiscal!$D$2:$D$46,0),MATCH(J$1,fiscal!$A$2:$AE$2,0))</f>
        <v>11488931</v>
      </c>
      <c r="K3" t="str">
        <f>INDEX(fiscal!$A$2:$AE$46,MATCH($A3,fiscal!$D$2:$D$46,0),MATCH(K$1,fiscal!$A$2:$AE$2,0))</f>
        <v>NA</v>
      </c>
      <c r="L3" t="str">
        <f>INDEX(fiscal!$A$2:$AE$46,MATCH($A3,fiscal!$D$2:$D$46,0),MATCH(L$1,fiscal!$A$2:$AE$2,0))</f>
        <v>NA</v>
      </c>
      <c r="M3" t="str">
        <f>INDEX(fiscal!$A$2:$AE$46,MATCH($A3,fiscal!$D$2:$D$46,0),MATCH(M$1,fiscal!$A$2:$AE$2,0))</f>
        <v>NA</v>
      </c>
      <c r="N3">
        <f>INDEX(fiscal!$A$2:$AE$46,MATCH($A3,fiscal!$D$2:$D$46,0),MATCH(N$1,fiscal!$A$2:$AE$2,0))</f>
        <v>7018292</v>
      </c>
      <c r="O3">
        <f>INDEX(fiscal!$A$2:$AE$46,MATCH($A3,fiscal!$D$2:$D$46,0),MATCH(O$1,fiscal!$A$2:$AE$2,0))</f>
        <v>7295497</v>
      </c>
      <c r="P3">
        <f>INDEX(fiscal!$A$2:$AE$46,MATCH($A3,fiscal!$D$2:$D$46,0),MATCH(P$1,fiscal!$A$2:$AE$2,0))</f>
        <v>7460853</v>
      </c>
      <c r="Q3" t="str">
        <f>INDEX(fiscal!$A$2:$AE$46,MATCH($A3,fiscal!$D$2:$D$46,0),MATCH(Q$1,fiscal!$A$2:$AE$2,0))</f>
        <v>NA</v>
      </c>
      <c r="R3" t="str">
        <f>INDEX(fiscal!$A$2:$AE$46,MATCH($A3,fiscal!$D$2:$D$46,0),MATCH(R$1,fiscal!$A$2:$AE$2,0))</f>
        <v>NA</v>
      </c>
      <c r="S3">
        <f>INDEX(fiscal!$A$2:$AE$46,MATCH($A3,fiscal!$D$2:$D$46,0),MATCH(S$1,fiscal!$A$2:$AE$2,0))</f>
        <v>21180732</v>
      </c>
      <c r="T3">
        <f>INDEX(fiscal!$A$2:$AE$46,MATCH($A3,fiscal!$D$2:$D$46,0),MATCH(T$1,fiscal!$A$2:$AE$2,0))</f>
        <v>21139731</v>
      </c>
      <c r="U3">
        <f>INDEX(fiscal!$A$2:$AE$46,MATCH($A3,fiscal!$D$2:$D$46,0),MATCH(U$1,fiscal!$A$2:$AE$2,0))</f>
        <v>21569457</v>
      </c>
      <c r="V3">
        <f>INDEX(fiscal!$A$2:$AE$46,MATCH($A3,fiscal!$D$2:$D$46,0),MATCH(V$1,fiscal!$A$2:$AE$2,0))</f>
        <v>21567851</v>
      </c>
      <c r="W3">
        <f>INDEX(fiscal!$A$2:$AE$46,MATCH($A3,fiscal!$D$2:$D$46,0),MATCH(W$1,fiscal!$A$2:$AE$2,0))</f>
        <v>21315232</v>
      </c>
      <c r="X3">
        <f>INDEX(fiscal!$A$2:$AE$46,MATCH($A3,fiscal!$D$2:$D$46,0),MATCH(X$1,fiscal!$A$2:$AE$2,0))</f>
        <v>21527965</v>
      </c>
      <c r="Y3">
        <f>INDEX(fiscal!$A$2:$AE$46,MATCH($A3,fiscal!$D$2:$D$46,0),MATCH(Y$1,fiscal!$A$2:$AE$2,0))</f>
        <v>22545381</v>
      </c>
      <c r="Z3">
        <f>INDEX(fiscal!$A$2:$AE$46,MATCH($A3,fiscal!$D$2:$D$46,0),MATCH(Z$1,fiscal!$A$2:$AE$2,0))</f>
        <v>22307954</v>
      </c>
      <c r="AA3">
        <f>INDEX(fiscal!$A$2:$AE$46,MATCH($A3,fiscal!$D$2:$D$46,0),MATCH(AA$1,fiscal!$A$2:$AE$2,0))</f>
        <v>23101797</v>
      </c>
      <c r="AB3">
        <f>INDEX(fiscal!$A$2:$AE$46,MATCH($A3,fiscal!$D$2:$D$46,0),MATCH(AB$1,fiscal!$A$2:$AE$2,0))</f>
        <v>24362043</v>
      </c>
      <c r="AC3">
        <f>INDEX(fiscal!$A$2:$AE$46,MATCH($A3,fiscal!$D$2:$D$46,0),MATCH(AC$1,fiscal!$A$2:$AE$2,0))</f>
        <v>26004053</v>
      </c>
      <c r="AD3">
        <f>INDEX(fiscal!$A$2:$AE$46,MATCH($A3,fiscal!$D$2:$D$46,0),MATCH(AD$1,fiscal!$A$2:$AE$2,0))</f>
        <v>27031368</v>
      </c>
      <c r="AE3">
        <f>INDEX(fiscal!$A$2:$AE$46,MATCH($A3,fiscal!$D$2:$D$46,0),MATCH(AE$1,fiscal!$A$2:$AE$2,0))</f>
        <v>22637068</v>
      </c>
      <c r="AF3">
        <f>INDEX(fiscal!$A$2:$AE$46,MATCH($A3,fiscal!$D$2:$D$46,0),MATCH(AF$1,fiscal!$A$2:$AE$2,0))</f>
        <v>22589013</v>
      </c>
    </row>
    <row r="4" spans="1:32" ht="15.6">
      <c r="A4" s="41" t="s">
        <v>509</v>
      </c>
      <c r="B4" t="s">
        <v>613</v>
      </c>
      <c r="C4" s="41" t="s">
        <v>614</v>
      </c>
      <c r="D4" s="42" t="s">
        <v>615</v>
      </c>
      <c r="E4" s="42" t="s">
        <v>610</v>
      </c>
      <c r="F4">
        <f>INDEX(fiscal!$A$2:$AE$46,MATCH($A4,fiscal!$D$2:$D$46,0),MATCH(F$1,fiscal!$A$2:$AE$2,0))</f>
        <v>523819</v>
      </c>
      <c r="G4">
        <f>INDEX(fiscal!$A$2:$AE$46,MATCH($A4,fiscal!$D$2:$D$46,0),MATCH(G$1,fiscal!$A$2:$AE$2,0))</f>
        <v>571944</v>
      </c>
      <c r="H4">
        <f>INDEX(fiscal!$A$2:$AE$46,MATCH($A4,fiscal!$D$2:$D$46,0),MATCH(H$1,fiscal!$A$2:$AE$2,0))</f>
        <v>582772</v>
      </c>
      <c r="I4">
        <f>INDEX(fiscal!$A$2:$AE$46,MATCH($A4,fiscal!$D$2:$D$46,0),MATCH(I$1,fiscal!$A$2:$AE$2,0))</f>
        <v>1402829</v>
      </c>
      <c r="J4">
        <f>INDEX(fiscal!$A$2:$AE$46,MATCH($A4,fiscal!$D$2:$D$46,0),MATCH(J$1,fiscal!$A$2:$AE$2,0))</f>
        <v>1427313</v>
      </c>
      <c r="K4" t="str">
        <f>INDEX(fiscal!$A$2:$AE$46,MATCH($A4,fiscal!$D$2:$D$46,0),MATCH(K$1,fiscal!$A$2:$AE$2,0))</f>
        <v>NA</v>
      </c>
      <c r="L4" t="str">
        <f>INDEX(fiscal!$A$2:$AE$46,MATCH($A4,fiscal!$D$2:$D$46,0),MATCH(L$1,fiscal!$A$2:$AE$2,0))</f>
        <v>NA</v>
      </c>
      <c r="M4" t="str">
        <f>INDEX(fiscal!$A$2:$AE$46,MATCH($A4,fiscal!$D$2:$D$46,0),MATCH(M$1,fiscal!$A$2:$AE$2,0))</f>
        <v>NA</v>
      </c>
      <c r="N4">
        <f>INDEX(fiscal!$A$2:$AE$46,MATCH($A4,fiscal!$D$2:$D$46,0),MATCH(N$1,fiscal!$A$2:$AE$2,0))</f>
        <v>2447941</v>
      </c>
      <c r="O4">
        <f>INDEX(fiscal!$A$2:$AE$46,MATCH($A4,fiscal!$D$2:$D$46,0),MATCH(O$1,fiscal!$A$2:$AE$2,0))</f>
        <v>2477600</v>
      </c>
      <c r="P4">
        <f>INDEX(fiscal!$A$2:$AE$46,MATCH($A4,fiscal!$D$2:$D$46,0),MATCH(P$1,fiscal!$A$2:$AE$2,0))</f>
        <v>2486527</v>
      </c>
      <c r="Q4" t="str">
        <f>INDEX(fiscal!$A$2:$AE$46,MATCH($A4,fiscal!$D$2:$D$46,0),MATCH(Q$1,fiscal!$A$2:$AE$2,0))</f>
        <v>NA</v>
      </c>
      <c r="R4" t="str">
        <f>INDEX(fiscal!$A$2:$AE$46,MATCH($A4,fiscal!$D$2:$D$46,0),MATCH(R$1,fiscal!$A$2:$AE$2,0))</f>
        <v>NA</v>
      </c>
      <c r="S4">
        <f>INDEX(fiscal!$A$2:$AE$46,MATCH($A4,fiscal!$D$2:$D$46,0),MATCH(S$1,fiscal!$A$2:$AE$2,0))</f>
        <v>5451569</v>
      </c>
      <c r="T4">
        <f>INDEX(fiscal!$A$2:$AE$46,MATCH($A4,fiscal!$D$2:$D$46,0),MATCH(T$1,fiscal!$A$2:$AE$2,0))</f>
        <v>5389566</v>
      </c>
      <c r="U4">
        <f>INDEX(fiscal!$A$2:$AE$46,MATCH($A4,fiscal!$D$2:$D$46,0),MATCH(U$1,fiscal!$A$2:$AE$2,0))</f>
        <v>5406395</v>
      </c>
      <c r="V4">
        <f>INDEX(fiscal!$A$2:$AE$46,MATCH($A4,fiscal!$D$2:$D$46,0),MATCH(V$1,fiscal!$A$2:$AE$2,0))</f>
        <v>5334811</v>
      </c>
      <c r="W4">
        <f>INDEX(fiscal!$A$2:$AE$46,MATCH($A4,fiscal!$D$2:$D$46,0),MATCH(W$1,fiscal!$A$2:$AE$2,0))</f>
        <v>5366913</v>
      </c>
      <c r="X4">
        <f>INDEX(fiscal!$A$2:$AE$46,MATCH($A4,fiscal!$D$2:$D$46,0),MATCH(X$1,fiscal!$A$2:$AE$2,0))</f>
        <v>5340140</v>
      </c>
      <c r="Y4">
        <f>INDEX(fiscal!$A$2:$AE$46,MATCH($A4,fiscal!$D$2:$D$46,0),MATCH(Y$1,fiscal!$A$2:$AE$2,0))</f>
        <v>5481829</v>
      </c>
      <c r="Z4">
        <f>INDEX(fiscal!$A$2:$AE$46,MATCH($A4,fiscal!$D$2:$D$46,0),MATCH(Z$1,fiscal!$A$2:$AE$2,0))</f>
        <v>5582828</v>
      </c>
      <c r="AA4">
        <f>INDEX(fiscal!$A$2:$AE$46,MATCH($A4,fiscal!$D$2:$D$46,0),MATCH(AA$1,fiscal!$A$2:$AE$2,0))</f>
        <v>5826691</v>
      </c>
      <c r="AB4">
        <f>INDEX(fiscal!$A$2:$AE$46,MATCH($A4,fiscal!$D$2:$D$46,0),MATCH(AB$1,fiscal!$A$2:$AE$2,0))</f>
        <v>6502653</v>
      </c>
      <c r="AC4">
        <f>INDEX(fiscal!$A$2:$AE$46,MATCH($A4,fiscal!$D$2:$D$46,0),MATCH(AC$1,fiscal!$A$2:$AE$2,0))</f>
        <v>7593563</v>
      </c>
      <c r="AD4">
        <f>INDEX(fiscal!$A$2:$AE$46,MATCH($A4,fiscal!$D$2:$D$46,0),MATCH(AD$1,fiscal!$A$2:$AE$2,0))</f>
        <v>7861126</v>
      </c>
      <c r="AE4">
        <f>INDEX(fiscal!$A$2:$AE$46,MATCH($A4,fiscal!$D$2:$D$46,0),MATCH(AE$1,fiscal!$A$2:$AE$2,0))</f>
        <v>6796548</v>
      </c>
      <c r="AF4">
        <f>INDEX(fiscal!$A$2:$AE$46,MATCH($A4,fiscal!$D$2:$D$46,0),MATCH(AF$1,fiscal!$A$2:$AE$2,0))</f>
        <v>6070090</v>
      </c>
    </row>
    <row r="5" spans="1:32" ht="15.6">
      <c r="A5" s="1" t="s">
        <v>583</v>
      </c>
      <c r="B5" t="s">
        <v>616</v>
      </c>
      <c r="C5" s="41" t="s">
        <v>617</v>
      </c>
      <c r="D5" s="42" t="s">
        <v>618</v>
      </c>
      <c r="E5" s="42" t="s">
        <v>610</v>
      </c>
      <c r="F5" t="e">
        <f>INDEX(assets!$A$1:$AC$50,MATCH($A5,assets!$D$1:$D$50,0),MATCH(F$1,assets!$E$1:$AC$1,0))</f>
        <v>#N/A</v>
      </c>
      <c r="I5">
        <f>assets!F31</f>
        <v>397827</v>
      </c>
      <c r="J5">
        <f>assets!G31</f>
        <v>355462</v>
      </c>
      <c r="K5">
        <f>assets!H31</f>
        <v>0</v>
      </c>
      <c r="L5">
        <f>assets!I31</f>
        <v>0</v>
      </c>
      <c r="M5">
        <f>assets!J31</f>
        <v>0</v>
      </c>
      <c r="N5" t="str">
        <f>assets!K31</f>
        <v>NA</v>
      </c>
      <c r="O5" t="str">
        <f>assets!L31</f>
        <v>NA</v>
      </c>
      <c r="P5" t="str">
        <f>assets!M31</f>
        <v>NA</v>
      </c>
      <c r="Q5">
        <f>assets!N31</f>
        <v>0</v>
      </c>
      <c r="R5">
        <f>assets!O31</f>
        <v>0</v>
      </c>
      <c r="S5">
        <f>assets!P31</f>
        <v>5717624</v>
      </c>
      <c r="T5">
        <f>assets!Q31</f>
        <v>5881840</v>
      </c>
      <c r="U5">
        <f>assets!R31</f>
        <v>6286430</v>
      </c>
      <c r="V5">
        <f>assets!S31</f>
        <v>5975270</v>
      </c>
      <c r="W5">
        <f>assets!T31</f>
        <v>6706794</v>
      </c>
      <c r="X5">
        <f>assets!U31</f>
        <v>9820514</v>
      </c>
      <c r="Y5">
        <f>assets!V31</f>
        <v>9507590</v>
      </c>
      <c r="Z5">
        <f>assets!W31</f>
        <v>6471002</v>
      </c>
      <c r="AA5">
        <f>assets!X31</f>
        <v>7205490</v>
      </c>
      <c r="AB5">
        <f>assets!Y31</f>
        <v>7710999</v>
      </c>
      <c r="AC5">
        <f>assets!Z31</f>
        <v>8264882</v>
      </c>
      <c r="AD5">
        <f>assets!AA31</f>
        <v>7587721</v>
      </c>
      <c r="AE5">
        <f>assets!AB31</f>
        <v>8692406</v>
      </c>
      <c r="AF5">
        <f>assets!AC31</f>
        <v>9279950</v>
      </c>
    </row>
    <row r="6" spans="1:32" ht="15.6">
      <c r="A6" s="41" t="s">
        <v>619</v>
      </c>
      <c r="B6" t="s">
        <v>620</v>
      </c>
      <c r="C6" s="41" t="s">
        <v>619</v>
      </c>
      <c r="D6" s="42" t="s">
        <v>618</v>
      </c>
      <c r="E6" s="42" t="s">
        <v>610</v>
      </c>
      <c r="F6" t="e">
        <f>INDEX(fiscal!$A$2:$AE$46,MATCH($A6,fiscal!$D$2:$D$46,0),MATCH(F$1,fiscal!$A$2:$AE$2,0))</f>
        <v>#N/A</v>
      </c>
      <c r="M6" s="43"/>
      <c r="N6" s="43"/>
      <c r="O6" s="43">
        <f>assets!K28</f>
        <v>47922</v>
      </c>
      <c r="P6" s="43">
        <f>assets!L28</f>
        <v>99265</v>
      </c>
      <c r="Q6" s="43">
        <f>assets!M28</f>
        <v>120262</v>
      </c>
      <c r="R6" s="43">
        <f>assets!N28</f>
        <v>0</v>
      </c>
      <c r="S6" s="43">
        <f>assets!O28</f>
        <v>0</v>
      </c>
      <c r="T6" s="43">
        <f>assets!P28</f>
        <v>627494</v>
      </c>
      <c r="U6" s="43">
        <f>assets!Q28</f>
        <v>687295</v>
      </c>
      <c r="V6" s="43">
        <f>assets!R28</f>
        <v>568147</v>
      </c>
      <c r="W6" s="43">
        <f>assets!S28</f>
        <v>527520</v>
      </c>
      <c r="X6" s="43">
        <f>assets!T28</f>
        <v>499940</v>
      </c>
      <c r="Y6" s="43">
        <f>assets!U28</f>
        <v>478892</v>
      </c>
      <c r="Z6" s="43">
        <f>assets!V28</f>
        <v>534407</v>
      </c>
      <c r="AA6" s="43">
        <f>assets!W28</f>
        <v>515205</v>
      </c>
      <c r="AB6" s="43">
        <f>assets!X28</f>
        <v>461759</v>
      </c>
      <c r="AC6" s="43">
        <f>assets!Y28</f>
        <v>452387</v>
      </c>
      <c r="AD6" s="43">
        <f>assets!Z28</f>
        <v>435776</v>
      </c>
      <c r="AE6" s="43">
        <f>assets!AA28</f>
        <v>382098</v>
      </c>
      <c r="AF6" s="43">
        <f>assets!AB28</f>
        <v>353388</v>
      </c>
    </row>
    <row r="7" spans="1:32" ht="15.6">
      <c r="A7" s="41" t="s">
        <v>621</v>
      </c>
      <c r="B7" t="s">
        <v>622</v>
      </c>
      <c r="C7" s="41" t="s">
        <v>621</v>
      </c>
      <c r="D7" s="42" t="s">
        <v>623</v>
      </c>
      <c r="E7" s="42" t="s">
        <v>610</v>
      </c>
      <c r="F7" t="e">
        <f>INDEX(fiscal!$A$2:$AE$46,MATCH($A7,fiscal!$D$2:$D$46,0),MATCH(F$1,fiscal!$A$2:$AE$2,0))</f>
        <v>#N/A</v>
      </c>
      <c r="I7">
        <f>assets!F10-assets!F6</f>
        <v>1225471</v>
      </c>
      <c r="J7">
        <f>assets!G10-assets!G6</f>
        <v>2289656</v>
      </c>
      <c r="K7">
        <f>assets!H10-assets!H6</f>
        <v>0</v>
      </c>
      <c r="L7">
        <f>assets!I10-assets!I6</f>
        <v>0</v>
      </c>
      <c r="M7">
        <f>assets!J10-assets!J6</f>
        <v>0</v>
      </c>
      <c r="N7">
        <f>assets!K10-assets!K6</f>
        <v>2284516</v>
      </c>
      <c r="O7">
        <f>assets!L10-assets!L6</f>
        <v>2172174</v>
      </c>
      <c r="P7">
        <f>assets!M10-assets!M6</f>
        <v>2465296</v>
      </c>
      <c r="Q7">
        <f>assets!N10-assets!N6</f>
        <v>0</v>
      </c>
      <c r="R7">
        <f>assets!O10-assets!O6</f>
        <v>0</v>
      </c>
      <c r="S7">
        <f>assets!P10-assets!P6</f>
        <v>6032155</v>
      </c>
      <c r="T7">
        <f>assets!Q10-assets!Q6</f>
        <v>11541193</v>
      </c>
      <c r="U7">
        <f>assets!R10-assets!R6</f>
        <v>11469709</v>
      </c>
      <c r="V7">
        <f>assets!S10-assets!S6</f>
        <v>6774827</v>
      </c>
      <c r="W7">
        <f>assets!T10-assets!T6</f>
        <v>6763192</v>
      </c>
      <c r="X7">
        <f>assets!U10-assets!U6</f>
        <v>7336817</v>
      </c>
      <c r="Y7">
        <f>assets!V10-assets!V6</f>
        <v>9147717</v>
      </c>
      <c r="Z7">
        <f>assets!W10-assets!W6</f>
        <v>9986817</v>
      </c>
      <c r="AA7">
        <f>assets!X10-assets!X6</f>
        <v>10626503</v>
      </c>
      <c r="AB7">
        <f>assets!Y10-assets!Y6</f>
        <v>9332525</v>
      </c>
      <c r="AC7">
        <f>assets!Z10-assets!Z6</f>
        <v>9813624</v>
      </c>
      <c r="AD7">
        <f>assets!AA10-assets!AA6</f>
        <v>9907577</v>
      </c>
      <c r="AE7">
        <f>assets!AB10-assets!AB6</f>
        <v>7940734</v>
      </c>
      <c r="AF7">
        <f>assets!AC10-assets!AC6</f>
        <v>11394661</v>
      </c>
    </row>
    <row r="8" spans="1:32" ht="15.6">
      <c r="A8" s="41" t="s">
        <v>624</v>
      </c>
      <c r="B8" t="s">
        <v>625</v>
      </c>
      <c r="C8" s="41" t="s">
        <v>624</v>
      </c>
      <c r="D8" s="42" t="s">
        <v>626</v>
      </c>
      <c r="E8" s="42" t="s">
        <v>610</v>
      </c>
      <c r="F8" t="e">
        <f>INDEX(fiscal!$A$2:$AE$46,MATCH($A8,fiscal!$D$2:$D$46,0),MATCH(F$1,fiscal!$A$2:$AE$2,0))</f>
        <v>#N/A</v>
      </c>
      <c r="I8">
        <f>assets!F36</f>
        <v>3542802</v>
      </c>
      <c r="J8">
        <f>assets!G36</f>
        <v>1685274</v>
      </c>
      <c r="K8">
        <f>assets!H36</f>
        <v>0</v>
      </c>
      <c r="L8">
        <f>assets!I36</f>
        <v>0</v>
      </c>
      <c r="M8">
        <f>assets!J36</f>
        <v>0</v>
      </c>
      <c r="N8">
        <f>assets!K36</f>
        <v>413461</v>
      </c>
      <c r="O8">
        <f>assets!L36</f>
        <v>527931</v>
      </c>
      <c r="P8">
        <f>assets!M36</f>
        <v>542985</v>
      </c>
      <c r="Q8">
        <f>assets!N36</f>
        <v>0</v>
      </c>
      <c r="R8">
        <f>assets!O36</f>
        <v>0</v>
      </c>
      <c r="S8">
        <f>assets!P36</f>
        <v>7279332</v>
      </c>
      <c r="T8">
        <f>assets!Q36</f>
        <v>7387247</v>
      </c>
      <c r="U8">
        <f>assets!R36</f>
        <v>7815298</v>
      </c>
      <c r="V8">
        <f>assets!S36</f>
        <v>7593132</v>
      </c>
      <c r="W8">
        <f>assets!T36</f>
        <v>8330148</v>
      </c>
      <c r="X8">
        <f>assets!U36</f>
        <v>11337034</v>
      </c>
      <c r="Y8">
        <f>assets!V36</f>
        <v>11111739</v>
      </c>
      <c r="Z8">
        <f>assets!W36</f>
        <v>8499355</v>
      </c>
      <c r="AA8">
        <f>assets!X36</f>
        <v>9479966</v>
      </c>
      <c r="AB8">
        <f>assets!Y36</f>
        <v>9307915</v>
      </c>
      <c r="AC8">
        <f>assets!Z36</f>
        <v>10213964</v>
      </c>
      <c r="AD8">
        <f>assets!AA36</f>
        <v>9657011</v>
      </c>
      <c r="AE8">
        <f>assets!AB36</f>
        <v>10623189</v>
      </c>
      <c r="AF8">
        <f>assets!AC36</f>
        <v>13658206</v>
      </c>
    </row>
    <row r="9" spans="1:32" ht="15.6">
      <c r="A9" s="41" t="s">
        <v>627</v>
      </c>
      <c r="B9" t="s">
        <v>628</v>
      </c>
      <c r="C9" s="41" t="s">
        <v>627</v>
      </c>
      <c r="D9" s="42" t="s">
        <v>629</v>
      </c>
      <c r="E9" s="42" t="s">
        <v>610</v>
      </c>
      <c r="F9" t="e">
        <f>INDEX(fiscal!$A$2:$AE$46,MATCH($A9,fiscal!$D$2:$D$46,0),MATCH(F$1,fiscal!$A$2:$AE$2,0))</f>
        <v>#N/A</v>
      </c>
      <c r="I9">
        <f>assets!F3+assets!F8</f>
        <v>253040</v>
      </c>
      <c r="J9">
        <f>assets!G3+assets!G8</f>
        <v>287356</v>
      </c>
      <c r="K9">
        <f>assets!H3+assets!H8</f>
        <v>0</v>
      </c>
      <c r="L9">
        <f>assets!I3+assets!I8</f>
        <v>0</v>
      </c>
      <c r="M9">
        <f>assets!J3+assets!J8</f>
        <v>0</v>
      </c>
      <c r="N9">
        <f>assets!K3+assets!K8</f>
        <v>1601579</v>
      </c>
      <c r="O9">
        <f>assets!L3+assets!L8</f>
        <v>1586121</v>
      </c>
      <c r="P9">
        <f>assets!M3+assets!M8</f>
        <v>1908135</v>
      </c>
      <c r="Q9">
        <f>assets!N3+assets!N8</f>
        <v>0</v>
      </c>
      <c r="R9">
        <f>assets!O3+assets!O8</f>
        <v>0</v>
      </c>
      <c r="S9">
        <f>assets!P3+assets!P8</f>
        <v>3459686</v>
      </c>
      <c r="T9">
        <f>assets!Q3+assets!Q8</f>
        <v>8902169</v>
      </c>
      <c r="U9">
        <f>assets!R3+assets!R8</f>
        <v>8427909</v>
      </c>
      <c r="V9">
        <f>assets!S3+assets!S8</f>
        <v>4175606</v>
      </c>
      <c r="W9">
        <f>assets!T3+assets!T8</f>
        <v>3831833</v>
      </c>
      <c r="X9">
        <f>assets!U3+assets!U8</f>
        <v>4521041</v>
      </c>
      <c r="Y9">
        <f>assets!V3+assets!V8</f>
        <v>5968730</v>
      </c>
      <c r="Z9">
        <f>assets!W3+assets!W8</f>
        <v>6411126</v>
      </c>
      <c r="AA9">
        <f>assets!X3+assets!X8</f>
        <v>6786311</v>
      </c>
      <c r="AB9">
        <f>assets!Y3+assets!Y8</f>
        <v>5781916</v>
      </c>
      <c r="AC9">
        <f>assets!Z3+assets!Z8</f>
        <v>5841220</v>
      </c>
      <c r="AD9">
        <f>assets!AA3+assets!AA8</f>
        <v>6017391</v>
      </c>
      <c r="AE9">
        <f>assets!AB3+assets!AB8</f>
        <v>4196471</v>
      </c>
      <c r="AF9">
        <f>assets!AC3+assets!AC8</f>
        <v>6905129</v>
      </c>
    </row>
    <row r="10" spans="1:32" ht="15.6">
      <c r="A10" s="41" t="s">
        <v>630</v>
      </c>
      <c r="B10" t="s">
        <v>631</v>
      </c>
      <c r="C10" s="41" t="s">
        <v>630</v>
      </c>
      <c r="D10" s="42" t="s">
        <v>632</v>
      </c>
      <c r="E10" s="42" t="s">
        <v>610</v>
      </c>
      <c r="F10" t="e">
        <f>INDEX(fiscal!$A$2:$AE$46,MATCH($A10,fiscal!$D$2:$D$46,0),MATCH(F$1,fiscal!$A$2:$AE$2,0))</f>
        <v>#N/A</v>
      </c>
      <c r="I10">
        <f>-assets!F18</f>
        <v>9768464</v>
      </c>
      <c r="J10">
        <f>-assets!G18</f>
        <v>11028532</v>
      </c>
      <c r="K10">
        <f>-assets!H18</f>
        <v>0</v>
      </c>
      <c r="L10">
        <f>-assets!I18</f>
        <v>0</v>
      </c>
      <c r="M10">
        <f>-assets!J18</f>
        <v>0</v>
      </c>
      <c r="N10">
        <f>-assets!K18</f>
        <v>19611801</v>
      </c>
      <c r="O10">
        <f>-assets!L18</f>
        <v>22014606</v>
      </c>
      <c r="P10">
        <f>-assets!M18</f>
        <v>24492213</v>
      </c>
      <c r="Q10">
        <f>-assets!N18</f>
        <v>0</v>
      </c>
      <c r="R10">
        <f>-assets!O18</f>
        <v>0</v>
      </c>
      <c r="S10">
        <f>-assets!P18</f>
        <v>62505762</v>
      </c>
      <c r="T10">
        <f>-assets!Q18</f>
        <v>67691440</v>
      </c>
      <c r="U10">
        <f>-assets!R18</f>
        <v>72978375</v>
      </c>
      <c r="V10">
        <f>-assets!S18</f>
        <v>78031237</v>
      </c>
      <c r="W10">
        <f>-assets!T18</f>
        <v>83190875</v>
      </c>
      <c r="X10">
        <f>-assets!U18</f>
        <v>88165247</v>
      </c>
      <c r="Y10">
        <f>-assets!V18</f>
        <v>93498117</v>
      </c>
      <c r="Z10">
        <f>-assets!W18</f>
        <v>99066355</v>
      </c>
      <c r="AA10">
        <f>-assets!X18</f>
        <v>104823137</v>
      </c>
      <c r="AB10">
        <f>-assets!Y18</f>
        <v>111071419</v>
      </c>
      <c r="AC10">
        <f>-assets!Z18</f>
        <v>118561046</v>
      </c>
      <c r="AD10">
        <f>-assets!AA18</f>
        <v>126269611</v>
      </c>
      <c r="AE10">
        <f>-assets!AB18</f>
        <v>0</v>
      </c>
      <c r="AF10">
        <f>-assets!AC18</f>
        <v>0</v>
      </c>
    </row>
    <row r="11" spans="1:32" ht="15.6">
      <c r="A11" s="41" t="s">
        <v>633</v>
      </c>
      <c r="B11" t="s">
        <v>634</v>
      </c>
      <c r="C11" s="41" t="s">
        <v>633</v>
      </c>
      <c r="D11" s="42" t="s">
        <v>635</v>
      </c>
      <c r="E11" s="42" t="s">
        <v>610</v>
      </c>
      <c r="F11" t="e">
        <f>INDEX(fiscal!$A$2:$AE$46,MATCH($A11,fiscal!$D$2:$D$46,0),MATCH(F$1,fiscal!$A$2:$AE$2,0))</f>
        <v>#N/A</v>
      </c>
      <c r="I11">
        <f>assets!F17</f>
        <v>89734575</v>
      </c>
      <c r="J11">
        <f>assets!G17</f>
        <v>97244852</v>
      </c>
      <c r="K11">
        <f>assets!H17</f>
        <v>0</v>
      </c>
      <c r="L11">
        <f>assets!I17</f>
        <v>0</v>
      </c>
      <c r="M11">
        <f>assets!J17</f>
        <v>0</v>
      </c>
      <c r="N11">
        <f>assets!K17</f>
        <v>95741107</v>
      </c>
      <c r="O11">
        <f>assets!L17</f>
        <v>96014787</v>
      </c>
      <c r="P11">
        <f>assets!M17</f>
        <v>96437523</v>
      </c>
      <c r="Q11">
        <f>assets!N17</f>
        <v>0</v>
      </c>
      <c r="R11">
        <f>assets!O17</f>
        <v>0</v>
      </c>
      <c r="S11">
        <f>assets!P17</f>
        <v>241162674</v>
      </c>
      <c r="T11">
        <f>assets!Q17</f>
        <v>242860382</v>
      </c>
      <c r="U11">
        <f>assets!R17</f>
        <v>243748588</v>
      </c>
      <c r="V11">
        <f>assets!S17</f>
        <v>247014963</v>
      </c>
      <c r="W11">
        <f>assets!T17</f>
        <v>251509271</v>
      </c>
      <c r="X11">
        <f>assets!U17</f>
        <v>270742969</v>
      </c>
      <c r="Y11">
        <f>assets!V17</f>
        <v>297987471</v>
      </c>
      <c r="Z11">
        <f>assets!W17</f>
        <v>319777496</v>
      </c>
      <c r="AA11">
        <f>assets!X17</f>
        <v>329664187</v>
      </c>
      <c r="AB11">
        <f>assets!Y17</f>
        <v>338442058</v>
      </c>
      <c r="AC11">
        <f>assets!Z17</f>
        <v>345863609</v>
      </c>
      <c r="AD11">
        <f>assets!AA17</f>
        <v>348811369</v>
      </c>
      <c r="AE11">
        <f>assets!AB17</f>
        <v>0</v>
      </c>
      <c r="AF11">
        <f>assets!AC17</f>
        <v>0</v>
      </c>
    </row>
    <row r="12" spans="1:32" ht="15.6">
      <c r="A12" s="41" t="s">
        <v>559</v>
      </c>
      <c r="B12" t="s">
        <v>636</v>
      </c>
      <c r="C12" s="41" t="s">
        <v>559</v>
      </c>
      <c r="F12" t="e">
        <f>INDEX(fiscal!$A$2:$AE$46,MATCH($A12,fiscal!$D$2:$D$46,0),MATCH(F$1,fiscal!$A$2:$AE$2,0))</f>
        <v>#N/A</v>
      </c>
      <c r="I12">
        <f>assets!F26</f>
        <v>115918133</v>
      </c>
      <c r="J12">
        <f>assets!G26</f>
        <v>118129580</v>
      </c>
      <c r="K12">
        <f>assets!H26</f>
        <v>0</v>
      </c>
      <c r="L12">
        <f>assets!I26</f>
        <v>0</v>
      </c>
      <c r="M12">
        <f>assets!J26</f>
        <v>0</v>
      </c>
      <c r="N12">
        <f>assets!K26</f>
        <v>81517300</v>
      </c>
      <c r="O12">
        <f>assets!L26</f>
        <v>79549035</v>
      </c>
      <c r="P12">
        <f>assets!M26</f>
        <v>77926493</v>
      </c>
      <c r="Q12">
        <f>assets!N26</f>
        <v>0</v>
      </c>
      <c r="R12">
        <f>assets!O26</f>
        <v>0</v>
      </c>
      <c r="S12">
        <f>assets!P26</f>
        <v>197852574</v>
      </c>
      <c r="T12">
        <f>assets!Q26</f>
        <v>195391422</v>
      </c>
      <c r="U12">
        <f>assets!R26</f>
        <v>191062975</v>
      </c>
      <c r="V12">
        <f>assets!S26</f>
        <v>182738386</v>
      </c>
      <c r="W12">
        <f>assets!T26</f>
        <v>179607322</v>
      </c>
      <c r="X12">
        <f>assets!U26</f>
        <v>213266390</v>
      </c>
      <c r="Y12">
        <f>assets!V26</f>
        <v>231178424</v>
      </c>
      <c r="Z12">
        <f>assets!W26</f>
        <v>241589157</v>
      </c>
      <c r="AA12">
        <f>assets!X26</f>
        <v>242538243</v>
      </c>
      <c r="AB12">
        <f>assets!Y26</f>
        <v>244664731</v>
      </c>
      <c r="AC12">
        <f>assets!Z26</f>
        <v>244099971</v>
      </c>
      <c r="AD12">
        <f>assets!AA26</f>
        <v>238314077</v>
      </c>
      <c r="AE12">
        <f>assets!AB26</f>
        <v>127126480</v>
      </c>
      <c r="AF12">
        <f>assets!AC26</f>
        <v>125112787</v>
      </c>
    </row>
    <row r="13" spans="1:32" ht="15.6">
      <c r="A13" s="41" t="s">
        <v>595</v>
      </c>
      <c r="B13" t="s">
        <v>637</v>
      </c>
      <c r="C13" s="41" t="s">
        <v>595</v>
      </c>
      <c r="F13" t="e">
        <f>INDEX(fiscal!$A$2:$AE$46,MATCH($A13,fiscal!$D$2:$D$46,0),MATCH(F$1,fiscal!$A$2:$AE$2,0))</f>
        <v>#N/A</v>
      </c>
      <c r="I13">
        <f>assets!F44</f>
        <v>90872347</v>
      </c>
      <c r="J13">
        <f>assets!G44</f>
        <v>89115576</v>
      </c>
      <c r="K13">
        <f>assets!H44</f>
        <v>0</v>
      </c>
      <c r="L13">
        <f>assets!I44</f>
        <v>0</v>
      </c>
      <c r="M13">
        <f>assets!J44</f>
        <v>0</v>
      </c>
      <c r="N13">
        <f>assets!K44</f>
        <v>11868992</v>
      </c>
      <c r="O13">
        <f>assets!L44</f>
        <v>10717941</v>
      </c>
      <c r="P13">
        <f>assets!M44</f>
        <v>9968649</v>
      </c>
      <c r="Q13">
        <f>assets!N44</f>
        <v>0</v>
      </c>
      <c r="R13">
        <f>assets!O44</f>
        <v>0</v>
      </c>
      <c r="S13">
        <f>assets!P44</f>
        <v>88154414</v>
      </c>
      <c r="T13">
        <f>assets!Q44</f>
        <v>83983845</v>
      </c>
      <c r="U13">
        <f>assets!R44</f>
        <v>78765924</v>
      </c>
      <c r="V13">
        <f>assets!S44</f>
        <v>70923741</v>
      </c>
      <c r="W13">
        <f>assets!T44</f>
        <v>66047554</v>
      </c>
      <c r="X13">
        <f>assets!U44</f>
        <v>96072880</v>
      </c>
      <c r="Y13">
        <f>assets!V44</f>
        <v>105538863</v>
      </c>
      <c r="Z13">
        <f>assets!W44</f>
        <v>104911590</v>
      </c>
      <c r="AA13">
        <f>assets!X44</f>
        <v>100860857</v>
      </c>
      <c r="AB13">
        <f>assets!Y44</f>
        <v>98948306</v>
      </c>
      <c r="AC13">
        <f>assets!Z44</f>
        <v>97912849</v>
      </c>
      <c r="AD13">
        <f>assets!AA44</f>
        <v>91226725</v>
      </c>
      <c r="AE13">
        <f>assets!AB44</f>
        <v>196910825</v>
      </c>
      <c r="AF13">
        <f>assets!AC44</f>
        <v>191800945</v>
      </c>
    </row>
    <row r="14" spans="1:32" ht="15.6">
      <c r="A14" s="41" t="s">
        <v>638</v>
      </c>
      <c r="B14" t="s">
        <v>639</v>
      </c>
      <c r="C14" s="41" t="s">
        <v>638</v>
      </c>
      <c r="D14" s="42" t="s">
        <v>640</v>
      </c>
      <c r="E14" s="42" t="s">
        <v>610</v>
      </c>
      <c r="F14" t="e">
        <f>INDEX(fiscal!$A$2:$AE$46,MATCH($A14,fiscal!$D$2:$D$46,0),MATCH(F$1,fiscal!$A$2:$AE$2,0))</f>
        <v>#N/A</v>
      </c>
      <c r="J14">
        <f>J11-I11+J4</f>
        <v>8937590</v>
      </c>
      <c r="K14" t="e">
        <f t="shared" ref="K14:AE14" si="0">K11-J11+K4</f>
        <v>#VALUE!</v>
      </c>
      <c r="L14" t="e">
        <f t="shared" si="0"/>
        <v>#VALUE!</v>
      </c>
      <c r="M14" t="e">
        <f t="shared" si="0"/>
        <v>#VALUE!</v>
      </c>
      <c r="N14">
        <f t="shared" si="0"/>
        <v>98189048</v>
      </c>
      <c r="O14">
        <f t="shared" si="0"/>
        <v>2751280</v>
      </c>
      <c r="P14">
        <f t="shared" si="0"/>
        <v>2909263</v>
      </c>
      <c r="Q14" t="e">
        <f t="shared" si="0"/>
        <v>#VALUE!</v>
      </c>
      <c r="R14" t="e">
        <f t="shared" si="0"/>
        <v>#VALUE!</v>
      </c>
      <c r="S14">
        <f t="shared" si="0"/>
        <v>246614243</v>
      </c>
      <c r="T14">
        <f t="shared" si="0"/>
        <v>7087274</v>
      </c>
      <c r="U14">
        <f t="shared" si="0"/>
        <v>6294601</v>
      </c>
      <c r="V14">
        <f t="shared" si="0"/>
        <v>8601186</v>
      </c>
      <c r="W14">
        <f t="shared" si="0"/>
        <v>9861221</v>
      </c>
      <c r="X14">
        <f t="shared" si="0"/>
        <v>24573838</v>
      </c>
      <c r="Y14">
        <f t="shared" si="0"/>
        <v>32726331</v>
      </c>
      <c r="Z14">
        <f t="shared" si="0"/>
        <v>27372853</v>
      </c>
      <c r="AA14">
        <f t="shared" si="0"/>
        <v>15713382</v>
      </c>
      <c r="AB14">
        <f t="shared" si="0"/>
        <v>15280524</v>
      </c>
      <c r="AC14">
        <f t="shared" si="0"/>
        <v>15015114</v>
      </c>
      <c r="AD14">
        <f t="shared" si="0"/>
        <v>10808886</v>
      </c>
      <c r="AE14">
        <f t="shared" si="0"/>
        <v>-342014821</v>
      </c>
      <c r="AF14">
        <f>AF11-AE11+AF4</f>
        <v>6070090</v>
      </c>
    </row>
    <row r="15" spans="1:32" ht="15.6">
      <c r="B15" t="s">
        <v>641</v>
      </c>
      <c r="C15" s="41" t="s">
        <v>642</v>
      </c>
      <c r="I15">
        <f>SUM(assets!F31+assets!F43)</f>
        <v>87727372</v>
      </c>
      <c r="J15">
        <f>SUM(assets!G31+assets!G43)</f>
        <v>87785764</v>
      </c>
      <c r="K15">
        <f>SUM(assets!H31+assets!H43)</f>
        <v>0</v>
      </c>
      <c r="L15">
        <f>SUM(assets!I31+assets!I43)</f>
        <v>0</v>
      </c>
      <c r="M15">
        <f>SUM(assets!J31+assets!J43)</f>
        <v>0</v>
      </c>
      <c r="N15" t="e">
        <f>SUM(assets!K31+assets!K43)</f>
        <v>#VALUE!</v>
      </c>
      <c r="O15" t="e">
        <f>SUM(assets!L31+assets!L43)</f>
        <v>#VALUE!</v>
      </c>
      <c r="P15" t="e">
        <f>SUM(assets!M31+assets!M43)</f>
        <v>#VALUE!</v>
      </c>
      <c r="Q15">
        <f>SUM(assets!N31+assets!N43)</f>
        <v>0</v>
      </c>
      <c r="R15">
        <f>SUM(assets!O31+assets!O43)</f>
        <v>0</v>
      </c>
      <c r="S15">
        <f>SUM(assets!P31+assets!P43)</f>
        <v>86592706</v>
      </c>
      <c r="T15">
        <f>SUM(assets!Q31+assets!Q43)</f>
        <v>82478438</v>
      </c>
      <c r="U15">
        <f>SUM(assets!R31+assets!R43)</f>
        <v>77237056</v>
      </c>
      <c r="V15">
        <f>SUM(assets!S31+assets!S43)</f>
        <v>69305879</v>
      </c>
      <c r="W15">
        <f>SUM(assets!T31+assets!T43)</f>
        <v>64424200</v>
      </c>
      <c r="X15">
        <f>SUM(assets!U31+assets!U43)</f>
        <v>94556360</v>
      </c>
      <c r="Y15">
        <f>SUM(assets!V31+assets!V43)</f>
        <v>103934714</v>
      </c>
      <c r="Z15">
        <f>SUM(assets!W31+assets!W43)</f>
        <v>102883237</v>
      </c>
      <c r="AA15">
        <f>SUM(assets!X31+assets!X43)</f>
        <v>98586381</v>
      </c>
      <c r="AB15">
        <f>SUM(assets!Y31+assets!Y43)</f>
        <v>97351390</v>
      </c>
      <c r="AC15">
        <f>SUM(assets!Z31+assets!Z43)</f>
        <v>95963767</v>
      </c>
      <c r="AD15">
        <f>SUM(assets!AA31+assets!AA43)</f>
        <v>89157435</v>
      </c>
      <c r="AE15">
        <f>SUM(assets!AB31+assets!AB38+assets!AB39+assets!AB41+assets!AB42)</f>
        <v>81737328</v>
      </c>
      <c r="AF15">
        <f>SUM(assets!AC31+assets!AC38+assets!AC39+assets!AC41+assets!AC42)</f>
        <v>75294695</v>
      </c>
    </row>
    <row r="16" spans="1:32" ht="15.6">
      <c r="C16" s="44" t="s">
        <v>643</v>
      </c>
      <c r="D16" s="40" t="s">
        <v>644</v>
      </c>
      <c r="E16" s="45"/>
    </row>
    <row r="17" spans="2:38" ht="29.1">
      <c r="C17" t="s">
        <v>645</v>
      </c>
      <c r="D17" s="46" t="s">
        <v>646</v>
      </c>
      <c r="E17" s="46"/>
      <c r="F17" s="47">
        <f t="shared" ref="F17:AL17" si="1">IFERROR(F2/F3, "")</f>
        <v>1.1312472286878834</v>
      </c>
      <c r="G17" s="47">
        <f t="shared" si="1"/>
        <v>1.3856128897167066</v>
      </c>
      <c r="H17" s="47">
        <f t="shared" si="1"/>
        <v>1.0465615971165125</v>
      </c>
      <c r="I17" s="47">
        <f t="shared" si="1"/>
        <v>1.2033330594739176</v>
      </c>
      <c r="J17" s="47">
        <f t="shared" si="1"/>
        <v>1.097701518095983</v>
      </c>
      <c r="K17" s="47" t="str">
        <f t="shared" si="1"/>
        <v/>
      </c>
      <c r="L17" s="47" t="str">
        <f t="shared" si="1"/>
        <v/>
      </c>
      <c r="M17" s="47" t="str">
        <f t="shared" si="1"/>
        <v/>
      </c>
      <c r="N17" s="47">
        <f t="shared" si="1"/>
        <v>0.91363297508852581</v>
      </c>
      <c r="O17" s="47">
        <f t="shared" si="1"/>
        <v>0.89246695598668602</v>
      </c>
      <c r="P17" s="47">
        <f t="shared" si="1"/>
        <v>0.89710648002732174</v>
      </c>
      <c r="Q17" s="47" t="str">
        <f t="shared" si="1"/>
        <v/>
      </c>
      <c r="R17" s="47" t="str">
        <f t="shared" si="1"/>
        <v/>
      </c>
      <c r="S17" s="47">
        <f t="shared" si="1"/>
        <v>1.1421063256926154</v>
      </c>
      <c r="T17" s="47">
        <f t="shared" si="1"/>
        <v>1.1589733568511349</v>
      </c>
      <c r="U17" s="47">
        <f t="shared" si="1"/>
        <v>1.1534208302044877</v>
      </c>
      <c r="V17" s="47">
        <f t="shared" si="1"/>
        <v>1.1577296226684801</v>
      </c>
      <c r="W17" s="47">
        <f t="shared" si="1"/>
        <v>1.192329175680565</v>
      </c>
      <c r="X17" s="47">
        <f t="shared" si="1"/>
        <v>1.2342793663962199</v>
      </c>
      <c r="Y17" s="47">
        <f t="shared" si="1"/>
        <v>1.2615722484352783</v>
      </c>
      <c r="Z17" s="47">
        <f t="shared" si="1"/>
        <v>1.2958008161573222</v>
      </c>
      <c r="AA17" s="47">
        <f t="shared" si="1"/>
        <v>1.2825401417907014</v>
      </c>
      <c r="AB17" s="47">
        <f t="shared" si="1"/>
        <v>1.1980798983073793</v>
      </c>
      <c r="AC17" s="47">
        <f t="shared" si="1"/>
        <v>1.1701233265445199</v>
      </c>
      <c r="AD17" s="47">
        <f t="shared" si="1"/>
        <v>1.1464200405987592</v>
      </c>
      <c r="AE17" s="47">
        <f t="shared" si="1"/>
        <v>1.3970806643333846</v>
      </c>
      <c r="AF17" s="47">
        <f t="shared" si="1"/>
        <v>1.6207519558291459</v>
      </c>
      <c r="AG17" s="47" t="str">
        <f t="shared" si="1"/>
        <v/>
      </c>
      <c r="AH17" s="47" t="str">
        <f t="shared" si="1"/>
        <v/>
      </c>
      <c r="AI17" s="47" t="str">
        <f t="shared" si="1"/>
        <v/>
      </c>
      <c r="AJ17" s="47" t="str">
        <f t="shared" si="1"/>
        <v/>
      </c>
      <c r="AK17" s="47" t="str">
        <f t="shared" si="1"/>
        <v/>
      </c>
      <c r="AL17" s="47" t="str">
        <f t="shared" si="1"/>
        <v/>
      </c>
    </row>
    <row r="18" spans="2:38" ht="29.1">
      <c r="C18" t="s">
        <v>647</v>
      </c>
      <c r="D18" s="46" t="s">
        <v>648</v>
      </c>
      <c r="E18" s="46"/>
      <c r="F18" s="47">
        <f t="shared" ref="F18:AL18" si="2">IFERROR(IF(F4="","",F2/(F3-F4)), "")</f>
        <v>1.2461997800538867</v>
      </c>
      <c r="G18" s="47">
        <f t="shared" si="2"/>
        <v>1.5415372368347529</v>
      </c>
      <c r="H18" s="47">
        <f t="shared" si="2"/>
        <v>1.12323976287488</v>
      </c>
      <c r="I18" s="47">
        <f t="shared" si="2"/>
        <v>1.3725172900464295</v>
      </c>
      <c r="J18" s="47">
        <f t="shared" si="2"/>
        <v>1.2534183865855373</v>
      </c>
      <c r="K18" s="47" t="str">
        <f t="shared" si="2"/>
        <v/>
      </c>
      <c r="L18" s="47" t="str">
        <f t="shared" si="2"/>
        <v/>
      </c>
      <c r="M18" s="47" t="str">
        <f t="shared" si="2"/>
        <v/>
      </c>
      <c r="N18" s="47">
        <f t="shared" si="2"/>
        <v>1.4029869915899238</v>
      </c>
      <c r="O18" s="47">
        <f t="shared" si="2"/>
        <v>1.3514174337890577</v>
      </c>
      <c r="P18" s="47">
        <f t="shared" si="2"/>
        <v>1.3455450191304879</v>
      </c>
      <c r="Q18" s="47" t="str">
        <f t="shared" si="2"/>
        <v/>
      </c>
      <c r="R18" s="47" t="str">
        <f t="shared" si="2"/>
        <v/>
      </c>
      <c r="S18" s="47">
        <f t="shared" si="2"/>
        <v>1.5379488406344317</v>
      </c>
      <c r="T18" s="47">
        <f t="shared" si="2"/>
        <v>1.555563703618343</v>
      </c>
      <c r="U18" s="47">
        <f t="shared" si="2"/>
        <v>1.5392294479845465</v>
      </c>
      <c r="V18" s="47">
        <f t="shared" si="2"/>
        <v>1.5382047971298043</v>
      </c>
      <c r="W18" s="47">
        <f t="shared" si="2"/>
        <v>1.5935706452824276</v>
      </c>
      <c r="X18" s="47">
        <f t="shared" si="2"/>
        <v>1.6414510905572552</v>
      </c>
      <c r="Y18" s="47">
        <f t="shared" si="2"/>
        <v>1.6668643785303319</v>
      </c>
      <c r="Z18" s="47">
        <f t="shared" si="2"/>
        <v>1.7283376519854021</v>
      </c>
      <c r="AA18" s="47">
        <f t="shared" si="2"/>
        <v>1.7151259158699228</v>
      </c>
      <c r="AB18" s="47">
        <f t="shared" si="2"/>
        <v>1.6343040831741733</v>
      </c>
      <c r="AC18" s="47">
        <f t="shared" si="2"/>
        <v>1.6527506329272061</v>
      </c>
      <c r="AD18" s="47">
        <f t="shared" si="2"/>
        <v>1.6165316014268365</v>
      </c>
      <c r="AE18" s="47">
        <f t="shared" si="2"/>
        <v>1.9965133720357664</v>
      </c>
      <c r="AF18" s="47">
        <f t="shared" si="2"/>
        <v>2.2163180371989144</v>
      </c>
      <c r="AG18" s="47" t="str">
        <f t="shared" si="2"/>
        <v/>
      </c>
      <c r="AH18" s="47" t="str">
        <f t="shared" si="2"/>
        <v/>
      </c>
      <c r="AI18" s="47" t="str">
        <f t="shared" si="2"/>
        <v/>
      </c>
      <c r="AJ18" s="47" t="str">
        <f t="shared" si="2"/>
        <v/>
      </c>
      <c r="AK18" s="47" t="str">
        <f t="shared" si="2"/>
        <v/>
      </c>
      <c r="AL18" s="47" t="str">
        <f t="shared" si="2"/>
        <v/>
      </c>
    </row>
    <row r="19" spans="2:38" ht="29.1">
      <c r="C19" t="s">
        <v>649</v>
      </c>
      <c r="D19" s="48" t="s">
        <v>650</v>
      </c>
      <c r="E19" s="48"/>
      <c r="F19" s="47" t="str">
        <f>IFERROR(IF(F4="","",IF(F5="","",IF(F6="","",(F2-F3+F4)/(F5+F6)))),"")</f>
        <v/>
      </c>
      <c r="G19" s="47" t="str">
        <f t="shared" ref="G19:AL19" si="3">IFERROR(IF(G4="","",IF(G5="","",IF(G6="","",(G2-G3+G4)/(G5+G6)))),"")</f>
        <v/>
      </c>
      <c r="H19" s="47" t="str">
        <f t="shared" si="3"/>
        <v/>
      </c>
      <c r="I19" s="47" t="str">
        <f t="shared" si="3"/>
        <v/>
      </c>
      <c r="J19" s="47" t="str">
        <f t="shared" si="3"/>
        <v/>
      </c>
      <c r="K19" s="47" t="str">
        <f t="shared" si="3"/>
        <v/>
      </c>
      <c r="L19" s="47" t="str">
        <f t="shared" si="3"/>
        <v/>
      </c>
      <c r="M19" s="47" t="str">
        <f t="shared" si="3"/>
        <v/>
      </c>
      <c r="N19" s="47" t="str">
        <f t="shared" si="3"/>
        <v/>
      </c>
      <c r="O19" s="47" t="str">
        <f t="shared" si="3"/>
        <v/>
      </c>
      <c r="P19" s="47" t="str">
        <f t="shared" si="3"/>
        <v/>
      </c>
      <c r="Q19" s="47" t="str">
        <f t="shared" si="3"/>
        <v/>
      </c>
      <c r="R19" s="47" t="str">
        <f t="shared" si="3"/>
        <v/>
      </c>
      <c r="S19" s="47">
        <f t="shared" si="3"/>
        <v>1.479895320153966</v>
      </c>
      <c r="T19" s="47">
        <f t="shared" si="3"/>
        <v>1.3442573387692196</v>
      </c>
      <c r="U19" s="47">
        <f t="shared" si="3"/>
        <v>1.249776697532524</v>
      </c>
      <c r="V19" s="47">
        <f t="shared" si="3"/>
        <v>1.3351892443963147</v>
      </c>
      <c r="W19" s="47">
        <f t="shared" si="3"/>
        <v>1.3085489515661057</v>
      </c>
      <c r="X19" s="47">
        <f t="shared" si="3"/>
        <v>1.006128024988048</v>
      </c>
      <c r="Y19" s="47">
        <f t="shared" si="3"/>
        <v>1.1394478055435338</v>
      </c>
      <c r="Z19" s="47">
        <f t="shared" si="3"/>
        <v>1.7388762026599731</v>
      </c>
      <c r="AA19" s="47">
        <f t="shared" si="3"/>
        <v>1.6000989548220723</v>
      </c>
      <c r="AB19" s="47">
        <f t="shared" si="3"/>
        <v>1.3861029532502982</v>
      </c>
      <c r="AC19" s="47">
        <f t="shared" si="3"/>
        <v>1.3785807229305416</v>
      </c>
      <c r="AD19" s="47">
        <f t="shared" si="3"/>
        <v>1.4730559505412666</v>
      </c>
      <c r="AE19" s="47">
        <f t="shared" si="3"/>
        <v>1.7395209699615539</v>
      </c>
      <c r="AF19" s="47">
        <f t="shared" si="3"/>
        <v>2.0857011349544674</v>
      </c>
      <c r="AG19" s="47" t="str">
        <f t="shared" si="3"/>
        <v/>
      </c>
      <c r="AH19" s="47" t="str">
        <f t="shared" si="3"/>
        <v/>
      </c>
      <c r="AI19" s="47" t="str">
        <f t="shared" si="3"/>
        <v/>
      </c>
      <c r="AJ19" s="47" t="str">
        <f t="shared" si="3"/>
        <v/>
      </c>
      <c r="AK19" s="47" t="str">
        <f t="shared" si="3"/>
        <v/>
      </c>
      <c r="AL19" s="47" t="str">
        <f t="shared" si="3"/>
        <v/>
      </c>
    </row>
    <row r="20" spans="2:38" ht="29.1">
      <c r="C20" t="s">
        <v>651</v>
      </c>
      <c r="D20" s="48" t="s">
        <v>652</v>
      </c>
      <c r="E20" s="48"/>
      <c r="F20" s="47" t="str">
        <f>IFERROR(IF(F7=0,"",F7/F8), "")</f>
        <v/>
      </c>
      <c r="G20" s="47" t="str">
        <f t="shared" ref="G20:AL20" si="4">IFERROR(IF(G7=0,"",G7/G8), "")</f>
        <v/>
      </c>
      <c r="H20" s="47" t="str">
        <f t="shared" si="4"/>
        <v/>
      </c>
      <c r="I20" s="47">
        <f t="shared" si="4"/>
        <v>0.34590445641613615</v>
      </c>
      <c r="J20" s="47">
        <f t="shared" si="4"/>
        <v>1.3586253629973524</v>
      </c>
      <c r="K20" s="47" t="str">
        <f t="shared" si="4"/>
        <v/>
      </c>
      <c r="L20" s="47" t="str">
        <f t="shared" si="4"/>
        <v/>
      </c>
      <c r="M20" s="47" t="str">
        <f t="shared" si="4"/>
        <v/>
      </c>
      <c r="N20" s="47">
        <f t="shared" si="4"/>
        <v>5.525348219058146</v>
      </c>
      <c r="O20" s="47">
        <f t="shared" si="4"/>
        <v>4.1145035999022603</v>
      </c>
      <c r="P20" s="47">
        <f t="shared" si="4"/>
        <v>4.5402653848633019</v>
      </c>
      <c r="Q20" s="47" t="str">
        <f t="shared" si="4"/>
        <v/>
      </c>
      <c r="R20" s="47" t="str">
        <f t="shared" si="4"/>
        <v/>
      </c>
      <c r="S20" s="47">
        <f t="shared" si="4"/>
        <v>0.82866875696835918</v>
      </c>
      <c r="T20" s="47">
        <f t="shared" si="4"/>
        <v>1.5623131323482211</v>
      </c>
      <c r="U20" s="47">
        <f t="shared" si="4"/>
        <v>1.4675971408895732</v>
      </c>
      <c r="V20" s="47">
        <f t="shared" si="4"/>
        <v>0.8922309002398483</v>
      </c>
      <c r="W20" s="47">
        <f t="shared" si="4"/>
        <v>0.8118933781248544</v>
      </c>
      <c r="X20" s="47">
        <f t="shared" si="4"/>
        <v>0.64715489077654698</v>
      </c>
      <c r="Y20" s="47">
        <f t="shared" si="4"/>
        <v>0.82324800825505351</v>
      </c>
      <c r="Z20" s="47">
        <f t="shared" si="4"/>
        <v>1.1750088094920144</v>
      </c>
      <c r="AA20" s="47">
        <f t="shared" si="4"/>
        <v>1.1209431552813587</v>
      </c>
      <c r="AB20" s="47">
        <f t="shared" si="4"/>
        <v>1.0026439863277652</v>
      </c>
      <c r="AC20" s="47">
        <f t="shared" si="4"/>
        <v>0.96080463960906848</v>
      </c>
      <c r="AD20" s="47">
        <f t="shared" si="4"/>
        <v>1.0259465377019867</v>
      </c>
      <c r="AE20" s="47">
        <f t="shared" si="4"/>
        <v>0.74749060757555952</v>
      </c>
      <c r="AF20" s="47">
        <f t="shared" si="4"/>
        <v>0.83427215843720615</v>
      </c>
      <c r="AG20" s="47" t="str">
        <f t="shared" si="4"/>
        <v/>
      </c>
      <c r="AH20" s="47" t="str">
        <f t="shared" si="4"/>
        <v/>
      </c>
      <c r="AI20" s="47" t="str">
        <f t="shared" si="4"/>
        <v/>
      </c>
      <c r="AJ20" s="47" t="str">
        <f t="shared" si="4"/>
        <v/>
      </c>
      <c r="AK20" s="47" t="str">
        <f t="shared" si="4"/>
        <v/>
      </c>
      <c r="AL20" s="47" t="str">
        <f t="shared" si="4"/>
        <v/>
      </c>
    </row>
    <row r="21" spans="2:38" ht="29.1">
      <c r="C21" t="s">
        <v>653</v>
      </c>
      <c r="D21" s="48" t="s">
        <v>654</v>
      </c>
      <c r="E21" s="48"/>
      <c r="F21" s="49" t="str">
        <f>IFERROR(IF(F9=0,"",IF(F4="","",IF(F9="","",F9/((F3-F4)/365)))),"")</f>
        <v/>
      </c>
      <c r="G21" s="49" t="str">
        <f t="shared" ref="G21:AL21" si="5">IFERROR(IF(G9=0,"",IF(G4="","",IF(G9="","",G9/((G3-G4)/365)))),"")</f>
        <v/>
      </c>
      <c r="H21" s="49" t="str">
        <f t="shared" si="5"/>
        <v/>
      </c>
      <c r="I21" s="49">
        <f t="shared" si="5"/>
        <v>9.2565966565861935</v>
      </c>
      <c r="J21" s="49">
        <f t="shared" si="5"/>
        <v>10.424261783740945</v>
      </c>
      <c r="K21" s="49" t="str">
        <f t="shared" si="5"/>
        <v/>
      </c>
      <c r="L21" s="49" t="str">
        <f t="shared" si="5"/>
        <v/>
      </c>
      <c r="M21" s="49" t="str">
        <f t="shared" si="5"/>
        <v/>
      </c>
      <c r="N21" s="49">
        <f t="shared" si="5"/>
        <v>127.90622317629433</v>
      </c>
      <c r="O21" s="49">
        <f t="shared" si="5"/>
        <v>120.16325068800765</v>
      </c>
      <c r="P21" s="49">
        <f t="shared" si="5"/>
        <v>140.01279268789381</v>
      </c>
      <c r="Q21" s="49" t="str">
        <f t="shared" si="5"/>
        <v/>
      </c>
      <c r="R21" s="49" t="str">
        <f t="shared" si="5"/>
        <v/>
      </c>
      <c r="S21" s="49">
        <f t="shared" si="5"/>
        <v>80.28306337724392</v>
      </c>
      <c r="T21" s="49">
        <f t="shared" si="5"/>
        <v>206.30207270844465</v>
      </c>
      <c r="U21" s="49">
        <f t="shared" si="5"/>
        <v>190.32203087509038</v>
      </c>
      <c r="V21" s="49">
        <f t="shared" si="5"/>
        <v>93.888525501076813</v>
      </c>
      <c r="W21" s="49">
        <f t="shared" si="5"/>
        <v>87.696956964555326</v>
      </c>
      <c r="X21" s="49">
        <f t="shared" si="5"/>
        <v>101.93957279622185</v>
      </c>
      <c r="Y21" s="49">
        <f t="shared" si="5"/>
        <v>127.67485046489735</v>
      </c>
      <c r="Z21" s="49">
        <f t="shared" si="5"/>
        <v>139.91290648572692</v>
      </c>
      <c r="AA21" s="49">
        <f t="shared" si="5"/>
        <v>143.38572018024087</v>
      </c>
      <c r="AB21" s="49">
        <f t="shared" si="5"/>
        <v>118.16749284270067</v>
      </c>
      <c r="AC21" s="49">
        <f t="shared" si="5"/>
        <v>115.80600516336068</v>
      </c>
      <c r="AD21" s="49">
        <f t="shared" si="5"/>
        <v>114.57068278011306</v>
      </c>
      <c r="AE21" s="49">
        <f t="shared" si="5"/>
        <v>96.695810175423546</v>
      </c>
      <c r="AF21" s="49">
        <f t="shared" si="5"/>
        <v>152.57484310569157</v>
      </c>
      <c r="AG21" s="49" t="str">
        <f t="shared" si="5"/>
        <v/>
      </c>
      <c r="AH21" s="49" t="str">
        <f t="shared" si="5"/>
        <v/>
      </c>
      <c r="AI21" s="49" t="str">
        <f t="shared" si="5"/>
        <v/>
      </c>
      <c r="AJ21" s="49" t="str">
        <f t="shared" si="5"/>
        <v/>
      </c>
      <c r="AK21" s="49" t="str">
        <f t="shared" si="5"/>
        <v/>
      </c>
      <c r="AL21" s="49" t="str">
        <f t="shared" si="5"/>
        <v/>
      </c>
    </row>
    <row r="22" spans="2:38" ht="29.1">
      <c r="C22" t="s">
        <v>655</v>
      </c>
      <c r="D22" s="48" t="s">
        <v>656</v>
      </c>
      <c r="E22" s="48"/>
      <c r="F22" s="50" t="str">
        <f>IFERROR(IF(F10="","",F10/F11), "")</f>
        <v/>
      </c>
      <c r="G22" s="50" t="str">
        <f t="shared" ref="G22:AL22" si="6">IFERROR(IF(G10="","",G10/G11), "")</f>
        <v/>
      </c>
      <c r="H22" s="50" t="str">
        <f t="shared" si="6"/>
        <v/>
      </c>
      <c r="I22" s="50">
        <f t="shared" si="6"/>
        <v>0.10885953379731279</v>
      </c>
      <c r="J22" s="50">
        <f t="shared" si="6"/>
        <v>0.11340993145837684</v>
      </c>
      <c r="K22" s="50" t="str">
        <f t="shared" si="6"/>
        <v/>
      </c>
      <c r="L22" s="50" t="str">
        <f t="shared" si="6"/>
        <v/>
      </c>
      <c r="M22" s="50" t="str">
        <f t="shared" si="6"/>
        <v/>
      </c>
      <c r="N22" s="50">
        <f t="shared" si="6"/>
        <v>0.20484201211502601</v>
      </c>
      <c r="O22" s="50">
        <f t="shared" si="6"/>
        <v>0.22928349567655656</v>
      </c>
      <c r="P22" s="50">
        <f t="shared" si="6"/>
        <v>0.2539697437065031</v>
      </c>
      <c r="Q22" s="50" t="str">
        <f t="shared" si="6"/>
        <v/>
      </c>
      <c r="R22" s="50" t="str">
        <f t="shared" si="6"/>
        <v/>
      </c>
      <c r="S22" s="50">
        <f t="shared" si="6"/>
        <v>0.25918505945907699</v>
      </c>
      <c r="T22" s="50">
        <f t="shared" si="6"/>
        <v>0.27872574127796601</v>
      </c>
      <c r="U22" s="50">
        <f t="shared" si="6"/>
        <v>0.29940019591005795</v>
      </c>
      <c r="V22" s="50">
        <f t="shared" si="6"/>
        <v>0.31589680257547798</v>
      </c>
      <c r="W22" s="50">
        <f t="shared" si="6"/>
        <v>0.33076663404586781</v>
      </c>
      <c r="X22" s="50">
        <f t="shared" si="6"/>
        <v>0.32564187105446124</v>
      </c>
      <c r="Y22" s="50">
        <f t="shared" si="6"/>
        <v>0.31376526229856155</v>
      </c>
      <c r="Z22" s="50">
        <f t="shared" si="6"/>
        <v>0.30979776950908389</v>
      </c>
      <c r="AA22" s="50">
        <f t="shared" si="6"/>
        <v>0.31796944021705337</v>
      </c>
      <c r="AB22" s="50">
        <f t="shared" si="6"/>
        <v>0.32818444509045031</v>
      </c>
      <c r="AC22" s="50">
        <f t="shared" si="6"/>
        <v>0.34279711110052058</v>
      </c>
      <c r="AD22" s="50">
        <f t="shared" si="6"/>
        <v>0.36199970018752459</v>
      </c>
      <c r="AE22" s="50" t="str">
        <f t="shared" si="6"/>
        <v/>
      </c>
      <c r="AF22" s="50" t="str">
        <f t="shared" si="6"/>
        <v/>
      </c>
      <c r="AG22" s="50" t="str">
        <f t="shared" si="6"/>
        <v/>
      </c>
      <c r="AH22" s="50" t="str">
        <f t="shared" si="6"/>
        <v/>
      </c>
      <c r="AI22" s="50" t="str">
        <f t="shared" si="6"/>
        <v/>
      </c>
      <c r="AJ22" s="50" t="str">
        <f t="shared" si="6"/>
        <v/>
      </c>
      <c r="AK22" s="50" t="str">
        <f t="shared" si="6"/>
        <v/>
      </c>
      <c r="AL22" s="50" t="str">
        <f t="shared" si="6"/>
        <v/>
      </c>
    </row>
    <row r="23" spans="2:38" ht="29.1">
      <c r="C23" t="s">
        <v>657</v>
      </c>
      <c r="D23" s="46" t="s">
        <v>658</v>
      </c>
      <c r="E23" s="46"/>
      <c r="F23" s="47" t="str">
        <f>IFERROR(IF(F12=0,"",IF(F13=0,"",F13/(F12-F13))),"")</f>
        <v/>
      </c>
      <c r="G23" s="47" t="str">
        <f t="shared" ref="G23:AL23" si="7">IFERROR(IF(G12=0,"",IF(G13=0,"",G13/(G12-G13))),"")</f>
        <v/>
      </c>
      <c r="H23" s="47" t="str">
        <f t="shared" si="7"/>
        <v/>
      </c>
      <c r="I23" s="47">
        <f t="shared" si="7"/>
        <v>3.6282489597252008</v>
      </c>
      <c r="J23" s="47">
        <f t="shared" si="7"/>
        <v>3.071467695392887</v>
      </c>
      <c r="K23" s="47" t="str">
        <f t="shared" si="7"/>
        <v/>
      </c>
      <c r="L23" s="47" t="str">
        <f t="shared" si="7"/>
        <v/>
      </c>
      <c r="M23" s="47" t="str">
        <f t="shared" si="7"/>
        <v/>
      </c>
      <c r="N23" s="47">
        <f t="shared" si="7"/>
        <v>0.17041321377110841</v>
      </c>
      <c r="O23" s="47">
        <f t="shared" si="7"/>
        <v>0.15571365174001156</v>
      </c>
      <c r="P23" s="47">
        <f t="shared" si="7"/>
        <v>0.14668871778804518</v>
      </c>
      <c r="Q23" s="47" t="str">
        <f t="shared" si="7"/>
        <v/>
      </c>
      <c r="R23" s="47" t="str">
        <f t="shared" si="7"/>
        <v/>
      </c>
      <c r="S23" s="47">
        <f t="shared" si="7"/>
        <v>0.80360886636567108</v>
      </c>
      <c r="T23" s="47">
        <f t="shared" si="7"/>
        <v>0.75384320583509323</v>
      </c>
      <c r="U23" s="47">
        <f t="shared" si="7"/>
        <v>0.70140687844064575</v>
      </c>
      <c r="V23" s="47">
        <f t="shared" si="7"/>
        <v>0.63429742141559364</v>
      </c>
      <c r="W23" s="47">
        <f t="shared" si="7"/>
        <v>0.58161050487528299</v>
      </c>
      <c r="X23" s="47">
        <f t="shared" si="7"/>
        <v>0.81977986664961222</v>
      </c>
      <c r="Y23" s="47">
        <f t="shared" si="7"/>
        <v>0.84001298762895227</v>
      </c>
      <c r="Z23" s="47">
        <f t="shared" si="7"/>
        <v>0.76758455906666823</v>
      </c>
      <c r="AA23" s="47">
        <f t="shared" si="7"/>
        <v>0.71190512365890202</v>
      </c>
      <c r="AB23" s="47">
        <f t="shared" si="7"/>
        <v>0.67904703261832011</v>
      </c>
      <c r="AC23" s="47">
        <f t="shared" si="7"/>
        <v>0.66977752664150536</v>
      </c>
      <c r="AD23" s="47">
        <f>IFERROR(IF(AD12=0,"",IF(AD13=0,"",AD13/(AD12-AD13))),"")</f>
        <v>0.62022141101567996</v>
      </c>
      <c r="AE23" s="47">
        <f>IFERROR(IF(AE12=0,"",IF(AE13=0,"",AE13/(AE12-AE13))),"")</f>
        <v>-2.8217048537175495</v>
      </c>
      <c r="AF23" s="47">
        <f t="shared" si="7"/>
        <v>-2.8760870108303185</v>
      </c>
      <c r="AG23" s="47" t="str">
        <f t="shared" si="7"/>
        <v/>
      </c>
      <c r="AH23" s="47" t="str">
        <f t="shared" si="7"/>
        <v/>
      </c>
      <c r="AI23" s="47" t="str">
        <f t="shared" si="7"/>
        <v/>
      </c>
      <c r="AJ23" s="47" t="str">
        <f t="shared" si="7"/>
        <v/>
      </c>
      <c r="AK23" s="47" t="str">
        <f t="shared" si="7"/>
        <v/>
      </c>
      <c r="AL23" s="47" t="str">
        <f t="shared" si="7"/>
        <v/>
      </c>
    </row>
    <row r="24" spans="2:38" ht="29.1">
      <c r="B24" t="s">
        <v>659</v>
      </c>
      <c r="C24" t="s">
        <v>660</v>
      </c>
      <c r="D24" s="48" t="s">
        <v>661</v>
      </c>
      <c r="E24" s="48"/>
      <c r="F24" s="51" t="str">
        <f t="shared" ref="F24:AL24" si="8">IFERROR(IF(F10="","",IF(F10=0,"",F10/F4)),"")</f>
        <v/>
      </c>
      <c r="G24" s="51" t="str">
        <f t="shared" si="8"/>
        <v/>
      </c>
      <c r="H24" s="51" t="str">
        <f t="shared" si="8"/>
        <v/>
      </c>
      <c r="I24" s="51">
        <f t="shared" si="8"/>
        <v>6.9634032373154531</v>
      </c>
      <c r="J24" s="51">
        <f t="shared" si="8"/>
        <v>7.7267789195502319</v>
      </c>
      <c r="K24" s="51" t="str">
        <f t="shared" si="8"/>
        <v/>
      </c>
      <c r="L24" s="51" t="str">
        <f t="shared" si="8"/>
        <v/>
      </c>
      <c r="M24" s="51" t="str">
        <f t="shared" si="8"/>
        <v/>
      </c>
      <c r="N24" s="51">
        <f t="shared" si="8"/>
        <v>8.0115497064675996</v>
      </c>
      <c r="O24" s="51">
        <f t="shared" si="8"/>
        <v>8.8854560865353562</v>
      </c>
      <c r="P24" s="51">
        <f t="shared" si="8"/>
        <v>9.8499686510542617</v>
      </c>
      <c r="Q24" s="51" t="str">
        <f t="shared" si="8"/>
        <v/>
      </c>
      <c r="R24" s="51" t="str">
        <f t="shared" si="8"/>
        <v/>
      </c>
      <c r="S24" s="51">
        <f t="shared" si="8"/>
        <v>11.465646312098407</v>
      </c>
      <c r="T24" s="51">
        <f t="shared" si="8"/>
        <v>12.559720021983217</v>
      </c>
      <c r="U24" s="51">
        <f t="shared" si="8"/>
        <v>13.498528131962241</v>
      </c>
      <c r="V24" s="51">
        <f t="shared" si="8"/>
        <v>14.626804398506339</v>
      </c>
      <c r="W24" s="51">
        <f t="shared" si="8"/>
        <v>15.500693788030475</v>
      </c>
      <c r="X24" s="51">
        <f t="shared" si="8"/>
        <v>16.509913035987822</v>
      </c>
      <c r="Y24" s="51">
        <f t="shared" si="8"/>
        <v>17.056007584329976</v>
      </c>
      <c r="Z24" s="51">
        <f t="shared" si="8"/>
        <v>17.74483380107716</v>
      </c>
      <c r="AA24" s="51">
        <f t="shared" si="8"/>
        <v>17.990165773335157</v>
      </c>
      <c r="AB24" s="51">
        <f t="shared" si="8"/>
        <v>17.080938964450358</v>
      </c>
      <c r="AC24" s="51">
        <f t="shared" si="8"/>
        <v>15.613361738093172</v>
      </c>
      <c r="AD24" s="51">
        <f t="shared" si="8"/>
        <v>16.062534934562809</v>
      </c>
      <c r="AE24" s="51" t="str">
        <f t="shared" si="8"/>
        <v/>
      </c>
      <c r="AF24" s="51" t="str">
        <f t="shared" si="8"/>
        <v/>
      </c>
      <c r="AG24" s="51" t="str">
        <f t="shared" si="8"/>
        <v/>
      </c>
      <c r="AH24" s="51" t="str">
        <f t="shared" si="8"/>
        <v/>
      </c>
      <c r="AI24" s="51" t="str">
        <f t="shared" si="8"/>
        <v/>
      </c>
      <c r="AJ24" s="51" t="str">
        <f t="shared" si="8"/>
        <v/>
      </c>
      <c r="AK24" s="51" t="str">
        <f t="shared" si="8"/>
        <v/>
      </c>
      <c r="AL24" s="51" t="str">
        <f t="shared" si="8"/>
        <v/>
      </c>
    </row>
    <row r="25" spans="2:38">
      <c r="B25" t="s">
        <v>662</v>
      </c>
      <c r="C25" t="s">
        <v>663</v>
      </c>
      <c r="D25" s="46" t="s">
        <v>639</v>
      </c>
      <c r="E25" s="46"/>
      <c r="F25" s="57" t="str">
        <f>IFERROR(IF(F14=0,"",IF(F14&lt;0,"",F14)),"")</f>
        <v/>
      </c>
      <c r="G25" s="57" t="str">
        <f t="shared" ref="G25:AL25" si="9">IFERROR(IF(G14=0,"",IF(G14&lt;0,"",G14)),"")</f>
        <v/>
      </c>
      <c r="H25" s="57" t="str">
        <f t="shared" si="9"/>
        <v/>
      </c>
      <c r="I25" s="57" t="str">
        <f t="shared" si="9"/>
        <v/>
      </c>
      <c r="J25" s="57">
        <f t="shared" si="9"/>
        <v>8937590</v>
      </c>
      <c r="K25" s="57" t="str">
        <f t="shared" si="9"/>
        <v/>
      </c>
      <c r="L25" s="57" t="str">
        <f t="shared" si="9"/>
        <v/>
      </c>
      <c r="M25" s="57" t="str">
        <f t="shared" si="9"/>
        <v/>
      </c>
      <c r="N25" s="57"/>
      <c r="O25" s="57">
        <f t="shared" si="9"/>
        <v>2751280</v>
      </c>
      <c r="P25" s="57">
        <f t="shared" si="9"/>
        <v>2909263</v>
      </c>
      <c r="Q25" s="57" t="str">
        <f t="shared" si="9"/>
        <v/>
      </c>
      <c r="R25" s="57" t="str">
        <f t="shared" si="9"/>
        <v/>
      </c>
      <c r="S25" s="57"/>
      <c r="T25" s="57"/>
      <c r="U25" s="57">
        <f t="shared" si="9"/>
        <v>6294601</v>
      </c>
      <c r="V25" s="57">
        <f t="shared" si="9"/>
        <v>8601186</v>
      </c>
      <c r="W25" s="57">
        <f t="shared" si="9"/>
        <v>9861221</v>
      </c>
      <c r="X25" s="57">
        <f t="shared" si="9"/>
        <v>24573838</v>
      </c>
      <c r="Y25" s="57">
        <f t="shared" si="9"/>
        <v>32726331</v>
      </c>
      <c r="Z25" s="57">
        <f t="shared" si="9"/>
        <v>27372853</v>
      </c>
      <c r="AA25" s="57">
        <f t="shared" si="9"/>
        <v>15713382</v>
      </c>
      <c r="AB25" s="57">
        <f t="shared" si="9"/>
        <v>15280524</v>
      </c>
      <c r="AC25" s="57">
        <f t="shared" si="9"/>
        <v>15015114</v>
      </c>
      <c r="AD25" s="57">
        <f t="shared" si="9"/>
        <v>10808886</v>
      </c>
      <c r="AE25" s="57" t="str">
        <f t="shared" si="9"/>
        <v/>
      </c>
      <c r="AF25" s="57"/>
      <c r="AG25" s="57" t="str">
        <f t="shared" si="9"/>
        <v/>
      </c>
      <c r="AH25" s="57"/>
      <c r="AI25" s="57"/>
      <c r="AJ25" s="57"/>
      <c r="AK25" s="57" t="str">
        <f t="shared" si="9"/>
        <v/>
      </c>
      <c r="AL25" s="57" t="str">
        <f t="shared" si="9"/>
        <v/>
      </c>
    </row>
    <row r="26" spans="2:38" ht="29.1">
      <c r="C26" t="s">
        <v>664</v>
      </c>
      <c r="D26" s="46" t="s">
        <v>665</v>
      </c>
      <c r="E26" s="46"/>
      <c r="F26" s="50" t="str">
        <f>IFERROR(IF(F25/F4=0, "",F25/F4),"")</f>
        <v/>
      </c>
      <c r="G26" s="50" t="str">
        <f t="shared" ref="G26:AL26" si="10">IFERROR(IF(G25/G4=0, "",G25/G4),"")</f>
        <v/>
      </c>
      <c r="H26" s="50" t="str">
        <f t="shared" si="10"/>
        <v/>
      </c>
      <c r="I26" s="50" t="str">
        <f t="shared" si="10"/>
        <v/>
      </c>
      <c r="J26" s="50">
        <f t="shared" si="10"/>
        <v>6.2618290452059222</v>
      </c>
      <c r="K26" s="50" t="str">
        <f t="shared" si="10"/>
        <v/>
      </c>
      <c r="L26" s="50" t="str">
        <f t="shared" si="10"/>
        <v/>
      </c>
      <c r="M26" s="50" t="str">
        <f t="shared" si="10"/>
        <v/>
      </c>
      <c r="N26" s="50" t="str">
        <f t="shared" si="10"/>
        <v/>
      </c>
      <c r="O26" s="50">
        <f t="shared" si="10"/>
        <v>1.1104617371649983</v>
      </c>
      <c r="P26" s="50">
        <f t="shared" si="10"/>
        <v>1.1700106212399866</v>
      </c>
      <c r="Q26" s="50" t="str">
        <f t="shared" si="10"/>
        <v/>
      </c>
      <c r="R26" s="50" t="str">
        <f t="shared" si="10"/>
        <v/>
      </c>
      <c r="S26" s="50" t="str">
        <f t="shared" si="10"/>
        <v/>
      </c>
      <c r="T26" s="50" t="str">
        <f t="shared" si="10"/>
        <v/>
      </c>
      <c r="U26" s="50">
        <f t="shared" si="10"/>
        <v>1.1642880329683643</v>
      </c>
      <c r="V26" s="50">
        <f t="shared" si="10"/>
        <v>1.6122756738711082</v>
      </c>
      <c r="W26" s="50">
        <f t="shared" si="10"/>
        <v>1.8374102580012011</v>
      </c>
      <c r="X26" s="50">
        <f t="shared" si="10"/>
        <v>4.6017216777088237</v>
      </c>
      <c r="Y26" s="50">
        <f t="shared" si="10"/>
        <v>5.9699656811622548</v>
      </c>
      <c r="Z26" s="50">
        <f t="shared" si="10"/>
        <v>4.9030442994124126</v>
      </c>
      <c r="AA26" s="50">
        <f t="shared" si="10"/>
        <v>2.6967934287230952</v>
      </c>
      <c r="AB26" s="50">
        <f t="shared" si="10"/>
        <v>2.349890729214676</v>
      </c>
      <c r="AC26" s="50">
        <f t="shared" si="10"/>
        <v>1.9773476561661503</v>
      </c>
      <c r="AD26" s="50">
        <f t="shared" si="10"/>
        <v>1.3749793604631193</v>
      </c>
      <c r="AE26" s="50" t="str">
        <f t="shared" si="10"/>
        <v/>
      </c>
      <c r="AF26" s="50" t="str">
        <f t="shared" si="10"/>
        <v/>
      </c>
      <c r="AG26" s="50" t="str">
        <f t="shared" si="10"/>
        <v/>
      </c>
      <c r="AH26" s="50" t="str">
        <f t="shared" si="10"/>
        <v/>
      </c>
      <c r="AI26" s="50" t="str">
        <f t="shared" si="10"/>
        <v/>
      </c>
      <c r="AJ26" s="50" t="str">
        <f t="shared" si="10"/>
        <v/>
      </c>
      <c r="AK26" s="50" t="str">
        <f t="shared" si="10"/>
        <v/>
      </c>
      <c r="AL26" s="50" t="str">
        <f t="shared" si="10"/>
        <v/>
      </c>
    </row>
    <row r="27" spans="2:38" ht="29.1">
      <c r="C27" t="s">
        <v>666</v>
      </c>
      <c r="D27" s="48" t="s">
        <v>667</v>
      </c>
      <c r="E27" s="52"/>
      <c r="F27" s="58" t="str">
        <f>IFERROR(F15/F12,"")</f>
        <v/>
      </c>
      <c r="G27" s="58" t="str">
        <f t="shared" ref="G27:AF27" si="11">IFERROR(G15/G12,"")</f>
        <v/>
      </c>
      <c r="H27" s="58" t="str">
        <f t="shared" si="11"/>
        <v/>
      </c>
      <c r="I27" s="58">
        <f t="shared" si="11"/>
        <v>0.75680456309626731</v>
      </c>
      <c r="J27" s="58">
        <f t="shared" si="11"/>
        <v>0.74313109383780085</v>
      </c>
      <c r="K27" s="58" t="str">
        <f t="shared" si="11"/>
        <v/>
      </c>
      <c r="L27" s="58" t="str">
        <f t="shared" si="11"/>
        <v/>
      </c>
      <c r="M27" s="58" t="str">
        <f t="shared" si="11"/>
        <v/>
      </c>
      <c r="N27" s="58" t="str">
        <f t="shared" si="11"/>
        <v/>
      </c>
      <c r="O27" s="58" t="str">
        <f t="shared" si="11"/>
        <v/>
      </c>
      <c r="P27" s="58" t="str">
        <f t="shared" si="11"/>
        <v/>
      </c>
      <c r="Q27" s="58" t="str">
        <f t="shared" si="11"/>
        <v/>
      </c>
      <c r="R27" s="58" t="str">
        <f t="shared" si="11"/>
        <v/>
      </c>
      <c r="S27" s="58">
        <f t="shared" si="11"/>
        <v>0.43766277207998316</v>
      </c>
      <c r="T27" s="58">
        <f t="shared" si="11"/>
        <v>0.42211903243121901</v>
      </c>
      <c r="U27" s="58">
        <f t="shared" si="11"/>
        <v>0.40424920631535233</v>
      </c>
      <c r="V27" s="58">
        <f t="shared" si="11"/>
        <v>0.37926283862439281</v>
      </c>
      <c r="W27" s="58">
        <f t="shared" si="11"/>
        <v>0.35869473071927432</v>
      </c>
      <c r="X27" s="58">
        <f t="shared" si="11"/>
        <v>0.44337206626885745</v>
      </c>
      <c r="Y27" s="58">
        <f t="shared" si="11"/>
        <v>0.44958656695401644</v>
      </c>
      <c r="Z27" s="58">
        <f t="shared" si="11"/>
        <v>0.42586032534564455</v>
      </c>
      <c r="AA27" s="58">
        <f t="shared" si="11"/>
        <v>0.4064776745331663</v>
      </c>
      <c r="AB27" s="58">
        <f t="shared" si="11"/>
        <v>0.39789711251843651</v>
      </c>
      <c r="AC27" s="58">
        <f t="shared" si="11"/>
        <v>0.39313305367004736</v>
      </c>
      <c r="AD27" s="58">
        <f t="shared" si="11"/>
        <v>0.3741173669736681</v>
      </c>
      <c r="AE27" s="58">
        <f>IFERROR(AE15/AE12,"")</f>
        <v>0.64296067978913596</v>
      </c>
      <c r="AF27" s="58">
        <f t="shared" si="11"/>
        <v>0.60181454514317545</v>
      </c>
    </row>
    <row r="28" spans="2:38" ht="29.1">
      <c r="C28" s="53" t="s">
        <v>668</v>
      </c>
      <c r="D28" s="52"/>
      <c r="E28" s="52"/>
    </row>
    <row r="29" spans="2:38">
      <c r="C29" t="s">
        <v>669</v>
      </c>
      <c r="D29" s="52"/>
      <c r="E29" s="52"/>
    </row>
    <row r="30" spans="2:38">
      <c r="D30" s="52"/>
      <c r="E30" s="52"/>
    </row>
    <row r="31" spans="2:38">
      <c r="D31" s="52"/>
      <c r="E31" s="52"/>
    </row>
    <row r="32" spans="2:38">
      <c r="D32" s="54"/>
      <c r="E32" s="54"/>
    </row>
    <row r="33" spans="4:5">
      <c r="D33" s="54"/>
      <c r="E33" s="54"/>
    </row>
    <row r="34" spans="4:5">
      <c r="D34" s="54"/>
      <c r="E34" s="54"/>
    </row>
    <row r="35" spans="4:5">
      <c r="D35" s="54"/>
      <c r="E35" s="54"/>
    </row>
    <row r="36" spans="4:5">
      <c r="D36" s="54"/>
      <c r="E36" s="54"/>
    </row>
    <row r="37" spans="4:5">
      <c r="D37" s="54"/>
      <c r="E37" s="54"/>
    </row>
    <row r="38" spans="4:5">
      <c r="D38" s="54"/>
      <c r="E38" s="5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52"/>
  <sheetViews>
    <sheetView topLeftCell="A79" workbookViewId="0">
      <selection activeCell="H118" sqref="H118"/>
    </sheetView>
  </sheetViews>
  <sheetFormatPr defaultColWidth="8.85546875" defaultRowHeight="14.45"/>
  <cols>
    <col min="1" max="1" width="10.140625" style="1" bestFit="1" customWidth="1"/>
    <col min="2" max="6" width="8.85546875" style="1"/>
    <col min="7" max="7" width="6.5703125" style="1" bestFit="1" customWidth="1"/>
    <col min="8" max="8" width="12.42578125" style="1" customWidth="1"/>
    <col min="9" max="16384" width="8.85546875" style="1"/>
  </cols>
  <sheetData>
    <row r="1" spans="1:13">
      <c r="A1" s="2" t="s">
        <v>51</v>
      </c>
      <c r="B1" s="2" t="s">
        <v>52</v>
      </c>
      <c r="C1" s="2" t="s">
        <v>53</v>
      </c>
      <c r="D1" s="2" t="s">
        <v>95</v>
      </c>
      <c r="E1" s="2" t="s">
        <v>96</v>
      </c>
      <c r="F1" s="2" t="s">
        <v>97</v>
      </c>
      <c r="G1" s="2" t="s">
        <v>98</v>
      </c>
      <c r="H1" s="7" t="s">
        <v>99</v>
      </c>
      <c r="I1" s="2" t="s">
        <v>100</v>
      </c>
      <c r="J1" s="2" t="s">
        <v>101</v>
      </c>
      <c r="K1" s="2" t="s">
        <v>102</v>
      </c>
      <c r="L1" s="2" t="s">
        <v>103</v>
      </c>
      <c r="M1" s="2" t="s">
        <v>104</v>
      </c>
    </row>
    <row r="2" spans="1:13">
      <c r="A2" s="1" t="s">
        <v>70</v>
      </c>
      <c r="B2" s="1" t="s">
        <v>71</v>
      </c>
      <c r="C2" s="1">
        <v>1997</v>
      </c>
      <c r="D2" s="1" t="s">
        <v>75</v>
      </c>
      <c r="E2" s="1" t="s">
        <v>105</v>
      </c>
      <c r="F2" s="1">
        <v>1997</v>
      </c>
      <c r="G2" s="1" t="s">
        <v>106</v>
      </c>
      <c r="H2" s="1">
        <v>0</v>
      </c>
      <c r="I2" s="1" t="s">
        <v>73</v>
      </c>
      <c r="J2" s="1">
        <f>53085000-H2</f>
        <v>53085000</v>
      </c>
      <c r="K2" s="23">
        <v>58505</v>
      </c>
      <c r="L2" s="1" t="s">
        <v>73</v>
      </c>
      <c r="M2" s="1" t="s">
        <v>73</v>
      </c>
    </row>
    <row r="3" spans="1:13">
      <c r="A3" s="1" t="s">
        <v>70</v>
      </c>
      <c r="B3" s="1" t="s">
        <v>71</v>
      </c>
      <c r="C3" s="1">
        <v>1997</v>
      </c>
      <c r="D3" s="1" t="s">
        <v>75</v>
      </c>
      <c r="E3" s="1" t="s">
        <v>105</v>
      </c>
      <c r="F3" s="1">
        <v>1998</v>
      </c>
      <c r="G3" s="1" t="s">
        <v>106</v>
      </c>
      <c r="H3" s="1">
        <v>290000</v>
      </c>
      <c r="I3" s="1" t="s">
        <v>73</v>
      </c>
      <c r="J3" s="1">
        <f>J2-H3</f>
        <v>52795000</v>
      </c>
      <c r="K3" s="23">
        <v>2632710</v>
      </c>
      <c r="L3" s="1" t="s">
        <v>73</v>
      </c>
      <c r="M3" s="1" t="s">
        <v>73</v>
      </c>
    </row>
    <row r="4" spans="1:13">
      <c r="A4" s="1" t="s">
        <v>70</v>
      </c>
      <c r="B4" s="1" t="s">
        <v>71</v>
      </c>
      <c r="C4" s="1">
        <v>1997</v>
      </c>
      <c r="D4" s="1" t="s">
        <v>75</v>
      </c>
      <c r="E4" s="1" t="s">
        <v>105</v>
      </c>
      <c r="F4" s="1">
        <v>1999</v>
      </c>
      <c r="G4" s="1" t="s">
        <v>106</v>
      </c>
      <c r="H4" s="1">
        <v>305000</v>
      </c>
      <c r="I4" s="1" t="s">
        <v>73</v>
      </c>
      <c r="J4" s="1">
        <f t="shared" ref="J4:J53" si="0">J3-H4</f>
        <v>52490000</v>
      </c>
      <c r="K4" s="23">
        <v>2621545</v>
      </c>
      <c r="L4" s="1" t="s">
        <v>73</v>
      </c>
      <c r="M4" s="1" t="s">
        <v>73</v>
      </c>
    </row>
    <row r="5" spans="1:13">
      <c r="A5" s="1" t="s">
        <v>70</v>
      </c>
      <c r="B5" s="1" t="s">
        <v>71</v>
      </c>
      <c r="C5" s="1">
        <v>1997</v>
      </c>
      <c r="D5" s="1" t="s">
        <v>75</v>
      </c>
      <c r="E5" s="1" t="s">
        <v>105</v>
      </c>
      <c r="F5" s="1">
        <v>2000</v>
      </c>
      <c r="G5" s="1" t="s">
        <v>106</v>
      </c>
      <c r="H5" s="1">
        <v>315000</v>
      </c>
      <c r="I5" s="1" t="s">
        <v>73</v>
      </c>
      <c r="J5" s="1">
        <f t="shared" si="0"/>
        <v>52175000</v>
      </c>
      <c r="K5" s="23">
        <v>2609193</v>
      </c>
      <c r="L5" s="1" t="s">
        <v>73</v>
      </c>
      <c r="M5" s="1" t="s">
        <v>73</v>
      </c>
    </row>
    <row r="6" spans="1:13">
      <c r="A6" s="1" t="s">
        <v>70</v>
      </c>
      <c r="B6" s="1" t="s">
        <v>71</v>
      </c>
      <c r="C6" s="1">
        <v>1997</v>
      </c>
      <c r="D6" s="1" t="s">
        <v>75</v>
      </c>
      <c r="E6" s="1" t="s">
        <v>105</v>
      </c>
      <c r="F6" s="1">
        <v>2001</v>
      </c>
      <c r="G6" s="1" t="s">
        <v>106</v>
      </c>
      <c r="H6" s="1">
        <v>330000</v>
      </c>
      <c r="I6" s="1" t="s">
        <v>73</v>
      </c>
      <c r="J6" s="1">
        <f t="shared" si="0"/>
        <v>51845000</v>
      </c>
      <c r="K6" s="23">
        <v>2596120</v>
      </c>
      <c r="L6" s="1" t="s">
        <v>73</v>
      </c>
      <c r="M6" s="1" t="s">
        <v>73</v>
      </c>
    </row>
    <row r="7" spans="1:13">
      <c r="A7" s="1" t="s">
        <v>70</v>
      </c>
      <c r="B7" s="1" t="s">
        <v>71</v>
      </c>
      <c r="C7" s="1">
        <v>1997</v>
      </c>
      <c r="D7" s="1" t="s">
        <v>75</v>
      </c>
      <c r="E7" s="1" t="s">
        <v>105</v>
      </c>
      <c r="F7" s="1">
        <v>2002</v>
      </c>
      <c r="G7" s="1" t="s">
        <v>106</v>
      </c>
      <c r="H7" s="1">
        <v>345000</v>
      </c>
      <c r="I7" s="1" t="s">
        <v>73</v>
      </c>
      <c r="J7" s="1">
        <f t="shared" si="0"/>
        <v>51500000</v>
      </c>
      <c r="K7" s="23">
        <v>2582095</v>
      </c>
      <c r="L7" s="1" t="s">
        <v>73</v>
      </c>
      <c r="M7" s="1" t="s">
        <v>73</v>
      </c>
    </row>
    <row r="8" spans="1:13">
      <c r="A8" s="1" t="s">
        <v>70</v>
      </c>
      <c r="B8" s="1" t="s">
        <v>71</v>
      </c>
      <c r="C8" s="1">
        <v>1997</v>
      </c>
      <c r="D8" s="1" t="s">
        <v>75</v>
      </c>
      <c r="E8" s="1" t="s">
        <v>105</v>
      </c>
      <c r="F8" s="1">
        <v>2003</v>
      </c>
      <c r="G8" s="1" t="s">
        <v>106</v>
      </c>
      <c r="H8" s="1">
        <v>360000</v>
      </c>
      <c r="I8" s="1" t="s">
        <v>73</v>
      </c>
      <c r="J8" s="1">
        <f t="shared" si="0"/>
        <v>51140000</v>
      </c>
      <c r="K8" s="23">
        <v>2567087</v>
      </c>
      <c r="L8" s="1" t="s">
        <v>73</v>
      </c>
      <c r="M8" s="1" t="s">
        <v>73</v>
      </c>
    </row>
    <row r="9" spans="1:13">
      <c r="A9" s="1" t="s">
        <v>70</v>
      </c>
      <c r="B9" s="1" t="s">
        <v>71</v>
      </c>
      <c r="C9" s="1">
        <v>1997</v>
      </c>
      <c r="D9" s="1" t="s">
        <v>75</v>
      </c>
      <c r="E9" s="1" t="s">
        <v>105</v>
      </c>
      <c r="F9" s="1">
        <v>2004</v>
      </c>
      <c r="G9" s="1" t="s">
        <v>106</v>
      </c>
      <c r="H9" s="1">
        <v>375000</v>
      </c>
      <c r="I9" s="1" t="s">
        <v>73</v>
      </c>
      <c r="J9" s="1">
        <f t="shared" si="0"/>
        <v>50765000</v>
      </c>
      <c r="K9" s="23">
        <v>2551248</v>
      </c>
      <c r="L9" s="1" t="s">
        <v>73</v>
      </c>
      <c r="M9" s="1" t="s">
        <v>73</v>
      </c>
    </row>
    <row r="10" spans="1:13">
      <c r="A10" s="1" t="s">
        <v>70</v>
      </c>
      <c r="B10" s="1" t="s">
        <v>71</v>
      </c>
      <c r="C10" s="1">
        <v>1997</v>
      </c>
      <c r="D10" s="1" t="s">
        <v>75</v>
      </c>
      <c r="E10" s="1" t="s">
        <v>105</v>
      </c>
      <c r="F10" s="1">
        <v>2005</v>
      </c>
      <c r="G10" s="1" t="s">
        <v>106</v>
      </c>
      <c r="H10" s="1">
        <v>1765000</v>
      </c>
      <c r="I10" s="1" t="s">
        <v>73</v>
      </c>
      <c r="J10" s="1">
        <f t="shared" si="0"/>
        <v>49000000</v>
      </c>
      <c r="K10" s="23">
        <v>2534372</v>
      </c>
      <c r="L10" s="1" t="s">
        <v>73</v>
      </c>
      <c r="M10" s="1" t="s">
        <v>73</v>
      </c>
    </row>
    <row r="11" spans="1:13">
      <c r="A11" s="1" t="s">
        <v>70</v>
      </c>
      <c r="B11" s="1" t="s">
        <v>71</v>
      </c>
      <c r="C11" s="1">
        <v>1997</v>
      </c>
      <c r="D11" s="1" t="s">
        <v>75</v>
      </c>
      <c r="E11" s="1" t="s">
        <v>105</v>
      </c>
      <c r="F11" s="1">
        <v>2006</v>
      </c>
      <c r="G11" s="1" t="s">
        <v>106</v>
      </c>
      <c r="H11" s="1">
        <v>1845000</v>
      </c>
      <c r="I11" s="1" t="s">
        <v>73</v>
      </c>
      <c r="J11" s="1">
        <f t="shared" si="0"/>
        <v>47155000</v>
      </c>
      <c r="K11" s="23">
        <v>2454065</v>
      </c>
      <c r="L11" s="1" t="s">
        <v>73</v>
      </c>
      <c r="M11" s="1" t="s">
        <v>73</v>
      </c>
    </row>
    <row r="12" spans="1:13">
      <c r="A12" s="1" t="s">
        <v>70</v>
      </c>
      <c r="B12" s="1" t="s">
        <v>71</v>
      </c>
      <c r="C12" s="1">
        <v>1997</v>
      </c>
      <c r="D12" s="1" t="s">
        <v>75</v>
      </c>
      <c r="E12" s="1" t="s">
        <v>105</v>
      </c>
      <c r="F12" s="1">
        <v>2007</v>
      </c>
      <c r="G12" s="1" t="s">
        <v>106</v>
      </c>
      <c r="H12" s="1">
        <v>1945000</v>
      </c>
      <c r="I12" s="1" t="s">
        <v>73</v>
      </c>
      <c r="J12" s="1">
        <f t="shared" si="0"/>
        <v>45210000</v>
      </c>
      <c r="K12" s="23">
        <v>2357202</v>
      </c>
      <c r="L12" s="1" t="s">
        <v>73</v>
      </c>
      <c r="M12" s="1" t="s">
        <v>73</v>
      </c>
    </row>
    <row r="13" spans="1:13">
      <c r="A13" s="1" t="s">
        <v>70</v>
      </c>
      <c r="B13" s="1" t="s">
        <v>71</v>
      </c>
      <c r="C13" s="1">
        <v>1997</v>
      </c>
      <c r="D13" s="1" t="s">
        <v>75</v>
      </c>
      <c r="E13" s="1" t="s">
        <v>105</v>
      </c>
      <c r="F13" s="1">
        <v>2008</v>
      </c>
      <c r="G13" s="1" t="s">
        <v>106</v>
      </c>
      <c r="H13" s="1">
        <v>2040000</v>
      </c>
      <c r="I13" s="1" t="s">
        <v>73</v>
      </c>
      <c r="J13" s="1">
        <f t="shared" si="0"/>
        <v>43170000</v>
      </c>
      <c r="K13" s="23">
        <v>2255090</v>
      </c>
      <c r="L13" s="1" t="s">
        <v>73</v>
      </c>
      <c r="M13" s="1" t="s">
        <v>73</v>
      </c>
    </row>
    <row r="14" spans="1:13">
      <c r="A14" s="1" t="s">
        <v>70</v>
      </c>
      <c r="B14" s="1" t="s">
        <v>71</v>
      </c>
      <c r="C14" s="1">
        <v>1997</v>
      </c>
      <c r="D14" s="1" t="s">
        <v>75</v>
      </c>
      <c r="E14" s="1" t="s">
        <v>105</v>
      </c>
      <c r="F14" s="1">
        <v>2009</v>
      </c>
      <c r="G14" s="1" t="s">
        <v>106</v>
      </c>
      <c r="H14" s="1">
        <v>2260000</v>
      </c>
      <c r="I14" s="1" t="s">
        <v>73</v>
      </c>
      <c r="J14" s="1">
        <f t="shared" si="0"/>
        <v>40910000</v>
      </c>
      <c r="K14" s="23">
        <v>2158190</v>
      </c>
      <c r="L14" s="1" t="s">
        <v>73</v>
      </c>
      <c r="M14" s="1" t="s">
        <v>73</v>
      </c>
    </row>
    <row r="15" spans="1:13">
      <c r="A15" s="1" t="s">
        <v>70</v>
      </c>
      <c r="B15" s="1" t="s">
        <v>71</v>
      </c>
      <c r="C15" s="1">
        <v>1997</v>
      </c>
      <c r="D15" s="1" t="s">
        <v>75</v>
      </c>
      <c r="E15" s="1" t="s">
        <v>105</v>
      </c>
      <c r="F15" s="1">
        <v>2010</v>
      </c>
      <c r="G15" s="1" t="s">
        <v>106</v>
      </c>
      <c r="H15" s="1">
        <v>2430000</v>
      </c>
      <c r="I15" s="1" t="s">
        <v>73</v>
      </c>
      <c r="J15" s="1">
        <f t="shared" si="0"/>
        <v>38480000</v>
      </c>
      <c r="K15" s="23">
        <v>2048580</v>
      </c>
      <c r="L15" s="1" t="s">
        <v>73</v>
      </c>
      <c r="M15" s="1" t="s">
        <v>73</v>
      </c>
    </row>
    <row r="16" spans="1:13">
      <c r="A16" s="1" t="s">
        <v>70</v>
      </c>
      <c r="B16" s="1" t="s">
        <v>71</v>
      </c>
      <c r="C16" s="1">
        <v>1997</v>
      </c>
      <c r="D16" s="1" t="s">
        <v>75</v>
      </c>
      <c r="E16" s="1" t="s">
        <v>105</v>
      </c>
      <c r="F16" s="1">
        <v>2011</v>
      </c>
      <c r="G16" s="1" t="s">
        <v>106</v>
      </c>
      <c r="H16" s="1">
        <v>2770000</v>
      </c>
      <c r="I16" s="1" t="s">
        <v>73</v>
      </c>
      <c r="J16" s="1">
        <f t="shared" si="0"/>
        <v>35710000</v>
      </c>
      <c r="K16" s="23">
        <v>1928295</v>
      </c>
      <c r="L16" s="1" t="s">
        <v>73</v>
      </c>
      <c r="M16" s="1" t="s">
        <v>73</v>
      </c>
    </row>
    <row r="17" spans="1:13">
      <c r="A17" s="1" t="s">
        <v>70</v>
      </c>
      <c r="B17" s="1" t="s">
        <v>71</v>
      </c>
      <c r="C17" s="1">
        <v>1997</v>
      </c>
      <c r="D17" s="1" t="s">
        <v>75</v>
      </c>
      <c r="E17" s="1" t="s">
        <v>105</v>
      </c>
      <c r="F17" s="1">
        <v>2012</v>
      </c>
      <c r="G17" s="1" t="s">
        <v>106</v>
      </c>
      <c r="H17" s="1">
        <v>2910000</v>
      </c>
      <c r="I17" s="1" t="s">
        <v>73</v>
      </c>
      <c r="J17" s="1">
        <f t="shared" si="0"/>
        <v>32800000</v>
      </c>
      <c r="K17" s="23">
        <v>1788410</v>
      </c>
      <c r="L17" s="1" t="s">
        <v>73</v>
      </c>
      <c r="M17" s="1" t="s">
        <v>73</v>
      </c>
    </row>
    <row r="18" spans="1:13">
      <c r="A18" s="1" t="s">
        <v>70</v>
      </c>
      <c r="B18" s="1" t="s">
        <v>71</v>
      </c>
      <c r="C18" s="1">
        <v>1997</v>
      </c>
      <c r="D18" s="1" t="s">
        <v>75</v>
      </c>
      <c r="E18" s="1" t="s">
        <v>105</v>
      </c>
      <c r="F18" s="1">
        <v>2013</v>
      </c>
      <c r="G18" s="1" t="s">
        <v>106</v>
      </c>
      <c r="H18" s="1">
        <v>3875000</v>
      </c>
      <c r="I18" s="1" t="s">
        <v>73</v>
      </c>
      <c r="J18" s="1">
        <f t="shared" si="0"/>
        <v>28925000</v>
      </c>
      <c r="K18" s="23">
        <v>1640000</v>
      </c>
      <c r="L18" s="1" t="s">
        <v>73</v>
      </c>
      <c r="M18" s="1" t="s">
        <v>73</v>
      </c>
    </row>
    <row r="19" spans="1:13">
      <c r="A19" s="1" t="s">
        <v>70</v>
      </c>
      <c r="B19" s="1" t="s">
        <v>71</v>
      </c>
      <c r="C19" s="1">
        <v>1997</v>
      </c>
      <c r="D19" s="1" t="s">
        <v>75</v>
      </c>
      <c r="E19" s="1" t="s">
        <v>105</v>
      </c>
      <c r="F19" s="1">
        <v>2014</v>
      </c>
      <c r="G19" s="1" t="s">
        <v>106</v>
      </c>
      <c r="H19" s="1">
        <v>4255000</v>
      </c>
      <c r="I19" s="1" t="s">
        <v>73</v>
      </c>
      <c r="J19" s="1">
        <f t="shared" si="0"/>
        <v>24670000</v>
      </c>
      <c r="K19" s="23">
        <v>1446250</v>
      </c>
      <c r="L19" s="1" t="s">
        <v>73</v>
      </c>
      <c r="M19" s="1" t="s">
        <v>73</v>
      </c>
    </row>
    <row r="20" spans="1:13">
      <c r="A20" s="1" t="s">
        <v>70</v>
      </c>
      <c r="B20" s="1" t="s">
        <v>71</v>
      </c>
      <c r="C20" s="1">
        <v>1997</v>
      </c>
      <c r="D20" s="1" t="s">
        <v>75</v>
      </c>
      <c r="E20" s="1" t="s">
        <v>105</v>
      </c>
      <c r="F20" s="1">
        <v>2015</v>
      </c>
      <c r="G20" s="1" t="s">
        <v>106</v>
      </c>
      <c r="H20" s="1">
        <v>4465000</v>
      </c>
      <c r="I20" s="1" t="s">
        <v>73</v>
      </c>
      <c r="J20" s="1">
        <f t="shared" si="0"/>
        <v>20205000</v>
      </c>
      <c r="K20" s="23">
        <v>1233500</v>
      </c>
      <c r="L20" s="1" t="s">
        <v>73</v>
      </c>
      <c r="M20" s="1" t="s">
        <v>73</v>
      </c>
    </row>
    <row r="21" spans="1:13">
      <c r="A21" s="1" t="s">
        <v>70</v>
      </c>
      <c r="B21" s="1" t="s">
        <v>71</v>
      </c>
      <c r="C21" s="1">
        <v>1997</v>
      </c>
      <c r="D21" s="1" t="s">
        <v>75</v>
      </c>
      <c r="E21" s="1" t="s">
        <v>105</v>
      </c>
      <c r="F21" s="1">
        <v>2016</v>
      </c>
      <c r="G21" s="1" t="s">
        <v>106</v>
      </c>
      <c r="H21" s="1">
        <v>4685000</v>
      </c>
      <c r="I21" s="1" t="s">
        <v>73</v>
      </c>
      <c r="J21" s="1">
        <f t="shared" si="0"/>
        <v>15520000</v>
      </c>
      <c r="K21" s="23">
        <v>1010250</v>
      </c>
      <c r="L21" s="1" t="s">
        <v>73</v>
      </c>
      <c r="M21" s="1" t="s">
        <v>73</v>
      </c>
    </row>
    <row r="22" spans="1:13">
      <c r="A22" s="1" t="s">
        <v>70</v>
      </c>
      <c r="B22" s="1" t="s">
        <v>71</v>
      </c>
      <c r="C22" s="1">
        <v>1997</v>
      </c>
      <c r="D22" s="1" t="s">
        <v>75</v>
      </c>
      <c r="E22" s="1" t="s">
        <v>105</v>
      </c>
      <c r="F22" s="1">
        <v>2017</v>
      </c>
      <c r="G22" s="1" t="s">
        <v>106</v>
      </c>
      <c r="H22" s="1">
        <v>4920000</v>
      </c>
      <c r="I22" s="1" t="s">
        <v>73</v>
      </c>
      <c r="J22" s="1">
        <f t="shared" si="0"/>
        <v>10600000</v>
      </c>
      <c r="K22" s="23">
        <v>776000</v>
      </c>
      <c r="L22" s="1" t="s">
        <v>73</v>
      </c>
      <c r="M22" s="1" t="s">
        <v>73</v>
      </c>
    </row>
    <row r="23" spans="1:13">
      <c r="A23" s="1" t="s">
        <v>70</v>
      </c>
      <c r="B23" s="1" t="s">
        <v>71</v>
      </c>
      <c r="C23" s="1">
        <v>1997</v>
      </c>
      <c r="D23" s="1" t="s">
        <v>75</v>
      </c>
      <c r="E23" s="1" t="s">
        <v>105</v>
      </c>
      <c r="F23" s="1">
        <v>2018</v>
      </c>
      <c r="G23" s="1" t="s">
        <v>106</v>
      </c>
      <c r="H23" s="1">
        <v>5170000</v>
      </c>
      <c r="I23" s="1" t="s">
        <v>73</v>
      </c>
      <c r="J23" s="1">
        <f t="shared" si="0"/>
        <v>5430000</v>
      </c>
      <c r="K23" s="23">
        <v>530000</v>
      </c>
      <c r="L23" s="1" t="s">
        <v>73</v>
      </c>
      <c r="M23" s="1" t="s">
        <v>73</v>
      </c>
    </row>
    <row r="24" spans="1:13">
      <c r="A24" s="1" t="s">
        <v>70</v>
      </c>
      <c r="B24" s="1" t="s">
        <v>71</v>
      </c>
      <c r="C24" s="1">
        <v>1997</v>
      </c>
      <c r="D24" s="1" t="s">
        <v>75</v>
      </c>
      <c r="E24" s="1" t="s">
        <v>105</v>
      </c>
      <c r="F24" s="1">
        <v>2019</v>
      </c>
      <c r="G24" s="1" t="s">
        <v>106</v>
      </c>
      <c r="H24" s="1">
        <v>5430000</v>
      </c>
      <c r="I24" s="1" t="s">
        <v>73</v>
      </c>
      <c r="J24" s="1">
        <f t="shared" si="0"/>
        <v>0</v>
      </c>
      <c r="K24" s="23">
        <v>271500</v>
      </c>
      <c r="L24" s="1" t="s">
        <v>73</v>
      </c>
      <c r="M24" s="1" t="s">
        <v>73</v>
      </c>
    </row>
    <row r="25" spans="1:13">
      <c r="A25" s="1" t="s">
        <v>70</v>
      </c>
      <c r="B25" s="1" t="s">
        <v>71</v>
      </c>
      <c r="C25" s="1">
        <v>2003</v>
      </c>
      <c r="D25" s="1" t="s">
        <v>75</v>
      </c>
      <c r="E25" s="1" t="s">
        <v>105</v>
      </c>
      <c r="F25" s="1">
        <v>2003</v>
      </c>
      <c r="G25" s="1" t="s">
        <v>107</v>
      </c>
      <c r="H25" s="1">
        <v>110000</v>
      </c>
      <c r="I25" s="1">
        <v>2</v>
      </c>
      <c r="J25" s="1">
        <f>4830000-H25</f>
        <v>4720000</v>
      </c>
      <c r="K25" s="23">
        <v>34518</v>
      </c>
      <c r="L25" s="1">
        <v>1</v>
      </c>
      <c r="M25" s="1" t="s">
        <v>73</v>
      </c>
    </row>
    <row r="26" spans="1:13">
      <c r="A26" s="1" t="s">
        <v>70</v>
      </c>
      <c r="B26" s="1" t="s">
        <v>71</v>
      </c>
      <c r="C26" s="1">
        <v>2003</v>
      </c>
      <c r="D26" s="1" t="s">
        <v>75</v>
      </c>
      <c r="E26" s="1" t="s">
        <v>105</v>
      </c>
      <c r="F26" s="1">
        <v>2004</v>
      </c>
      <c r="G26" s="1" t="s">
        <v>107</v>
      </c>
      <c r="H26" s="1">
        <v>780000</v>
      </c>
      <c r="I26" s="1">
        <v>2</v>
      </c>
      <c r="J26" s="1">
        <f t="shared" si="0"/>
        <v>3940000</v>
      </c>
      <c r="K26" s="23">
        <f>52463+44662</f>
        <v>97125</v>
      </c>
      <c r="L26" s="1">
        <v>1.25</v>
      </c>
      <c r="M26" s="1" t="s">
        <v>73</v>
      </c>
    </row>
    <row r="27" spans="1:13">
      <c r="A27" s="1" t="s">
        <v>70</v>
      </c>
      <c r="B27" s="1" t="s">
        <v>71</v>
      </c>
      <c r="C27" s="1">
        <v>2003</v>
      </c>
      <c r="D27" s="1" t="s">
        <v>75</v>
      </c>
      <c r="E27" s="1" t="s">
        <v>105</v>
      </c>
      <c r="F27" s="1">
        <v>2005</v>
      </c>
      <c r="G27" s="1" t="s">
        <v>107</v>
      </c>
      <c r="H27" s="1">
        <v>795000</v>
      </c>
      <c r="I27" s="1">
        <v>2</v>
      </c>
      <c r="J27" s="1">
        <f t="shared" si="0"/>
        <v>3145000</v>
      </c>
      <c r="K27" s="23">
        <f>44663+36712</f>
        <v>81375</v>
      </c>
      <c r="L27" s="1">
        <v>1.75</v>
      </c>
      <c r="M27" s="1" t="s">
        <v>73</v>
      </c>
    </row>
    <row r="28" spans="1:13">
      <c r="A28" s="1" t="s">
        <v>70</v>
      </c>
      <c r="B28" s="1" t="s">
        <v>71</v>
      </c>
      <c r="C28" s="1">
        <v>2003</v>
      </c>
      <c r="D28" s="1" t="s">
        <v>75</v>
      </c>
      <c r="E28" s="1" t="s">
        <v>105</v>
      </c>
      <c r="F28" s="1">
        <v>2006</v>
      </c>
      <c r="G28" s="1" t="s">
        <v>107</v>
      </c>
      <c r="H28" s="1">
        <v>815000</v>
      </c>
      <c r="I28" s="1">
        <v>2</v>
      </c>
      <c r="J28" s="1">
        <f t="shared" si="0"/>
        <v>2330000</v>
      </c>
      <c r="K28" s="23">
        <f>36713+28562</f>
        <v>65275</v>
      </c>
      <c r="L28" s="1">
        <v>1.85</v>
      </c>
      <c r="M28" s="1" t="s">
        <v>73</v>
      </c>
    </row>
    <row r="29" spans="1:13">
      <c r="A29" s="1" t="s">
        <v>70</v>
      </c>
      <c r="B29" s="1" t="s">
        <v>71</v>
      </c>
      <c r="C29" s="1">
        <v>2003</v>
      </c>
      <c r="D29" s="1" t="s">
        <v>75</v>
      </c>
      <c r="E29" s="1" t="s">
        <v>105</v>
      </c>
      <c r="F29" s="1">
        <v>2007</v>
      </c>
      <c r="G29" s="1" t="s">
        <v>107</v>
      </c>
      <c r="H29" s="1">
        <v>830000</v>
      </c>
      <c r="I29" s="1">
        <v>2</v>
      </c>
      <c r="J29" s="1">
        <f t="shared" si="0"/>
        <v>1500000</v>
      </c>
      <c r="K29" s="23">
        <f>28563+20262</f>
        <v>48825</v>
      </c>
      <c r="L29" s="1">
        <v>2.2000000000000002</v>
      </c>
      <c r="M29" s="1" t="s">
        <v>73</v>
      </c>
    </row>
    <row r="30" spans="1:13">
      <c r="A30" s="1" t="s">
        <v>70</v>
      </c>
      <c r="B30" s="1" t="s">
        <v>71</v>
      </c>
      <c r="C30" s="1">
        <v>2003</v>
      </c>
      <c r="D30" s="1" t="s">
        <v>75</v>
      </c>
      <c r="E30" s="1" t="s">
        <v>105</v>
      </c>
      <c r="F30" s="1">
        <v>2008</v>
      </c>
      <c r="G30" s="1" t="s">
        <v>107</v>
      </c>
      <c r="H30" s="1">
        <v>850000</v>
      </c>
      <c r="I30" s="1">
        <v>2.5499999999999998</v>
      </c>
      <c r="J30" s="1">
        <f t="shared" si="0"/>
        <v>650000</v>
      </c>
      <c r="K30" s="23">
        <f>20263+9425</f>
        <v>29688</v>
      </c>
      <c r="L30" s="1">
        <v>2.4500000000000002</v>
      </c>
      <c r="M30" s="1" t="s">
        <v>73</v>
      </c>
    </row>
    <row r="31" spans="1:13">
      <c r="A31" s="1" t="s">
        <v>70</v>
      </c>
      <c r="B31" s="1" t="s">
        <v>71</v>
      </c>
      <c r="C31" s="1">
        <v>2003</v>
      </c>
      <c r="D31" s="1" t="s">
        <v>75</v>
      </c>
      <c r="E31" s="1" t="s">
        <v>105</v>
      </c>
      <c r="F31" s="1">
        <v>2009</v>
      </c>
      <c r="G31" s="1" t="s">
        <v>107</v>
      </c>
      <c r="H31" s="1">
        <v>650000</v>
      </c>
      <c r="I31" s="1">
        <v>2.9</v>
      </c>
      <c r="J31" s="1">
        <f t="shared" si="0"/>
        <v>0</v>
      </c>
      <c r="K31" s="23">
        <v>9425</v>
      </c>
      <c r="L31" s="1">
        <v>2.8</v>
      </c>
      <c r="M31" s="1" t="s">
        <v>73</v>
      </c>
    </row>
    <row r="32" spans="1:13">
      <c r="A32" s="1" t="s">
        <v>70</v>
      </c>
      <c r="B32" s="1" t="s">
        <v>71</v>
      </c>
      <c r="C32" s="1">
        <v>2004</v>
      </c>
      <c r="D32" s="1" t="s">
        <v>75</v>
      </c>
      <c r="E32" s="1" t="s">
        <v>105</v>
      </c>
      <c r="F32" s="1">
        <v>2004</v>
      </c>
      <c r="G32" s="1" t="s">
        <v>108</v>
      </c>
      <c r="H32" s="1">
        <v>0</v>
      </c>
      <c r="I32" s="1" t="s">
        <v>73</v>
      </c>
      <c r="J32" s="1">
        <f>3105000-H32</f>
        <v>3105000</v>
      </c>
      <c r="K32" s="1">
        <f>29750+48244</f>
        <v>77994</v>
      </c>
      <c r="L32" s="1" t="s">
        <v>73</v>
      </c>
      <c r="M32" s="1" t="s">
        <v>73</v>
      </c>
    </row>
    <row r="33" spans="1:13">
      <c r="A33" s="1" t="s">
        <v>70</v>
      </c>
      <c r="B33" s="1" t="s">
        <v>71</v>
      </c>
      <c r="C33" s="1">
        <v>2004</v>
      </c>
      <c r="D33" s="1" t="s">
        <v>75</v>
      </c>
      <c r="E33" s="1" t="s">
        <v>105</v>
      </c>
      <c r="F33" s="1">
        <v>2005</v>
      </c>
      <c r="G33" s="1" t="s">
        <v>108</v>
      </c>
      <c r="H33" s="1">
        <v>0</v>
      </c>
      <c r="I33" s="1" t="s">
        <v>73</v>
      </c>
      <c r="J33" s="1">
        <f t="shared" si="0"/>
        <v>3105000</v>
      </c>
      <c r="K33" s="1">
        <f>48244*2</f>
        <v>96488</v>
      </c>
      <c r="L33" s="1" t="s">
        <v>73</v>
      </c>
      <c r="M33" s="1" t="s">
        <v>73</v>
      </c>
    </row>
    <row r="34" spans="1:13">
      <c r="A34" s="1" t="s">
        <v>70</v>
      </c>
      <c r="B34" s="1" t="s">
        <v>71</v>
      </c>
      <c r="C34" s="1">
        <v>2004</v>
      </c>
      <c r="D34" s="1" t="s">
        <v>75</v>
      </c>
      <c r="E34" s="1" t="s">
        <v>105</v>
      </c>
      <c r="F34" s="1">
        <v>2006</v>
      </c>
      <c r="G34" s="1" t="s">
        <v>108</v>
      </c>
      <c r="H34" s="1">
        <v>0</v>
      </c>
      <c r="I34" s="1" t="s">
        <v>73</v>
      </c>
      <c r="J34" s="1">
        <f t="shared" si="0"/>
        <v>3105000</v>
      </c>
      <c r="K34" s="1">
        <f>48244*2</f>
        <v>96488</v>
      </c>
      <c r="L34" s="1" t="s">
        <v>73</v>
      </c>
      <c r="M34" s="1" t="s">
        <v>73</v>
      </c>
    </row>
    <row r="35" spans="1:13">
      <c r="A35" s="1" t="s">
        <v>70</v>
      </c>
      <c r="B35" s="1" t="s">
        <v>71</v>
      </c>
      <c r="C35" s="1">
        <v>2004</v>
      </c>
      <c r="D35" s="1" t="s">
        <v>75</v>
      </c>
      <c r="E35" s="1" t="s">
        <v>109</v>
      </c>
      <c r="F35" s="1">
        <v>2007</v>
      </c>
      <c r="G35" s="1" t="s">
        <v>108</v>
      </c>
      <c r="H35" s="1">
        <v>20000</v>
      </c>
      <c r="I35" s="1">
        <v>3</v>
      </c>
      <c r="J35" s="1">
        <f t="shared" si="0"/>
        <v>3085000</v>
      </c>
      <c r="K35" s="1">
        <f>48244*2</f>
        <v>96488</v>
      </c>
      <c r="L35" s="1">
        <v>2.5499999999999998</v>
      </c>
      <c r="M35" s="1" t="s">
        <v>73</v>
      </c>
    </row>
    <row r="36" spans="1:13">
      <c r="A36" s="1" t="s">
        <v>70</v>
      </c>
      <c r="B36" s="1" t="s">
        <v>71</v>
      </c>
      <c r="C36" s="1">
        <v>2004</v>
      </c>
      <c r="D36" s="1" t="s">
        <v>75</v>
      </c>
      <c r="E36" s="1" t="s">
        <v>109</v>
      </c>
      <c r="F36" s="1">
        <v>2008</v>
      </c>
      <c r="G36" s="1" t="s">
        <v>108</v>
      </c>
      <c r="H36" s="1">
        <v>25000</v>
      </c>
      <c r="I36" s="1">
        <v>3</v>
      </c>
      <c r="J36" s="1">
        <f t="shared" si="0"/>
        <v>3060000</v>
      </c>
      <c r="K36" s="1">
        <f>47944*2</f>
        <v>95888</v>
      </c>
      <c r="L36" s="1">
        <v>2.5499999999999998</v>
      </c>
      <c r="M36" s="1" t="s">
        <v>73</v>
      </c>
    </row>
    <row r="37" spans="1:13">
      <c r="A37" s="1" t="s">
        <v>70</v>
      </c>
      <c r="B37" s="1" t="s">
        <v>71</v>
      </c>
      <c r="C37" s="1">
        <v>2004</v>
      </c>
      <c r="D37" s="1" t="s">
        <v>75</v>
      </c>
      <c r="E37" s="1" t="s">
        <v>109</v>
      </c>
      <c r="F37" s="1">
        <v>2009</v>
      </c>
      <c r="G37" s="1" t="s">
        <v>108</v>
      </c>
      <c r="H37" s="1">
        <v>245000</v>
      </c>
      <c r="I37" s="1">
        <v>3</v>
      </c>
      <c r="J37" s="1">
        <f t="shared" si="0"/>
        <v>2815000</v>
      </c>
      <c r="K37" s="23">
        <f>47569*2</f>
        <v>95138</v>
      </c>
      <c r="L37" s="1">
        <v>2.5499999999999998</v>
      </c>
      <c r="M37" s="1" t="s">
        <v>73</v>
      </c>
    </row>
    <row r="38" spans="1:13">
      <c r="A38" s="1" t="s">
        <v>70</v>
      </c>
      <c r="B38" s="1" t="s">
        <v>71</v>
      </c>
      <c r="C38" s="1">
        <v>2004</v>
      </c>
      <c r="D38" s="1" t="s">
        <v>75</v>
      </c>
      <c r="E38" s="1" t="s">
        <v>109</v>
      </c>
      <c r="F38" s="1">
        <v>2010</v>
      </c>
      <c r="G38" s="1" t="s">
        <v>108</v>
      </c>
      <c r="H38" s="1">
        <v>910000</v>
      </c>
      <c r="I38" s="1">
        <v>3.05</v>
      </c>
      <c r="J38" s="1">
        <f t="shared" si="0"/>
        <v>1905000</v>
      </c>
      <c r="K38" s="23">
        <f>43894*2</f>
        <v>87788</v>
      </c>
      <c r="L38" s="1">
        <v>3.1949999999999998</v>
      </c>
      <c r="M38" s="1" t="s">
        <v>73</v>
      </c>
    </row>
    <row r="39" spans="1:13">
      <c r="A39" s="1" t="s">
        <v>70</v>
      </c>
      <c r="B39" s="1" t="s">
        <v>71</v>
      </c>
      <c r="C39" s="1">
        <v>2004</v>
      </c>
      <c r="D39" s="1" t="s">
        <v>75</v>
      </c>
      <c r="E39" s="1" t="s">
        <v>109</v>
      </c>
      <c r="F39" s="1">
        <v>2011</v>
      </c>
      <c r="G39" s="1" t="s">
        <v>108</v>
      </c>
      <c r="H39" s="1">
        <v>940000</v>
      </c>
      <c r="I39" s="1">
        <v>3.05</v>
      </c>
      <c r="J39" s="1">
        <f t="shared" si="0"/>
        <v>965000</v>
      </c>
      <c r="K39" s="23">
        <f>30016*2</f>
        <v>60032</v>
      </c>
      <c r="L39" s="1">
        <v>3.1949999999999998</v>
      </c>
      <c r="M39" s="1" t="s">
        <v>73</v>
      </c>
    </row>
    <row r="40" spans="1:13">
      <c r="A40" s="1" t="s">
        <v>70</v>
      </c>
      <c r="B40" s="1" t="s">
        <v>71</v>
      </c>
      <c r="C40" s="1">
        <v>2004</v>
      </c>
      <c r="D40" s="1" t="s">
        <v>75</v>
      </c>
      <c r="E40" s="1" t="s">
        <v>105</v>
      </c>
      <c r="F40" s="1">
        <v>2012</v>
      </c>
      <c r="G40" s="1" t="s">
        <v>108</v>
      </c>
      <c r="H40" s="1">
        <v>965000</v>
      </c>
      <c r="I40" s="1">
        <v>3.25</v>
      </c>
      <c r="J40" s="1">
        <f t="shared" si="0"/>
        <v>0</v>
      </c>
      <c r="K40" s="23">
        <f>15681*2</f>
        <v>31362</v>
      </c>
      <c r="L40" s="1">
        <v>3.448</v>
      </c>
      <c r="M40" s="1" t="s">
        <v>73</v>
      </c>
    </row>
    <row r="41" spans="1:13">
      <c r="A41" s="1" t="s">
        <v>70</v>
      </c>
      <c r="B41" s="1" t="s">
        <v>71</v>
      </c>
      <c r="C41" s="1">
        <v>2007</v>
      </c>
      <c r="D41" s="1" t="s">
        <v>75</v>
      </c>
      <c r="E41" s="1" t="s">
        <v>105</v>
      </c>
      <c r="F41" s="1">
        <v>2007</v>
      </c>
      <c r="G41" s="1" t="s">
        <v>106</v>
      </c>
      <c r="H41" s="1">
        <v>970000</v>
      </c>
      <c r="I41" s="1">
        <v>4</v>
      </c>
      <c r="J41" s="1">
        <f>47740000-H41</f>
        <v>46770000</v>
      </c>
      <c r="K41" s="23" t="s">
        <v>73</v>
      </c>
      <c r="L41" s="1">
        <v>3.74</v>
      </c>
      <c r="M41" s="1">
        <v>100.036</v>
      </c>
    </row>
    <row r="42" spans="1:13">
      <c r="A42" s="1" t="s">
        <v>70</v>
      </c>
      <c r="B42" s="1" t="s">
        <v>71</v>
      </c>
      <c r="C42" s="1">
        <v>2007</v>
      </c>
      <c r="D42" s="1" t="s">
        <v>75</v>
      </c>
      <c r="E42" s="1" t="s">
        <v>105</v>
      </c>
      <c r="F42" s="1">
        <v>2008</v>
      </c>
      <c r="G42" s="1" t="s">
        <v>106</v>
      </c>
      <c r="H42" s="1">
        <v>2265000</v>
      </c>
      <c r="I42" s="1">
        <v>4</v>
      </c>
      <c r="J42" s="1">
        <f t="shared" si="0"/>
        <v>44505000</v>
      </c>
      <c r="K42" s="23" t="s">
        <v>73</v>
      </c>
      <c r="L42" s="1">
        <v>3.74</v>
      </c>
      <c r="M42" s="1">
        <v>100.291</v>
      </c>
    </row>
    <row r="43" spans="1:13">
      <c r="A43" s="1" t="s">
        <v>70</v>
      </c>
      <c r="B43" s="1" t="s">
        <v>71</v>
      </c>
      <c r="C43" s="1">
        <v>2007</v>
      </c>
      <c r="D43" s="1" t="s">
        <v>75</v>
      </c>
      <c r="E43" s="1" t="s">
        <v>105</v>
      </c>
      <c r="F43" s="1">
        <v>2009</v>
      </c>
      <c r="G43" s="1" t="s">
        <v>106</v>
      </c>
      <c r="H43" s="1">
        <v>2480000</v>
      </c>
      <c r="I43" s="1">
        <v>4</v>
      </c>
      <c r="J43" s="1">
        <f t="shared" si="0"/>
        <v>42025000</v>
      </c>
      <c r="K43" s="23" t="s">
        <v>73</v>
      </c>
      <c r="L43" s="1">
        <v>3.75</v>
      </c>
      <c r="M43" s="1">
        <v>100.51300000000001</v>
      </c>
    </row>
    <row r="44" spans="1:13">
      <c r="A44" s="1" t="s">
        <v>70</v>
      </c>
      <c r="B44" s="1" t="s">
        <v>71</v>
      </c>
      <c r="C44" s="1">
        <v>2007</v>
      </c>
      <c r="D44" s="1" t="s">
        <v>75</v>
      </c>
      <c r="E44" s="1" t="s">
        <v>105</v>
      </c>
      <c r="F44" s="1">
        <v>2010</v>
      </c>
      <c r="G44" s="1" t="s">
        <v>106</v>
      </c>
      <c r="H44" s="1">
        <v>2635000</v>
      </c>
      <c r="I44" s="1">
        <v>4</v>
      </c>
      <c r="J44" s="1">
        <f t="shared" si="0"/>
        <v>39390000</v>
      </c>
      <c r="K44" s="23" t="s">
        <v>73</v>
      </c>
      <c r="L44" s="1">
        <v>3.77</v>
      </c>
      <c r="M44" s="1">
        <v>100.67700000000001</v>
      </c>
    </row>
    <row r="45" spans="1:13">
      <c r="A45" s="1" t="s">
        <v>70</v>
      </c>
      <c r="B45" s="1" t="s">
        <v>71</v>
      </c>
      <c r="C45" s="1">
        <v>2007</v>
      </c>
      <c r="D45" s="1" t="s">
        <v>75</v>
      </c>
      <c r="E45" s="1" t="s">
        <v>105</v>
      </c>
      <c r="F45" s="1">
        <v>2011</v>
      </c>
      <c r="G45" s="1" t="s">
        <v>106</v>
      </c>
      <c r="H45" s="1">
        <v>2965000</v>
      </c>
      <c r="I45" s="1">
        <v>4</v>
      </c>
      <c r="J45" s="1">
        <f t="shared" si="0"/>
        <v>36425000</v>
      </c>
      <c r="K45" s="23" t="s">
        <v>73</v>
      </c>
      <c r="L45" s="1">
        <v>3.79</v>
      </c>
      <c r="M45" s="1">
        <v>100.79900000000001</v>
      </c>
    </row>
    <row r="46" spans="1:13">
      <c r="A46" s="1" t="s">
        <v>70</v>
      </c>
      <c r="B46" s="1" t="s">
        <v>71</v>
      </c>
      <c r="C46" s="1">
        <v>2007</v>
      </c>
      <c r="D46" s="1" t="s">
        <v>75</v>
      </c>
      <c r="E46" s="1" t="s">
        <v>105</v>
      </c>
      <c r="F46" s="1">
        <v>2012</v>
      </c>
      <c r="G46" s="1" t="s">
        <v>106</v>
      </c>
      <c r="H46" s="1">
        <v>3085000</v>
      </c>
      <c r="I46" s="1">
        <v>4</v>
      </c>
      <c r="J46" s="1">
        <f t="shared" si="0"/>
        <v>33340000</v>
      </c>
      <c r="K46" s="23" t="s">
        <v>73</v>
      </c>
      <c r="L46" s="1">
        <v>3.82</v>
      </c>
      <c r="M46" s="1">
        <v>100.833</v>
      </c>
    </row>
    <row r="47" spans="1:13">
      <c r="A47" s="1" t="s">
        <v>70</v>
      </c>
      <c r="B47" s="1" t="s">
        <v>71</v>
      </c>
      <c r="C47" s="1">
        <v>2007</v>
      </c>
      <c r="D47" s="1" t="s">
        <v>75</v>
      </c>
      <c r="E47" s="1" t="s">
        <v>105</v>
      </c>
      <c r="F47" s="1">
        <v>2013</v>
      </c>
      <c r="G47" s="1" t="s">
        <v>106</v>
      </c>
      <c r="H47" s="1">
        <v>4035000</v>
      </c>
      <c r="I47" s="1">
        <v>4</v>
      </c>
      <c r="J47" s="1">
        <f t="shared" si="0"/>
        <v>29305000</v>
      </c>
      <c r="K47" s="23" t="s">
        <v>73</v>
      </c>
      <c r="L47" s="1">
        <v>3.86</v>
      </c>
      <c r="M47" s="1">
        <v>100.758</v>
      </c>
    </row>
    <row r="48" spans="1:13">
      <c r="A48" s="1" t="s">
        <v>70</v>
      </c>
      <c r="B48" s="1" t="s">
        <v>71</v>
      </c>
      <c r="C48" s="1">
        <v>2007</v>
      </c>
      <c r="D48" s="1" t="s">
        <v>75</v>
      </c>
      <c r="E48" s="1" t="s">
        <v>105</v>
      </c>
      <c r="F48" s="1">
        <v>2014</v>
      </c>
      <c r="G48" s="1" t="s">
        <v>106</v>
      </c>
      <c r="H48" s="1">
        <v>4380000</v>
      </c>
      <c r="I48" s="1">
        <v>4</v>
      </c>
      <c r="J48" s="1">
        <f t="shared" si="0"/>
        <v>24925000</v>
      </c>
      <c r="K48" s="23" t="s">
        <v>73</v>
      </c>
      <c r="L48" s="1">
        <v>3.93</v>
      </c>
      <c r="M48" s="1">
        <v>100.429</v>
      </c>
    </row>
    <row r="49" spans="1:13">
      <c r="A49" s="1" t="s">
        <v>70</v>
      </c>
      <c r="B49" s="1" t="s">
        <v>71</v>
      </c>
      <c r="C49" s="1">
        <v>2007</v>
      </c>
      <c r="D49" s="1" t="s">
        <v>75</v>
      </c>
      <c r="E49" s="1" t="s">
        <v>105</v>
      </c>
      <c r="F49" s="1">
        <v>2015</v>
      </c>
      <c r="G49" s="1" t="s">
        <v>106</v>
      </c>
      <c r="H49" s="1">
        <v>4555000</v>
      </c>
      <c r="I49" s="1">
        <v>4.25</v>
      </c>
      <c r="J49" s="1">
        <f t="shared" si="0"/>
        <v>20370000</v>
      </c>
      <c r="K49" s="23" t="s">
        <v>73</v>
      </c>
      <c r="L49" s="1">
        <v>3.99</v>
      </c>
      <c r="M49" s="1">
        <v>101.79300000000001</v>
      </c>
    </row>
    <row r="50" spans="1:13">
      <c r="A50" s="1" t="s">
        <v>70</v>
      </c>
      <c r="B50" s="1" t="s">
        <v>71</v>
      </c>
      <c r="C50" s="1">
        <v>2007</v>
      </c>
      <c r="D50" s="1" t="s">
        <v>75</v>
      </c>
      <c r="E50" s="1" t="s">
        <v>105</v>
      </c>
      <c r="F50" s="1">
        <v>2016</v>
      </c>
      <c r="G50" s="1" t="s">
        <v>106</v>
      </c>
      <c r="H50" s="1">
        <v>4745000</v>
      </c>
      <c r="I50" s="1">
        <v>4.25</v>
      </c>
      <c r="J50" s="1">
        <f t="shared" si="0"/>
        <v>15625000</v>
      </c>
      <c r="K50" s="23" t="s">
        <v>73</v>
      </c>
      <c r="L50" s="1">
        <v>4.05</v>
      </c>
      <c r="M50" s="1">
        <v>101.515</v>
      </c>
    </row>
    <row r="51" spans="1:13">
      <c r="A51" s="1" t="s">
        <v>70</v>
      </c>
      <c r="B51" s="1" t="s">
        <v>71</v>
      </c>
      <c r="C51" s="1">
        <v>2007</v>
      </c>
      <c r="D51" s="1" t="s">
        <v>75</v>
      </c>
      <c r="E51" s="1" t="s">
        <v>105</v>
      </c>
      <c r="F51" s="1">
        <v>2017</v>
      </c>
      <c r="G51" s="1" t="s">
        <v>106</v>
      </c>
      <c r="H51" s="1">
        <v>4950000</v>
      </c>
      <c r="I51" s="1">
        <v>5</v>
      </c>
      <c r="J51" s="1">
        <f t="shared" si="0"/>
        <v>10675000</v>
      </c>
      <c r="K51" s="23" t="s">
        <v>73</v>
      </c>
      <c r="L51" s="1">
        <v>4.1399999999999997</v>
      </c>
      <c r="M51" s="1">
        <v>107.07599999999999</v>
      </c>
    </row>
    <row r="52" spans="1:13">
      <c r="A52" s="1" t="s">
        <v>70</v>
      </c>
      <c r="B52" s="1" t="s">
        <v>71</v>
      </c>
      <c r="C52" s="1">
        <v>2007</v>
      </c>
      <c r="D52" s="1" t="s">
        <v>75</v>
      </c>
      <c r="E52" s="1" t="s">
        <v>105</v>
      </c>
      <c r="F52" s="1">
        <v>2018</v>
      </c>
      <c r="G52" s="1" t="s">
        <v>106</v>
      </c>
      <c r="H52" s="1">
        <v>5200000</v>
      </c>
      <c r="I52" s="1">
        <v>5.25</v>
      </c>
      <c r="J52" s="1">
        <f t="shared" si="0"/>
        <v>5475000</v>
      </c>
      <c r="K52" s="23" t="s">
        <v>73</v>
      </c>
      <c r="L52" s="1">
        <v>4.18</v>
      </c>
      <c r="M52" s="1">
        <v>109.46899999999999</v>
      </c>
    </row>
    <row r="53" spans="1:13">
      <c r="A53" s="1" t="s">
        <v>70</v>
      </c>
      <c r="B53" s="1" t="s">
        <v>71</v>
      </c>
      <c r="C53" s="1">
        <v>2007</v>
      </c>
      <c r="D53" s="1" t="s">
        <v>75</v>
      </c>
      <c r="E53" s="1" t="s">
        <v>105</v>
      </c>
      <c r="F53" s="1">
        <v>2019</v>
      </c>
      <c r="G53" s="1" t="s">
        <v>106</v>
      </c>
      <c r="H53" s="1">
        <v>5475000</v>
      </c>
      <c r="I53" s="1">
        <v>5.25</v>
      </c>
      <c r="J53" s="1">
        <f t="shared" si="0"/>
        <v>0</v>
      </c>
      <c r="K53" s="23" t="s">
        <v>73</v>
      </c>
      <c r="L53" s="1">
        <v>4.2300000000000004</v>
      </c>
      <c r="M53" s="1">
        <v>109.621</v>
      </c>
    </row>
    <row r="54" spans="1:13">
      <c r="A54" s="1" t="s">
        <v>70</v>
      </c>
      <c r="B54" s="1" t="s">
        <v>71</v>
      </c>
      <c r="C54" s="1">
        <v>2010</v>
      </c>
      <c r="D54" s="1" t="s">
        <v>75</v>
      </c>
      <c r="E54" s="1" t="s">
        <v>105</v>
      </c>
      <c r="F54" s="1">
        <v>2010</v>
      </c>
      <c r="G54" s="1" t="s">
        <v>108</v>
      </c>
      <c r="H54" s="1">
        <v>935000</v>
      </c>
      <c r="I54" s="1">
        <v>2</v>
      </c>
      <c r="J54" s="1">
        <f>2890000-H54</f>
        <v>1955000</v>
      </c>
      <c r="K54" s="1" t="s">
        <v>73</v>
      </c>
      <c r="L54" s="1">
        <v>0.9</v>
      </c>
      <c r="M54" s="1">
        <v>100.901</v>
      </c>
    </row>
    <row r="55" spans="1:13">
      <c r="A55" s="1" t="s">
        <v>70</v>
      </c>
      <c r="B55" s="1" t="s">
        <v>71</v>
      </c>
      <c r="C55" s="1">
        <v>2010</v>
      </c>
      <c r="D55" s="1" t="s">
        <v>75</v>
      </c>
      <c r="E55" s="1" t="s">
        <v>105</v>
      </c>
      <c r="F55" s="1">
        <v>2011</v>
      </c>
      <c r="G55" s="1" t="s">
        <v>108</v>
      </c>
      <c r="H55" s="1">
        <v>975000</v>
      </c>
      <c r="I55" s="1">
        <v>1</v>
      </c>
      <c r="J55" s="1">
        <f>J54-H55</f>
        <v>980000</v>
      </c>
      <c r="K55" s="1" t="s">
        <v>73</v>
      </c>
      <c r="L55" s="1">
        <v>1.35</v>
      </c>
      <c r="M55" s="1">
        <v>99.37</v>
      </c>
    </row>
    <row r="56" spans="1:13">
      <c r="A56" s="1" t="s">
        <v>70</v>
      </c>
      <c r="B56" s="1" t="s">
        <v>71</v>
      </c>
      <c r="C56" s="1">
        <v>2010</v>
      </c>
      <c r="D56" s="1" t="s">
        <v>75</v>
      </c>
      <c r="E56" s="1" t="s">
        <v>105</v>
      </c>
      <c r="F56" s="1">
        <v>2012</v>
      </c>
      <c r="G56" s="1" t="s">
        <v>108</v>
      </c>
      <c r="H56" s="1">
        <v>980000</v>
      </c>
      <c r="I56" s="1">
        <v>1.5</v>
      </c>
      <c r="J56" s="1">
        <f>J55-H56</f>
        <v>0</v>
      </c>
      <c r="K56" s="1" t="s">
        <v>73</v>
      </c>
      <c r="L56" s="1">
        <v>1.7</v>
      </c>
      <c r="M56" s="1">
        <v>99.448999999999998</v>
      </c>
    </row>
    <row r="57" spans="1:13">
      <c r="A57" s="1" t="s">
        <v>70</v>
      </c>
      <c r="B57" s="1" t="s">
        <v>71</v>
      </c>
      <c r="C57" s="1">
        <v>2010</v>
      </c>
      <c r="D57" s="1" t="s">
        <v>91</v>
      </c>
      <c r="E57" s="1" t="s">
        <v>105</v>
      </c>
      <c r="F57" s="1">
        <v>2010</v>
      </c>
      <c r="G57" s="1" t="s">
        <v>108</v>
      </c>
      <c r="H57" s="1">
        <v>0</v>
      </c>
      <c r="I57" s="1" t="s">
        <v>73</v>
      </c>
      <c r="J57" s="1">
        <f>16340000-H57</f>
        <v>16340000</v>
      </c>
      <c r="K57" s="1" t="s">
        <v>73</v>
      </c>
      <c r="L57" s="1" t="s">
        <v>73</v>
      </c>
      <c r="M57" s="1" t="s">
        <v>73</v>
      </c>
    </row>
    <row r="58" spans="1:13">
      <c r="A58" s="1" t="s">
        <v>70</v>
      </c>
      <c r="B58" s="1" t="s">
        <v>71</v>
      </c>
      <c r="C58" s="1">
        <v>2010</v>
      </c>
      <c r="D58" s="1" t="s">
        <v>91</v>
      </c>
      <c r="E58" s="1" t="s">
        <v>105</v>
      </c>
      <c r="F58" s="1">
        <v>2011</v>
      </c>
      <c r="G58" s="1" t="s">
        <v>108</v>
      </c>
      <c r="H58" s="1">
        <v>0</v>
      </c>
      <c r="I58" s="1" t="s">
        <v>73</v>
      </c>
      <c r="J58" s="1">
        <f>J57-H58</f>
        <v>16340000</v>
      </c>
      <c r="K58" s="1" t="s">
        <v>73</v>
      </c>
      <c r="L58" s="1" t="s">
        <v>73</v>
      </c>
      <c r="M58" s="1" t="s">
        <v>73</v>
      </c>
    </row>
    <row r="59" spans="1:13">
      <c r="A59" s="1" t="s">
        <v>70</v>
      </c>
      <c r="B59" s="1" t="s">
        <v>71</v>
      </c>
      <c r="C59" s="1">
        <v>2010</v>
      </c>
      <c r="D59" s="1" t="s">
        <v>91</v>
      </c>
      <c r="E59" s="1" t="s">
        <v>105</v>
      </c>
      <c r="F59" s="1">
        <v>2012</v>
      </c>
      <c r="G59" s="1" t="s">
        <v>108</v>
      </c>
      <c r="H59" s="1">
        <v>0</v>
      </c>
      <c r="I59" s="1" t="s">
        <v>73</v>
      </c>
      <c r="J59" s="1">
        <f t="shared" ref="J59:J78" si="1">J58-H59</f>
        <v>16340000</v>
      </c>
      <c r="K59" s="1" t="s">
        <v>73</v>
      </c>
      <c r="L59" s="1" t="s">
        <v>73</v>
      </c>
      <c r="M59" s="1" t="s">
        <v>73</v>
      </c>
    </row>
    <row r="60" spans="1:13">
      <c r="A60" s="1" t="s">
        <v>70</v>
      </c>
      <c r="B60" s="1" t="s">
        <v>71</v>
      </c>
      <c r="C60" s="1">
        <v>2010</v>
      </c>
      <c r="D60" s="1" t="s">
        <v>91</v>
      </c>
      <c r="E60" s="1" t="s">
        <v>105</v>
      </c>
      <c r="F60" s="1">
        <v>2013</v>
      </c>
      <c r="G60" s="1" t="s">
        <v>108</v>
      </c>
      <c r="H60" s="1">
        <v>375000</v>
      </c>
      <c r="I60" s="1">
        <v>3.4969999999999999</v>
      </c>
      <c r="J60" s="1">
        <f t="shared" si="1"/>
        <v>15965000</v>
      </c>
      <c r="K60" s="1" t="s">
        <v>73</v>
      </c>
      <c r="L60" s="1">
        <v>3.4969999999999999</v>
      </c>
      <c r="M60" s="1">
        <v>100</v>
      </c>
    </row>
    <row r="61" spans="1:13">
      <c r="A61" s="1" t="s">
        <v>70</v>
      </c>
      <c r="B61" s="1" t="s">
        <v>71</v>
      </c>
      <c r="C61" s="1">
        <v>2010</v>
      </c>
      <c r="D61" s="1" t="s">
        <v>91</v>
      </c>
      <c r="E61" s="1" t="s">
        <v>105</v>
      </c>
      <c r="F61" s="1">
        <v>2014</v>
      </c>
      <c r="G61" s="1" t="s">
        <v>108</v>
      </c>
      <c r="H61" s="1">
        <v>385000</v>
      </c>
      <c r="I61" s="1">
        <v>3.7469999999999999</v>
      </c>
      <c r="J61" s="1">
        <f t="shared" si="1"/>
        <v>15580000</v>
      </c>
      <c r="K61" s="1" t="s">
        <v>73</v>
      </c>
      <c r="L61" s="1">
        <v>3.7469999999999999</v>
      </c>
      <c r="M61" s="1">
        <v>100</v>
      </c>
    </row>
    <row r="62" spans="1:13">
      <c r="A62" s="1" t="s">
        <v>70</v>
      </c>
      <c r="B62" s="1" t="s">
        <v>71</v>
      </c>
      <c r="C62" s="1">
        <v>2010</v>
      </c>
      <c r="D62" s="1" t="s">
        <v>91</v>
      </c>
      <c r="E62" s="1" t="s">
        <v>105</v>
      </c>
      <c r="F62" s="1">
        <v>2015</v>
      </c>
      <c r="G62" s="1" t="s">
        <v>108</v>
      </c>
      <c r="H62" s="1">
        <v>390000</v>
      </c>
      <c r="I62" s="1">
        <v>4.2699999999999996</v>
      </c>
      <c r="J62" s="1">
        <f t="shared" si="1"/>
        <v>15190000</v>
      </c>
      <c r="K62" s="1" t="s">
        <v>73</v>
      </c>
      <c r="L62" s="1">
        <v>4.2699999999999996</v>
      </c>
      <c r="M62" s="1">
        <v>100</v>
      </c>
    </row>
    <row r="63" spans="1:13">
      <c r="A63" s="1" t="s">
        <v>70</v>
      </c>
      <c r="B63" s="1" t="s">
        <v>71</v>
      </c>
      <c r="C63" s="1">
        <v>2010</v>
      </c>
      <c r="D63" s="1" t="s">
        <v>91</v>
      </c>
      <c r="E63" s="1" t="s">
        <v>105</v>
      </c>
      <c r="F63" s="1">
        <v>2016</v>
      </c>
      <c r="G63" s="1" t="s">
        <v>108</v>
      </c>
      <c r="H63" s="1">
        <v>405000</v>
      </c>
      <c r="I63" s="1">
        <v>4.42</v>
      </c>
      <c r="J63" s="1">
        <f t="shared" si="1"/>
        <v>14785000</v>
      </c>
      <c r="K63" s="1" t="s">
        <v>73</v>
      </c>
      <c r="L63" s="1">
        <v>4.42</v>
      </c>
      <c r="M63" s="1">
        <v>100</v>
      </c>
    </row>
    <row r="64" spans="1:13">
      <c r="A64" s="1" t="s">
        <v>70</v>
      </c>
      <c r="B64" s="1" t="s">
        <v>71</v>
      </c>
      <c r="C64" s="1">
        <v>2010</v>
      </c>
      <c r="D64" s="1" t="s">
        <v>91</v>
      </c>
      <c r="E64" s="1" t="s">
        <v>105</v>
      </c>
      <c r="F64" s="1">
        <v>2017</v>
      </c>
      <c r="G64" s="1" t="s">
        <v>108</v>
      </c>
      <c r="H64" s="1">
        <v>415000</v>
      </c>
      <c r="I64" s="1">
        <v>4.7930000000000001</v>
      </c>
      <c r="J64" s="1">
        <f t="shared" si="1"/>
        <v>14370000</v>
      </c>
      <c r="K64" s="1" t="s">
        <v>73</v>
      </c>
      <c r="L64" s="1">
        <v>4.7930000000000001</v>
      </c>
      <c r="M64" s="1">
        <v>100</v>
      </c>
    </row>
    <row r="65" spans="1:13">
      <c r="A65" s="1" t="s">
        <v>70</v>
      </c>
      <c r="B65" s="1" t="s">
        <v>71</v>
      </c>
      <c r="C65" s="1">
        <v>2010</v>
      </c>
      <c r="D65" s="1" t="s">
        <v>91</v>
      </c>
      <c r="E65" s="1" t="s">
        <v>105</v>
      </c>
      <c r="F65" s="1">
        <v>2018</v>
      </c>
      <c r="G65" s="1" t="s">
        <v>108</v>
      </c>
      <c r="H65" s="1">
        <v>430000</v>
      </c>
      <c r="I65" s="1">
        <v>4.8929999999999998</v>
      </c>
      <c r="J65" s="1">
        <f t="shared" si="1"/>
        <v>13940000</v>
      </c>
      <c r="K65" s="1" t="s">
        <v>73</v>
      </c>
      <c r="L65" s="1">
        <v>4.8929999999999998</v>
      </c>
      <c r="M65" s="1">
        <v>100</v>
      </c>
    </row>
    <row r="66" spans="1:13">
      <c r="A66" s="1" t="s">
        <v>70</v>
      </c>
      <c r="B66" s="1" t="s">
        <v>71</v>
      </c>
      <c r="C66" s="1">
        <v>2010</v>
      </c>
      <c r="D66" s="1" t="s">
        <v>91</v>
      </c>
      <c r="E66" s="1" t="s">
        <v>105</v>
      </c>
      <c r="F66" s="1">
        <v>2019</v>
      </c>
      <c r="G66" s="1" t="s">
        <v>108</v>
      </c>
      <c r="H66" s="1">
        <v>440000</v>
      </c>
      <c r="I66" s="1">
        <v>4.9930000000000003</v>
      </c>
      <c r="J66" s="1">
        <f t="shared" si="1"/>
        <v>13500000</v>
      </c>
      <c r="K66" s="1" t="s">
        <v>73</v>
      </c>
      <c r="L66" s="1">
        <v>4.9930000000000003</v>
      </c>
      <c r="M66" s="1">
        <v>100</v>
      </c>
    </row>
    <row r="67" spans="1:13">
      <c r="A67" s="1" t="s">
        <v>70</v>
      </c>
      <c r="B67" s="1" t="s">
        <v>71</v>
      </c>
      <c r="C67" s="1">
        <v>2010</v>
      </c>
      <c r="D67" s="1" t="s">
        <v>91</v>
      </c>
      <c r="E67" s="1" t="s">
        <v>105</v>
      </c>
      <c r="F67" s="1">
        <v>2020</v>
      </c>
      <c r="G67" s="1" t="s">
        <v>108</v>
      </c>
      <c r="H67" s="1">
        <v>455000</v>
      </c>
      <c r="I67" s="1">
        <v>50.93</v>
      </c>
      <c r="J67" s="1">
        <f t="shared" si="1"/>
        <v>13045000</v>
      </c>
      <c r="K67" s="1" t="s">
        <v>73</v>
      </c>
      <c r="L67" s="1">
        <v>50.93</v>
      </c>
      <c r="M67" s="1">
        <v>100</v>
      </c>
    </row>
    <row r="68" spans="1:13">
      <c r="A68" s="1" t="s">
        <v>70</v>
      </c>
      <c r="B68" s="1" t="s">
        <v>71</v>
      </c>
      <c r="C68" s="1">
        <v>2010</v>
      </c>
      <c r="D68" s="1" t="s">
        <v>91</v>
      </c>
      <c r="E68" s="1" t="s">
        <v>105</v>
      </c>
      <c r="F68" s="1">
        <v>2021</v>
      </c>
      <c r="G68" s="1" t="s">
        <v>108</v>
      </c>
      <c r="H68" s="1">
        <v>470000</v>
      </c>
      <c r="I68" s="1">
        <v>5.343</v>
      </c>
      <c r="J68" s="1">
        <f t="shared" si="1"/>
        <v>12575000</v>
      </c>
      <c r="K68" s="1" t="s">
        <v>73</v>
      </c>
      <c r="L68" s="1">
        <v>5.343</v>
      </c>
      <c r="M68" s="1">
        <v>100</v>
      </c>
    </row>
    <row r="69" spans="1:13">
      <c r="A69" s="1" t="s">
        <v>70</v>
      </c>
      <c r="B69" s="1" t="s">
        <v>71</v>
      </c>
      <c r="C69" s="1">
        <v>2010</v>
      </c>
      <c r="D69" s="1" t="s">
        <v>91</v>
      </c>
      <c r="E69" s="1" t="s">
        <v>105</v>
      </c>
      <c r="F69" s="1">
        <v>2022</v>
      </c>
      <c r="G69" s="1" t="s">
        <v>108</v>
      </c>
      <c r="H69" s="1">
        <v>485000</v>
      </c>
      <c r="I69" s="1">
        <v>5.4340000000000002</v>
      </c>
      <c r="J69" s="1">
        <f t="shared" si="1"/>
        <v>12090000</v>
      </c>
      <c r="K69" s="1" t="s">
        <v>73</v>
      </c>
      <c r="L69" s="1">
        <v>5.4340000000000002</v>
      </c>
      <c r="M69" s="1">
        <v>100</v>
      </c>
    </row>
    <row r="70" spans="1:13">
      <c r="A70" s="1" t="s">
        <v>70</v>
      </c>
      <c r="B70" s="1" t="s">
        <v>71</v>
      </c>
      <c r="C70" s="1">
        <v>2010</v>
      </c>
      <c r="D70" s="1" t="s">
        <v>91</v>
      </c>
      <c r="E70" s="1" t="s">
        <v>109</v>
      </c>
      <c r="F70" s="1">
        <v>2023</v>
      </c>
      <c r="G70" s="1" t="s">
        <v>108</v>
      </c>
      <c r="H70" s="1">
        <v>505000</v>
      </c>
      <c r="I70" s="1">
        <v>6.335</v>
      </c>
      <c r="J70" s="1">
        <f t="shared" si="1"/>
        <v>11585000</v>
      </c>
      <c r="K70" s="1" t="s">
        <v>73</v>
      </c>
      <c r="L70" s="1">
        <v>6.335</v>
      </c>
      <c r="M70" s="1">
        <v>100</v>
      </c>
    </row>
    <row r="71" spans="1:13">
      <c r="A71" s="1" t="s">
        <v>70</v>
      </c>
      <c r="B71" s="1" t="s">
        <v>71</v>
      </c>
      <c r="C71" s="1">
        <v>2010</v>
      </c>
      <c r="D71" s="1" t="s">
        <v>91</v>
      </c>
      <c r="E71" s="1" t="s">
        <v>109</v>
      </c>
      <c r="F71" s="1">
        <v>2024</v>
      </c>
      <c r="G71" s="1" t="s">
        <v>108</v>
      </c>
      <c r="H71" s="1">
        <v>525000</v>
      </c>
      <c r="I71" s="1">
        <v>6.335</v>
      </c>
      <c r="J71" s="1">
        <f t="shared" ref="J71:J77" si="2">J70-H71</f>
        <v>11060000</v>
      </c>
      <c r="K71" s="1" t="s">
        <v>73</v>
      </c>
      <c r="L71" s="1">
        <v>6.335</v>
      </c>
      <c r="M71" s="1">
        <v>100</v>
      </c>
    </row>
    <row r="72" spans="1:13">
      <c r="A72" s="1" t="s">
        <v>70</v>
      </c>
      <c r="B72" s="1" t="s">
        <v>71</v>
      </c>
      <c r="C72" s="1">
        <v>2010</v>
      </c>
      <c r="D72" s="1" t="s">
        <v>91</v>
      </c>
      <c r="E72" s="1" t="s">
        <v>109</v>
      </c>
      <c r="F72" s="1">
        <v>2025</v>
      </c>
      <c r="G72" s="1" t="s">
        <v>108</v>
      </c>
      <c r="H72" s="1">
        <v>545000</v>
      </c>
      <c r="I72" s="1">
        <v>6.335</v>
      </c>
      <c r="J72" s="1">
        <f t="shared" si="2"/>
        <v>10515000</v>
      </c>
      <c r="K72" s="1" t="s">
        <v>73</v>
      </c>
      <c r="L72" s="1">
        <v>6.335</v>
      </c>
      <c r="M72" s="1">
        <v>100</v>
      </c>
    </row>
    <row r="73" spans="1:13">
      <c r="A73" s="1" t="s">
        <v>70</v>
      </c>
      <c r="B73" s="1" t="s">
        <v>71</v>
      </c>
      <c r="C73" s="1">
        <v>2010</v>
      </c>
      <c r="D73" s="1" t="s">
        <v>91</v>
      </c>
      <c r="E73" s="1" t="s">
        <v>109</v>
      </c>
      <c r="F73" s="1">
        <v>2026</v>
      </c>
      <c r="G73" s="1" t="s">
        <v>108</v>
      </c>
      <c r="H73" s="1">
        <v>570000</v>
      </c>
      <c r="I73" s="1">
        <v>6.335</v>
      </c>
      <c r="J73" s="1">
        <f t="shared" si="2"/>
        <v>9945000</v>
      </c>
      <c r="K73" s="1" t="s">
        <v>73</v>
      </c>
      <c r="L73" s="1">
        <v>6.335</v>
      </c>
      <c r="M73" s="1">
        <v>100</v>
      </c>
    </row>
    <row r="74" spans="1:13">
      <c r="A74" s="1" t="s">
        <v>70</v>
      </c>
      <c r="B74" s="1" t="s">
        <v>71</v>
      </c>
      <c r="C74" s="1">
        <v>2010</v>
      </c>
      <c r="D74" s="1" t="s">
        <v>91</v>
      </c>
      <c r="E74" s="1" t="s">
        <v>109</v>
      </c>
      <c r="F74" s="1">
        <v>2027</v>
      </c>
      <c r="G74" s="1" t="s">
        <v>108</v>
      </c>
      <c r="H74" s="1">
        <v>595000</v>
      </c>
      <c r="I74" s="1">
        <v>6.335</v>
      </c>
      <c r="J74" s="1">
        <f t="shared" si="2"/>
        <v>9350000</v>
      </c>
      <c r="K74" s="1" t="s">
        <v>73</v>
      </c>
      <c r="L74" s="1">
        <v>6.335</v>
      </c>
      <c r="M74" s="1">
        <v>100</v>
      </c>
    </row>
    <row r="75" spans="1:13">
      <c r="A75" s="1" t="s">
        <v>70</v>
      </c>
      <c r="B75" s="1" t="s">
        <v>71</v>
      </c>
      <c r="C75" s="1">
        <v>2010</v>
      </c>
      <c r="D75" s="1" t="s">
        <v>91</v>
      </c>
      <c r="E75" s="1" t="s">
        <v>109</v>
      </c>
      <c r="F75" s="1">
        <v>2028</v>
      </c>
      <c r="G75" s="1" t="s">
        <v>108</v>
      </c>
      <c r="H75" s="1">
        <v>615000</v>
      </c>
      <c r="I75" s="1">
        <v>6.335</v>
      </c>
      <c r="J75" s="1">
        <f t="shared" si="2"/>
        <v>8735000</v>
      </c>
      <c r="K75" s="1" t="s">
        <v>73</v>
      </c>
      <c r="L75" s="1">
        <v>6.335</v>
      </c>
      <c r="M75" s="1">
        <v>100</v>
      </c>
    </row>
    <row r="76" spans="1:13">
      <c r="A76" s="1" t="s">
        <v>70</v>
      </c>
      <c r="B76" s="1" t="s">
        <v>71</v>
      </c>
      <c r="C76" s="1">
        <v>2010</v>
      </c>
      <c r="D76" s="1" t="s">
        <v>91</v>
      </c>
      <c r="E76" s="1" t="s">
        <v>109</v>
      </c>
      <c r="F76" s="1">
        <v>2029</v>
      </c>
      <c r="G76" s="1" t="s">
        <v>108</v>
      </c>
      <c r="H76" s="1">
        <v>640000</v>
      </c>
      <c r="I76" s="1">
        <v>6.335</v>
      </c>
      <c r="J76" s="1">
        <f t="shared" si="2"/>
        <v>8095000</v>
      </c>
      <c r="K76" s="1" t="s">
        <v>73</v>
      </c>
      <c r="L76" s="1">
        <v>6.335</v>
      </c>
      <c r="M76" s="1">
        <v>100</v>
      </c>
    </row>
    <row r="77" spans="1:13">
      <c r="A77" s="1" t="s">
        <v>70</v>
      </c>
      <c r="B77" s="1" t="s">
        <v>71</v>
      </c>
      <c r="C77" s="1">
        <v>2010</v>
      </c>
      <c r="D77" s="1" t="s">
        <v>91</v>
      </c>
      <c r="E77" s="1" t="s">
        <v>109</v>
      </c>
      <c r="F77" s="1">
        <v>2030</v>
      </c>
      <c r="G77" s="1" t="s">
        <v>108</v>
      </c>
      <c r="H77" s="1">
        <v>670000</v>
      </c>
      <c r="I77" s="1">
        <v>6.335</v>
      </c>
      <c r="J77" s="1">
        <f t="shared" si="2"/>
        <v>7425000</v>
      </c>
      <c r="K77" s="1" t="s">
        <v>73</v>
      </c>
      <c r="L77" s="1">
        <v>6.335</v>
      </c>
      <c r="M77" s="1">
        <v>100</v>
      </c>
    </row>
    <row r="78" spans="1:13">
      <c r="A78" s="1" t="s">
        <v>70</v>
      </c>
      <c r="B78" s="1" t="s">
        <v>71</v>
      </c>
      <c r="C78" s="1">
        <v>2010</v>
      </c>
      <c r="D78" s="1" t="s">
        <v>91</v>
      </c>
      <c r="E78" s="1" t="s">
        <v>109</v>
      </c>
      <c r="F78" s="1">
        <v>2031</v>
      </c>
      <c r="G78" s="1" t="s">
        <v>108</v>
      </c>
      <c r="H78" s="1">
        <v>695000</v>
      </c>
      <c r="I78" s="1">
        <v>6.4349999999999996</v>
      </c>
      <c r="J78" s="1">
        <f t="shared" si="1"/>
        <v>6730000</v>
      </c>
      <c r="K78" s="1" t="s">
        <v>73</v>
      </c>
      <c r="L78" s="1">
        <v>6.4349999999999996</v>
      </c>
      <c r="M78" s="1">
        <v>100</v>
      </c>
    </row>
    <row r="79" spans="1:13">
      <c r="A79" s="1" t="s">
        <v>70</v>
      </c>
      <c r="B79" s="1" t="s">
        <v>71</v>
      </c>
      <c r="C79" s="1">
        <v>2010</v>
      </c>
      <c r="D79" s="1" t="s">
        <v>91</v>
      </c>
      <c r="E79" s="1" t="s">
        <v>109</v>
      </c>
      <c r="F79" s="1">
        <v>2032</v>
      </c>
      <c r="G79" s="1" t="s">
        <v>108</v>
      </c>
      <c r="H79" s="1">
        <v>725000</v>
      </c>
      <c r="I79" s="1">
        <v>6.4349999999999996</v>
      </c>
      <c r="J79" s="1">
        <f t="shared" ref="J79:J117" si="3">J78-H79</f>
        <v>6005000</v>
      </c>
      <c r="K79" s="1" t="s">
        <v>73</v>
      </c>
      <c r="L79" s="1">
        <v>6.4349999999999996</v>
      </c>
      <c r="M79" s="1">
        <v>100</v>
      </c>
    </row>
    <row r="80" spans="1:13">
      <c r="A80" s="1" t="s">
        <v>70</v>
      </c>
      <c r="B80" s="1" t="s">
        <v>71</v>
      </c>
      <c r="C80" s="1">
        <v>2010</v>
      </c>
      <c r="D80" s="1" t="s">
        <v>91</v>
      </c>
      <c r="E80" s="1" t="s">
        <v>109</v>
      </c>
      <c r="F80" s="1">
        <v>2033</v>
      </c>
      <c r="G80" s="1" t="s">
        <v>108</v>
      </c>
      <c r="H80" s="1">
        <v>755000</v>
      </c>
      <c r="I80" s="1">
        <v>6.4349999999999996</v>
      </c>
      <c r="J80" s="1">
        <f t="shared" si="3"/>
        <v>5250000</v>
      </c>
      <c r="K80" s="1" t="s">
        <v>73</v>
      </c>
      <c r="L80" s="1">
        <v>6.4349999999999996</v>
      </c>
      <c r="M80" s="1">
        <v>100</v>
      </c>
    </row>
    <row r="81" spans="1:13">
      <c r="A81" s="1" t="s">
        <v>70</v>
      </c>
      <c r="B81" s="1" t="s">
        <v>71</v>
      </c>
      <c r="C81" s="1">
        <v>2010</v>
      </c>
      <c r="D81" s="1" t="s">
        <v>91</v>
      </c>
      <c r="E81" s="1" t="s">
        <v>109</v>
      </c>
      <c r="F81" s="1">
        <v>2034</v>
      </c>
      <c r="G81" s="1" t="s">
        <v>108</v>
      </c>
      <c r="H81" s="1">
        <v>790000</v>
      </c>
      <c r="I81" s="1">
        <v>6.4349999999999996</v>
      </c>
      <c r="J81" s="1">
        <f t="shared" si="3"/>
        <v>4460000</v>
      </c>
      <c r="K81" s="1" t="s">
        <v>73</v>
      </c>
      <c r="L81" s="1">
        <v>6.4349999999999996</v>
      </c>
      <c r="M81" s="1">
        <v>100</v>
      </c>
    </row>
    <row r="82" spans="1:13">
      <c r="A82" s="1" t="s">
        <v>70</v>
      </c>
      <c r="B82" s="1" t="s">
        <v>71</v>
      </c>
      <c r="C82" s="1">
        <v>2010</v>
      </c>
      <c r="D82" s="1" t="s">
        <v>91</v>
      </c>
      <c r="E82" s="1" t="s">
        <v>109</v>
      </c>
      <c r="F82" s="1">
        <v>2035</v>
      </c>
      <c r="G82" s="1" t="s">
        <v>108</v>
      </c>
      <c r="H82" s="1">
        <v>820000</v>
      </c>
      <c r="I82" s="1">
        <v>6.4349999999999996</v>
      </c>
      <c r="J82" s="1">
        <f t="shared" si="3"/>
        <v>3640000</v>
      </c>
      <c r="K82" s="1" t="s">
        <v>73</v>
      </c>
      <c r="L82" s="1">
        <v>6.4349999999999996</v>
      </c>
      <c r="M82" s="1">
        <v>100</v>
      </c>
    </row>
    <row r="83" spans="1:13">
      <c r="A83" s="1" t="s">
        <v>70</v>
      </c>
      <c r="B83" s="1" t="s">
        <v>71</v>
      </c>
      <c r="C83" s="1">
        <v>2010</v>
      </c>
      <c r="D83" s="1" t="s">
        <v>91</v>
      </c>
      <c r="E83" s="1" t="s">
        <v>109</v>
      </c>
      <c r="F83" s="1">
        <v>2036</v>
      </c>
      <c r="G83" s="1" t="s">
        <v>108</v>
      </c>
      <c r="H83" s="1">
        <v>855000</v>
      </c>
      <c r="I83" s="1">
        <v>6.4349999999999996</v>
      </c>
      <c r="J83" s="1">
        <f t="shared" si="3"/>
        <v>2785000</v>
      </c>
      <c r="K83" s="1" t="s">
        <v>73</v>
      </c>
      <c r="L83" s="1">
        <v>6.4349999999999996</v>
      </c>
      <c r="M83" s="1">
        <v>100</v>
      </c>
    </row>
    <row r="84" spans="1:13">
      <c r="A84" s="1" t="s">
        <v>70</v>
      </c>
      <c r="B84" s="1" t="s">
        <v>71</v>
      </c>
      <c r="C84" s="1">
        <v>2010</v>
      </c>
      <c r="D84" s="1" t="s">
        <v>91</v>
      </c>
      <c r="E84" s="1" t="s">
        <v>109</v>
      </c>
      <c r="F84" s="1">
        <v>2037</v>
      </c>
      <c r="G84" s="1" t="s">
        <v>108</v>
      </c>
      <c r="H84" s="1">
        <v>890000</v>
      </c>
      <c r="I84" s="1">
        <v>6.4349999999999996</v>
      </c>
      <c r="J84" s="1">
        <f t="shared" si="3"/>
        <v>1895000</v>
      </c>
      <c r="K84" s="1" t="s">
        <v>73</v>
      </c>
      <c r="L84" s="1">
        <v>6.4349999999999996</v>
      </c>
      <c r="M84" s="1">
        <v>100</v>
      </c>
    </row>
    <row r="85" spans="1:13">
      <c r="A85" s="1" t="s">
        <v>70</v>
      </c>
      <c r="B85" s="1" t="s">
        <v>71</v>
      </c>
      <c r="C85" s="1">
        <v>2010</v>
      </c>
      <c r="D85" s="1" t="s">
        <v>91</v>
      </c>
      <c r="E85" s="1" t="s">
        <v>109</v>
      </c>
      <c r="F85" s="1">
        <v>2038</v>
      </c>
      <c r="G85" s="1" t="s">
        <v>108</v>
      </c>
      <c r="H85" s="1">
        <v>930000</v>
      </c>
      <c r="I85" s="1">
        <v>6.4349999999999996</v>
      </c>
      <c r="J85" s="1">
        <f t="shared" si="3"/>
        <v>965000</v>
      </c>
      <c r="K85" s="1" t="s">
        <v>73</v>
      </c>
      <c r="L85" s="1">
        <v>6.4349999999999996</v>
      </c>
      <c r="M85" s="1">
        <v>100</v>
      </c>
    </row>
    <row r="86" spans="1:13">
      <c r="A86" s="1" t="s">
        <v>70</v>
      </c>
      <c r="B86" s="1" t="s">
        <v>71</v>
      </c>
      <c r="C86" s="1">
        <v>2010</v>
      </c>
      <c r="D86" s="1" t="s">
        <v>91</v>
      </c>
      <c r="E86" s="1" t="s">
        <v>109</v>
      </c>
      <c r="F86" s="1">
        <v>2039</v>
      </c>
      <c r="G86" s="1" t="s">
        <v>108</v>
      </c>
      <c r="H86" s="1">
        <v>965000</v>
      </c>
      <c r="I86" s="1">
        <v>6.4349999999999996</v>
      </c>
      <c r="J86" s="1">
        <f t="shared" si="3"/>
        <v>0</v>
      </c>
      <c r="K86" s="1" t="s">
        <v>73</v>
      </c>
      <c r="L86" s="1">
        <v>6.4349999999999996</v>
      </c>
      <c r="M86" s="1">
        <v>100</v>
      </c>
    </row>
    <row r="87" spans="1:13">
      <c r="A87" s="1" t="s">
        <v>70</v>
      </c>
      <c r="B87" s="1" t="s">
        <v>71</v>
      </c>
      <c r="C87" s="1">
        <v>2010</v>
      </c>
      <c r="D87" s="1" t="s">
        <v>94</v>
      </c>
      <c r="E87" s="1" t="s">
        <v>105</v>
      </c>
      <c r="F87" s="1">
        <v>2010</v>
      </c>
      <c r="G87" s="1" t="s">
        <v>108</v>
      </c>
      <c r="H87" s="1">
        <v>0</v>
      </c>
      <c r="I87" s="1" t="s">
        <v>73</v>
      </c>
      <c r="J87" s="1">
        <f>15745000-H87</f>
        <v>15745000</v>
      </c>
      <c r="K87" s="1" t="s">
        <v>73</v>
      </c>
      <c r="L87" s="1" t="s">
        <v>73</v>
      </c>
      <c r="M87" s="1" t="s">
        <v>73</v>
      </c>
    </row>
    <row r="88" spans="1:13">
      <c r="A88" s="1" t="s">
        <v>70</v>
      </c>
      <c r="B88" s="1" t="s">
        <v>71</v>
      </c>
      <c r="C88" s="1">
        <v>2010</v>
      </c>
      <c r="D88" s="1" t="s">
        <v>94</v>
      </c>
      <c r="E88" s="1" t="s">
        <v>105</v>
      </c>
      <c r="F88" s="1">
        <v>2011</v>
      </c>
      <c r="G88" s="1" t="s">
        <v>108</v>
      </c>
      <c r="H88" s="1">
        <v>0</v>
      </c>
      <c r="I88" s="1" t="s">
        <v>73</v>
      </c>
      <c r="J88" s="1">
        <f t="shared" si="3"/>
        <v>15745000</v>
      </c>
      <c r="K88" s="1" t="s">
        <v>73</v>
      </c>
      <c r="L88" s="1" t="s">
        <v>73</v>
      </c>
      <c r="M88" s="1" t="s">
        <v>73</v>
      </c>
    </row>
    <row r="89" spans="1:13">
      <c r="A89" s="1" t="s">
        <v>70</v>
      </c>
      <c r="B89" s="1" t="s">
        <v>71</v>
      </c>
      <c r="C89" s="1">
        <v>2010</v>
      </c>
      <c r="D89" s="1" t="s">
        <v>94</v>
      </c>
      <c r="E89" s="1" t="s">
        <v>105</v>
      </c>
      <c r="F89" s="1">
        <v>2012</v>
      </c>
      <c r="G89" s="1" t="s">
        <v>108</v>
      </c>
      <c r="H89" s="1">
        <v>0</v>
      </c>
      <c r="I89" s="1" t="s">
        <v>73</v>
      </c>
      <c r="J89" s="1">
        <f t="shared" si="3"/>
        <v>15745000</v>
      </c>
      <c r="K89" s="1" t="s">
        <v>73</v>
      </c>
      <c r="L89" s="1" t="s">
        <v>73</v>
      </c>
      <c r="M89" s="1" t="s">
        <v>73</v>
      </c>
    </row>
    <row r="90" spans="1:13">
      <c r="A90" s="1" t="s">
        <v>70</v>
      </c>
      <c r="B90" s="1" t="s">
        <v>71</v>
      </c>
      <c r="C90" s="1">
        <v>2010</v>
      </c>
      <c r="D90" s="1" t="s">
        <v>94</v>
      </c>
      <c r="E90" s="1" t="s">
        <v>105</v>
      </c>
      <c r="F90" s="1">
        <v>2013</v>
      </c>
      <c r="G90" s="1" t="s">
        <v>108</v>
      </c>
      <c r="H90" s="1">
        <v>350000</v>
      </c>
      <c r="I90" s="1">
        <v>2.0979999999999999</v>
      </c>
      <c r="J90" s="1">
        <f t="shared" si="3"/>
        <v>15395000</v>
      </c>
      <c r="K90" s="1" t="s">
        <v>73</v>
      </c>
      <c r="L90" s="1">
        <v>2.0979999999999999</v>
      </c>
      <c r="M90" s="1">
        <v>100</v>
      </c>
    </row>
    <row r="91" spans="1:13">
      <c r="A91" s="1" t="s">
        <v>70</v>
      </c>
      <c r="B91" s="1" t="s">
        <v>71</v>
      </c>
      <c r="C91" s="1">
        <v>2010</v>
      </c>
      <c r="D91" s="1" t="s">
        <v>94</v>
      </c>
      <c r="E91" s="1" t="s">
        <v>105</v>
      </c>
      <c r="F91" s="1">
        <v>2014</v>
      </c>
      <c r="G91" s="1" t="s">
        <v>108</v>
      </c>
      <c r="H91" s="1">
        <v>350000</v>
      </c>
      <c r="I91" s="1">
        <v>2.7120000000000002</v>
      </c>
      <c r="J91" s="1">
        <f t="shared" si="3"/>
        <v>15045000</v>
      </c>
      <c r="K91" s="1" t="s">
        <v>73</v>
      </c>
      <c r="L91" s="1">
        <v>2.7120000000000002</v>
      </c>
      <c r="M91" s="1">
        <v>100</v>
      </c>
    </row>
    <row r="92" spans="1:13">
      <c r="A92" s="1" t="s">
        <v>70</v>
      </c>
      <c r="B92" s="1" t="s">
        <v>71</v>
      </c>
      <c r="C92" s="1">
        <v>2010</v>
      </c>
      <c r="D92" s="1" t="s">
        <v>94</v>
      </c>
      <c r="E92" s="1" t="s">
        <v>105</v>
      </c>
      <c r="F92" s="1">
        <v>2015</v>
      </c>
      <c r="G92" s="1" t="s">
        <v>108</v>
      </c>
      <c r="H92" s="1">
        <v>355000</v>
      </c>
      <c r="I92" s="1">
        <v>2.9119999999999999</v>
      </c>
      <c r="J92" s="1">
        <f t="shared" si="3"/>
        <v>14690000</v>
      </c>
      <c r="K92" s="1" t="s">
        <v>73</v>
      </c>
      <c r="L92" s="1">
        <v>2.9119999999999999</v>
      </c>
      <c r="M92" s="1">
        <v>100</v>
      </c>
    </row>
    <row r="93" spans="1:13">
      <c r="A93" s="1" t="s">
        <v>70</v>
      </c>
      <c r="B93" s="1" t="s">
        <v>71</v>
      </c>
      <c r="C93" s="1">
        <v>2010</v>
      </c>
      <c r="D93" s="1" t="s">
        <v>94</v>
      </c>
      <c r="E93" s="1" t="s">
        <v>105</v>
      </c>
      <c r="F93" s="1">
        <v>2016</v>
      </c>
      <c r="G93" s="1" t="s">
        <v>108</v>
      </c>
      <c r="H93" s="1">
        <v>360000</v>
      </c>
      <c r="I93" s="1">
        <v>3.8519999999999999</v>
      </c>
      <c r="J93" s="1">
        <f t="shared" si="3"/>
        <v>14330000</v>
      </c>
      <c r="K93" s="1" t="s">
        <v>73</v>
      </c>
      <c r="L93" s="1">
        <v>3.8519999999999999</v>
      </c>
      <c r="M93" s="1">
        <v>100</v>
      </c>
    </row>
    <row r="94" spans="1:13">
      <c r="A94" s="1" t="s">
        <v>70</v>
      </c>
      <c r="B94" s="1" t="s">
        <v>71</v>
      </c>
      <c r="C94" s="1">
        <v>2010</v>
      </c>
      <c r="D94" s="1" t="s">
        <v>94</v>
      </c>
      <c r="E94" s="1" t="s">
        <v>105</v>
      </c>
      <c r="F94" s="1">
        <v>2017</v>
      </c>
      <c r="G94" s="1" t="s">
        <v>108</v>
      </c>
      <c r="H94" s="1">
        <v>370000</v>
      </c>
      <c r="I94" s="1">
        <v>4.0519999999999996</v>
      </c>
      <c r="J94" s="1">
        <f t="shared" si="3"/>
        <v>13960000</v>
      </c>
      <c r="K94" s="1" t="s">
        <v>73</v>
      </c>
      <c r="L94" s="1">
        <v>4.0519999999999996</v>
      </c>
      <c r="M94" s="1">
        <v>100</v>
      </c>
    </row>
    <row r="95" spans="1:13">
      <c r="A95" s="1" t="s">
        <v>70</v>
      </c>
      <c r="B95" s="1" t="s">
        <v>71</v>
      </c>
      <c r="C95" s="1">
        <v>2010</v>
      </c>
      <c r="D95" s="1" t="s">
        <v>94</v>
      </c>
      <c r="E95" s="1" t="s">
        <v>105</v>
      </c>
      <c r="F95" s="1">
        <v>2018</v>
      </c>
      <c r="G95" s="1" t="s">
        <v>108</v>
      </c>
      <c r="H95" s="1">
        <v>380000</v>
      </c>
      <c r="I95" s="1">
        <v>4.3019999999999996</v>
      </c>
      <c r="J95" s="1">
        <f t="shared" si="3"/>
        <v>13580000</v>
      </c>
      <c r="K95" s="1" t="s">
        <v>73</v>
      </c>
      <c r="L95" s="1">
        <v>4.3019999999999996</v>
      </c>
      <c r="M95" s="1">
        <v>100</v>
      </c>
    </row>
    <row r="96" spans="1:13">
      <c r="A96" s="1" t="s">
        <v>70</v>
      </c>
      <c r="B96" s="1" t="s">
        <v>71</v>
      </c>
      <c r="C96" s="1">
        <v>2010</v>
      </c>
      <c r="D96" s="1" t="s">
        <v>94</v>
      </c>
      <c r="E96" s="1" t="s">
        <v>105</v>
      </c>
      <c r="F96" s="1">
        <v>2019</v>
      </c>
      <c r="G96" s="1" t="s">
        <v>108</v>
      </c>
      <c r="H96" s="1">
        <v>390000</v>
      </c>
      <c r="I96" s="1">
        <v>4.7919999999999998</v>
      </c>
      <c r="J96" s="1">
        <f t="shared" si="3"/>
        <v>13190000</v>
      </c>
      <c r="K96" s="1" t="s">
        <v>73</v>
      </c>
      <c r="L96" s="1">
        <v>4.7919999999999998</v>
      </c>
      <c r="M96" s="1">
        <v>100</v>
      </c>
    </row>
    <row r="97" spans="1:13">
      <c r="A97" s="1" t="s">
        <v>70</v>
      </c>
      <c r="B97" s="1" t="s">
        <v>71</v>
      </c>
      <c r="C97" s="1">
        <v>2010</v>
      </c>
      <c r="D97" s="1" t="s">
        <v>94</v>
      </c>
      <c r="E97" s="1" t="s">
        <v>105</v>
      </c>
      <c r="F97" s="1">
        <v>2020</v>
      </c>
      <c r="G97" s="1" t="s">
        <v>108</v>
      </c>
      <c r="H97" s="1">
        <v>405000</v>
      </c>
      <c r="I97" s="1">
        <v>4.9420000000000002</v>
      </c>
      <c r="J97" s="1">
        <f t="shared" si="3"/>
        <v>12785000</v>
      </c>
      <c r="K97" s="1" t="s">
        <v>73</v>
      </c>
      <c r="L97" s="1">
        <v>4.9420000000000002</v>
      </c>
      <c r="M97" s="1">
        <v>100</v>
      </c>
    </row>
    <row r="98" spans="1:13">
      <c r="A98" s="1" t="s">
        <v>70</v>
      </c>
      <c r="B98" s="1" t="s">
        <v>71</v>
      </c>
      <c r="C98" s="1">
        <v>2010</v>
      </c>
      <c r="D98" s="1" t="s">
        <v>94</v>
      </c>
      <c r="E98" s="1" t="s">
        <v>105</v>
      </c>
      <c r="F98" s="1">
        <v>2021</v>
      </c>
      <c r="G98" s="1" t="s">
        <v>108</v>
      </c>
      <c r="H98" s="1">
        <v>415000</v>
      </c>
      <c r="I98" s="1">
        <v>5.1420000000000003</v>
      </c>
      <c r="J98" s="1">
        <f t="shared" si="3"/>
        <v>12370000</v>
      </c>
      <c r="K98" s="1" t="s">
        <v>73</v>
      </c>
      <c r="L98" s="1">
        <v>5.1420000000000003</v>
      </c>
      <c r="M98" s="1">
        <v>100</v>
      </c>
    </row>
    <row r="99" spans="1:13">
      <c r="A99" s="1" t="s">
        <v>70</v>
      </c>
      <c r="B99" s="1" t="s">
        <v>71</v>
      </c>
      <c r="C99" s="1">
        <v>2010</v>
      </c>
      <c r="D99" s="1" t="s">
        <v>94</v>
      </c>
      <c r="E99" s="1" t="s">
        <v>105</v>
      </c>
      <c r="F99" s="1">
        <v>2022</v>
      </c>
      <c r="G99" s="1" t="s">
        <v>108</v>
      </c>
      <c r="H99" s="1">
        <v>430000</v>
      </c>
      <c r="I99" s="1">
        <v>5.3419999999999996</v>
      </c>
      <c r="J99" s="1">
        <f t="shared" si="3"/>
        <v>11940000</v>
      </c>
      <c r="K99" s="1" t="s">
        <v>73</v>
      </c>
      <c r="L99" s="1">
        <v>5.3419999999999996</v>
      </c>
      <c r="M99" s="1">
        <v>100</v>
      </c>
    </row>
    <row r="100" spans="1:13">
      <c r="A100" s="1" t="s">
        <v>70</v>
      </c>
      <c r="B100" s="1" t="s">
        <v>71</v>
      </c>
      <c r="C100" s="1">
        <v>2010</v>
      </c>
      <c r="D100" s="1" t="s">
        <v>94</v>
      </c>
      <c r="E100" s="1" t="s">
        <v>109</v>
      </c>
      <c r="F100" s="1">
        <v>2023</v>
      </c>
      <c r="G100" s="1" t="s">
        <v>108</v>
      </c>
      <c r="H100" s="1">
        <v>445000</v>
      </c>
      <c r="I100" s="1">
        <v>6.7640000000000002</v>
      </c>
      <c r="J100" s="1">
        <f t="shared" si="3"/>
        <v>11495000</v>
      </c>
      <c r="K100" s="1" t="s">
        <v>73</v>
      </c>
      <c r="L100" s="1">
        <v>6.7640000000000002</v>
      </c>
      <c r="M100" s="1">
        <v>100</v>
      </c>
    </row>
    <row r="101" spans="1:13">
      <c r="A101" s="1" t="s">
        <v>70</v>
      </c>
      <c r="B101" s="1" t="s">
        <v>71</v>
      </c>
      <c r="C101" s="1">
        <v>2010</v>
      </c>
      <c r="D101" s="1" t="s">
        <v>94</v>
      </c>
      <c r="E101" s="1" t="s">
        <v>109</v>
      </c>
      <c r="F101" s="1">
        <v>2024</v>
      </c>
      <c r="G101" s="1" t="s">
        <v>108</v>
      </c>
      <c r="H101" s="1">
        <v>465000</v>
      </c>
      <c r="I101" s="1">
        <v>6.7640000000000002</v>
      </c>
      <c r="J101" s="1">
        <f t="shared" si="3"/>
        <v>11030000</v>
      </c>
      <c r="K101" s="1" t="s">
        <v>73</v>
      </c>
      <c r="L101" s="1">
        <v>6.7640000000000002</v>
      </c>
      <c r="M101" s="1">
        <v>100</v>
      </c>
    </row>
    <row r="102" spans="1:13">
      <c r="A102" s="1" t="s">
        <v>70</v>
      </c>
      <c r="B102" s="1" t="s">
        <v>71</v>
      </c>
      <c r="C102" s="1">
        <v>2010</v>
      </c>
      <c r="D102" s="1" t="s">
        <v>94</v>
      </c>
      <c r="E102" s="1" t="s">
        <v>109</v>
      </c>
      <c r="F102" s="1">
        <v>2025</v>
      </c>
      <c r="G102" s="1" t="s">
        <v>108</v>
      </c>
      <c r="H102" s="1">
        <v>485000</v>
      </c>
      <c r="I102" s="1">
        <v>6.7640000000000002</v>
      </c>
      <c r="J102" s="1">
        <f t="shared" si="3"/>
        <v>10545000</v>
      </c>
      <c r="K102" s="1" t="s">
        <v>73</v>
      </c>
      <c r="L102" s="1">
        <v>6.7640000000000002</v>
      </c>
      <c r="M102" s="1">
        <v>100</v>
      </c>
    </row>
    <row r="103" spans="1:13">
      <c r="A103" s="1" t="s">
        <v>70</v>
      </c>
      <c r="B103" s="1" t="s">
        <v>71</v>
      </c>
      <c r="C103" s="1">
        <v>2010</v>
      </c>
      <c r="D103" s="1" t="s">
        <v>94</v>
      </c>
      <c r="E103" s="1" t="s">
        <v>109</v>
      </c>
      <c r="F103" s="1">
        <v>2026</v>
      </c>
      <c r="G103" s="1" t="s">
        <v>108</v>
      </c>
      <c r="H103" s="1">
        <v>505000</v>
      </c>
      <c r="I103" s="1">
        <v>6.7640000000000002</v>
      </c>
      <c r="J103" s="1">
        <f t="shared" si="3"/>
        <v>10040000</v>
      </c>
      <c r="K103" s="1" t="s">
        <v>73</v>
      </c>
      <c r="L103" s="1">
        <v>6.7640000000000002</v>
      </c>
      <c r="M103" s="1">
        <v>100</v>
      </c>
    </row>
    <row r="104" spans="1:13">
      <c r="A104" s="1" t="s">
        <v>70</v>
      </c>
      <c r="B104" s="1" t="s">
        <v>71</v>
      </c>
      <c r="C104" s="1">
        <v>2010</v>
      </c>
      <c r="D104" s="1" t="s">
        <v>94</v>
      </c>
      <c r="E104" s="1" t="s">
        <v>109</v>
      </c>
      <c r="F104" s="1">
        <v>2027</v>
      </c>
      <c r="G104" s="1" t="s">
        <v>108</v>
      </c>
      <c r="H104" s="1">
        <v>530000</v>
      </c>
      <c r="I104" s="1">
        <v>6.8639999999999999</v>
      </c>
      <c r="J104" s="1">
        <f t="shared" si="3"/>
        <v>9510000</v>
      </c>
      <c r="K104" s="1" t="s">
        <v>73</v>
      </c>
      <c r="L104" s="1">
        <v>6.8639999999999999</v>
      </c>
      <c r="M104" s="1">
        <v>100</v>
      </c>
    </row>
    <row r="105" spans="1:13">
      <c r="A105" s="1" t="s">
        <v>70</v>
      </c>
      <c r="B105" s="1" t="s">
        <v>71</v>
      </c>
      <c r="C105" s="1">
        <v>2010</v>
      </c>
      <c r="D105" s="1" t="s">
        <v>94</v>
      </c>
      <c r="E105" s="1" t="s">
        <v>109</v>
      </c>
      <c r="F105" s="1">
        <v>2028</v>
      </c>
      <c r="G105" s="1" t="s">
        <v>108</v>
      </c>
      <c r="H105" s="1">
        <v>555000</v>
      </c>
      <c r="I105" s="1">
        <v>6.8639999999999999</v>
      </c>
      <c r="J105" s="1">
        <f t="shared" si="3"/>
        <v>8955000</v>
      </c>
      <c r="K105" s="1" t="s">
        <v>73</v>
      </c>
      <c r="L105" s="1">
        <v>6.8639999999999999</v>
      </c>
      <c r="M105" s="1">
        <v>100</v>
      </c>
    </row>
    <row r="106" spans="1:13">
      <c r="A106" s="1" t="s">
        <v>70</v>
      </c>
      <c r="B106" s="1" t="s">
        <v>71</v>
      </c>
      <c r="C106" s="1">
        <v>2010</v>
      </c>
      <c r="D106" s="1" t="s">
        <v>94</v>
      </c>
      <c r="E106" s="1" t="s">
        <v>109</v>
      </c>
      <c r="F106" s="1">
        <v>2029</v>
      </c>
      <c r="G106" s="1" t="s">
        <v>108</v>
      </c>
      <c r="H106" s="1">
        <v>575000</v>
      </c>
      <c r="I106" s="1">
        <v>6.8639999999999999</v>
      </c>
      <c r="J106" s="1">
        <f t="shared" si="3"/>
        <v>8380000</v>
      </c>
      <c r="K106" s="1" t="s">
        <v>73</v>
      </c>
      <c r="L106" s="1">
        <v>6.8639999999999999</v>
      </c>
      <c r="M106" s="1">
        <v>100</v>
      </c>
    </row>
    <row r="107" spans="1:13">
      <c r="A107" s="1" t="s">
        <v>70</v>
      </c>
      <c r="B107" s="1" t="s">
        <v>71</v>
      </c>
      <c r="C107" s="1">
        <v>2010</v>
      </c>
      <c r="D107" s="1" t="s">
        <v>94</v>
      </c>
      <c r="E107" s="1" t="s">
        <v>109</v>
      </c>
      <c r="F107" s="1">
        <v>2030</v>
      </c>
      <c r="G107" s="1" t="s">
        <v>108</v>
      </c>
      <c r="H107" s="1">
        <v>605000</v>
      </c>
      <c r="I107" s="1">
        <v>6.8639999999999999</v>
      </c>
      <c r="J107" s="1">
        <f t="shared" si="3"/>
        <v>7775000</v>
      </c>
      <c r="K107" s="1" t="s">
        <v>73</v>
      </c>
      <c r="L107" s="1">
        <v>6.8639999999999999</v>
      </c>
      <c r="M107" s="1">
        <v>100</v>
      </c>
    </row>
    <row r="108" spans="1:13">
      <c r="A108" s="1" t="s">
        <v>70</v>
      </c>
      <c r="B108" s="1" t="s">
        <v>71</v>
      </c>
      <c r="C108" s="1">
        <v>2010</v>
      </c>
      <c r="D108" s="1" t="s">
        <v>94</v>
      </c>
      <c r="E108" s="1" t="s">
        <v>109</v>
      </c>
      <c r="F108" s="1">
        <v>2031</v>
      </c>
      <c r="G108" s="1" t="s">
        <v>108</v>
      </c>
      <c r="H108" s="1">
        <v>630000</v>
      </c>
      <c r="I108" s="1">
        <v>6.8639999999999999</v>
      </c>
      <c r="J108" s="1">
        <f t="shared" si="3"/>
        <v>7145000</v>
      </c>
      <c r="K108" s="1" t="s">
        <v>73</v>
      </c>
      <c r="L108" s="1">
        <v>6.8639999999999999</v>
      </c>
      <c r="M108" s="1">
        <v>100</v>
      </c>
    </row>
    <row r="109" spans="1:13">
      <c r="A109" s="1" t="s">
        <v>70</v>
      </c>
      <c r="B109" s="1" t="s">
        <v>71</v>
      </c>
      <c r="C109" s="1">
        <v>2010</v>
      </c>
      <c r="D109" s="1" t="s">
        <v>94</v>
      </c>
      <c r="E109" s="1" t="s">
        <v>109</v>
      </c>
      <c r="F109" s="1">
        <v>2032</v>
      </c>
      <c r="G109" s="1" t="s">
        <v>108</v>
      </c>
      <c r="H109" s="1">
        <v>660000</v>
      </c>
      <c r="I109" s="1">
        <v>7.0640000000000001</v>
      </c>
      <c r="J109" s="1">
        <f t="shared" si="3"/>
        <v>6485000</v>
      </c>
      <c r="K109" s="1" t="s">
        <v>73</v>
      </c>
      <c r="L109" s="1">
        <v>7.0640000000000001</v>
      </c>
      <c r="M109" s="1">
        <v>100</v>
      </c>
    </row>
    <row r="110" spans="1:13">
      <c r="A110" s="1" t="s">
        <v>70</v>
      </c>
      <c r="B110" s="1" t="s">
        <v>71</v>
      </c>
      <c r="C110" s="1">
        <v>2010</v>
      </c>
      <c r="D110" s="1" t="s">
        <v>94</v>
      </c>
      <c r="E110" s="1" t="s">
        <v>109</v>
      </c>
      <c r="F110" s="1">
        <v>2033</v>
      </c>
      <c r="G110" s="1" t="s">
        <v>108</v>
      </c>
      <c r="H110" s="1">
        <v>690000</v>
      </c>
      <c r="I110" s="1">
        <v>7.0640000000000001</v>
      </c>
      <c r="J110" s="1">
        <f t="shared" si="3"/>
        <v>5795000</v>
      </c>
      <c r="K110" s="1" t="s">
        <v>73</v>
      </c>
      <c r="L110" s="1">
        <v>7.0640000000000001</v>
      </c>
      <c r="M110" s="1">
        <v>100</v>
      </c>
    </row>
    <row r="111" spans="1:13">
      <c r="A111" s="1" t="s">
        <v>70</v>
      </c>
      <c r="B111" s="1" t="s">
        <v>71</v>
      </c>
      <c r="C111" s="1">
        <v>2010</v>
      </c>
      <c r="D111" s="1" t="s">
        <v>94</v>
      </c>
      <c r="E111" s="1" t="s">
        <v>109</v>
      </c>
      <c r="F111" s="1">
        <v>2034</v>
      </c>
      <c r="G111" s="1" t="s">
        <v>108</v>
      </c>
      <c r="H111" s="1">
        <v>720000</v>
      </c>
      <c r="I111" s="1">
        <v>7.0640000000000001</v>
      </c>
      <c r="J111" s="1">
        <f t="shared" si="3"/>
        <v>5075000</v>
      </c>
      <c r="K111" s="1" t="s">
        <v>73</v>
      </c>
      <c r="L111" s="1">
        <v>7.0640000000000001</v>
      </c>
      <c r="M111" s="1">
        <v>100</v>
      </c>
    </row>
    <row r="112" spans="1:13">
      <c r="A112" s="1" t="s">
        <v>70</v>
      </c>
      <c r="B112" s="1" t="s">
        <v>71</v>
      </c>
      <c r="C112" s="1">
        <v>2010</v>
      </c>
      <c r="D112" s="1" t="s">
        <v>94</v>
      </c>
      <c r="E112" s="1" t="s">
        <v>109</v>
      </c>
      <c r="F112" s="1">
        <v>2035</v>
      </c>
      <c r="G112" s="1" t="s">
        <v>108</v>
      </c>
      <c r="H112" s="1">
        <v>755000</v>
      </c>
      <c r="I112" s="1">
        <v>7.0640000000000001</v>
      </c>
      <c r="J112" s="1">
        <f t="shared" si="3"/>
        <v>4320000</v>
      </c>
      <c r="K112" s="1" t="s">
        <v>73</v>
      </c>
      <c r="L112" s="1">
        <v>7.0640000000000001</v>
      </c>
      <c r="M112" s="1">
        <v>100</v>
      </c>
    </row>
    <row r="113" spans="1:13">
      <c r="A113" s="1" t="s">
        <v>70</v>
      </c>
      <c r="B113" s="1" t="s">
        <v>71</v>
      </c>
      <c r="C113" s="1">
        <v>2010</v>
      </c>
      <c r="D113" s="1" t="s">
        <v>94</v>
      </c>
      <c r="E113" s="1" t="s">
        <v>109</v>
      </c>
      <c r="F113" s="1">
        <v>2036</v>
      </c>
      <c r="G113" s="1" t="s">
        <v>108</v>
      </c>
      <c r="H113" s="1">
        <v>790000</v>
      </c>
      <c r="I113" s="1">
        <v>7.0640000000000001</v>
      </c>
      <c r="J113" s="1">
        <f t="shared" si="3"/>
        <v>3530000</v>
      </c>
      <c r="K113" s="1" t="s">
        <v>73</v>
      </c>
      <c r="L113" s="1">
        <v>7.0640000000000001</v>
      </c>
      <c r="M113" s="1">
        <v>100</v>
      </c>
    </row>
    <row r="114" spans="1:13">
      <c r="A114" s="1" t="s">
        <v>70</v>
      </c>
      <c r="B114" s="1" t="s">
        <v>71</v>
      </c>
      <c r="C114" s="1">
        <v>2010</v>
      </c>
      <c r="D114" s="1" t="s">
        <v>94</v>
      </c>
      <c r="E114" s="1" t="s">
        <v>109</v>
      </c>
      <c r="F114" s="1">
        <v>2037</v>
      </c>
      <c r="G114" s="1" t="s">
        <v>108</v>
      </c>
      <c r="H114" s="1">
        <v>825000</v>
      </c>
      <c r="I114" s="1">
        <v>7.0640000000000001</v>
      </c>
      <c r="J114" s="1">
        <f t="shared" si="3"/>
        <v>2705000</v>
      </c>
      <c r="K114" s="1" t="s">
        <v>73</v>
      </c>
      <c r="L114" s="1">
        <v>7.0640000000000001</v>
      </c>
      <c r="M114" s="1">
        <v>100</v>
      </c>
    </row>
    <row r="115" spans="1:13">
      <c r="A115" s="1" t="s">
        <v>70</v>
      </c>
      <c r="B115" s="1" t="s">
        <v>71</v>
      </c>
      <c r="C115" s="1">
        <v>2010</v>
      </c>
      <c r="D115" s="1" t="s">
        <v>94</v>
      </c>
      <c r="E115" s="1" t="s">
        <v>109</v>
      </c>
      <c r="F115" s="1">
        <v>2038</v>
      </c>
      <c r="G115" s="1" t="s">
        <v>108</v>
      </c>
      <c r="H115" s="1">
        <v>860000</v>
      </c>
      <c r="I115" s="1">
        <v>7.0640000000000001</v>
      </c>
      <c r="J115" s="1">
        <f t="shared" si="3"/>
        <v>1845000</v>
      </c>
      <c r="K115" s="1" t="s">
        <v>73</v>
      </c>
      <c r="L115" s="1">
        <v>7.0640000000000001</v>
      </c>
      <c r="M115" s="1">
        <v>100</v>
      </c>
    </row>
    <row r="116" spans="1:13">
      <c r="A116" s="1" t="s">
        <v>70</v>
      </c>
      <c r="B116" s="1" t="s">
        <v>71</v>
      </c>
      <c r="C116" s="1">
        <v>2010</v>
      </c>
      <c r="D116" s="1" t="s">
        <v>94</v>
      </c>
      <c r="E116" s="1" t="s">
        <v>109</v>
      </c>
      <c r="F116" s="1">
        <v>2039</v>
      </c>
      <c r="G116" s="1" t="s">
        <v>108</v>
      </c>
      <c r="H116" s="1">
        <v>900000</v>
      </c>
      <c r="I116" s="1">
        <v>7.0640000000000001</v>
      </c>
      <c r="J116" s="1">
        <f t="shared" si="3"/>
        <v>945000</v>
      </c>
      <c r="K116" s="1" t="s">
        <v>73</v>
      </c>
      <c r="L116" s="1">
        <v>7.0640000000000001</v>
      </c>
      <c r="M116" s="1">
        <v>100</v>
      </c>
    </row>
    <row r="117" spans="1:13">
      <c r="A117" s="1" t="s">
        <v>70</v>
      </c>
      <c r="B117" s="1" t="s">
        <v>71</v>
      </c>
      <c r="C117" s="1">
        <v>2010</v>
      </c>
      <c r="D117" s="1" t="s">
        <v>94</v>
      </c>
      <c r="E117" s="1" t="s">
        <v>109</v>
      </c>
      <c r="F117" s="1">
        <v>2040</v>
      </c>
      <c r="G117" s="1" t="s">
        <v>108</v>
      </c>
      <c r="H117" s="1">
        <v>945000</v>
      </c>
      <c r="I117" s="1">
        <v>7.0640000000000001</v>
      </c>
      <c r="J117" s="1">
        <f t="shared" si="3"/>
        <v>0</v>
      </c>
      <c r="K117" s="1" t="s">
        <v>73</v>
      </c>
      <c r="L117" s="1">
        <v>7.0640000000000001</v>
      </c>
      <c r="M117" s="1">
        <v>100</v>
      </c>
    </row>
    <row r="118" spans="1:13">
      <c r="K118" s="23"/>
    </row>
    <row r="119" spans="1:13">
      <c r="K119" s="23"/>
    </row>
    <row r="120" spans="1:13">
      <c r="K120" s="23"/>
    </row>
    <row r="121" spans="1:13">
      <c r="K121" s="23"/>
    </row>
    <row r="122" spans="1:13">
      <c r="K122" s="23"/>
    </row>
    <row r="123" spans="1:13">
      <c r="K123" s="23"/>
    </row>
    <row r="124" spans="1:13">
      <c r="K124" s="23"/>
    </row>
    <row r="125" spans="1:13">
      <c r="K125" s="23"/>
    </row>
    <row r="126" spans="1:13">
      <c r="K126" s="23"/>
    </row>
    <row r="127" spans="1:13">
      <c r="K127" s="23"/>
    </row>
    <row r="128" spans="1:13">
      <c r="K128" s="23"/>
    </row>
    <row r="129" spans="11:11">
      <c r="K129" s="23"/>
    </row>
    <row r="130" spans="11:11">
      <c r="K130" s="23"/>
    </row>
    <row r="131" spans="11:11">
      <c r="K131" s="23"/>
    </row>
    <row r="132" spans="11:11">
      <c r="K132" s="23"/>
    </row>
    <row r="133" spans="11:11">
      <c r="K133" s="23"/>
    </row>
    <row r="134" spans="11:11">
      <c r="K134" s="23"/>
    </row>
    <row r="135" spans="11:11">
      <c r="K135" s="23"/>
    </row>
    <row r="136" spans="11:11">
      <c r="K136" s="23"/>
    </row>
    <row r="137" spans="11:11">
      <c r="K137" s="23"/>
    </row>
    <row r="138" spans="11:11">
      <c r="K138" s="23"/>
    </row>
    <row r="139" spans="11:11">
      <c r="K139" s="23"/>
    </row>
    <row r="140" spans="11:11">
      <c r="K140" s="23"/>
    </row>
    <row r="141" spans="11:11">
      <c r="K141" s="23"/>
    </row>
    <row r="142" spans="11:11">
      <c r="K142" s="23"/>
    </row>
    <row r="143" spans="11:11">
      <c r="K143" s="23"/>
    </row>
    <row r="144" spans="11:11">
      <c r="K144" s="23"/>
    </row>
    <row r="145" spans="11:11">
      <c r="K145" s="23"/>
    </row>
    <row r="146" spans="11:11">
      <c r="K146" s="23"/>
    </row>
    <row r="147" spans="11:11">
      <c r="K147" s="23"/>
    </row>
    <row r="148" spans="11:11">
      <c r="K148" s="23"/>
    </row>
    <row r="149" spans="11:11">
      <c r="K149" s="23"/>
    </row>
    <row r="150" spans="11:11">
      <c r="K150" s="23"/>
    </row>
    <row r="151" spans="11:11">
      <c r="K151" s="23"/>
    </row>
    <row r="152" spans="11:11">
      <c r="K152"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4"/>
  <sheetViews>
    <sheetView workbookViewId="0">
      <selection activeCell="D19" sqref="D19:D24"/>
    </sheetView>
  </sheetViews>
  <sheetFormatPr defaultColWidth="8.85546875" defaultRowHeight="14.45"/>
  <cols>
    <col min="1" max="1" width="10.140625" style="1" bestFit="1" customWidth="1"/>
    <col min="2" max="3" width="8.85546875" style="1"/>
    <col min="4" max="4" width="14.5703125" style="1" customWidth="1"/>
    <col min="5" max="5" width="18.5703125" style="1" customWidth="1"/>
    <col min="6" max="16384" width="8.85546875" style="1"/>
  </cols>
  <sheetData>
    <row r="1" spans="1:6">
      <c r="A1" s="2" t="s">
        <v>51</v>
      </c>
      <c r="B1" s="2" t="s">
        <v>52</v>
      </c>
      <c r="C1" s="2" t="s">
        <v>53</v>
      </c>
      <c r="D1" s="7" t="s">
        <v>110</v>
      </c>
      <c r="E1" s="6" t="s">
        <v>111</v>
      </c>
      <c r="F1" s="6" t="s">
        <v>69</v>
      </c>
    </row>
    <row r="2" spans="1:6">
      <c r="A2" s="1" t="s">
        <v>70</v>
      </c>
      <c r="B2" s="1" t="s">
        <v>71</v>
      </c>
      <c r="C2" s="1">
        <v>1997</v>
      </c>
      <c r="D2" s="1">
        <v>50815926</v>
      </c>
      <c r="E2" s="1" t="s">
        <v>112</v>
      </c>
    </row>
    <row r="3" spans="1:6">
      <c r="A3" s="1" t="s">
        <v>70</v>
      </c>
      <c r="B3" s="1" t="s">
        <v>71</v>
      </c>
      <c r="C3" s="1">
        <v>1997</v>
      </c>
      <c r="D3" s="1">
        <v>240033</v>
      </c>
      <c r="E3" s="1" t="s">
        <v>113</v>
      </c>
    </row>
    <row r="4" spans="1:6">
      <c r="A4" s="1" t="s">
        <v>70</v>
      </c>
      <c r="B4" s="1" t="s">
        <v>71</v>
      </c>
      <c r="C4" s="1">
        <v>1997</v>
      </c>
      <c r="D4" s="1">
        <v>424680</v>
      </c>
      <c r="E4" s="1" t="s">
        <v>114</v>
      </c>
    </row>
    <row r="5" spans="1:6">
      <c r="A5" s="1" t="s">
        <v>70</v>
      </c>
      <c r="B5" s="1" t="s">
        <v>71</v>
      </c>
      <c r="C5" s="1">
        <v>1997</v>
      </c>
      <c r="D5" s="1">
        <v>229283</v>
      </c>
      <c r="E5" s="1" t="s">
        <v>115</v>
      </c>
    </row>
    <row r="6" spans="1:6">
      <c r="A6" s="1" t="s">
        <v>70</v>
      </c>
      <c r="B6" s="1" t="s">
        <v>71</v>
      </c>
      <c r="C6" s="1">
        <v>2003</v>
      </c>
      <c r="D6" s="1">
        <v>4726021</v>
      </c>
      <c r="E6" s="1" t="s">
        <v>112</v>
      </c>
    </row>
    <row r="7" spans="1:6">
      <c r="A7" s="1" t="s">
        <v>70</v>
      </c>
      <c r="B7" s="1" t="s">
        <v>71</v>
      </c>
      <c r="C7" s="1">
        <v>2003</v>
      </c>
      <c r="D7" s="1">
        <v>13204</v>
      </c>
      <c r="E7" s="1" t="s">
        <v>116</v>
      </c>
    </row>
    <row r="8" spans="1:6">
      <c r="A8" s="1" t="s">
        <v>70</v>
      </c>
      <c r="B8" s="1" t="s">
        <v>71</v>
      </c>
      <c r="C8" s="1">
        <v>2003</v>
      </c>
      <c r="D8" s="1">
        <v>94165</v>
      </c>
      <c r="E8" s="1" t="s">
        <v>115</v>
      </c>
    </row>
    <row r="9" spans="1:6">
      <c r="A9" s="1" t="s">
        <v>70</v>
      </c>
      <c r="B9" s="1" t="s">
        <v>71</v>
      </c>
      <c r="C9" s="1">
        <v>2003</v>
      </c>
      <c r="D9" s="1">
        <v>9793</v>
      </c>
      <c r="E9" s="1" t="s">
        <v>117</v>
      </c>
    </row>
    <row r="10" spans="1:6">
      <c r="A10" s="1" t="s">
        <v>70</v>
      </c>
      <c r="B10" s="1" t="s">
        <v>71</v>
      </c>
      <c r="C10" s="1">
        <v>2004</v>
      </c>
      <c r="D10" s="1">
        <v>3000000</v>
      </c>
      <c r="E10" s="1" t="s">
        <v>118</v>
      </c>
    </row>
    <row r="11" spans="1:6">
      <c r="A11" s="1" t="s">
        <v>70</v>
      </c>
      <c r="B11" s="1" t="s">
        <v>71</v>
      </c>
      <c r="C11" s="1">
        <v>2004</v>
      </c>
      <c r="D11" s="1">
        <v>7504</v>
      </c>
      <c r="E11" s="1" t="s">
        <v>116</v>
      </c>
    </row>
    <row r="12" spans="1:6">
      <c r="A12" s="1" t="s">
        <v>70</v>
      </c>
      <c r="B12" s="1" t="s">
        <v>71</v>
      </c>
      <c r="C12" s="1">
        <v>2004</v>
      </c>
      <c r="D12" s="1">
        <v>23070</v>
      </c>
      <c r="E12" s="1" t="s">
        <v>119</v>
      </c>
    </row>
    <row r="13" spans="1:6">
      <c r="A13" s="1" t="s">
        <v>70</v>
      </c>
      <c r="B13" s="1" t="s">
        <v>71</v>
      </c>
      <c r="C13" s="1">
        <v>2004</v>
      </c>
      <c r="D13" s="1">
        <v>48464</v>
      </c>
      <c r="E13" s="1" t="s">
        <v>115</v>
      </c>
    </row>
    <row r="14" spans="1:6">
      <c r="A14" s="1" t="s">
        <v>70</v>
      </c>
      <c r="B14" s="1" t="s">
        <v>71</v>
      </c>
      <c r="C14" s="1">
        <v>2007</v>
      </c>
      <c r="D14" s="1">
        <v>115249</v>
      </c>
      <c r="E14" s="1" t="s">
        <v>116</v>
      </c>
    </row>
    <row r="15" spans="1:6">
      <c r="A15" s="1" t="s">
        <v>70</v>
      </c>
      <c r="B15" s="1" t="s">
        <v>71</v>
      </c>
      <c r="C15" s="1">
        <v>2007</v>
      </c>
      <c r="D15" s="1">
        <v>465500</v>
      </c>
      <c r="E15" s="1" t="s">
        <v>120</v>
      </c>
    </row>
    <row r="16" spans="1:6">
      <c r="A16" s="1" t="s">
        <v>70</v>
      </c>
      <c r="B16" s="1" t="s">
        <v>71</v>
      </c>
      <c r="C16" s="1">
        <v>2007</v>
      </c>
      <c r="D16" s="1">
        <v>47911139</v>
      </c>
      <c r="E16" s="1" t="s">
        <v>121</v>
      </c>
    </row>
    <row r="17" spans="1:5">
      <c r="A17" s="1" t="s">
        <v>70</v>
      </c>
      <c r="B17" s="1" t="s">
        <v>71</v>
      </c>
      <c r="C17" s="1">
        <v>2007</v>
      </c>
      <c r="D17" s="1">
        <v>889722</v>
      </c>
      <c r="E17" s="1" t="s">
        <v>115</v>
      </c>
    </row>
    <row r="18" spans="1:5">
      <c r="A18" s="1" t="s">
        <v>70</v>
      </c>
      <c r="B18" s="1" t="s">
        <v>71</v>
      </c>
      <c r="C18" s="1">
        <v>2007</v>
      </c>
      <c r="D18" s="1">
        <v>17613</v>
      </c>
      <c r="E18" s="1" t="s">
        <v>122</v>
      </c>
    </row>
    <row r="19" spans="1:5">
      <c r="A19" s="1" t="s">
        <v>70</v>
      </c>
      <c r="B19" s="1" t="s">
        <v>71</v>
      </c>
      <c r="C19" s="1">
        <v>2010</v>
      </c>
      <c r="D19" s="1">
        <f>14027561+14831599</f>
        <v>28859160</v>
      </c>
      <c r="E19" s="1" t="s">
        <v>123</v>
      </c>
    </row>
    <row r="20" spans="1:5">
      <c r="A20" s="1" t="s">
        <v>70</v>
      </c>
      <c r="B20" s="1" t="s">
        <v>71</v>
      </c>
      <c r="C20" s="1">
        <v>2010</v>
      </c>
      <c r="D20" s="1">
        <v>2836947</v>
      </c>
      <c r="E20" s="1" t="s">
        <v>124</v>
      </c>
    </row>
    <row r="21" spans="1:5">
      <c r="A21" s="1" t="s">
        <v>70</v>
      </c>
      <c r="B21" s="1" t="s">
        <v>71</v>
      </c>
      <c r="C21" s="1">
        <v>2010</v>
      </c>
      <c r="D21" s="1">
        <f>987414+1009594</f>
        <v>1997008</v>
      </c>
      <c r="E21" s="1" t="s">
        <v>116</v>
      </c>
    </row>
    <row r="22" spans="1:5">
      <c r="A22" s="1" t="s">
        <v>70</v>
      </c>
      <c r="B22" s="1" t="s">
        <v>71</v>
      </c>
      <c r="C22" s="1">
        <v>2010</v>
      </c>
      <c r="D22" s="1">
        <f>197522+221799</f>
        <v>419321</v>
      </c>
      <c r="E22" s="1" t="s">
        <v>119</v>
      </c>
    </row>
    <row r="23" spans="1:5">
      <c r="A23" s="1" t="s">
        <v>70</v>
      </c>
      <c r="B23" s="1" t="s">
        <v>71</v>
      </c>
      <c r="C23" s="1">
        <v>2010</v>
      </c>
      <c r="D23" s="1">
        <f>127700+318655</f>
        <v>446355</v>
      </c>
      <c r="E23" s="1" t="s">
        <v>115</v>
      </c>
    </row>
    <row r="24" spans="1:5">
      <c r="A24" s="1" t="s">
        <v>70</v>
      </c>
      <c r="B24" s="1" t="s">
        <v>71</v>
      </c>
      <c r="C24" s="1">
        <v>2010</v>
      </c>
      <c r="D24" s="1">
        <v>270971</v>
      </c>
      <c r="E24" s="1" t="s">
        <v>125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1"/>
  <sheetViews>
    <sheetView workbookViewId="0">
      <selection activeCell="J41" sqref="J41"/>
    </sheetView>
  </sheetViews>
  <sheetFormatPr defaultColWidth="8.85546875" defaultRowHeight="14.45"/>
  <cols>
    <col min="1" max="1" width="10.140625" style="1" bestFit="1" customWidth="1"/>
    <col min="2" max="3" width="8.85546875" style="1"/>
    <col min="4" max="4" width="33.42578125" style="1" bestFit="1" customWidth="1"/>
    <col min="5" max="5" width="12.140625" style="1" bestFit="1" customWidth="1"/>
    <col min="6" max="6" width="8.85546875" style="1"/>
    <col min="7" max="7" width="11" style="1" bestFit="1" customWidth="1"/>
    <col min="8" max="9" width="8.85546875" style="1"/>
    <col min="10" max="10" width="8.85546875" style="27"/>
    <col min="11" max="11" width="11" style="1" bestFit="1" customWidth="1"/>
    <col min="12" max="16384" width="8.85546875" style="1"/>
  </cols>
  <sheetData>
    <row r="1" spans="1:13">
      <c r="A1" s="2" t="s">
        <v>51</v>
      </c>
      <c r="B1" s="2" t="s">
        <v>52</v>
      </c>
      <c r="C1" s="2" t="s">
        <v>53</v>
      </c>
      <c r="D1" s="2" t="s">
        <v>126</v>
      </c>
      <c r="E1" s="2" t="s">
        <v>54</v>
      </c>
      <c r="F1" s="2" t="s">
        <v>127</v>
      </c>
      <c r="G1" s="7" t="s">
        <v>110</v>
      </c>
      <c r="H1" s="6" t="s">
        <v>59</v>
      </c>
      <c r="I1" s="6" t="s">
        <v>60</v>
      </c>
      <c r="J1" s="25" t="s">
        <v>128</v>
      </c>
      <c r="K1" s="5" t="s">
        <v>129</v>
      </c>
      <c r="L1" s="6" t="s">
        <v>130</v>
      </c>
      <c r="M1" s="6" t="s">
        <v>69</v>
      </c>
    </row>
    <row r="2" spans="1:13">
      <c r="A2" s="1" t="s">
        <v>70</v>
      </c>
      <c r="B2" s="1" t="s">
        <v>71</v>
      </c>
      <c r="C2" s="1">
        <v>1997</v>
      </c>
      <c r="D2" s="1" t="s">
        <v>131</v>
      </c>
      <c r="E2" s="1" t="s">
        <v>72</v>
      </c>
      <c r="F2" s="19" t="s">
        <v>132</v>
      </c>
      <c r="G2" s="20">
        <v>50755000</v>
      </c>
      <c r="H2" s="21">
        <v>1994</v>
      </c>
      <c r="I2" s="21">
        <v>2005</v>
      </c>
      <c r="J2" s="26">
        <v>5.4</v>
      </c>
      <c r="K2" s="22">
        <v>50775000</v>
      </c>
      <c r="L2" s="21"/>
      <c r="M2" s="21"/>
    </row>
    <row r="3" spans="1:13">
      <c r="A3" s="1" t="s">
        <v>70</v>
      </c>
      <c r="B3" s="1" t="s">
        <v>71</v>
      </c>
      <c r="C3" s="1">
        <v>1997</v>
      </c>
      <c r="D3" s="1" t="s">
        <v>133</v>
      </c>
      <c r="E3" s="1" t="s">
        <v>72</v>
      </c>
      <c r="F3" s="19" t="s">
        <v>132</v>
      </c>
      <c r="G3" s="20">
        <v>5835000</v>
      </c>
      <c r="H3" s="21">
        <v>1994</v>
      </c>
      <c r="I3" s="21">
        <v>2001</v>
      </c>
      <c r="J3" s="26">
        <v>6.5</v>
      </c>
      <c r="K3" s="22">
        <v>4535000</v>
      </c>
      <c r="L3" s="21"/>
      <c r="M3" s="21"/>
    </row>
    <row r="4" spans="1:13">
      <c r="A4" s="1" t="s">
        <v>70</v>
      </c>
      <c r="B4" s="1" t="s">
        <v>71</v>
      </c>
      <c r="C4" s="1">
        <v>1997</v>
      </c>
      <c r="D4" s="1" t="s">
        <v>134</v>
      </c>
      <c r="E4" s="1" t="s">
        <v>72</v>
      </c>
      <c r="F4" s="1" t="s">
        <v>132</v>
      </c>
      <c r="G4" s="1">
        <v>8635000</v>
      </c>
      <c r="H4" s="1">
        <v>1991</v>
      </c>
      <c r="I4" s="1">
        <v>2001</v>
      </c>
      <c r="J4" s="27">
        <f>AVERAGE(5.5,6)</f>
        <v>5.75</v>
      </c>
      <c r="K4" s="1">
        <v>4895000</v>
      </c>
    </row>
    <row r="5" spans="1:13">
      <c r="A5" s="1" t="s">
        <v>70</v>
      </c>
      <c r="B5" s="1" t="s">
        <v>71</v>
      </c>
      <c r="C5" s="1">
        <v>1997</v>
      </c>
      <c r="D5" s="1" t="s">
        <v>135</v>
      </c>
      <c r="E5" s="1" t="s">
        <v>72</v>
      </c>
      <c r="F5" s="1" t="s">
        <v>136</v>
      </c>
      <c r="G5" s="1">
        <v>2441850</v>
      </c>
      <c r="H5" s="1">
        <v>1989</v>
      </c>
      <c r="I5" s="1">
        <v>2009</v>
      </c>
      <c r="J5" s="27">
        <v>2.83</v>
      </c>
      <c r="K5" s="1">
        <v>1841228</v>
      </c>
      <c r="L5" s="1" t="s">
        <v>137</v>
      </c>
    </row>
    <row r="6" spans="1:13">
      <c r="A6" s="1" t="s">
        <v>70</v>
      </c>
      <c r="B6" s="1" t="s">
        <v>71</v>
      </c>
      <c r="C6" s="1">
        <v>1997</v>
      </c>
      <c r="D6" s="1" t="s">
        <v>138</v>
      </c>
      <c r="E6" s="1" t="s">
        <v>72</v>
      </c>
      <c r="F6" s="1" t="s">
        <v>136</v>
      </c>
      <c r="G6" s="1">
        <v>3510000</v>
      </c>
      <c r="H6" s="1">
        <v>1990</v>
      </c>
      <c r="I6" s="1">
        <v>2010</v>
      </c>
      <c r="J6" s="27">
        <v>1</v>
      </c>
      <c r="K6" s="1">
        <v>2868747</v>
      </c>
      <c r="L6" s="1" t="s">
        <v>139</v>
      </c>
    </row>
    <row r="7" spans="1:13">
      <c r="A7" s="1" t="s">
        <v>70</v>
      </c>
      <c r="B7" s="1" t="s">
        <v>71</v>
      </c>
      <c r="C7" s="1">
        <v>1997</v>
      </c>
      <c r="D7" s="1" t="s">
        <v>140</v>
      </c>
      <c r="E7" s="1" t="s">
        <v>72</v>
      </c>
      <c r="F7" s="1" t="s">
        <v>136</v>
      </c>
      <c r="G7" s="1">
        <v>9018400</v>
      </c>
      <c r="H7" s="1">
        <v>1992</v>
      </c>
      <c r="I7" s="1">
        <v>2012</v>
      </c>
      <c r="J7" s="27">
        <v>3.1</v>
      </c>
      <c r="K7" s="1">
        <v>8008471</v>
      </c>
      <c r="L7" s="1" t="s">
        <v>141</v>
      </c>
    </row>
    <row r="8" spans="1:13">
      <c r="A8" s="1" t="s">
        <v>70</v>
      </c>
      <c r="B8" s="1" t="s">
        <v>71</v>
      </c>
      <c r="C8" s="1">
        <v>1997</v>
      </c>
      <c r="D8" s="1" t="s">
        <v>142</v>
      </c>
      <c r="E8" s="1" t="s">
        <v>72</v>
      </c>
      <c r="F8" s="1" t="s">
        <v>136</v>
      </c>
      <c r="G8" s="1">
        <v>5000000</v>
      </c>
      <c r="H8" s="1">
        <v>1993</v>
      </c>
      <c r="I8" s="1">
        <v>2013</v>
      </c>
      <c r="J8" s="27">
        <v>2.79</v>
      </c>
      <c r="K8" s="1">
        <v>4397283</v>
      </c>
      <c r="L8" s="1" t="s">
        <v>143</v>
      </c>
    </row>
    <row r="9" spans="1:13">
      <c r="A9" s="1" t="s">
        <v>70</v>
      </c>
      <c r="B9" s="1" t="s">
        <v>71</v>
      </c>
      <c r="C9" s="1">
        <v>1997</v>
      </c>
      <c r="D9" s="1" t="s">
        <v>144</v>
      </c>
      <c r="E9" s="1" t="s">
        <v>72</v>
      </c>
      <c r="F9" s="1" t="s">
        <v>136</v>
      </c>
      <c r="G9" s="1">
        <v>20000000</v>
      </c>
      <c r="H9" s="1">
        <v>1994</v>
      </c>
      <c r="I9" s="1">
        <v>2024</v>
      </c>
      <c r="J9" s="27">
        <v>1</v>
      </c>
      <c r="K9" s="28">
        <v>9001688</v>
      </c>
      <c r="L9" s="1" t="s">
        <v>145</v>
      </c>
    </row>
    <row r="10" spans="1:13">
      <c r="A10" s="1" t="s">
        <v>70</v>
      </c>
      <c r="B10" s="1" t="s">
        <v>71</v>
      </c>
      <c r="C10" s="1">
        <v>2007</v>
      </c>
      <c r="D10" s="1" t="s">
        <v>146</v>
      </c>
      <c r="E10" s="1" t="s">
        <v>72</v>
      </c>
      <c r="F10" s="1" t="s">
        <v>132</v>
      </c>
      <c r="G10" s="1">
        <v>3145000</v>
      </c>
      <c r="H10" s="1">
        <v>1956</v>
      </c>
      <c r="I10" s="1">
        <v>1986</v>
      </c>
      <c r="J10" s="27">
        <v>2.93</v>
      </c>
      <c r="K10" s="1">
        <v>0</v>
      </c>
      <c r="L10" s="1" t="s">
        <v>147</v>
      </c>
    </row>
    <row r="11" spans="1:13">
      <c r="A11" s="1" t="s">
        <v>70</v>
      </c>
      <c r="B11" s="1" t="s">
        <v>71</v>
      </c>
      <c r="C11" s="1">
        <v>2007</v>
      </c>
      <c r="D11" s="1" t="s">
        <v>148</v>
      </c>
      <c r="E11" s="1" t="s">
        <v>72</v>
      </c>
      <c r="F11" s="1" t="s">
        <v>132</v>
      </c>
      <c r="G11" s="1">
        <v>1100000</v>
      </c>
      <c r="H11" s="1">
        <v>1971</v>
      </c>
      <c r="I11" s="1">
        <v>1991</v>
      </c>
      <c r="J11" s="27">
        <v>4.82</v>
      </c>
      <c r="K11" s="1">
        <v>0</v>
      </c>
      <c r="L11" s="1" t="s">
        <v>149</v>
      </c>
    </row>
    <row r="12" spans="1:13">
      <c r="A12" s="1" t="s">
        <v>70</v>
      </c>
      <c r="B12" s="1" t="s">
        <v>71</v>
      </c>
      <c r="C12" s="1">
        <v>2007</v>
      </c>
      <c r="D12" s="1" t="s">
        <v>150</v>
      </c>
      <c r="E12" s="1" t="s">
        <v>72</v>
      </c>
      <c r="F12" s="1" t="s">
        <v>132</v>
      </c>
      <c r="G12" s="1">
        <v>9305000</v>
      </c>
      <c r="H12" s="1">
        <v>1981</v>
      </c>
      <c r="I12" s="1">
        <v>2001</v>
      </c>
      <c r="J12" s="27">
        <v>9.5</v>
      </c>
      <c r="K12" s="1">
        <v>0</v>
      </c>
      <c r="L12" s="1" t="s">
        <v>151</v>
      </c>
    </row>
    <row r="13" spans="1:13">
      <c r="A13" s="1" t="s">
        <v>70</v>
      </c>
      <c r="B13" s="1" t="s">
        <v>71</v>
      </c>
      <c r="C13" s="1">
        <v>2007</v>
      </c>
      <c r="D13" s="1" t="s">
        <v>150</v>
      </c>
      <c r="E13" s="1" t="s">
        <v>72</v>
      </c>
      <c r="F13" s="1" t="s">
        <v>132</v>
      </c>
      <c r="G13" s="1">
        <v>10775000</v>
      </c>
      <c r="H13" s="1">
        <v>1982</v>
      </c>
      <c r="I13" s="1">
        <f>1982+15</f>
        <v>1997</v>
      </c>
      <c r="J13" s="27">
        <v>8.8000000000000007</v>
      </c>
      <c r="K13" s="1">
        <v>0</v>
      </c>
      <c r="L13" s="1" t="s">
        <v>152</v>
      </c>
    </row>
    <row r="14" spans="1:13">
      <c r="A14" s="1" t="s">
        <v>70</v>
      </c>
      <c r="B14" s="1" t="s">
        <v>71</v>
      </c>
      <c r="C14" s="1">
        <v>2007</v>
      </c>
      <c r="D14" s="1" t="s">
        <v>153</v>
      </c>
      <c r="E14" s="1" t="s">
        <v>72</v>
      </c>
      <c r="F14" s="1" t="s">
        <v>132</v>
      </c>
      <c r="G14" s="1">
        <v>11865000</v>
      </c>
      <c r="H14" s="1">
        <v>1986</v>
      </c>
      <c r="I14" s="1">
        <v>1991</v>
      </c>
      <c r="J14" s="27">
        <v>6.875</v>
      </c>
      <c r="K14" s="1">
        <v>0</v>
      </c>
      <c r="L14" s="1" t="s">
        <v>154</v>
      </c>
    </row>
    <row r="15" spans="1:13">
      <c r="A15" s="1" t="s">
        <v>70</v>
      </c>
      <c r="B15" s="1" t="s">
        <v>71</v>
      </c>
      <c r="C15" s="1">
        <v>2007</v>
      </c>
      <c r="D15" s="1" t="s">
        <v>155</v>
      </c>
      <c r="E15" s="1" t="s">
        <v>72</v>
      </c>
      <c r="F15" s="1" t="s">
        <v>132</v>
      </c>
      <c r="G15" s="1">
        <v>8635000</v>
      </c>
      <c r="H15" s="1">
        <v>1991</v>
      </c>
      <c r="I15" s="1">
        <v>2001</v>
      </c>
      <c r="J15" s="27">
        <f>AVERAGE(5.5,6)</f>
        <v>5.75</v>
      </c>
      <c r="K15" s="1">
        <v>0</v>
      </c>
      <c r="L15" s="1" t="s">
        <v>156</v>
      </c>
    </row>
    <row r="16" spans="1:13">
      <c r="A16" s="1" t="s">
        <v>70</v>
      </c>
      <c r="B16" s="1" t="s">
        <v>71</v>
      </c>
      <c r="C16" s="1">
        <v>2007</v>
      </c>
      <c r="D16" s="1" t="s">
        <v>131</v>
      </c>
      <c r="E16" s="1" t="s">
        <v>72</v>
      </c>
      <c r="F16" s="19" t="s">
        <v>132</v>
      </c>
      <c r="G16" s="20">
        <v>50755000</v>
      </c>
      <c r="H16" s="21">
        <v>1994</v>
      </c>
      <c r="I16" s="21">
        <v>2005</v>
      </c>
      <c r="J16" s="26">
        <v>5.4</v>
      </c>
      <c r="K16" s="1">
        <v>455000</v>
      </c>
      <c r="L16" s="1" t="s">
        <v>157</v>
      </c>
    </row>
    <row r="17" spans="1:12">
      <c r="A17" s="1" t="s">
        <v>70</v>
      </c>
      <c r="B17" s="1" t="s">
        <v>71</v>
      </c>
      <c r="C17" s="1">
        <v>2007</v>
      </c>
      <c r="D17" s="1" t="s">
        <v>133</v>
      </c>
      <c r="E17" s="1" t="s">
        <v>72</v>
      </c>
      <c r="F17" s="19" t="s">
        <v>132</v>
      </c>
      <c r="G17" s="20">
        <v>5835000</v>
      </c>
      <c r="H17" s="21">
        <v>1994</v>
      </c>
      <c r="I17" s="21">
        <v>2001</v>
      </c>
      <c r="J17" s="26">
        <v>6.5</v>
      </c>
      <c r="K17" s="1">
        <v>0</v>
      </c>
      <c r="L17" s="1" t="s">
        <v>157</v>
      </c>
    </row>
    <row r="18" spans="1:12">
      <c r="A18" s="1" t="s">
        <v>70</v>
      </c>
      <c r="B18" s="1" t="s">
        <v>71</v>
      </c>
      <c r="C18" s="1">
        <v>2007</v>
      </c>
      <c r="D18" s="1" t="s">
        <v>135</v>
      </c>
      <c r="E18" s="1" t="s">
        <v>72</v>
      </c>
      <c r="F18" s="1" t="s">
        <v>136</v>
      </c>
      <c r="G18" s="1">
        <v>2441850</v>
      </c>
      <c r="H18" s="1">
        <v>1989</v>
      </c>
      <c r="I18" s="1">
        <v>2009</v>
      </c>
      <c r="J18" s="27">
        <v>2.83</v>
      </c>
      <c r="K18" s="1">
        <v>406548</v>
      </c>
      <c r="L18" s="1" t="s">
        <v>158</v>
      </c>
    </row>
    <row r="19" spans="1:12">
      <c r="A19" s="1" t="s">
        <v>70</v>
      </c>
      <c r="B19" s="1" t="s">
        <v>71</v>
      </c>
      <c r="C19" s="1">
        <v>2007</v>
      </c>
      <c r="D19" s="1" t="s">
        <v>138</v>
      </c>
      <c r="E19" s="1" t="s">
        <v>72</v>
      </c>
      <c r="F19" s="1" t="s">
        <v>136</v>
      </c>
      <c r="G19" s="1">
        <v>3510000</v>
      </c>
      <c r="H19" s="1">
        <v>1990</v>
      </c>
      <c r="I19" s="1">
        <v>2010</v>
      </c>
      <c r="J19" s="27">
        <v>1</v>
      </c>
      <c r="K19" s="1">
        <v>861046</v>
      </c>
      <c r="L19" s="1" t="s">
        <v>159</v>
      </c>
    </row>
    <row r="20" spans="1:12">
      <c r="A20" s="1" t="s">
        <v>70</v>
      </c>
      <c r="B20" s="1" t="s">
        <v>71</v>
      </c>
      <c r="C20" s="1">
        <v>2007</v>
      </c>
      <c r="D20" s="1" t="s">
        <v>140</v>
      </c>
      <c r="E20" s="1" t="s">
        <v>72</v>
      </c>
      <c r="F20" s="1" t="s">
        <v>136</v>
      </c>
      <c r="G20" s="1">
        <v>9018400</v>
      </c>
      <c r="H20" s="1">
        <v>1992</v>
      </c>
      <c r="I20" s="1">
        <v>2012</v>
      </c>
      <c r="J20" s="27">
        <v>3.1</v>
      </c>
      <c r="K20" s="1">
        <v>3516558</v>
      </c>
      <c r="L20" s="1" t="s">
        <v>160</v>
      </c>
    </row>
    <row r="21" spans="1:12">
      <c r="A21" s="1" t="s">
        <v>70</v>
      </c>
      <c r="B21" s="1" t="s">
        <v>71</v>
      </c>
      <c r="C21" s="1">
        <v>2007</v>
      </c>
      <c r="D21" s="1" t="s">
        <v>142</v>
      </c>
      <c r="E21" s="1" t="s">
        <v>72</v>
      </c>
      <c r="F21" s="1" t="s">
        <v>136</v>
      </c>
      <c r="G21" s="1">
        <v>5000000</v>
      </c>
      <c r="H21" s="1">
        <v>1993</v>
      </c>
      <c r="I21" s="1">
        <v>2013</v>
      </c>
      <c r="J21" s="27">
        <v>2.79</v>
      </c>
      <c r="K21" s="1">
        <v>1914976</v>
      </c>
      <c r="L21" s="1" t="s">
        <v>161</v>
      </c>
    </row>
    <row r="22" spans="1:12">
      <c r="A22" s="1" t="s">
        <v>70</v>
      </c>
      <c r="B22" s="1" t="s">
        <v>71</v>
      </c>
      <c r="C22" s="1">
        <v>2007</v>
      </c>
      <c r="D22" s="1" t="s">
        <v>144</v>
      </c>
      <c r="E22" s="1" t="s">
        <v>72</v>
      </c>
      <c r="F22" s="1" t="s">
        <v>136</v>
      </c>
      <c r="G22" s="1">
        <v>20000000</v>
      </c>
      <c r="H22" s="1">
        <v>1994</v>
      </c>
      <c r="I22" s="1">
        <v>2024</v>
      </c>
      <c r="J22" s="27">
        <v>1</v>
      </c>
      <c r="K22" s="1">
        <v>14072223</v>
      </c>
      <c r="L22" s="1" t="s">
        <v>162</v>
      </c>
    </row>
    <row r="23" spans="1:12">
      <c r="A23" s="1" t="s">
        <v>70</v>
      </c>
      <c r="B23" s="1" t="s">
        <v>71</v>
      </c>
      <c r="C23" s="1">
        <v>2007</v>
      </c>
      <c r="D23" s="1" t="s">
        <v>163</v>
      </c>
      <c r="F23" s="1" t="s">
        <v>136</v>
      </c>
      <c r="G23" s="1">
        <v>7750000</v>
      </c>
      <c r="H23" s="1">
        <v>2003</v>
      </c>
      <c r="I23" s="1">
        <v>2023</v>
      </c>
      <c r="J23" s="27">
        <v>1</v>
      </c>
      <c r="K23" s="1">
        <v>6542404</v>
      </c>
      <c r="L23" s="1" t="s">
        <v>164</v>
      </c>
    </row>
    <row r="24" spans="1:12">
      <c r="A24" s="1" t="s">
        <v>70</v>
      </c>
      <c r="B24" s="1" t="s">
        <v>71</v>
      </c>
      <c r="C24" s="1">
        <v>2007</v>
      </c>
      <c r="D24" s="1" t="s">
        <v>165</v>
      </c>
      <c r="F24" s="1" t="s">
        <v>136</v>
      </c>
      <c r="G24" s="1">
        <v>1260000</v>
      </c>
      <c r="H24" s="1">
        <v>2006</v>
      </c>
      <c r="I24" s="1">
        <v>2026</v>
      </c>
      <c r="J24" s="27">
        <v>1</v>
      </c>
      <c r="K24" s="1">
        <v>1191441</v>
      </c>
      <c r="L24" s="1" t="s">
        <v>166</v>
      </c>
    </row>
    <row r="25" spans="1:12">
      <c r="A25" s="1" t="s">
        <v>70</v>
      </c>
      <c r="B25" s="1" t="s">
        <v>71</v>
      </c>
      <c r="C25" s="1">
        <v>2018</v>
      </c>
      <c r="D25" s="1" t="s">
        <v>144</v>
      </c>
      <c r="E25" s="1" t="s">
        <v>72</v>
      </c>
      <c r="F25" s="1" t="s">
        <v>136</v>
      </c>
      <c r="G25" s="1">
        <v>20000000</v>
      </c>
      <c r="H25" s="1">
        <v>1994</v>
      </c>
      <c r="I25" s="1">
        <v>2024</v>
      </c>
      <c r="J25" s="27">
        <v>1</v>
      </c>
      <c r="K25" s="1">
        <v>4928474</v>
      </c>
      <c r="L25" s="1" t="s">
        <v>162</v>
      </c>
    </row>
    <row r="26" spans="1:12">
      <c r="A26" s="1" t="s">
        <v>70</v>
      </c>
      <c r="B26" s="1" t="s">
        <v>71</v>
      </c>
      <c r="C26" s="1">
        <v>2018</v>
      </c>
      <c r="D26" s="1" t="s">
        <v>163</v>
      </c>
      <c r="F26" s="1" t="s">
        <v>136</v>
      </c>
      <c r="G26" s="1">
        <v>7750000</v>
      </c>
      <c r="H26" s="1">
        <v>2003</v>
      </c>
      <c r="I26" s="1">
        <v>2023</v>
      </c>
      <c r="J26" s="27">
        <v>1</v>
      </c>
      <c r="K26" s="1">
        <v>2354205</v>
      </c>
      <c r="L26" s="1" t="s">
        <v>164</v>
      </c>
    </row>
    <row r="27" spans="1:12">
      <c r="A27" s="1" t="s">
        <v>70</v>
      </c>
      <c r="B27" s="1" t="s">
        <v>71</v>
      </c>
      <c r="C27" s="1">
        <v>2018</v>
      </c>
      <c r="D27" s="1" t="s">
        <v>167</v>
      </c>
      <c r="F27" s="1" t="s">
        <v>136</v>
      </c>
      <c r="G27" s="1">
        <v>6466636</v>
      </c>
      <c r="H27" s="1">
        <v>2013</v>
      </c>
      <c r="J27" s="27">
        <v>1</v>
      </c>
      <c r="K27" s="1">
        <v>4380924</v>
      </c>
    </row>
    <row r="28" spans="1:12">
      <c r="A28" s="1" t="s">
        <v>70</v>
      </c>
      <c r="B28" s="1" t="s">
        <v>71</v>
      </c>
      <c r="C28" s="1">
        <v>2018</v>
      </c>
      <c r="D28" s="1" t="s">
        <v>168</v>
      </c>
      <c r="F28" s="1" t="s">
        <v>136</v>
      </c>
      <c r="G28" s="1">
        <v>20000000</v>
      </c>
      <c r="H28" s="1">
        <v>2010</v>
      </c>
      <c r="I28" s="1">
        <v>2030</v>
      </c>
      <c r="J28" s="27">
        <f>AVERAGE(1.274,2.547,2.547,2.547)</f>
        <v>2.2287500000000002</v>
      </c>
      <c r="K28" s="1">
        <v>14298113</v>
      </c>
    </row>
    <row r="29" spans="1:12">
      <c r="A29" s="1" t="s">
        <v>70</v>
      </c>
      <c r="B29" s="1" t="s">
        <v>71</v>
      </c>
      <c r="C29" s="1">
        <v>2018</v>
      </c>
      <c r="D29" s="1" t="s">
        <v>169</v>
      </c>
      <c r="F29" s="1" t="s">
        <v>136</v>
      </c>
      <c r="G29" s="1">
        <v>10000000</v>
      </c>
      <c r="H29" s="1">
        <v>2011</v>
      </c>
      <c r="J29" s="27">
        <v>1</v>
      </c>
      <c r="K29" s="1">
        <v>7570806</v>
      </c>
      <c r="L29" s="1" t="s">
        <v>170</v>
      </c>
    </row>
    <row r="30" spans="1:12">
      <c r="A30" s="1" t="s">
        <v>70</v>
      </c>
      <c r="B30" s="1" t="s">
        <v>71</v>
      </c>
      <c r="C30" s="1">
        <v>2018</v>
      </c>
      <c r="D30" s="1" t="s">
        <v>171</v>
      </c>
      <c r="F30" s="1" t="s">
        <v>136</v>
      </c>
      <c r="G30" s="1">
        <v>6116523</v>
      </c>
      <c r="H30" s="1">
        <v>2014</v>
      </c>
      <c r="J30" s="27">
        <v>1</v>
      </c>
      <c r="K30" s="1">
        <v>5202046</v>
      </c>
      <c r="L30" s="1" t="s">
        <v>172</v>
      </c>
    </row>
    <row r="31" spans="1:12">
      <c r="A31" s="1" t="s">
        <v>70</v>
      </c>
      <c r="B31" s="1" t="s">
        <v>71</v>
      </c>
      <c r="C31" s="1">
        <v>2018</v>
      </c>
      <c r="D31" s="1" t="s">
        <v>173</v>
      </c>
      <c r="E31" s="1" t="s">
        <v>72</v>
      </c>
      <c r="F31" s="1" t="s">
        <v>132</v>
      </c>
      <c r="G31" s="1">
        <v>47740000</v>
      </c>
      <c r="H31" s="1">
        <v>2007</v>
      </c>
      <c r="I31" s="1">
        <v>2019</v>
      </c>
      <c r="K31" s="1">
        <v>5475000</v>
      </c>
    </row>
    <row r="32" spans="1:12">
      <c r="A32" s="1" t="s">
        <v>70</v>
      </c>
      <c r="B32" s="1" t="s">
        <v>71</v>
      </c>
      <c r="C32" s="1">
        <v>2018</v>
      </c>
      <c r="D32" s="1" t="s">
        <v>174</v>
      </c>
      <c r="E32" s="1" t="s">
        <v>81</v>
      </c>
      <c r="F32" s="1" t="s">
        <v>132</v>
      </c>
      <c r="G32" s="1">
        <v>16340000</v>
      </c>
      <c r="H32" s="1">
        <v>2010</v>
      </c>
      <c r="I32" s="1">
        <v>2039</v>
      </c>
      <c r="K32" s="1">
        <v>13940000</v>
      </c>
    </row>
    <row r="33" spans="1:12">
      <c r="A33" s="1" t="s">
        <v>70</v>
      </c>
      <c r="B33" s="1" t="s">
        <v>71</v>
      </c>
      <c r="C33" s="1">
        <v>2018</v>
      </c>
      <c r="D33" s="1" t="s">
        <v>175</v>
      </c>
      <c r="E33" s="1" t="s">
        <v>81</v>
      </c>
      <c r="F33" s="1" t="s">
        <v>132</v>
      </c>
      <c r="G33" s="1">
        <v>15745000</v>
      </c>
      <c r="H33" s="1">
        <v>2010</v>
      </c>
      <c r="I33" s="1">
        <v>2040</v>
      </c>
      <c r="K33" s="1">
        <v>13580000</v>
      </c>
    </row>
    <row r="34" spans="1:12">
      <c r="A34" s="1" t="s">
        <v>70</v>
      </c>
      <c r="B34" s="1" t="s">
        <v>71</v>
      </c>
      <c r="C34" s="1">
        <v>2010</v>
      </c>
      <c r="D34" s="1" t="s">
        <v>176</v>
      </c>
      <c r="E34" s="1" t="s">
        <v>81</v>
      </c>
      <c r="F34" s="1" t="s">
        <v>132</v>
      </c>
      <c r="G34" s="1">
        <v>1400000</v>
      </c>
      <c r="H34" s="1">
        <v>1950</v>
      </c>
      <c r="K34" s="1">
        <v>0</v>
      </c>
      <c r="L34" s="1" t="s">
        <v>177</v>
      </c>
    </row>
    <row r="35" spans="1:12">
      <c r="A35" s="1" t="s">
        <v>70</v>
      </c>
      <c r="B35" s="1" t="s">
        <v>71</v>
      </c>
      <c r="C35" s="1">
        <v>2010</v>
      </c>
      <c r="D35" s="1" t="s">
        <v>178</v>
      </c>
      <c r="E35" s="1" t="s">
        <v>81</v>
      </c>
      <c r="F35" s="1" t="s">
        <v>132</v>
      </c>
      <c r="G35" s="1">
        <v>300000</v>
      </c>
      <c r="H35" s="1">
        <v>1951</v>
      </c>
      <c r="K35" s="1">
        <v>0</v>
      </c>
      <c r="L35" s="1" t="s">
        <v>179</v>
      </c>
    </row>
    <row r="36" spans="1:12">
      <c r="A36" s="1" t="s">
        <v>70</v>
      </c>
      <c r="B36" s="1" t="s">
        <v>71</v>
      </c>
      <c r="C36" s="1">
        <v>2010</v>
      </c>
      <c r="D36" s="1" t="s">
        <v>180</v>
      </c>
      <c r="E36" s="1" t="s">
        <v>81</v>
      </c>
      <c r="F36" s="1" t="s">
        <v>132</v>
      </c>
      <c r="G36" s="1">
        <v>1600000</v>
      </c>
      <c r="H36" s="1">
        <v>1953</v>
      </c>
      <c r="K36" s="1">
        <v>0</v>
      </c>
      <c r="L36" s="1" t="s">
        <v>181</v>
      </c>
    </row>
    <row r="37" spans="1:12">
      <c r="A37" s="1" t="s">
        <v>70</v>
      </c>
      <c r="B37" s="1" t="s">
        <v>71</v>
      </c>
      <c r="C37" s="1">
        <v>2010</v>
      </c>
      <c r="D37" s="1" t="s">
        <v>182</v>
      </c>
      <c r="E37" s="1" t="s">
        <v>81</v>
      </c>
      <c r="F37" s="1" t="s">
        <v>132</v>
      </c>
      <c r="G37" s="1">
        <v>4830000</v>
      </c>
      <c r="H37" s="1">
        <v>2003</v>
      </c>
      <c r="K37" s="1">
        <v>0</v>
      </c>
    </row>
    <row r="38" spans="1:12">
      <c r="A38" s="1" t="s">
        <v>70</v>
      </c>
      <c r="B38" s="1" t="s">
        <v>71</v>
      </c>
      <c r="C38" s="1">
        <v>2010</v>
      </c>
      <c r="D38" s="1" t="s">
        <v>183</v>
      </c>
      <c r="E38" s="1" t="s">
        <v>81</v>
      </c>
      <c r="F38" s="1" t="s">
        <v>132</v>
      </c>
      <c r="G38" s="1">
        <v>3105000</v>
      </c>
      <c r="H38" s="1">
        <v>2004</v>
      </c>
      <c r="K38" s="1">
        <v>1020500</v>
      </c>
    </row>
    <row r="39" spans="1:12">
      <c r="A39" s="1" t="s">
        <v>70</v>
      </c>
      <c r="B39" s="1" t="s">
        <v>71</v>
      </c>
      <c r="C39" s="1">
        <v>2010</v>
      </c>
      <c r="D39" s="1" t="s">
        <v>184</v>
      </c>
      <c r="E39" s="1" t="s">
        <v>81</v>
      </c>
      <c r="F39" s="1" t="s">
        <v>185</v>
      </c>
      <c r="G39" s="1">
        <v>9467225</v>
      </c>
      <c r="H39" s="1">
        <v>1989</v>
      </c>
      <c r="I39" s="1">
        <v>2009</v>
      </c>
      <c r="J39" s="27">
        <v>2.9</v>
      </c>
      <c r="K39" s="1">
        <v>650000</v>
      </c>
    </row>
    <row r="40" spans="1:12">
      <c r="A40" s="1" t="s">
        <v>70</v>
      </c>
      <c r="B40" s="1" t="s">
        <v>71</v>
      </c>
      <c r="C40" s="1">
        <v>2010</v>
      </c>
      <c r="D40" s="1" t="s">
        <v>186</v>
      </c>
      <c r="E40" s="1" t="s">
        <v>81</v>
      </c>
      <c r="F40" s="1" t="s">
        <v>185</v>
      </c>
      <c r="G40" s="1">
        <v>11209400</v>
      </c>
      <c r="H40" s="1">
        <v>1989</v>
      </c>
      <c r="I40" s="1">
        <v>2012</v>
      </c>
      <c r="J40" s="27">
        <v>3.05</v>
      </c>
      <c r="K40" s="1">
        <v>3060000</v>
      </c>
    </row>
    <row r="41" spans="1:12">
      <c r="A41" s="1" t="s">
        <v>70</v>
      </c>
      <c r="B41" s="1" t="s">
        <v>71</v>
      </c>
      <c r="C41" s="1">
        <v>2010</v>
      </c>
      <c r="D41" s="1" t="s">
        <v>187</v>
      </c>
      <c r="E41" s="1" t="s">
        <v>72</v>
      </c>
      <c r="F41" s="1" t="s">
        <v>132</v>
      </c>
      <c r="G41" s="1">
        <v>47740000</v>
      </c>
      <c r="H41" s="1">
        <v>2007</v>
      </c>
      <c r="I41" s="1">
        <v>2019</v>
      </c>
      <c r="J41" s="27">
        <f>AVERAGE(4,4,4.25,5.25)</f>
        <v>4.375</v>
      </c>
      <c r="K41" s="1">
        <v>44505000</v>
      </c>
      <c r="L41" s="1" t="s">
        <v>188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0"/>
  <sheetViews>
    <sheetView topLeftCell="A11" workbookViewId="0">
      <selection activeCell="A41" sqref="A41:D45"/>
    </sheetView>
  </sheetViews>
  <sheetFormatPr defaultColWidth="8.85546875" defaultRowHeight="14.45"/>
  <cols>
    <col min="1" max="1" width="10.140625" style="1" bestFit="1" customWidth="1"/>
    <col min="2" max="8" width="8.85546875" style="1"/>
    <col min="9" max="9" width="15" style="1" bestFit="1" customWidth="1"/>
    <col min="10" max="16384" width="8.85546875" style="1"/>
  </cols>
  <sheetData>
    <row r="1" spans="1:10">
      <c r="A1" s="2" t="s">
        <v>51</v>
      </c>
      <c r="B1" s="2" t="s">
        <v>52</v>
      </c>
      <c r="C1" s="2" t="s">
        <v>53</v>
      </c>
      <c r="D1" s="6" t="s">
        <v>189</v>
      </c>
      <c r="E1" s="6" t="s">
        <v>190</v>
      </c>
      <c r="F1" s="6" t="s">
        <v>102</v>
      </c>
      <c r="G1" s="6" t="s">
        <v>191</v>
      </c>
      <c r="H1" s="6" t="s">
        <v>192</v>
      </c>
      <c r="I1" s="6" t="s">
        <v>193</v>
      </c>
      <c r="J1" s="6" t="s">
        <v>69</v>
      </c>
    </row>
    <row r="2" spans="1:10">
      <c r="A2" s="1" t="s">
        <v>70</v>
      </c>
      <c r="B2" s="1" t="s">
        <v>71</v>
      </c>
      <c r="C2" s="1">
        <v>1997</v>
      </c>
      <c r="D2" s="1">
        <v>1997</v>
      </c>
      <c r="E2" s="1">
        <v>0</v>
      </c>
      <c r="F2" s="23">
        <v>58505</v>
      </c>
      <c r="G2" s="23">
        <f>SUM(E2:F2)</f>
        <v>58505</v>
      </c>
      <c r="H2" s="1">
        <v>1048525</v>
      </c>
      <c r="I2" s="1">
        <f>SUM(G2:H2)</f>
        <v>1107030</v>
      </c>
      <c r="J2" s="1" t="s">
        <v>194</v>
      </c>
    </row>
    <row r="3" spans="1:10">
      <c r="A3" s="1" t="s">
        <v>70</v>
      </c>
      <c r="B3" s="1" t="s">
        <v>71</v>
      </c>
      <c r="C3" s="1">
        <v>1997</v>
      </c>
      <c r="D3" s="1">
        <v>1998</v>
      </c>
      <c r="E3" s="1">
        <v>290000</v>
      </c>
      <c r="F3" s="23">
        <v>2632710</v>
      </c>
      <c r="G3" s="23">
        <f t="shared" ref="G3:G40" si="0">SUM(E3:F3)</f>
        <v>2922710</v>
      </c>
      <c r="H3" s="1">
        <v>1366570</v>
      </c>
      <c r="I3" s="1">
        <f t="shared" ref="I3:I24" si="1">SUM(G3:H3)</f>
        <v>4289280</v>
      </c>
    </row>
    <row r="4" spans="1:10">
      <c r="A4" s="1" t="s">
        <v>70</v>
      </c>
      <c r="B4" s="1" t="s">
        <v>71</v>
      </c>
      <c r="C4" s="1">
        <v>1997</v>
      </c>
      <c r="D4" s="1">
        <v>1999</v>
      </c>
      <c r="E4" s="1">
        <v>305000</v>
      </c>
      <c r="F4" s="23">
        <v>2621545</v>
      </c>
      <c r="G4" s="23">
        <f t="shared" si="0"/>
        <v>2926545</v>
      </c>
      <c r="H4" s="1">
        <v>1370340</v>
      </c>
      <c r="I4" s="1">
        <f t="shared" si="1"/>
        <v>4296885</v>
      </c>
    </row>
    <row r="5" spans="1:10">
      <c r="A5" s="1" t="s">
        <v>70</v>
      </c>
      <c r="B5" s="1" t="s">
        <v>71</v>
      </c>
      <c r="C5" s="1">
        <v>1997</v>
      </c>
      <c r="D5" s="1">
        <v>2000</v>
      </c>
      <c r="E5" s="1">
        <v>315000</v>
      </c>
      <c r="F5" s="23">
        <v>2609193</v>
      </c>
      <c r="G5" s="23">
        <f t="shared" si="0"/>
        <v>2924193</v>
      </c>
      <c r="H5" s="1">
        <v>1367340</v>
      </c>
      <c r="I5" s="1">
        <f t="shared" si="1"/>
        <v>4291533</v>
      </c>
    </row>
    <row r="6" spans="1:10">
      <c r="A6" s="1" t="s">
        <v>70</v>
      </c>
      <c r="B6" s="1" t="s">
        <v>71</v>
      </c>
      <c r="C6" s="1">
        <v>1997</v>
      </c>
      <c r="D6" s="1">
        <v>2001</v>
      </c>
      <c r="E6" s="1">
        <v>330000</v>
      </c>
      <c r="F6" s="23">
        <v>2596120</v>
      </c>
      <c r="G6" s="23">
        <f t="shared" si="0"/>
        <v>2926120</v>
      </c>
      <c r="H6" s="1">
        <v>2348225</v>
      </c>
      <c r="I6" s="1">
        <f t="shared" si="1"/>
        <v>5274345</v>
      </c>
    </row>
    <row r="7" spans="1:10">
      <c r="A7" s="1" t="s">
        <v>70</v>
      </c>
      <c r="B7" s="1" t="s">
        <v>71</v>
      </c>
      <c r="C7" s="1">
        <v>1997</v>
      </c>
      <c r="D7" s="1">
        <v>2002</v>
      </c>
      <c r="E7" s="1">
        <v>345000</v>
      </c>
      <c r="F7" s="23">
        <v>2582095</v>
      </c>
      <c r="G7" s="23">
        <f t="shared" si="0"/>
        <v>2927095</v>
      </c>
      <c r="H7" s="1">
        <v>1416792</v>
      </c>
      <c r="I7" s="1">
        <f t="shared" si="1"/>
        <v>4343887</v>
      </c>
    </row>
    <row r="8" spans="1:10">
      <c r="A8" s="1" t="s">
        <v>70</v>
      </c>
      <c r="B8" s="1" t="s">
        <v>71</v>
      </c>
      <c r="C8" s="1">
        <v>1997</v>
      </c>
      <c r="D8" s="1">
        <v>2003</v>
      </c>
      <c r="E8" s="1">
        <v>360000</v>
      </c>
      <c r="F8" s="23">
        <v>2567087</v>
      </c>
      <c r="G8" s="23">
        <f t="shared" si="0"/>
        <v>2927087</v>
      </c>
      <c r="H8" s="1">
        <v>1418073</v>
      </c>
      <c r="I8" s="1">
        <f t="shared" si="1"/>
        <v>4345160</v>
      </c>
    </row>
    <row r="9" spans="1:10">
      <c r="A9" s="1" t="s">
        <v>70</v>
      </c>
      <c r="B9" s="1" t="s">
        <v>71</v>
      </c>
      <c r="C9" s="1">
        <v>1997</v>
      </c>
      <c r="D9" s="1">
        <v>2004</v>
      </c>
      <c r="E9" s="1">
        <v>375000</v>
      </c>
      <c r="F9" s="23">
        <v>2551248</v>
      </c>
      <c r="G9" s="23">
        <f t="shared" si="0"/>
        <v>2926248</v>
      </c>
      <c r="H9" s="1">
        <v>1419597</v>
      </c>
      <c r="I9" s="1">
        <f t="shared" si="1"/>
        <v>4345845</v>
      </c>
    </row>
    <row r="10" spans="1:10">
      <c r="A10" s="1" t="s">
        <v>70</v>
      </c>
      <c r="B10" s="1" t="s">
        <v>71</v>
      </c>
      <c r="C10" s="1">
        <v>1997</v>
      </c>
      <c r="D10" s="1">
        <v>2005</v>
      </c>
      <c r="E10" s="1">
        <v>1765000</v>
      </c>
      <c r="F10" s="23">
        <v>2534372</v>
      </c>
      <c r="G10" s="23">
        <f t="shared" si="0"/>
        <v>4299372</v>
      </c>
      <c r="H10" s="1">
        <v>45957</v>
      </c>
      <c r="I10" s="1">
        <f t="shared" si="1"/>
        <v>4345329</v>
      </c>
    </row>
    <row r="11" spans="1:10">
      <c r="A11" s="1" t="s">
        <v>70</v>
      </c>
      <c r="B11" s="1" t="s">
        <v>71</v>
      </c>
      <c r="C11" s="1">
        <v>1997</v>
      </c>
      <c r="D11" s="1">
        <v>2006</v>
      </c>
      <c r="E11" s="1">
        <v>1845000</v>
      </c>
      <c r="F11" s="23">
        <v>2454065</v>
      </c>
      <c r="G11" s="23">
        <f t="shared" si="0"/>
        <v>4299065</v>
      </c>
      <c r="H11" s="1">
        <v>45095</v>
      </c>
      <c r="I11" s="1">
        <f t="shared" si="1"/>
        <v>4344160</v>
      </c>
    </row>
    <row r="12" spans="1:10">
      <c r="A12" s="1" t="s">
        <v>70</v>
      </c>
      <c r="B12" s="1" t="s">
        <v>71</v>
      </c>
      <c r="C12" s="1">
        <v>1997</v>
      </c>
      <c r="D12" s="1">
        <v>2007</v>
      </c>
      <c r="E12" s="1">
        <v>1945000</v>
      </c>
      <c r="F12" s="23">
        <v>2357202</v>
      </c>
      <c r="G12" s="23">
        <f t="shared" si="0"/>
        <v>4302202</v>
      </c>
      <c r="H12" s="1">
        <v>44210</v>
      </c>
      <c r="I12" s="1">
        <f t="shared" si="1"/>
        <v>4346412</v>
      </c>
    </row>
    <row r="13" spans="1:10">
      <c r="A13" s="1" t="s">
        <v>70</v>
      </c>
      <c r="B13" s="1" t="s">
        <v>71</v>
      </c>
      <c r="C13" s="1">
        <v>1997</v>
      </c>
      <c r="D13" s="1">
        <v>2008</v>
      </c>
      <c r="E13" s="1">
        <v>2040000</v>
      </c>
      <c r="F13" s="23">
        <v>2255090</v>
      </c>
      <c r="G13" s="23">
        <f t="shared" si="0"/>
        <v>4295090</v>
      </c>
      <c r="H13" s="1">
        <v>48310</v>
      </c>
      <c r="I13" s="1">
        <f t="shared" si="1"/>
        <v>4343400</v>
      </c>
    </row>
    <row r="14" spans="1:10">
      <c r="A14" s="1" t="s">
        <v>70</v>
      </c>
      <c r="B14" s="1" t="s">
        <v>71</v>
      </c>
      <c r="C14" s="1">
        <v>1997</v>
      </c>
      <c r="D14" s="1">
        <v>2009</v>
      </c>
      <c r="E14" s="1">
        <v>2260000</v>
      </c>
      <c r="F14" s="23">
        <v>2158190</v>
      </c>
      <c r="G14" s="23">
        <f t="shared" si="0"/>
        <v>4418190</v>
      </c>
      <c r="H14" s="1">
        <v>47090</v>
      </c>
      <c r="I14" s="1">
        <f t="shared" si="1"/>
        <v>4465280</v>
      </c>
    </row>
    <row r="15" spans="1:10">
      <c r="A15" s="1" t="s">
        <v>70</v>
      </c>
      <c r="B15" s="1" t="s">
        <v>71</v>
      </c>
      <c r="C15" s="1">
        <v>1997</v>
      </c>
      <c r="D15" s="1">
        <v>2010</v>
      </c>
      <c r="E15" s="1">
        <v>2430000</v>
      </c>
      <c r="F15" s="23">
        <v>2048580</v>
      </c>
      <c r="G15" s="23">
        <f t="shared" si="0"/>
        <v>4478580</v>
      </c>
      <c r="H15" s="1">
        <v>45860</v>
      </c>
      <c r="I15" s="1">
        <f t="shared" si="1"/>
        <v>4524440</v>
      </c>
    </row>
    <row r="16" spans="1:10">
      <c r="A16" s="1" t="s">
        <v>70</v>
      </c>
      <c r="B16" s="1" t="s">
        <v>71</v>
      </c>
      <c r="C16" s="1">
        <v>1997</v>
      </c>
      <c r="D16" s="1">
        <v>2011</v>
      </c>
      <c r="E16" s="1">
        <v>2770000</v>
      </c>
      <c r="F16" s="23">
        <v>1928295</v>
      </c>
      <c r="G16" s="23">
        <f t="shared" si="0"/>
        <v>4698295</v>
      </c>
      <c r="H16" s="1">
        <v>49610</v>
      </c>
      <c r="I16" s="1">
        <f t="shared" si="1"/>
        <v>4747905</v>
      </c>
    </row>
    <row r="17" spans="1:9">
      <c r="A17" s="1" t="s">
        <v>70</v>
      </c>
      <c r="B17" s="1" t="s">
        <v>71</v>
      </c>
      <c r="C17" s="1">
        <v>1997</v>
      </c>
      <c r="D17" s="1">
        <v>2012</v>
      </c>
      <c r="E17" s="1">
        <v>2910000</v>
      </c>
      <c r="F17" s="23">
        <v>1788410</v>
      </c>
      <c r="G17" s="23">
        <f t="shared" si="0"/>
        <v>4698410</v>
      </c>
      <c r="H17" s="1">
        <v>48010</v>
      </c>
      <c r="I17" s="1">
        <f t="shared" si="1"/>
        <v>4746420</v>
      </c>
    </row>
    <row r="18" spans="1:9">
      <c r="A18" s="1" t="s">
        <v>70</v>
      </c>
      <c r="B18" s="1" t="s">
        <v>71</v>
      </c>
      <c r="C18" s="1">
        <v>1997</v>
      </c>
      <c r="D18" s="1">
        <v>2013</v>
      </c>
      <c r="E18" s="1">
        <v>3875000</v>
      </c>
      <c r="F18" s="23">
        <v>1640000</v>
      </c>
      <c r="G18" s="23">
        <f t="shared" si="0"/>
        <v>5515000</v>
      </c>
      <c r="H18" s="1">
        <v>61410</v>
      </c>
      <c r="I18" s="1">
        <f t="shared" si="1"/>
        <v>5576410</v>
      </c>
    </row>
    <row r="19" spans="1:9">
      <c r="A19" s="1" t="s">
        <v>70</v>
      </c>
      <c r="B19" s="1" t="s">
        <v>71</v>
      </c>
      <c r="C19" s="1">
        <v>1997</v>
      </c>
      <c r="D19" s="1">
        <v>2014</v>
      </c>
      <c r="E19" s="1">
        <v>4255000</v>
      </c>
      <c r="F19" s="23">
        <v>1446250</v>
      </c>
      <c r="G19" s="23">
        <f t="shared" si="0"/>
        <v>5701250</v>
      </c>
      <c r="H19" s="1">
        <v>58850</v>
      </c>
      <c r="I19" s="1">
        <f t="shared" si="1"/>
        <v>5760100</v>
      </c>
    </row>
    <row r="20" spans="1:9">
      <c r="A20" s="1" t="s">
        <v>70</v>
      </c>
      <c r="B20" s="1" t="s">
        <v>71</v>
      </c>
      <c r="C20" s="1">
        <v>1997</v>
      </c>
      <c r="D20" s="1">
        <v>2015</v>
      </c>
      <c r="E20" s="1">
        <v>4465000</v>
      </c>
      <c r="F20" s="23">
        <v>1233500</v>
      </c>
      <c r="G20" s="23">
        <f t="shared" si="0"/>
        <v>5698500</v>
      </c>
      <c r="H20" s="1">
        <v>61250</v>
      </c>
      <c r="I20" s="1">
        <f t="shared" si="1"/>
        <v>5759750</v>
      </c>
    </row>
    <row r="21" spans="1:9">
      <c r="A21" s="1" t="s">
        <v>70</v>
      </c>
      <c r="B21" s="1" t="s">
        <v>71</v>
      </c>
      <c r="C21" s="1">
        <v>1997</v>
      </c>
      <c r="D21" s="1">
        <v>2016</v>
      </c>
      <c r="E21" s="1">
        <v>4685000</v>
      </c>
      <c r="F21" s="23">
        <v>1010250</v>
      </c>
      <c r="G21" s="23">
        <f t="shared" si="0"/>
        <v>5695250</v>
      </c>
      <c r="H21" s="1">
        <v>58325</v>
      </c>
      <c r="I21" s="1">
        <f t="shared" si="1"/>
        <v>5753575</v>
      </c>
    </row>
    <row r="22" spans="1:9">
      <c r="A22" s="1" t="s">
        <v>70</v>
      </c>
      <c r="B22" s="1" t="s">
        <v>71</v>
      </c>
      <c r="C22" s="1">
        <v>1997</v>
      </c>
      <c r="D22" s="1">
        <v>2017</v>
      </c>
      <c r="E22" s="1">
        <v>4920000</v>
      </c>
      <c r="F22" s="23">
        <v>776000</v>
      </c>
      <c r="G22" s="23">
        <f t="shared" si="0"/>
        <v>5696000</v>
      </c>
      <c r="H22" s="1">
        <v>60400</v>
      </c>
      <c r="I22" s="1">
        <f t="shared" si="1"/>
        <v>5756400</v>
      </c>
    </row>
    <row r="23" spans="1:9">
      <c r="A23" s="1" t="s">
        <v>70</v>
      </c>
      <c r="B23" s="1" t="s">
        <v>71</v>
      </c>
      <c r="C23" s="1">
        <v>1997</v>
      </c>
      <c r="D23" s="1">
        <v>2018</v>
      </c>
      <c r="E23" s="1">
        <v>5170000</v>
      </c>
      <c r="F23" s="23">
        <v>530000</v>
      </c>
      <c r="G23" s="23">
        <f t="shared" si="0"/>
        <v>5700000</v>
      </c>
      <c r="H23" s="1">
        <v>62150</v>
      </c>
      <c r="I23" s="1">
        <f t="shared" si="1"/>
        <v>5762150</v>
      </c>
    </row>
    <row r="24" spans="1:9">
      <c r="A24" s="1" t="s">
        <v>70</v>
      </c>
      <c r="B24" s="1" t="s">
        <v>71</v>
      </c>
      <c r="C24" s="1">
        <v>1997</v>
      </c>
      <c r="D24" s="1">
        <v>2019</v>
      </c>
      <c r="E24" s="1">
        <v>5430000</v>
      </c>
      <c r="F24" s="23">
        <v>271500</v>
      </c>
      <c r="G24" s="23">
        <f t="shared" si="0"/>
        <v>5701500</v>
      </c>
      <c r="H24" s="1">
        <v>58575</v>
      </c>
      <c r="I24" s="1">
        <f t="shared" si="1"/>
        <v>5760075</v>
      </c>
    </row>
    <row r="25" spans="1:9">
      <c r="A25" s="1" t="s">
        <v>70</v>
      </c>
      <c r="B25" s="1" t="s">
        <v>71</v>
      </c>
      <c r="C25" s="1">
        <v>2003</v>
      </c>
      <c r="D25" s="1">
        <v>2003</v>
      </c>
      <c r="E25" s="1">
        <v>110000</v>
      </c>
      <c r="F25" s="23">
        <v>34518</v>
      </c>
      <c r="G25" s="23">
        <f t="shared" si="0"/>
        <v>144518</v>
      </c>
    </row>
    <row r="26" spans="1:9">
      <c r="A26" s="1" t="s">
        <v>70</v>
      </c>
      <c r="B26" s="1" t="s">
        <v>71</v>
      </c>
      <c r="C26" s="1">
        <v>2003</v>
      </c>
      <c r="D26" s="1">
        <v>2004</v>
      </c>
      <c r="E26" s="1">
        <v>780000</v>
      </c>
      <c r="F26" s="23">
        <f>52463+44662</f>
        <v>97125</v>
      </c>
      <c r="G26" s="23">
        <f t="shared" si="0"/>
        <v>877125</v>
      </c>
    </row>
    <row r="27" spans="1:9">
      <c r="A27" s="1" t="s">
        <v>70</v>
      </c>
      <c r="B27" s="1" t="s">
        <v>71</v>
      </c>
      <c r="C27" s="1">
        <v>2003</v>
      </c>
      <c r="D27" s="1">
        <v>2005</v>
      </c>
      <c r="E27" s="1">
        <v>795000</v>
      </c>
      <c r="F27" s="23">
        <f>44663+36712</f>
        <v>81375</v>
      </c>
      <c r="G27" s="23">
        <f t="shared" si="0"/>
        <v>876375</v>
      </c>
    </row>
    <row r="28" spans="1:9">
      <c r="A28" s="1" t="s">
        <v>70</v>
      </c>
      <c r="B28" s="1" t="s">
        <v>71</v>
      </c>
      <c r="C28" s="1">
        <v>2003</v>
      </c>
      <c r="D28" s="1">
        <v>2006</v>
      </c>
      <c r="E28" s="1">
        <v>815000</v>
      </c>
      <c r="F28" s="23">
        <f>36713+28562</f>
        <v>65275</v>
      </c>
      <c r="G28" s="23">
        <f t="shared" si="0"/>
        <v>880275</v>
      </c>
    </row>
    <row r="29" spans="1:9">
      <c r="A29" s="1" t="s">
        <v>70</v>
      </c>
      <c r="B29" s="1" t="s">
        <v>71</v>
      </c>
      <c r="C29" s="1">
        <v>2003</v>
      </c>
      <c r="D29" s="1">
        <v>2007</v>
      </c>
      <c r="E29" s="1">
        <v>830000</v>
      </c>
      <c r="F29" s="23">
        <f>28563+20262</f>
        <v>48825</v>
      </c>
      <c r="G29" s="23">
        <f t="shared" si="0"/>
        <v>878825</v>
      </c>
    </row>
    <row r="30" spans="1:9">
      <c r="A30" s="1" t="s">
        <v>70</v>
      </c>
      <c r="B30" s="1" t="s">
        <v>71</v>
      </c>
      <c r="C30" s="1">
        <v>2003</v>
      </c>
      <c r="D30" s="1">
        <v>2008</v>
      </c>
      <c r="E30" s="1">
        <v>850000</v>
      </c>
      <c r="F30" s="23">
        <f>20263+9425</f>
        <v>29688</v>
      </c>
      <c r="G30" s="23">
        <f t="shared" si="0"/>
        <v>879688</v>
      </c>
    </row>
    <row r="31" spans="1:9">
      <c r="A31" s="1" t="s">
        <v>70</v>
      </c>
      <c r="B31" s="1" t="s">
        <v>71</v>
      </c>
      <c r="C31" s="1">
        <v>2003</v>
      </c>
      <c r="D31" s="1">
        <v>2009</v>
      </c>
      <c r="E31" s="1">
        <v>650000</v>
      </c>
      <c r="F31" s="23">
        <v>9425</v>
      </c>
      <c r="G31" s="23">
        <f t="shared" si="0"/>
        <v>659425</v>
      </c>
    </row>
    <row r="32" spans="1:9">
      <c r="A32" s="1" t="s">
        <v>70</v>
      </c>
      <c r="B32" s="1" t="s">
        <v>71</v>
      </c>
      <c r="C32" s="1">
        <v>2004</v>
      </c>
      <c r="D32" s="1">
        <v>2004</v>
      </c>
      <c r="E32" s="1">
        <v>0</v>
      </c>
      <c r="F32" s="1">
        <f>29750+48244</f>
        <v>77994</v>
      </c>
      <c r="G32" s="23">
        <f t="shared" si="0"/>
        <v>77994</v>
      </c>
    </row>
    <row r="33" spans="1:7">
      <c r="A33" s="1" t="s">
        <v>70</v>
      </c>
      <c r="B33" s="1" t="s">
        <v>71</v>
      </c>
      <c r="C33" s="1">
        <v>2004</v>
      </c>
      <c r="D33" s="1">
        <v>2005</v>
      </c>
      <c r="E33" s="1">
        <v>0</v>
      </c>
      <c r="F33" s="1">
        <f>48244*2</f>
        <v>96488</v>
      </c>
      <c r="G33" s="23">
        <f t="shared" si="0"/>
        <v>96488</v>
      </c>
    </row>
    <row r="34" spans="1:7">
      <c r="A34" s="1" t="s">
        <v>70</v>
      </c>
      <c r="B34" s="1" t="s">
        <v>71</v>
      </c>
      <c r="C34" s="1">
        <v>2004</v>
      </c>
      <c r="D34" s="1">
        <v>2006</v>
      </c>
      <c r="E34" s="1">
        <v>0</v>
      </c>
      <c r="F34" s="1">
        <f>48244*2</f>
        <v>96488</v>
      </c>
      <c r="G34" s="23">
        <f t="shared" si="0"/>
        <v>96488</v>
      </c>
    </row>
    <row r="35" spans="1:7">
      <c r="A35" s="1" t="s">
        <v>70</v>
      </c>
      <c r="B35" s="1" t="s">
        <v>71</v>
      </c>
      <c r="C35" s="1">
        <v>2004</v>
      </c>
      <c r="D35" s="1">
        <v>2007</v>
      </c>
      <c r="E35" s="1">
        <v>20000</v>
      </c>
      <c r="F35" s="1">
        <f>48244*2</f>
        <v>96488</v>
      </c>
      <c r="G35" s="23">
        <f t="shared" si="0"/>
        <v>116488</v>
      </c>
    </row>
    <row r="36" spans="1:7">
      <c r="A36" s="1" t="s">
        <v>70</v>
      </c>
      <c r="B36" s="1" t="s">
        <v>71</v>
      </c>
      <c r="C36" s="1">
        <v>2004</v>
      </c>
      <c r="D36" s="1">
        <v>2008</v>
      </c>
      <c r="E36" s="1">
        <v>25000</v>
      </c>
      <c r="F36" s="1">
        <f>47944*2</f>
        <v>95888</v>
      </c>
      <c r="G36" s="23">
        <f t="shared" si="0"/>
        <v>120888</v>
      </c>
    </row>
    <row r="37" spans="1:7">
      <c r="A37" s="1" t="s">
        <v>70</v>
      </c>
      <c r="B37" s="1" t="s">
        <v>71</v>
      </c>
      <c r="C37" s="1">
        <v>2004</v>
      </c>
      <c r="D37" s="1">
        <v>2009</v>
      </c>
      <c r="E37" s="1">
        <v>245000</v>
      </c>
      <c r="F37" s="23">
        <f>47569*2</f>
        <v>95138</v>
      </c>
      <c r="G37" s="23">
        <f t="shared" si="0"/>
        <v>340138</v>
      </c>
    </row>
    <row r="38" spans="1:7">
      <c r="A38" s="1" t="s">
        <v>70</v>
      </c>
      <c r="B38" s="1" t="s">
        <v>71</v>
      </c>
      <c r="C38" s="1">
        <v>2004</v>
      </c>
      <c r="D38" s="1">
        <v>2010</v>
      </c>
      <c r="E38" s="1">
        <v>910000</v>
      </c>
      <c r="F38" s="23">
        <f>43894*2</f>
        <v>87788</v>
      </c>
      <c r="G38" s="23">
        <f t="shared" si="0"/>
        <v>997788</v>
      </c>
    </row>
    <row r="39" spans="1:7">
      <c r="A39" s="1" t="s">
        <v>70</v>
      </c>
      <c r="B39" s="1" t="s">
        <v>71</v>
      </c>
      <c r="C39" s="1">
        <v>2004</v>
      </c>
      <c r="D39" s="1">
        <v>2011</v>
      </c>
      <c r="E39" s="1">
        <v>940000</v>
      </c>
      <c r="F39" s="23">
        <f>30016*2</f>
        <v>60032</v>
      </c>
      <c r="G39" s="23">
        <f t="shared" si="0"/>
        <v>1000032</v>
      </c>
    </row>
    <row r="40" spans="1:7">
      <c r="A40" s="1" t="s">
        <v>70</v>
      </c>
      <c r="B40" s="1" t="s">
        <v>71</v>
      </c>
      <c r="C40" s="1">
        <v>2004</v>
      </c>
      <c r="D40" s="1">
        <v>2012</v>
      </c>
      <c r="E40" s="1">
        <v>965000</v>
      </c>
      <c r="F40" s="23">
        <f>15681*2</f>
        <v>31362</v>
      </c>
      <c r="G40" s="23">
        <f t="shared" si="0"/>
        <v>996362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55"/>
  <sheetViews>
    <sheetView topLeftCell="E16" workbookViewId="0">
      <selection activeCell="H31" sqref="H31"/>
    </sheetView>
  </sheetViews>
  <sheetFormatPr defaultColWidth="8.85546875" defaultRowHeight="14.45"/>
  <cols>
    <col min="1" max="1" width="10.140625" style="1" bestFit="1" customWidth="1"/>
    <col min="2" max="5" width="8.85546875" style="1"/>
    <col min="6" max="6" width="12.5703125" style="1" bestFit="1" customWidth="1"/>
    <col min="7" max="7" width="8.85546875" style="1"/>
    <col min="8" max="8" width="15.5703125" style="1" bestFit="1" customWidth="1"/>
    <col min="9" max="9" width="15" style="1" bestFit="1" customWidth="1"/>
    <col min="10" max="16384" width="8.85546875" style="1"/>
  </cols>
  <sheetData>
    <row r="1" spans="1:11">
      <c r="A1" s="2" t="s">
        <v>51</v>
      </c>
      <c r="B1" s="2" t="s">
        <v>52</v>
      </c>
      <c r="C1" s="2" t="s">
        <v>53</v>
      </c>
      <c r="D1" s="6" t="s">
        <v>189</v>
      </c>
      <c r="E1" s="6" t="s">
        <v>127</v>
      </c>
      <c r="F1" s="2" t="s">
        <v>195</v>
      </c>
      <c r="G1" s="6" t="s">
        <v>196</v>
      </c>
      <c r="H1" s="2" t="s">
        <v>197</v>
      </c>
      <c r="I1" s="6" t="s">
        <v>198</v>
      </c>
      <c r="J1" s="6" t="s">
        <v>199</v>
      </c>
      <c r="K1" s="35"/>
    </row>
    <row r="2" spans="1:11">
      <c r="A2" s="1" t="s">
        <v>70</v>
      </c>
      <c r="B2" s="1" t="s">
        <v>71</v>
      </c>
      <c r="C2" s="1">
        <v>1997</v>
      </c>
      <c r="D2" s="1">
        <v>1997</v>
      </c>
      <c r="E2" s="1" t="s">
        <v>200</v>
      </c>
      <c r="F2" s="1">
        <v>5080000</v>
      </c>
      <c r="G2" s="1">
        <v>3257000</v>
      </c>
      <c r="H2" s="1">
        <v>1107030</v>
      </c>
      <c r="I2" s="18">
        <f>F2/H2</f>
        <v>4.5888548639151603</v>
      </c>
      <c r="J2" s="18">
        <f>SUM(F2:G2)/H2</f>
        <v>7.5309612205631282</v>
      </c>
    </row>
    <row r="3" spans="1:11">
      <c r="A3" s="1" t="s">
        <v>70</v>
      </c>
      <c r="B3" s="1" t="s">
        <v>71</v>
      </c>
      <c r="C3" s="1">
        <v>1997</v>
      </c>
      <c r="D3" s="1">
        <v>1998</v>
      </c>
      <c r="E3" s="1" t="s">
        <v>200</v>
      </c>
      <c r="F3" s="1">
        <v>5723616</v>
      </c>
      <c r="G3" s="1">
        <v>2429577</v>
      </c>
      <c r="H3" s="1">
        <v>4289280</v>
      </c>
      <c r="I3" s="18">
        <f>F3/H3</f>
        <v>1.3344001790510296</v>
      </c>
      <c r="J3" s="18">
        <f t="shared" ref="J3:J5" si="0">SUM(F3:G3)/H3</f>
        <v>1.9008302092658909</v>
      </c>
    </row>
    <row r="4" spans="1:11">
      <c r="A4" s="1" t="s">
        <v>70</v>
      </c>
      <c r="B4" s="1" t="s">
        <v>71</v>
      </c>
      <c r="C4" s="1">
        <v>1997</v>
      </c>
      <c r="D4" s="1">
        <v>1999</v>
      </c>
      <c r="E4" s="1" t="s">
        <v>200</v>
      </c>
      <c r="F4" s="1">
        <v>6427197</v>
      </c>
      <c r="G4" s="1">
        <v>2301965</v>
      </c>
      <c r="H4" s="1">
        <v>4296885</v>
      </c>
      <c r="I4" s="18">
        <f>F4/H4</f>
        <v>1.4957805480016337</v>
      </c>
      <c r="J4" s="18">
        <f t="shared" si="0"/>
        <v>2.0315093375782691</v>
      </c>
    </row>
    <row r="5" spans="1:11">
      <c r="A5" s="1" t="s">
        <v>70</v>
      </c>
      <c r="B5" s="1" t="s">
        <v>71</v>
      </c>
      <c r="C5" s="1">
        <v>1997</v>
      </c>
      <c r="D5" s="1">
        <v>2000</v>
      </c>
      <c r="E5" s="1" t="s">
        <v>200</v>
      </c>
      <c r="F5" s="1">
        <v>7195804</v>
      </c>
      <c r="G5" s="1">
        <v>2945960</v>
      </c>
      <c r="H5" s="1">
        <v>4291532</v>
      </c>
      <c r="I5" s="18">
        <f>F5/H5</f>
        <v>1.6767448081477663</v>
      </c>
      <c r="J5" s="18">
        <f t="shared" si="0"/>
        <v>2.3632036298459385</v>
      </c>
    </row>
    <row r="6" spans="1:11">
      <c r="A6" s="1" t="s">
        <v>70</v>
      </c>
      <c r="B6" s="1" t="s">
        <v>71</v>
      </c>
      <c r="C6" s="1">
        <v>1997</v>
      </c>
      <c r="D6" s="1">
        <v>1997</v>
      </c>
      <c r="E6" s="1" t="s">
        <v>201</v>
      </c>
      <c r="I6" s="18"/>
      <c r="J6" s="18">
        <v>1.2</v>
      </c>
      <c r="K6" s="1" t="s">
        <v>202</v>
      </c>
    </row>
    <row r="7" spans="1:11">
      <c r="A7" s="1" t="s">
        <v>70</v>
      </c>
      <c r="B7" s="1" t="s">
        <v>71</v>
      </c>
      <c r="C7" s="1">
        <v>1997</v>
      </c>
      <c r="D7" s="1">
        <v>1997</v>
      </c>
      <c r="E7" s="1" t="s">
        <v>201</v>
      </c>
      <c r="I7" s="18"/>
      <c r="J7" s="18">
        <v>1</v>
      </c>
      <c r="K7" s="1" t="s">
        <v>203</v>
      </c>
    </row>
    <row r="8" spans="1:11">
      <c r="A8" s="1" t="s">
        <v>70</v>
      </c>
      <c r="B8" s="1" t="s">
        <v>71</v>
      </c>
      <c r="C8" s="1">
        <v>2003</v>
      </c>
      <c r="D8" s="1">
        <v>2000</v>
      </c>
      <c r="E8" s="1" t="s">
        <v>200</v>
      </c>
      <c r="F8" s="1">
        <v>1841793</v>
      </c>
      <c r="H8" s="1" t="s">
        <v>73</v>
      </c>
      <c r="I8" s="18" t="s">
        <v>73</v>
      </c>
      <c r="J8" s="18">
        <v>2.09</v>
      </c>
    </row>
    <row r="9" spans="1:11">
      <c r="A9" s="1" t="s">
        <v>70</v>
      </c>
      <c r="B9" s="1" t="s">
        <v>71</v>
      </c>
      <c r="C9" s="1">
        <v>2003</v>
      </c>
      <c r="D9" s="1">
        <v>2001</v>
      </c>
      <c r="E9" s="1" t="s">
        <v>200</v>
      </c>
      <c r="F9" s="1">
        <v>1663093</v>
      </c>
      <c r="H9" s="1" t="s">
        <v>73</v>
      </c>
      <c r="I9" s="18" t="s">
        <v>73</v>
      </c>
      <c r="J9" s="18">
        <v>1.89</v>
      </c>
    </row>
    <row r="10" spans="1:11">
      <c r="A10" s="1" t="s">
        <v>70</v>
      </c>
      <c r="B10" s="1" t="s">
        <v>71</v>
      </c>
      <c r="C10" s="1">
        <v>2003</v>
      </c>
      <c r="D10" s="1">
        <v>2002</v>
      </c>
      <c r="E10" s="1" t="s">
        <v>200</v>
      </c>
      <c r="F10" s="1">
        <v>878580</v>
      </c>
      <c r="H10" s="1" t="s">
        <v>73</v>
      </c>
      <c r="I10" s="18" t="s">
        <v>73</v>
      </c>
      <c r="J10" s="18">
        <v>1.93</v>
      </c>
    </row>
    <row r="11" spans="1:11">
      <c r="A11" s="1" t="s">
        <v>70</v>
      </c>
      <c r="B11" s="1" t="s">
        <v>71</v>
      </c>
      <c r="C11" s="1">
        <v>2003</v>
      </c>
      <c r="D11" s="1">
        <v>2003</v>
      </c>
      <c r="E11" s="1" t="s">
        <v>201</v>
      </c>
      <c r="I11" s="18"/>
      <c r="J11" s="18">
        <v>1.1499999999999999</v>
      </c>
      <c r="K11" s="1" t="s">
        <v>204</v>
      </c>
    </row>
    <row r="12" spans="1:11">
      <c r="A12" s="1" t="s">
        <v>70</v>
      </c>
      <c r="B12" s="1" t="s">
        <v>71</v>
      </c>
      <c r="C12" s="1">
        <v>2004</v>
      </c>
      <c r="D12" s="1">
        <v>2004</v>
      </c>
      <c r="E12" s="1" t="s">
        <v>201</v>
      </c>
      <c r="I12" s="18"/>
      <c r="J12" s="18">
        <v>1.1499999999999999</v>
      </c>
      <c r="K12" s="1" t="s">
        <v>204</v>
      </c>
    </row>
    <row r="13" spans="1:11">
      <c r="A13" s="1" t="s">
        <v>70</v>
      </c>
      <c r="B13" s="1" t="s">
        <v>71</v>
      </c>
      <c r="C13" s="1">
        <v>2007</v>
      </c>
      <c r="D13" s="1">
        <v>2008</v>
      </c>
      <c r="E13" s="1" t="s">
        <v>200</v>
      </c>
      <c r="F13" s="1">
        <v>6900000</v>
      </c>
      <c r="G13" s="1">
        <v>250000</v>
      </c>
      <c r="H13" s="1">
        <v>4341988</v>
      </c>
      <c r="I13" s="18" t="s">
        <v>73</v>
      </c>
      <c r="J13" s="1">
        <v>1.59</v>
      </c>
    </row>
    <row r="14" spans="1:11">
      <c r="A14" s="1" t="s">
        <v>70</v>
      </c>
      <c r="B14" s="1" t="s">
        <v>71</v>
      </c>
      <c r="C14" s="1">
        <v>2007</v>
      </c>
      <c r="D14" s="1">
        <v>2009</v>
      </c>
      <c r="E14" s="1" t="s">
        <v>200</v>
      </c>
      <c r="F14" s="1">
        <v>7000000</v>
      </c>
      <c r="G14" s="1">
        <v>340000</v>
      </c>
      <c r="H14" s="1">
        <v>4466388</v>
      </c>
      <c r="I14" s="18" t="s">
        <v>73</v>
      </c>
      <c r="J14" s="1">
        <v>1.56</v>
      </c>
    </row>
    <row r="15" spans="1:11">
      <c r="A15" s="1" t="s">
        <v>70</v>
      </c>
      <c r="B15" s="1" t="s">
        <v>71</v>
      </c>
      <c r="C15" s="1">
        <v>2007</v>
      </c>
      <c r="D15" s="1">
        <v>2010</v>
      </c>
      <c r="E15" s="1" t="s">
        <v>200</v>
      </c>
      <c r="F15" s="1">
        <v>7190000</v>
      </c>
      <c r="G15" s="1">
        <v>440000</v>
      </c>
      <c r="H15" s="1">
        <v>4522188</v>
      </c>
      <c r="I15" s="18" t="s">
        <v>73</v>
      </c>
      <c r="J15" s="1">
        <v>1.58</v>
      </c>
    </row>
    <row r="16" spans="1:11">
      <c r="A16" s="1" t="s">
        <v>70</v>
      </c>
      <c r="B16" s="1" t="s">
        <v>71</v>
      </c>
      <c r="C16" s="1">
        <v>2007</v>
      </c>
      <c r="D16" s="1">
        <v>2011</v>
      </c>
      <c r="E16" s="1" t="s">
        <v>200</v>
      </c>
      <c r="F16" s="1">
        <v>7380000</v>
      </c>
      <c r="G16" s="1">
        <v>550000</v>
      </c>
      <c r="H16" s="1">
        <v>4746788</v>
      </c>
      <c r="I16" s="18" t="s">
        <v>73</v>
      </c>
      <c r="J16" s="1">
        <v>1.55</v>
      </c>
    </row>
    <row r="17" spans="1:18">
      <c r="A17" s="1" t="s">
        <v>70</v>
      </c>
      <c r="B17" s="1" t="s">
        <v>71</v>
      </c>
      <c r="C17" s="1">
        <v>2007</v>
      </c>
      <c r="D17" s="1">
        <v>2012</v>
      </c>
      <c r="E17" s="1" t="s">
        <v>200</v>
      </c>
      <c r="F17" s="1">
        <v>7570000</v>
      </c>
      <c r="G17" s="1">
        <v>650000</v>
      </c>
      <c r="H17" s="1">
        <v>4748188</v>
      </c>
      <c r="I17" s="18" t="s">
        <v>73</v>
      </c>
      <c r="J17" s="1">
        <v>1.37</v>
      </c>
    </row>
    <row r="18" spans="1:18">
      <c r="A18" s="1" t="s">
        <v>70</v>
      </c>
      <c r="B18" s="1" t="s">
        <v>71</v>
      </c>
      <c r="C18" s="1">
        <v>2007</v>
      </c>
      <c r="D18" s="1">
        <v>2007</v>
      </c>
      <c r="E18" s="1" t="s">
        <v>201</v>
      </c>
      <c r="I18" s="18"/>
      <c r="J18" s="18">
        <v>1.1000000000000001</v>
      </c>
      <c r="K18" s="1" t="s">
        <v>205</v>
      </c>
    </row>
    <row r="19" spans="1:18">
      <c r="A19" s="1" t="s">
        <v>70</v>
      </c>
      <c r="B19" s="1" t="s">
        <v>71</v>
      </c>
      <c r="C19" s="1">
        <v>2010</v>
      </c>
      <c r="D19" s="1">
        <v>2010</v>
      </c>
      <c r="E19" s="1" t="s">
        <v>206</v>
      </c>
      <c r="I19" s="18"/>
      <c r="J19" s="18">
        <v>1.1000000000000001</v>
      </c>
      <c r="K19" s="1" t="s">
        <v>207</v>
      </c>
    </row>
    <row r="20" spans="1:18">
      <c r="A20" s="1" t="s">
        <v>70</v>
      </c>
      <c r="B20" s="1" t="s">
        <v>71</v>
      </c>
      <c r="C20" s="1">
        <v>2010</v>
      </c>
      <c r="D20" s="1">
        <v>2010</v>
      </c>
      <c r="E20" s="1" t="s">
        <v>208</v>
      </c>
      <c r="I20" s="18"/>
      <c r="J20" s="18">
        <v>1.1499999999999999</v>
      </c>
    </row>
    <row r="21" spans="1:18">
      <c r="A21" s="1" t="s">
        <v>70</v>
      </c>
      <c r="B21" s="1" t="s">
        <v>71</v>
      </c>
      <c r="C21" s="1">
        <v>2010</v>
      </c>
      <c r="D21" s="1">
        <v>2011</v>
      </c>
      <c r="E21" s="1" t="s">
        <v>200</v>
      </c>
      <c r="F21" s="1">
        <v>2327545</v>
      </c>
      <c r="G21" s="13"/>
      <c r="H21" s="1">
        <v>1320361</v>
      </c>
      <c r="J21" s="1">
        <v>1.76</v>
      </c>
      <c r="K21" s="1" t="s">
        <v>209</v>
      </c>
    </row>
    <row r="22" spans="1:18">
      <c r="A22" s="1" t="s">
        <v>70</v>
      </c>
      <c r="B22" s="1" t="s">
        <v>71</v>
      </c>
      <c r="C22" s="1">
        <v>2010</v>
      </c>
      <c r="D22" s="1">
        <v>2012</v>
      </c>
      <c r="E22" s="1" t="s">
        <v>200</v>
      </c>
      <c r="F22" s="36">
        <v>3657085</v>
      </c>
      <c r="G22" s="36"/>
      <c r="H22" s="37">
        <v>1636498.64</v>
      </c>
      <c r="J22" s="1">
        <v>2.23</v>
      </c>
    </row>
    <row r="23" spans="1:18">
      <c r="A23" s="1" t="s">
        <v>70</v>
      </c>
      <c r="B23" s="1" t="s">
        <v>71</v>
      </c>
      <c r="C23" s="1">
        <v>2010</v>
      </c>
      <c r="D23" s="1">
        <v>2013</v>
      </c>
      <c r="E23" s="1" t="s">
        <v>200</v>
      </c>
      <c r="F23" s="36">
        <v>5158024</v>
      </c>
      <c r="G23" s="36"/>
      <c r="H23" s="37">
        <v>1999198.64</v>
      </c>
      <c r="J23" s="1">
        <v>2.58</v>
      </c>
    </row>
    <row r="24" spans="1:18">
      <c r="A24" s="1" t="s">
        <v>70</v>
      </c>
      <c r="B24" s="1" t="s">
        <v>71</v>
      </c>
      <c r="C24" s="1">
        <v>2010</v>
      </c>
      <c r="D24" s="1">
        <v>2014</v>
      </c>
      <c r="E24" s="1" t="s">
        <v>200</v>
      </c>
      <c r="F24" s="36">
        <v>5150276</v>
      </c>
      <c r="G24" s="36"/>
      <c r="H24" s="37">
        <v>1995901.75</v>
      </c>
      <c r="J24" s="1">
        <v>2.58</v>
      </c>
    </row>
    <row r="25" spans="1:18">
      <c r="A25" s="1" t="s">
        <v>70</v>
      </c>
      <c r="B25" s="1" t="s">
        <v>71</v>
      </c>
      <c r="C25" s="1">
        <v>2010</v>
      </c>
      <c r="D25" s="1">
        <v>2015</v>
      </c>
      <c r="E25" s="1" t="s">
        <v>200</v>
      </c>
      <c r="F25" s="36">
        <v>5143748</v>
      </c>
      <c r="G25" s="36"/>
      <c r="H25" s="37">
        <v>1990355.09</v>
      </c>
      <c r="J25" s="1">
        <v>2.58</v>
      </c>
    </row>
    <row r="26" spans="1:18">
      <c r="A26" s="1" t="s">
        <v>70</v>
      </c>
      <c r="B26" s="1" t="s">
        <v>71</v>
      </c>
      <c r="C26" s="1">
        <v>2010</v>
      </c>
      <c r="D26" s="1">
        <v>2016</v>
      </c>
      <c r="E26" s="1" t="s">
        <v>200</v>
      </c>
      <c r="F26" s="36">
        <v>5143748</v>
      </c>
      <c r="G26" s="36"/>
      <c r="H26" s="37">
        <v>1992811.2</v>
      </c>
      <c r="J26" s="1">
        <v>2.58</v>
      </c>
      <c r="R26" s="37"/>
    </row>
    <row r="27" spans="1:18">
      <c r="A27" s="1" t="s">
        <v>70</v>
      </c>
      <c r="B27" s="1" t="s">
        <v>71</v>
      </c>
      <c r="C27" s="1">
        <v>2010</v>
      </c>
      <c r="D27" s="1">
        <v>2017</v>
      </c>
      <c r="E27" s="1" t="s">
        <v>200</v>
      </c>
      <c r="F27" s="36">
        <v>5143748</v>
      </c>
      <c r="G27" s="36"/>
      <c r="H27" s="37">
        <v>1992161.87</v>
      </c>
      <c r="J27" s="1">
        <v>2.58</v>
      </c>
      <c r="P27" s="37"/>
    </row>
    <row r="28" spans="1:18">
      <c r="A28" s="1" t="s">
        <v>70</v>
      </c>
      <c r="B28" s="1" t="s">
        <v>71</v>
      </c>
      <c r="C28" s="1">
        <v>2010</v>
      </c>
      <c r="D28" s="1">
        <v>2018</v>
      </c>
      <c r="E28" s="1" t="s">
        <v>200</v>
      </c>
      <c r="F28" s="36">
        <v>5143748</v>
      </c>
      <c r="G28" s="36"/>
      <c r="H28" s="37">
        <v>1994487.69</v>
      </c>
      <c r="J28" s="1">
        <v>2.58</v>
      </c>
      <c r="P28" s="37"/>
    </row>
    <row r="29" spans="1:18">
      <c r="A29" s="1" t="s">
        <v>70</v>
      </c>
      <c r="B29" s="1" t="s">
        <v>71</v>
      </c>
      <c r="C29" s="1">
        <v>2010</v>
      </c>
      <c r="D29" s="1">
        <v>2019</v>
      </c>
      <c r="E29" s="1" t="s">
        <v>200</v>
      </c>
      <c r="F29" s="36">
        <v>5143748</v>
      </c>
      <c r="G29" s="36"/>
      <c r="H29" s="37">
        <v>1990185.81</v>
      </c>
      <c r="J29" s="1">
        <v>2.58</v>
      </c>
      <c r="P29" s="37"/>
    </row>
    <row r="30" spans="1:18">
      <c r="A30" s="1" t="s">
        <v>70</v>
      </c>
      <c r="B30" s="1" t="s">
        <v>71</v>
      </c>
      <c r="C30" s="1">
        <v>2010</v>
      </c>
      <c r="D30" s="1">
        <v>2020</v>
      </c>
      <c r="E30" s="1" t="s">
        <v>200</v>
      </c>
      <c r="F30" s="36">
        <v>5254881</v>
      </c>
      <c r="G30" s="36"/>
      <c r="H30" s="37">
        <v>1993758.11</v>
      </c>
      <c r="J30" s="1">
        <v>2.64</v>
      </c>
      <c r="P30" s="37"/>
    </row>
    <row r="31" spans="1:18">
      <c r="A31" s="1" t="s">
        <v>70</v>
      </c>
      <c r="B31" s="1" t="s">
        <v>71</v>
      </c>
      <c r="C31" s="1">
        <v>2010</v>
      </c>
      <c r="D31" s="1">
        <v>2021</v>
      </c>
      <c r="E31" s="1" t="s">
        <v>200</v>
      </c>
      <c r="F31" s="36">
        <v>5254881</v>
      </c>
      <c r="G31" s="36"/>
      <c r="H31" s="37">
        <v>1990685.75</v>
      </c>
      <c r="J31" s="1">
        <v>2.64</v>
      </c>
      <c r="P31" s="37"/>
    </row>
    <row r="32" spans="1:18">
      <c r="A32" s="1" t="s">
        <v>70</v>
      </c>
      <c r="B32" s="1" t="s">
        <v>71</v>
      </c>
      <c r="C32" s="1">
        <v>2010</v>
      </c>
      <c r="D32" s="1">
        <v>2022</v>
      </c>
      <c r="E32" s="1" t="s">
        <v>200</v>
      </c>
      <c r="F32" s="36">
        <v>5254881</v>
      </c>
      <c r="G32" s="36"/>
      <c r="H32" s="37">
        <v>1990492.34</v>
      </c>
      <c r="J32" s="1">
        <v>2.64</v>
      </c>
      <c r="P32" s="37"/>
    </row>
    <row r="33" spans="1:16">
      <c r="A33" s="1" t="s">
        <v>70</v>
      </c>
      <c r="B33" s="1" t="s">
        <v>71</v>
      </c>
      <c r="C33" s="1">
        <v>2010</v>
      </c>
      <c r="D33" s="1">
        <v>2023</v>
      </c>
      <c r="E33" s="1" t="s">
        <v>200</v>
      </c>
      <c r="F33" s="36">
        <v>5254881</v>
      </c>
      <c r="G33" s="36"/>
      <c r="H33" s="37">
        <v>1993430.77</v>
      </c>
      <c r="J33" s="1">
        <v>2.64</v>
      </c>
      <c r="P33" s="37"/>
    </row>
    <row r="34" spans="1:16">
      <c r="A34" s="1" t="s">
        <v>70</v>
      </c>
      <c r="B34" s="1" t="s">
        <v>71</v>
      </c>
      <c r="C34" s="1">
        <v>2010</v>
      </c>
      <c r="D34" s="1">
        <v>2024</v>
      </c>
      <c r="E34" s="1" t="s">
        <v>200</v>
      </c>
      <c r="F34" s="36">
        <v>5254881</v>
      </c>
      <c r="G34" s="36"/>
      <c r="H34" s="37">
        <v>1993071.26</v>
      </c>
      <c r="J34" s="1">
        <v>2.64</v>
      </c>
      <c r="P34" s="37"/>
    </row>
    <row r="35" spans="1:16">
      <c r="A35" s="1" t="s">
        <v>70</v>
      </c>
      <c r="B35" s="1" t="s">
        <v>71</v>
      </c>
      <c r="C35" s="1">
        <v>2010</v>
      </c>
      <c r="D35" s="1">
        <v>2025</v>
      </c>
      <c r="E35" s="1" t="s">
        <v>200</v>
      </c>
      <c r="F35" s="36">
        <v>5258915</v>
      </c>
      <c r="G35" s="36"/>
      <c r="H35" s="37">
        <v>1991008.88</v>
      </c>
      <c r="J35" s="1">
        <v>2.64</v>
      </c>
      <c r="P35" s="37"/>
    </row>
    <row r="36" spans="1:16">
      <c r="A36" s="1" t="s">
        <v>70</v>
      </c>
      <c r="B36" s="1" t="s">
        <v>71</v>
      </c>
      <c r="C36" s="1">
        <v>2010</v>
      </c>
      <c r="D36" s="1">
        <v>2026</v>
      </c>
      <c r="E36" s="1" t="s">
        <v>200</v>
      </c>
      <c r="F36" s="36">
        <v>5258915</v>
      </c>
      <c r="G36" s="36"/>
      <c r="H36" s="37">
        <v>1992243.63</v>
      </c>
      <c r="J36" s="1">
        <v>2.64</v>
      </c>
      <c r="P36" s="37"/>
    </row>
    <row r="37" spans="1:16">
      <c r="A37" s="1" t="s">
        <v>70</v>
      </c>
      <c r="B37" s="1" t="s">
        <v>71</v>
      </c>
      <c r="C37" s="1">
        <v>2010</v>
      </c>
      <c r="D37" s="1">
        <v>2027</v>
      </c>
      <c r="E37" s="1" t="s">
        <v>200</v>
      </c>
      <c r="F37" s="36">
        <v>5258915</v>
      </c>
      <c r="G37" s="36"/>
      <c r="H37" s="37">
        <v>1996569.63</v>
      </c>
      <c r="J37" s="1">
        <v>2.63</v>
      </c>
      <c r="P37" s="37"/>
    </row>
    <row r="38" spans="1:16">
      <c r="A38" s="1" t="s">
        <v>70</v>
      </c>
      <c r="B38" s="1" t="s">
        <v>71</v>
      </c>
      <c r="C38" s="1">
        <v>2010</v>
      </c>
      <c r="D38" s="1">
        <v>2028</v>
      </c>
      <c r="E38" s="1" t="s">
        <v>200</v>
      </c>
      <c r="F38" s="36">
        <v>5258915</v>
      </c>
      <c r="G38" s="36"/>
      <c r="H38" s="37">
        <v>1993422.54</v>
      </c>
      <c r="J38" s="1">
        <v>2.64</v>
      </c>
      <c r="P38" s="37"/>
    </row>
    <row r="39" spans="1:16">
      <c r="A39" s="1" t="s">
        <v>70</v>
      </c>
      <c r="B39" s="1" t="s">
        <v>71</v>
      </c>
      <c r="C39" s="1">
        <v>2010</v>
      </c>
      <c r="D39" s="1">
        <v>2029</v>
      </c>
      <c r="E39" s="1" t="s">
        <v>200</v>
      </c>
      <c r="F39" s="36">
        <v>5258915</v>
      </c>
      <c r="G39" s="36"/>
      <c r="H39" s="37">
        <v>1988336.49</v>
      </c>
      <c r="J39" s="1">
        <v>2.64</v>
      </c>
      <c r="P39" s="37"/>
    </row>
    <row r="40" spans="1:16">
      <c r="A40" s="1" t="s">
        <v>70</v>
      </c>
      <c r="B40" s="1" t="s">
        <v>71</v>
      </c>
      <c r="C40" s="1">
        <v>2010</v>
      </c>
      <c r="D40" s="1">
        <v>2030</v>
      </c>
      <c r="E40" s="1" t="s">
        <v>200</v>
      </c>
      <c r="F40" s="36">
        <v>5358555</v>
      </c>
      <c r="G40" s="36"/>
      <c r="H40" s="37">
        <v>1996328.69</v>
      </c>
      <c r="J40" s="1">
        <v>2.68</v>
      </c>
      <c r="P40" s="37"/>
    </row>
    <row r="41" spans="1:16">
      <c r="A41" s="1" t="s">
        <v>70</v>
      </c>
      <c r="B41" s="1" t="s">
        <v>71</v>
      </c>
      <c r="C41" s="1">
        <v>2010</v>
      </c>
      <c r="D41" s="1">
        <v>2031</v>
      </c>
      <c r="E41" s="1" t="s">
        <v>200</v>
      </c>
      <c r="F41" s="36">
        <v>5358555</v>
      </c>
      <c r="G41" s="36"/>
      <c r="H41" s="37">
        <v>1991747.09</v>
      </c>
      <c r="J41" s="1">
        <v>2.69</v>
      </c>
      <c r="P41" s="37"/>
    </row>
    <row r="42" spans="1:16">
      <c r="A42" s="1" t="s">
        <v>70</v>
      </c>
      <c r="B42" s="1" t="s">
        <v>71</v>
      </c>
      <c r="C42" s="1">
        <v>2010</v>
      </c>
      <c r="D42" s="1">
        <v>2032</v>
      </c>
      <c r="E42" s="1" t="s">
        <v>200</v>
      </c>
      <c r="F42" s="36">
        <v>5358555</v>
      </c>
      <c r="G42" s="36"/>
      <c r="H42" s="37">
        <v>1994568.9</v>
      </c>
      <c r="J42" s="1">
        <v>2.69</v>
      </c>
      <c r="P42" s="37"/>
    </row>
    <row r="43" spans="1:16">
      <c r="A43" s="1" t="s">
        <v>70</v>
      </c>
      <c r="B43" s="1" t="s">
        <v>71</v>
      </c>
      <c r="C43" s="1">
        <v>2010</v>
      </c>
      <c r="D43" s="1">
        <v>2033</v>
      </c>
      <c r="E43" s="1" t="s">
        <v>200</v>
      </c>
      <c r="F43" s="36">
        <v>5358555</v>
      </c>
      <c r="G43" s="36"/>
      <c r="H43" s="37">
        <v>1993939.4</v>
      </c>
      <c r="J43" s="1">
        <v>2.69</v>
      </c>
      <c r="P43" s="37"/>
    </row>
    <row r="44" spans="1:16">
      <c r="A44" s="1" t="s">
        <v>70</v>
      </c>
      <c r="B44" s="1" t="s">
        <v>71</v>
      </c>
      <c r="C44" s="1">
        <v>2010</v>
      </c>
      <c r="D44" s="1">
        <v>2034</v>
      </c>
      <c r="E44" s="1" t="s">
        <v>200</v>
      </c>
      <c r="F44" s="36">
        <v>5358555</v>
      </c>
      <c r="G44" s="36"/>
      <c r="H44" s="37">
        <v>1995677.6</v>
      </c>
      <c r="J44" s="1">
        <v>2.69</v>
      </c>
      <c r="P44" s="37"/>
    </row>
    <row r="45" spans="1:16">
      <c r="A45" s="1" t="s">
        <v>70</v>
      </c>
      <c r="B45" s="1" t="s">
        <v>71</v>
      </c>
      <c r="C45" s="1">
        <v>2010</v>
      </c>
      <c r="D45" s="1">
        <v>2035</v>
      </c>
      <c r="E45" s="1" t="s">
        <v>200</v>
      </c>
      <c r="F45" s="36">
        <v>4962438</v>
      </c>
      <c r="G45" s="36"/>
      <c r="H45" s="37">
        <v>1994574.35</v>
      </c>
      <c r="J45" s="1">
        <v>2.4900000000000002</v>
      </c>
      <c r="P45" s="37"/>
    </row>
    <row r="46" spans="1:16">
      <c r="A46" s="1" t="s">
        <v>70</v>
      </c>
      <c r="B46" s="1" t="s">
        <v>71</v>
      </c>
      <c r="C46" s="1">
        <v>2010</v>
      </c>
      <c r="D46" s="1">
        <v>2036</v>
      </c>
      <c r="E46" s="1" t="s">
        <v>200</v>
      </c>
      <c r="F46" s="36">
        <v>4962438</v>
      </c>
      <c r="G46" s="36"/>
      <c r="H46" s="37">
        <v>1995609.22</v>
      </c>
      <c r="J46" s="1">
        <v>2.4900000000000002</v>
      </c>
      <c r="P46" s="37"/>
    </row>
    <row r="47" spans="1:16">
      <c r="A47" s="1" t="s">
        <v>70</v>
      </c>
      <c r="B47" s="1" t="s">
        <v>71</v>
      </c>
      <c r="C47" s="1">
        <v>2010</v>
      </c>
      <c r="D47" s="1">
        <v>2037</v>
      </c>
      <c r="E47" s="1" t="s">
        <v>200</v>
      </c>
      <c r="F47" s="36">
        <v>4962438</v>
      </c>
      <c r="G47" s="36"/>
      <c r="H47" s="37">
        <v>1993573.07</v>
      </c>
      <c r="J47" s="1">
        <v>2.4900000000000002</v>
      </c>
      <c r="P47" s="37"/>
    </row>
    <row r="48" spans="1:16">
      <c r="A48" s="1" t="s">
        <v>70</v>
      </c>
      <c r="B48" s="1" t="s">
        <v>71</v>
      </c>
      <c r="C48" s="1">
        <v>2010</v>
      </c>
      <c r="D48" s="1">
        <v>2038</v>
      </c>
      <c r="E48" s="1" t="s">
        <v>200</v>
      </c>
      <c r="F48" s="36">
        <v>4962438</v>
      </c>
      <c r="G48" s="36"/>
      <c r="H48" s="37">
        <v>1993465.89</v>
      </c>
      <c r="J48" s="1">
        <v>2.4900000000000002</v>
      </c>
      <c r="P48" s="37"/>
    </row>
    <row r="49" spans="1:16">
      <c r="A49" s="1" t="s">
        <v>70</v>
      </c>
      <c r="B49" s="1" t="s">
        <v>71</v>
      </c>
      <c r="C49" s="1">
        <v>2010</v>
      </c>
      <c r="D49" s="1">
        <v>2039</v>
      </c>
      <c r="E49" s="1" t="s">
        <v>200</v>
      </c>
      <c r="F49" s="36">
        <v>4962438</v>
      </c>
      <c r="G49" s="36"/>
      <c r="H49" s="37">
        <v>1990078.56</v>
      </c>
      <c r="J49" s="1">
        <v>2.4900000000000002</v>
      </c>
      <c r="P49" s="37"/>
    </row>
    <row r="50" spans="1:16">
      <c r="A50" s="1" t="s">
        <v>70</v>
      </c>
      <c r="B50" s="1" t="s">
        <v>71</v>
      </c>
      <c r="C50" s="1">
        <v>2010</v>
      </c>
      <c r="D50" s="1">
        <v>2040</v>
      </c>
      <c r="E50" s="1" t="s">
        <v>200</v>
      </c>
      <c r="F50" s="36">
        <v>4550237</v>
      </c>
      <c r="G50" s="36"/>
      <c r="H50" s="37">
        <v>988390.62</v>
      </c>
      <c r="J50" s="1">
        <v>4.5999999999999996</v>
      </c>
      <c r="P50" s="37"/>
    </row>
    <row r="51" spans="1:16">
      <c r="P51" s="37"/>
    </row>
    <row r="52" spans="1:16">
      <c r="P52" s="37"/>
    </row>
    <row r="53" spans="1:16">
      <c r="P53" s="37"/>
    </row>
    <row r="54" spans="1:16">
      <c r="P54" s="37"/>
    </row>
    <row r="55" spans="1:16">
      <c r="P55" s="3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0"/>
  <sheetViews>
    <sheetView topLeftCell="A8" workbookViewId="0">
      <selection activeCell="N29" sqref="N29"/>
    </sheetView>
  </sheetViews>
  <sheetFormatPr defaultColWidth="8.85546875" defaultRowHeight="14.45"/>
  <cols>
    <col min="1" max="1" width="10.140625" style="1" bestFit="1" customWidth="1"/>
    <col min="2" max="5" width="8.85546875" style="1"/>
    <col min="6" max="6" width="13.5703125" style="1" bestFit="1" customWidth="1"/>
    <col min="7" max="16384" width="8.85546875" style="1"/>
  </cols>
  <sheetData>
    <row r="1" spans="1:8">
      <c r="A1" s="2" t="s">
        <v>51</v>
      </c>
      <c r="B1" s="2" t="s">
        <v>52</v>
      </c>
      <c r="C1" s="2" t="s">
        <v>53</v>
      </c>
      <c r="D1" s="2" t="s">
        <v>54</v>
      </c>
      <c r="E1" s="2" t="s">
        <v>210</v>
      </c>
      <c r="F1" s="2" t="s">
        <v>211</v>
      </c>
      <c r="G1" s="2" t="s">
        <v>127</v>
      </c>
      <c r="H1" s="6" t="s">
        <v>69</v>
      </c>
    </row>
    <row r="2" spans="1:8">
      <c r="A2" s="1" t="s">
        <v>70</v>
      </c>
      <c r="B2" s="1" t="s">
        <v>71</v>
      </c>
      <c r="C2" s="1">
        <v>1997</v>
      </c>
      <c r="D2" s="1" t="s">
        <v>72</v>
      </c>
      <c r="E2" s="1" t="s">
        <v>212</v>
      </c>
      <c r="F2" s="1" t="s">
        <v>213</v>
      </c>
      <c r="G2" s="1" t="s">
        <v>214</v>
      </c>
      <c r="H2" s="1" t="s">
        <v>215</v>
      </c>
    </row>
    <row r="3" spans="1:8">
      <c r="A3" s="1" t="s">
        <v>70</v>
      </c>
      <c r="B3" s="1" t="s">
        <v>71</v>
      </c>
      <c r="C3" s="1">
        <v>1997</v>
      </c>
      <c r="D3" s="1" t="s">
        <v>72</v>
      </c>
      <c r="E3" s="1" t="s">
        <v>212</v>
      </c>
      <c r="F3" s="1" t="s">
        <v>216</v>
      </c>
      <c r="G3" s="1" t="s">
        <v>217</v>
      </c>
    </row>
    <row r="4" spans="1:8">
      <c r="A4" s="1" t="s">
        <v>70</v>
      </c>
      <c r="B4" s="1" t="s">
        <v>71</v>
      </c>
      <c r="C4" s="1">
        <v>1997</v>
      </c>
      <c r="D4" s="1" t="s">
        <v>72</v>
      </c>
      <c r="E4" s="1" t="s">
        <v>212</v>
      </c>
      <c r="F4" s="1" t="s">
        <v>218</v>
      </c>
      <c r="G4" s="1" t="s">
        <v>217</v>
      </c>
    </row>
    <row r="5" spans="1:8">
      <c r="A5" s="1" t="s">
        <v>70</v>
      </c>
      <c r="B5" s="1" t="s">
        <v>71</v>
      </c>
      <c r="C5" s="1">
        <v>1997</v>
      </c>
      <c r="D5" s="1" t="s">
        <v>72</v>
      </c>
      <c r="E5" s="1" t="s">
        <v>212</v>
      </c>
      <c r="F5" s="1" t="s">
        <v>219</v>
      </c>
      <c r="G5" s="1" t="s">
        <v>217</v>
      </c>
    </row>
    <row r="6" spans="1:8">
      <c r="A6" s="1" t="s">
        <v>70</v>
      </c>
      <c r="B6" s="1" t="s">
        <v>71</v>
      </c>
      <c r="C6" s="1">
        <v>1997</v>
      </c>
      <c r="D6" s="1" t="s">
        <v>72</v>
      </c>
      <c r="E6" s="1" t="s">
        <v>212</v>
      </c>
      <c r="F6" s="1" t="s">
        <v>220</v>
      </c>
      <c r="G6" s="1" t="s">
        <v>217</v>
      </c>
    </row>
    <row r="7" spans="1:8">
      <c r="A7" s="1" t="s">
        <v>70</v>
      </c>
      <c r="B7" s="1" t="s">
        <v>71</v>
      </c>
      <c r="C7" s="1">
        <v>1997</v>
      </c>
      <c r="D7" s="1" t="s">
        <v>72</v>
      </c>
      <c r="E7" s="1" t="s">
        <v>212</v>
      </c>
      <c r="F7" s="1" t="s">
        <v>221</v>
      </c>
      <c r="G7" s="1" t="s">
        <v>217</v>
      </c>
    </row>
    <row r="8" spans="1:8">
      <c r="A8" s="1" t="s">
        <v>70</v>
      </c>
      <c r="B8" s="1" t="s">
        <v>71</v>
      </c>
      <c r="C8" s="1">
        <v>1997</v>
      </c>
      <c r="D8" s="1" t="s">
        <v>72</v>
      </c>
      <c r="E8" s="1" t="s">
        <v>212</v>
      </c>
      <c r="F8" s="1" t="s">
        <v>212</v>
      </c>
      <c r="G8" s="1" t="s">
        <v>217</v>
      </c>
    </row>
    <row r="9" spans="1:8">
      <c r="A9" s="1" t="s">
        <v>70</v>
      </c>
      <c r="B9" s="1" t="s">
        <v>71</v>
      </c>
      <c r="C9" s="1">
        <v>1997</v>
      </c>
      <c r="D9" s="1" t="s">
        <v>72</v>
      </c>
      <c r="E9" s="1" t="s">
        <v>212</v>
      </c>
      <c r="F9" s="1" t="s">
        <v>222</v>
      </c>
      <c r="G9" s="1" t="s">
        <v>217</v>
      </c>
    </row>
    <row r="10" spans="1:8">
      <c r="A10" s="1" t="s">
        <v>70</v>
      </c>
      <c r="B10" s="1" t="s">
        <v>71</v>
      </c>
      <c r="C10" s="1">
        <v>1997</v>
      </c>
      <c r="D10" s="1" t="s">
        <v>72</v>
      </c>
      <c r="E10" s="1" t="s">
        <v>212</v>
      </c>
      <c r="F10" s="1" t="s">
        <v>223</v>
      </c>
      <c r="G10" s="1" t="s">
        <v>224</v>
      </c>
    </row>
    <row r="11" spans="1:8">
      <c r="A11" s="1" t="s">
        <v>70</v>
      </c>
      <c r="B11" s="1" t="s">
        <v>71</v>
      </c>
      <c r="C11" s="1">
        <v>1997</v>
      </c>
      <c r="D11" s="1" t="s">
        <v>72</v>
      </c>
      <c r="E11" s="1" t="s">
        <v>212</v>
      </c>
      <c r="F11" s="1" t="s">
        <v>225</v>
      </c>
      <c r="G11" s="1" t="s">
        <v>224</v>
      </c>
    </row>
    <row r="12" spans="1:8">
      <c r="A12" s="1" t="s">
        <v>70</v>
      </c>
      <c r="B12" s="1" t="s">
        <v>71</v>
      </c>
      <c r="C12" s="1">
        <v>2003</v>
      </c>
      <c r="D12" s="1" t="s">
        <v>81</v>
      </c>
      <c r="E12" s="1" t="s">
        <v>212</v>
      </c>
      <c r="F12" s="1" t="s">
        <v>213</v>
      </c>
      <c r="G12" s="1" t="s">
        <v>214</v>
      </c>
    </row>
    <row r="13" spans="1:8">
      <c r="A13" s="1" t="s">
        <v>70</v>
      </c>
      <c r="B13" s="1" t="s">
        <v>71</v>
      </c>
      <c r="C13" s="1">
        <v>2003</v>
      </c>
      <c r="D13" s="1" t="s">
        <v>81</v>
      </c>
      <c r="E13" s="1" t="s">
        <v>212</v>
      </c>
      <c r="F13" s="1" t="s">
        <v>218</v>
      </c>
      <c r="G13" s="1" t="s">
        <v>217</v>
      </c>
    </row>
    <row r="14" spans="1:8">
      <c r="A14" s="1" t="s">
        <v>70</v>
      </c>
      <c r="B14" s="1" t="s">
        <v>71</v>
      </c>
      <c r="C14" s="1">
        <v>2003</v>
      </c>
      <c r="D14" s="1" t="s">
        <v>81</v>
      </c>
      <c r="E14" s="1" t="s">
        <v>212</v>
      </c>
      <c r="F14" s="1" t="s">
        <v>216</v>
      </c>
      <c r="G14" s="1" t="s">
        <v>217</v>
      </c>
    </row>
    <row r="15" spans="1:8">
      <c r="A15" s="1" t="s">
        <v>70</v>
      </c>
      <c r="B15" s="1" t="s">
        <v>71</v>
      </c>
      <c r="C15" s="1">
        <v>2004</v>
      </c>
      <c r="D15" s="1" t="s">
        <v>81</v>
      </c>
      <c r="E15" s="1" t="s">
        <v>212</v>
      </c>
      <c r="F15" s="1" t="s">
        <v>213</v>
      </c>
      <c r="G15" s="1" t="s">
        <v>214</v>
      </c>
    </row>
    <row r="16" spans="1:8">
      <c r="A16" s="1" t="s">
        <v>70</v>
      </c>
      <c r="B16" s="1" t="s">
        <v>71</v>
      </c>
      <c r="C16" s="1">
        <v>2004</v>
      </c>
      <c r="D16" s="1" t="s">
        <v>81</v>
      </c>
      <c r="E16" s="1" t="s">
        <v>212</v>
      </c>
      <c r="F16" s="1" t="s">
        <v>218</v>
      </c>
      <c r="G16" s="1" t="s">
        <v>217</v>
      </c>
    </row>
    <row r="17" spans="1:7">
      <c r="A17" s="1" t="s">
        <v>70</v>
      </c>
      <c r="B17" s="1" t="s">
        <v>71</v>
      </c>
      <c r="C17" s="1">
        <v>2004</v>
      </c>
      <c r="D17" s="1" t="s">
        <v>81</v>
      </c>
      <c r="E17" s="1" t="s">
        <v>212</v>
      </c>
      <c r="F17" s="1" t="s">
        <v>216</v>
      </c>
      <c r="G17" s="1" t="s">
        <v>217</v>
      </c>
    </row>
    <row r="18" spans="1:7">
      <c r="A18" s="1" t="s">
        <v>70</v>
      </c>
      <c r="B18" s="1" t="s">
        <v>71</v>
      </c>
      <c r="C18" s="1">
        <v>2007</v>
      </c>
      <c r="D18" s="1" t="s">
        <v>72</v>
      </c>
      <c r="E18" s="1" t="s">
        <v>212</v>
      </c>
      <c r="F18" s="1" t="s">
        <v>213</v>
      </c>
      <c r="G18" s="1" t="s">
        <v>214</v>
      </c>
    </row>
    <row r="19" spans="1:7">
      <c r="A19" s="1" t="s">
        <v>70</v>
      </c>
      <c r="B19" s="1" t="s">
        <v>71</v>
      </c>
      <c r="C19" s="1">
        <v>2007</v>
      </c>
      <c r="D19" s="1" t="s">
        <v>72</v>
      </c>
      <c r="E19" s="1" t="s">
        <v>212</v>
      </c>
      <c r="F19" s="1" t="s">
        <v>216</v>
      </c>
      <c r="G19" s="1" t="s">
        <v>217</v>
      </c>
    </row>
    <row r="20" spans="1:7">
      <c r="A20" s="1" t="s">
        <v>70</v>
      </c>
      <c r="B20" s="1" t="s">
        <v>71</v>
      </c>
      <c r="C20" s="1">
        <v>2007</v>
      </c>
      <c r="D20" s="1" t="s">
        <v>72</v>
      </c>
      <c r="E20" s="1" t="s">
        <v>212</v>
      </c>
      <c r="F20" s="1" t="s">
        <v>218</v>
      </c>
      <c r="G20" s="1" t="s">
        <v>217</v>
      </c>
    </row>
    <row r="21" spans="1:7">
      <c r="A21" s="1" t="s">
        <v>70</v>
      </c>
      <c r="B21" s="1" t="s">
        <v>71</v>
      </c>
      <c r="C21" s="1">
        <v>2007</v>
      </c>
      <c r="D21" s="1" t="s">
        <v>72</v>
      </c>
      <c r="E21" s="1" t="s">
        <v>212</v>
      </c>
      <c r="F21" s="1" t="s">
        <v>219</v>
      </c>
      <c r="G21" s="1" t="s">
        <v>217</v>
      </c>
    </row>
    <row r="22" spans="1:7">
      <c r="A22" s="1" t="s">
        <v>70</v>
      </c>
      <c r="B22" s="1" t="s">
        <v>71</v>
      </c>
      <c r="C22" s="1">
        <v>2007</v>
      </c>
      <c r="D22" s="1" t="s">
        <v>72</v>
      </c>
      <c r="E22" s="1" t="s">
        <v>212</v>
      </c>
      <c r="F22" s="1" t="s">
        <v>226</v>
      </c>
      <c r="G22" s="1" t="s">
        <v>217</v>
      </c>
    </row>
    <row r="23" spans="1:7">
      <c r="A23" s="1" t="s">
        <v>70</v>
      </c>
      <c r="B23" s="1" t="s">
        <v>71</v>
      </c>
      <c r="C23" s="1">
        <v>2007</v>
      </c>
      <c r="D23" s="1" t="s">
        <v>72</v>
      </c>
      <c r="E23" s="1" t="s">
        <v>212</v>
      </c>
      <c r="F23" s="1" t="s">
        <v>221</v>
      </c>
      <c r="G23" s="1" t="s">
        <v>217</v>
      </c>
    </row>
    <row r="24" spans="1:7">
      <c r="A24" s="1" t="s">
        <v>70</v>
      </c>
      <c r="B24" s="1" t="s">
        <v>71</v>
      </c>
      <c r="C24" s="1">
        <v>2007</v>
      </c>
      <c r="D24" s="1" t="s">
        <v>72</v>
      </c>
      <c r="E24" s="1" t="s">
        <v>212</v>
      </c>
      <c r="F24" s="1" t="s">
        <v>212</v>
      </c>
      <c r="G24" s="1" t="s">
        <v>217</v>
      </c>
    </row>
    <row r="25" spans="1:7">
      <c r="A25" s="1" t="s">
        <v>70</v>
      </c>
      <c r="B25" s="1" t="s">
        <v>71</v>
      </c>
      <c r="C25" s="1">
        <v>2007</v>
      </c>
      <c r="D25" s="1" t="s">
        <v>72</v>
      </c>
      <c r="E25" s="1" t="s">
        <v>212</v>
      </c>
      <c r="F25" s="1" t="s">
        <v>222</v>
      </c>
      <c r="G25" s="1" t="s">
        <v>217</v>
      </c>
    </row>
    <row r="26" spans="1:7">
      <c r="A26" s="1" t="s">
        <v>70</v>
      </c>
      <c r="B26" s="1" t="s">
        <v>71</v>
      </c>
      <c r="C26" s="1">
        <v>2007</v>
      </c>
      <c r="D26" s="1" t="s">
        <v>72</v>
      </c>
      <c r="E26" s="1" t="s">
        <v>212</v>
      </c>
      <c r="F26" s="1" t="s">
        <v>223</v>
      </c>
      <c r="G26" s="1" t="s">
        <v>224</v>
      </c>
    </row>
    <row r="27" spans="1:7">
      <c r="A27" s="1" t="s">
        <v>70</v>
      </c>
      <c r="B27" s="1" t="s">
        <v>71</v>
      </c>
      <c r="C27" s="1">
        <v>2007</v>
      </c>
      <c r="D27" s="1" t="s">
        <v>72</v>
      </c>
      <c r="E27" s="1" t="s">
        <v>212</v>
      </c>
      <c r="F27" s="1" t="s">
        <v>225</v>
      </c>
      <c r="G27" s="1" t="s">
        <v>224</v>
      </c>
    </row>
    <row r="28" spans="1:7">
      <c r="A28" s="1" t="s">
        <v>70</v>
      </c>
      <c r="B28" s="1" t="s">
        <v>71</v>
      </c>
      <c r="C28" s="1">
        <v>2010</v>
      </c>
      <c r="D28" s="1" t="s">
        <v>81</v>
      </c>
      <c r="E28" s="1" t="s">
        <v>212</v>
      </c>
      <c r="F28" s="1" t="s">
        <v>213</v>
      </c>
      <c r="G28" s="1" t="s">
        <v>214</v>
      </c>
    </row>
    <row r="29" spans="1:7">
      <c r="A29" s="1" t="s">
        <v>70</v>
      </c>
      <c r="B29" s="1" t="s">
        <v>71</v>
      </c>
      <c r="C29" s="1">
        <v>2010</v>
      </c>
      <c r="D29" s="1" t="s">
        <v>81</v>
      </c>
      <c r="E29" s="1" t="s">
        <v>212</v>
      </c>
      <c r="F29" s="1" t="s">
        <v>218</v>
      </c>
      <c r="G29" s="1" t="s">
        <v>217</v>
      </c>
    </row>
    <row r="30" spans="1:7">
      <c r="A30" s="1" t="s">
        <v>70</v>
      </c>
      <c r="B30" s="1" t="s">
        <v>71</v>
      </c>
      <c r="C30" s="1">
        <v>2010</v>
      </c>
      <c r="D30" s="1" t="s">
        <v>81</v>
      </c>
      <c r="E30" s="1" t="s">
        <v>212</v>
      </c>
      <c r="F30" s="1" t="s">
        <v>216</v>
      </c>
      <c r="G30" s="1"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6"/>
  <sheetViews>
    <sheetView workbookViewId="0">
      <selection activeCell="F27" sqref="F27"/>
    </sheetView>
  </sheetViews>
  <sheetFormatPr defaultColWidth="8.85546875" defaultRowHeight="14.45"/>
  <cols>
    <col min="1" max="1" width="10.140625" style="1" bestFit="1" customWidth="1"/>
    <col min="2" max="3" width="8.85546875" style="1"/>
    <col min="4" max="4" width="14.85546875" style="1" bestFit="1" customWidth="1"/>
    <col min="5" max="5" width="26.42578125" style="1" bestFit="1" customWidth="1"/>
    <col min="6" max="16384" width="8.85546875" style="1"/>
  </cols>
  <sheetData>
    <row r="1" spans="1:8">
      <c r="A1" s="2" t="s">
        <v>51</v>
      </c>
      <c r="B1" s="2" t="s">
        <v>52</v>
      </c>
      <c r="C1" s="2" t="s">
        <v>53</v>
      </c>
      <c r="D1" s="6" t="s">
        <v>227</v>
      </c>
      <c r="E1" s="6" t="s">
        <v>228</v>
      </c>
      <c r="F1" s="6" t="s">
        <v>229</v>
      </c>
      <c r="G1" s="6" t="s">
        <v>211</v>
      </c>
      <c r="H1" s="6" t="s">
        <v>69</v>
      </c>
    </row>
    <row r="2" spans="1:8">
      <c r="A2" s="1" t="s">
        <v>70</v>
      </c>
      <c r="B2" s="1" t="s">
        <v>71</v>
      </c>
      <c r="C2" s="1">
        <v>1997</v>
      </c>
      <c r="D2" s="1" t="s">
        <v>230</v>
      </c>
      <c r="E2" s="1" t="s">
        <v>231</v>
      </c>
    </row>
    <row r="3" spans="1:8">
      <c r="A3" s="1" t="s">
        <v>70</v>
      </c>
      <c r="B3" s="1" t="s">
        <v>71</v>
      </c>
      <c r="C3" s="1">
        <v>1997</v>
      </c>
      <c r="D3" s="1" t="s">
        <v>232</v>
      </c>
      <c r="E3" s="1" t="s">
        <v>233</v>
      </c>
    </row>
    <row r="4" spans="1:8">
      <c r="A4" s="1" t="s">
        <v>70</v>
      </c>
      <c r="B4" s="1" t="s">
        <v>71</v>
      </c>
      <c r="C4" s="1">
        <v>1997</v>
      </c>
      <c r="D4" s="1" t="s">
        <v>234</v>
      </c>
      <c r="E4" s="1" t="s">
        <v>235</v>
      </c>
    </row>
    <row r="5" spans="1:8">
      <c r="A5" s="1" t="s">
        <v>70</v>
      </c>
      <c r="B5" s="1" t="s">
        <v>71</v>
      </c>
      <c r="C5" s="1">
        <v>1997</v>
      </c>
      <c r="D5" s="1" t="s">
        <v>236</v>
      </c>
      <c r="E5" s="1" t="s">
        <v>237</v>
      </c>
    </row>
    <row r="6" spans="1:8">
      <c r="A6" s="1" t="s">
        <v>70</v>
      </c>
      <c r="B6" s="1" t="s">
        <v>71</v>
      </c>
      <c r="C6" s="1">
        <v>1997</v>
      </c>
      <c r="D6" s="1" t="s">
        <v>238</v>
      </c>
      <c r="E6" s="1" t="s">
        <v>239</v>
      </c>
    </row>
    <row r="7" spans="1:8">
      <c r="A7" s="1" t="s">
        <v>70</v>
      </c>
      <c r="B7" s="1" t="s">
        <v>71</v>
      </c>
      <c r="C7" s="1">
        <v>2003</v>
      </c>
      <c r="D7" s="1" t="s">
        <v>232</v>
      </c>
      <c r="E7" s="1" t="s">
        <v>231</v>
      </c>
    </row>
    <row r="8" spans="1:8">
      <c r="A8" s="1" t="s">
        <v>70</v>
      </c>
      <c r="B8" s="1" t="s">
        <v>71</v>
      </c>
      <c r="C8" s="1">
        <v>2003</v>
      </c>
      <c r="D8" s="1" t="s">
        <v>240</v>
      </c>
      <c r="E8" s="1" t="s">
        <v>233</v>
      </c>
    </row>
    <row r="9" spans="1:8">
      <c r="A9" s="1" t="s">
        <v>70</v>
      </c>
      <c r="B9" s="1" t="s">
        <v>71</v>
      </c>
      <c r="C9" s="1">
        <v>2003</v>
      </c>
      <c r="D9" s="1" t="s">
        <v>234</v>
      </c>
      <c r="E9" s="1" t="s">
        <v>235</v>
      </c>
    </row>
    <row r="10" spans="1:8">
      <c r="A10" s="1" t="s">
        <v>70</v>
      </c>
      <c r="B10" s="1" t="s">
        <v>71</v>
      </c>
      <c r="C10" s="1">
        <v>2003</v>
      </c>
      <c r="D10" s="1" t="s">
        <v>241</v>
      </c>
      <c r="E10" s="1" t="s">
        <v>237</v>
      </c>
    </row>
    <row r="11" spans="1:8">
      <c r="A11" s="1" t="s">
        <v>70</v>
      </c>
      <c r="B11" s="1" t="s">
        <v>71</v>
      </c>
      <c r="C11" s="1">
        <v>2003</v>
      </c>
      <c r="D11" s="1" t="s">
        <v>242</v>
      </c>
      <c r="E11" s="1" t="s">
        <v>239</v>
      </c>
    </row>
    <row r="12" spans="1:8">
      <c r="A12" s="1" t="s">
        <v>70</v>
      </c>
      <c r="B12" s="1" t="s">
        <v>71</v>
      </c>
      <c r="C12" s="1">
        <v>2004</v>
      </c>
      <c r="D12" s="1" t="s">
        <v>232</v>
      </c>
      <c r="E12" s="1" t="s">
        <v>231</v>
      </c>
    </row>
    <row r="13" spans="1:8">
      <c r="A13" s="1" t="s">
        <v>70</v>
      </c>
      <c r="B13" s="1" t="s">
        <v>71</v>
      </c>
      <c r="C13" s="1">
        <v>2004</v>
      </c>
      <c r="D13" s="1" t="s">
        <v>240</v>
      </c>
      <c r="E13" s="1" t="s">
        <v>233</v>
      </c>
    </row>
    <row r="14" spans="1:8">
      <c r="A14" s="1" t="s">
        <v>70</v>
      </c>
      <c r="B14" s="1" t="s">
        <v>71</v>
      </c>
      <c r="C14" s="1">
        <v>2004</v>
      </c>
      <c r="D14" s="1" t="s">
        <v>234</v>
      </c>
      <c r="E14" s="1" t="s">
        <v>235</v>
      </c>
    </row>
    <row r="15" spans="1:8">
      <c r="A15" s="1" t="s">
        <v>70</v>
      </c>
      <c r="B15" s="1" t="s">
        <v>71</v>
      </c>
      <c r="C15" s="1">
        <v>2004</v>
      </c>
      <c r="D15" s="1" t="s">
        <v>241</v>
      </c>
      <c r="E15" s="1" t="s">
        <v>237</v>
      </c>
    </row>
    <row r="16" spans="1:8">
      <c r="A16" s="1" t="s">
        <v>70</v>
      </c>
      <c r="B16" s="1" t="s">
        <v>71</v>
      </c>
      <c r="C16" s="1">
        <v>2004</v>
      </c>
      <c r="D16" s="1" t="s">
        <v>242</v>
      </c>
      <c r="E16" s="1" t="s">
        <v>239</v>
      </c>
    </row>
    <row r="17" spans="1:6">
      <c r="A17" s="1" t="s">
        <v>70</v>
      </c>
      <c r="B17" s="1" t="s">
        <v>71</v>
      </c>
      <c r="C17" s="1">
        <v>2007</v>
      </c>
      <c r="D17" s="1" t="s">
        <v>232</v>
      </c>
      <c r="E17" s="1" t="s">
        <v>231</v>
      </c>
    </row>
    <row r="18" spans="1:6">
      <c r="A18" s="1" t="s">
        <v>70</v>
      </c>
      <c r="B18" s="1" t="s">
        <v>71</v>
      </c>
      <c r="C18" s="1">
        <v>2007</v>
      </c>
      <c r="D18" s="1" t="s">
        <v>240</v>
      </c>
      <c r="E18" s="1" t="s">
        <v>233</v>
      </c>
    </row>
    <row r="19" spans="1:6">
      <c r="A19" s="1" t="s">
        <v>70</v>
      </c>
      <c r="B19" s="1" t="s">
        <v>71</v>
      </c>
      <c r="C19" s="1">
        <v>2007</v>
      </c>
      <c r="D19" s="1" t="s">
        <v>234</v>
      </c>
      <c r="E19" s="1" t="s">
        <v>235</v>
      </c>
    </row>
    <row r="20" spans="1:6">
      <c r="A20" s="1" t="s">
        <v>70</v>
      </c>
      <c r="B20" s="1" t="s">
        <v>71</v>
      </c>
      <c r="C20" s="1">
        <v>2007</v>
      </c>
      <c r="D20" s="1" t="s">
        <v>241</v>
      </c>
      <c r="E20" s="1" t="s">
        <v>237</v>
      </c>
    </row>
    <row r="21" spans="1:6">
      <c r="A21" s="1" t="s">
        <v>70</v>
      </c>
      <c r="B21" s="1" t="s">
        <v>71</v>
      </c>
      <c r="C21" s="1">
        <v>2007</v>
      </c>
      <c r="D21" s="1" t="s">
        <v>243</v>
      </c>
      <c r="E21" s="1" t="s">
        <v>239</v>
      </c>
    </row>
    <row r="22" spans="1:6">
      <c r="A22" s="1" t="s">
        <v>70</v>
      </c>
      <c r="B22" s="1" t="s">
        <v>71</v>
      </c>
      <c r="C22" s="1">
        <v>2010</v>
      </c>
      <c r="D22" s="1" t="s">
        <v>232</v>
      </c>
      <c r="E22" s="1" t="s">
        <v>231</v>
      </c>
      <c r="F22" s="1">
        <v>2012</v>
      </c>
    </row>
    <row r="23" spans="1:6">
      <c r="A23" s="1" t="s">
        <v>70</v>
      </c>
      <c r="B23" s="1" t="s">
        <v>71</v>
      </c>
      <c r="C23" s="1">
        <v>2010</v>
      </c>
      <c r="D23" s="1" t="s">
        <v>240</v>
      </c>
      <c r="E23" s="1" t="s">
        <v>233</v>
      </c>
      <c r="F23" s="1">
        <v>2014</v>
      </c>
    </row>
    <row r="24" spans="1:6">
      <c r="A24" s="1" t="s">
        <v>70</v>
      </c>
      <c r="B24" s="1" t="s">
        <v>71</v>
      </c>
      <c r="C24" s="1">
        <v>2010</v>
      </c>
      <c r="D24" s="1" t="s">
        <v>234</v>
      </c>
      <c r="E24" s="1" t="s">
        <v>235</v>
      </c>
      <c r="F24" s="1">
        <v>2013</v>
      </c>
    </row>
    <row r="25" spans="1:6">
      <c r="A25" s="1" t="s">
        <v>70</v>
      </c>
      <c r="B25" s="1" t="s">
        <v>71</v>
      </c>
      <c r="C25" s="1">
        <v>2010</v>
      </c>
      <c r="D25" s="1" t="s">
        <v>241</v>
      </c>
      <c r="E25" s="1" t="s">
        <v>237</v>
      </c>
      <c r="F25" s="1">
        <v>2010</v>
      </c>
    </row>
    <row r="26" spans="1:6">
      <c r="A26" s="1" t="s">
        <v>70</v>
      </c>
      <c r="B26" s="1" t="s">
        <v>71</v>
      </c>
      <c r="C26" s="1">
        <v>2010</v>
      </c>
      <c r="D26" s="1" t="s">
        <v>243</v>
      </c>
      <c r="E26" s="1" t="s">
        <v>239</v>
      </c>
      <c r="F26" s="1">
        <v>2011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Duke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Patterson</dc:creator>
  <cp:keywords/>
  <dc:description/>
  <cp:lastModifiedBy>Walker Grimshaw</cp:lastModifiedBy>
  <cp:revision/>
  <dcterms:created xsi:type="dcterms:W3CDTF">2019-08-01T16:52:11Z</dcterms:created>
  <dcterms:modified xsi:type="dcterms:W3CDTF">2020-02-18T03:39:10Z</dcterms:modified>
  <cp:category/>
  <cp:contentStatus/>
</cp:coreProperties>
</file>