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ke\OneDrive\Documents\Duke\Masters Project\Shrinking_Cities_MP\DATA\PROCESSED\"/>
    </mc:Choice>
  </mc:AlternateContent>
  <xr:revisionPtr revIDLastSave="0" documentId="13_ncr:1_{D5A43DD6-5C1D-450E-9309-95DBECC9ABE7}" xr6:coauthVersionLast="45" xr6:coauthVersionMax="45" xr10:uidLastSave="{00000000-0000-0000-0000-000000000000}"/>
  <bookViews>
    <workbookView xWindow="-110" yWindow="-110" windowWidth="19420" windowHeight="10420" xr2:uid="{9E8F70ED-9192-4798-993B-B8CCD89841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" l="1"/>
  <c r="E2" i="1"/>
  <c r="E18" i="1"/>
  <c r="E17" i="1"/>
  <c r="E15" i="1" l="1"/>
  <c r="F15" i="1" s="1"/>
  <c r="H15" i="1" s="1"/>
  <c r="E14" i="1"/>
  <c r="F14" i="1" s="1"/>
  <c r="H14" i="1" s="1"/>
  <c r="E13" i="1"/>
  <c r="F13" i="1" s="1"/>
  <c r="H13" i="1" s="1"/>
  <c r="E12" i="1"/>
  <c r="F12" i="1"/>
  <c r="H12" i="1" s="1"/>
  <c r="E11" i="1"/>
  <c r="F11" i="1" s="1"/>
  <c r="H11" i="1" s="1"/>
  <c r="E10" i="1"/>
  <c r="E9" i="1"/>
  <c r="E7" i="1"/>
  <c r="F7" i="1" s="1"/>
  <c r="H7" i="1" s="1"/>
  <c r="E6" i="1"/>
  <c r="E5" i="1"/>
  <c r="F5" i="1" s="1"/>
  <c r="H5" i="1" s="1"/>
  <c r="F4" i="1"/>
  <c r="H4" i="1" s="1"/>
  <c r="F3" i="1"/>
  <c r="F6" i="1"/>
  <c r="H6" i="1" s="1"/>
  <c r="F8" i="1"/>
  <c r="F9" i="1"/>
  <c r="H9" i="1" s="1"/>
  <c r="F10" i="1"/>
  <c r="F17" i="1"/>
  <c r="H17" i="1" s="1"/>
  <c r="F18" i="1"/>
  <c r="H18" i="1" s="1"/>
  <c r="H3" i="1"/>
  <c r="H8" i="1"/>
  <c r="H10" i="1"/>
  <c r="E3" i="1"/>
  <c r="F2" i="1" l="1"/>
  <c r="H2" i="1" s="1"/>
</calcChain>
</file>

<file path=xl/sharedStrings.xml><?xml version="1.0" encoding="utf-8"?>
<sst xmlns="http://schemas.openxmlformats.org/spreadsheetml/2006/main" count="89" uniqueCount="54">
  <si>
    <t>PWSID</t>
  </si>
  <si>
    <t>Name</t>
  </si>
  <si>
    <t>HBI</t>
  </si>
  <si>
    <t>PA1090022</t>
  </si>
  <si>
    <t>PA1230004</t>
  </si>
  <si>
    <t>PA1460034</t>
  </si>
  <si>
    <t>PA1460037</t>
  </si>
  <si>
    <t>PA2408010</t>
  </si>
  <si>
    <t>PA3060059</t>
  </si>
  <si>
    <t>PA3540038</t>
  </si>
  <si>
    <t>Schuylkill</t>
  </si>
  <si>
    <t>PA4070023</t>
  </si>
  <si>
    <t>Altoona</t>
  </si>
  <si>
    <t>PA4110034</t>
  </si>
  <si>
    <t>Johnstown</t>
  </si>
  <si>
    <t>PA4410173</t>
  </si>
  <si>
    <t>Williamsport</t>
  </si>
  <si>
    <t>PA4440010</t>
  </si>
  <si>
    <t>Lewistown</t>
  </si>
  <si>
    <t>PA5020038</t>
  </si>
  <si>
    <t>Pittsburgh</t>
  </si>
  <si>
    <t>PA5040006</t>
  </si>
  <si>
    <t>Aliquippa</t>
  </si>
  <si>
    <t>PA5630039</t>
  </si>
  <si>
    <t>PA6170016</t>
  </si>
  <si>
    <t>Dubois</t>
  </si>
  <si>
    <t>PA6240016</t>
  </si>
  <si>
    <t>StMarys</t>
  </si>
  <si>
    <t>PA7210002</t>
  </si>
  <si>
    <t>Carlisle</t>
  </si>
  <si>
    <t>PPI_2017</t>
  </si>
  <si>
    <t>LQI_2017</t>
  </si>
  <si>
    <t>notes</t>
  </si>
  <si>
    <t>RateYear</t>
  </si>
  <si>
    <t>System not in SDWIS</t>
  </si>
  <si>
    <t>Y</t>
  </si>
  <si>
    <t>Charleroi</t>
  </si>
  <si>
    <t>No rates information</t>
  </si>
  <si>
    <t>NA</t>
  </si>
  <si>
    <t>CAP: https://www.pgh2o.com/residential-commercial-customers/billing-community-assistance-programs</t>
  </si>
  <si>
    <t>N</t>
  </si>
  <si>
    <t>average consumption cost for east and west service areas, no CAP but can make payment plan arrangements</t>
  </si>
  <si>
    <t>Payment plans available</t>
  </si>
  <si>
    <t>Annual_Cost</t>
  </si>
  <si>
    <t>Monthly_Cost</t>
  </si>
  <si>
    <t>Monthly_Volume_(gal)</t>
  </si>
  <si>
    <t>Customer_Assistance_Program</t>
  </si>
  <si>
    <t>Falls Township</t>
  </si>
  <si>
    <t>Hazleton City</t>
  </si>
  <si>
    <t>Reading Area</t>
  </si>
  <si>
    <t>Pottstown Borough</t>
  </si>
  <si>
    <t>North Penn</t>
  </si>
  <si>
    <t>Chester</t>
  </si>
  <si>
    <t>Focus_City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</si>
</sst>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1" xfId="0" applyFont="1" applyFill="1" applyBorder="1"/>
    <xf numFmtId="0" fontId="0" fillId="0" borderId="0" xfId="0" applyFill="1"/>
    <xf numFmtId="10" fontId="0" fillId="0" borderId="0" xfId="1" applyNumberFormat="1" applyFont="1" applyFill="1"/>
    <xf numFmtId="10" fontId="0" fillId="0" borderId="0" xfId="0" applyNumberFormat="1" applyFill="1"/>
    <xf numFmtId="44" fontId="2" fillId="0" borderId="1" xfId="2" applyFont="1" applyFill="1" applyBorder="1"/>
    <xf numFmtId="44" fontId="0" fillId="0" borderId="0" xfId="2" applyFont="1" applyFill="1"/>
  </cellXfs>
  <cellStyles count="3">
    <cellStyle name="Currency" xfId="2" builtinId="4"/>
    <cellStyle name="Normal" xfId="0" builtinId="0"/>
    <cellStyle name="Percent" xfId="1" builtinId="5"/>
  </cellStyles>
  <dxfs count="15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FC3FE4-94BC-430C-9BC1-DD50482D0714}" name="Table1" displayName="Table1" ref="A1:L18" totalsRowShown="0" headerRowDxfId="14" dataDxfId="12" headerRowBorderDxfId="13">
  <autoFilter ref="A1:L18" xr:uid="{0D1A120F-85D7-48AB-A4D3-644F12D217A3}"/>
  <tableColumns count="12">
    <tableColumn id="1" xr3:uid="{4F8C4616-09B4-4B62-A830-582F05A63C36}" name="PWSID" dataDxfId="11"/>
    <tableColumn id="2" xr3:uid="{C9BC8B7F-0D42-432C-AFF7-299C225E3CB0}" name="Name" dataDxfId="10"/>
    <tableColumn id="3" xr3:uid="{F3C2FDE5-60B1-49B6-93D7-07FE5D458ABC}" name="RateYear" dataDxfId="9"/>
    <tableColumn id="4" xr3:uid="{C671A65D-1474-499E-82CB-F3ACBA604F51}" name="Monthly_Volume_(gal)" dataDxfId="8"/>
    <tableColumn id="5" xr3:uid="{F21CB3E3-FB8E-472F-B1F0-86A1FEB5D5F9}" name="Monthly_Cost" dataDxfId="7" dataCellStyle="Currency"/>
    <tableColumn id="6" xr3:uid="{6A9BB4A4-54EE-4946-9F99-FC06A283AB67}" name="Annual_Cost" dataDxfId="6" dataCellStyle="Currency">
      <calculatedColumnFormula>E2*12</calculatedColumnFormula>
    </tableColumn>
    <tableColumn id="7" xr3:uid="{92601A6B-1CFA-41E9-82C4-4939C9A6B6D2}" name="LQI_2017" dataDxfId="5" dataCellStyle="Currency"/>
    <tableColumn id="8" xr3:uid="{8DEF86BC-4489-483C-A0D9-C6A84042D9E0}" name="HBI" dataDxfId="4" dataCellStyle="Percent">
      <calculatedColumnFormula>F2/G2</calculatedColumnFormula>
    </tableColumn>
    <tableColumn id="9" xr3:uid="{050A8E8D-0AF7-412A-80CD-FA367BD13D38}" name="PPI_2017" dataDxfId="3"/>
    <tableColumn id="10" xr3:uid="{C688A84A-3CD1-4863-8546-07416EBD892E}" name="Customer_Assistance_Program" dataDxfId="2"/>
    <tableColumn id="12" xr3:uid="{E90466BC-98B5-4C86-992F-53F103F86657}" name="Focus_City" dataDxfId="0"/>
    <tableColumn id="11" xr3:uid="{D2E4AAD8-F155-4F0C-9AF7-A0A9425172E1}" name="notes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F258-5C70-448B-AB7B-83AEC142585F}">
  <dimension ref="A1:L18"/>
  <sheetViews>
    <sheetView tabSelected="1" workbookViewId="0">
      <selection activeCell="K6" sqref="K6"/>
    </sheetView>
  </sheetViews>
  <sheetFormatPr defaultRowHeight="14.5" x14ac:dyDescent="0.35"/>
  <cols>
    <col min="1" max="1" width="10" style="2" bestFit="1" customWidth="1"/>
    <col min="2" max="2" width="36.7265625" style="2" bestFit="1" customWidth="1"/>
    <col min="3" max="3" width="10.36328125" style="2" customWidth="1"/>
    <col min="4" max="4" width="20.90625" style="2" customWidth="1"/>
    <col min="5" max="5" width="14.08984375" style="6" customWidth="1"/>
    <col min="6" max="6" width="12.90625" style="6" customWidth="1"/>
    <col min="7" max="7" width="12.81640625" style="6" customWidth="1"/>
    <col min="8" max="8" width="8.7265625" style="2"/>
    <col min="9" max="9" width="10.54296875" style="2" customWidth="1"/>
    <col min="10" max="10" width="13.54296875" style="2" customWidth="1"/>
    <col min="11" max="11" width="11.90625" style="2" customWidth="1"/>
    <col min="12" max="16384" width="8.7265625" style="2"/>
  </cols>
  <sheetData>
    <row r="1" spans="1:12" s="1" customFormat="1" x14ac:dyDescent="0.35">
      <c r="A1" s="1" t="s">
        <v>0</v>
      </c>
      <c r="B1" s="1" t="s">
        <v>1</v>
      </c>
      <c r="C1" s="1" t="s">
        <v>33</v>
      </c>
      <c r="D1" s="1" t="s">
        <v>45</v>
      </c>
      <c r="E1" s="5" t="s">
        <v>44</v>
      </c>
      <c r="F1" s="5" t="s">
        <v>43</v>
      </c>
      <c r="G1" s="5" t="s">
        <v>31</v>
      </c>
      <c r="H1" s="1" t="s">
        <v>2</v>
      </c>
      <c r="I1" s="1" t="s">
        <v>30</v>
      </c>
      <c r="J1" s="1" t="s">
        <v>46</v>
      </c>
      <c r="K1" s="1" t="s">
        <v>53</v>
      </c>
      <c r="L1" s="1" t="s">
        <v>32</v>
      </c>
    </row>
    <row r="2" spans="1:12" x14ac:dyDescent="0.35">
      <c r="A2" s="2" t="s">
        <v>3</v>
      </c>
      <c r="B2" s="2" t="s">
        <v>47</v>
      </c>
      <c r="C2" s="2">
        <v>2018</v>
      </c>
      <c r="D2" s="2">
        <v>4562.5</v>
      </c>
      <c r="E2" s="6">
        <f>(44.19+0.84*8000/1000+5.17*(Table1[[#This Row],[Monthly_Volume_(gal)]]*3-8000)/1000)/3</f>
        <v>26.771458333333332</v>
      </c>
      <c r="F2" s="6">
        <f>E2*12</f>
        <v>321.25749999999999</v>
      </c>
      <c r="G2" s="6">
        <v>31686.94</v>
      </c>
      <c r="H2" s="3">
        <f>F2/G2</f>
        <v>1.0138482920723807E-2</v>
      </c>
      <c r="I2" s="4">
        <v>0.27629999999999999</v>
      </c>
      <c r="J2" s="4" t="s">
        <v>40</v>
      </c>
      <c r="K2" s="4" t="s">
        <v>40</v>
      </c>
    </row>
    <row r="3" spans="1:12" x14ac:dyDescent="0.35">
      <c r="A3" s="2" t="s">
        <v>4</v>
      </c>
      <c r="B3" s="2" t="s">
        <v>52</v>
      </c>
      <c r="C3" s="2">
        <v>2014</v>
      </c>
      <c r="D3" s="2">
        <v>4562.5</v>
      </c>
      <c r="E3" s="6">
        <f>12.1+AVERAGE(4.61,5.92)*D3/1000</f>
        <v>36.121562500000003</v>
      </c>
      <c r="F3" s="6">
        <f t="shared" ref="F3:F18" si="0">E3*12</f>
        <v>433.45875000000001</v>
      </c>
      <c r="G3" s="6">
        <v>28651</v>
      </c>
      <c r="H3" s="3">
        <f t="shared" ref="H3:H18" si="1">F3/G3</f>
        <v>1.5128922201668353E-2</v>
      </c>
      <c r="I3" s="4">
        <v>0.29260000000000003</v>
      </c>
      <c r="J3" s="4" t="s">
        <v>40</v>
      </c>
      <c r="K3" s="4" t="s">
        <v>35</v>
      </c>
      <c r="L3" s="2" t="s">
        <v>41</v>
      </c>
    </row>
    <row r="4" spans="1:12" x14ac:dyDescent="0.35">
      <c r="A4" s="2" t="s">
        <v>5</v>
      </c>
      <c r="B4" s="2" t="s">
        <v>51</v>
      </c>
      <c r="C4" s="2">
        <v>2019</v>
      </c>
      <c r="D4" s="2">
        <v>4562.5</v>
      </c>
      <c r="E4" s="6">
        <f>(9.1+3.94*D4*3*0.133681/100)/3</f>
        <v>27.06416409583333</v>
      </c>
      <c r="F4" s="6">
        <f t="shared" si="0"/>
        <v>324.76996914999995</v>
      </c>
      <c r="G4" s="6">
        <v>36777.4</v>
      </c>
      <c r="H4" s="3">
        <f t="shared" si="1"/>
        <v>8.8306940988215569E-3</v>
      </c>
      <c r="I4" s="4">
        <v>0.22789999999999999</v>
      </c>
      <c r="J4" s="4" t="s">
        <v>40</v>
      </c>
      <c r="K4" s="4" t="s">
        <v>40</v>
      </c>
    </row>
    <row r="5" spans="1:12" x14ac:dyDescent="0.35">
      <c r="A5" s="2" t="s">
        <v>6</v>
      </c>
      <c r="B5" s="2" t="s">
        <v>50</v>
      </c>
      <c r="C5" s="2">
        <v>2015</v>
      </c>
      <c r="D5" s="2">
        <v>4562.5</v>
      </c>
      <c r="E5" s="6">
        <f>(35+2.78*D5*3*0.133618/100)/3</f>
        <v>28.614439741666661</v>
      </c>
      <c r="F5" s="6">
        <f t="shared" si="0"/>
        <v>343.37327689999995</v>
      </c>
      <c r="G5" s="6">
        <v>23358</v>
      </c>
      <c r="H5" s="3">
        <f t="shared" si="1"/>
        <v>1.4700457098210461E-2</v>
      </c>
      <c r="I5" s="4">
        <v>0.36780000000000002</v>
      </c>
      <c r="J5" s="4" t="s">
        <v>40</v>
      </c>
      <c r="K5" s="4" t="s">
        <v>40</v>
      </c>
    </row>
    <row r="6" spans="1:12" x14ac:dyDescent="0.35">
      <c r="A6" s="2" t="s">
        <v>7</v>
      </c>
      <c r="B6" s="2" t="s">
        <v>48</v>
      </c>
      <c r="C6" s="2">
        <v>2006</v>
      </c>
      <c r="D6" s="2">
        <v>4562.5</v>
      </c>
      <c r="E6" s="6">
        <f>11.88+(4.67*D6-500)/1000</f>
        <v>32.686875000000001</v>
      </c>
      <c r="F6" s="6">
        <f t="shared" si="0"/>
        <v>392.24250000000001</v>
      </c>
      <c r="G6" s="6">
        <v>18031</v>
      </c>
      <c r="H6" s="3">
        <f t="shared" si="1"/>
        <v>2.1753785147801009E-2</v>
      </c>
      <c r="I6" s="4">
        <v>0.4904</v>
      </c>
      <c r="J6" s="4" t="s">
        <v>40</v>
      </c>
      <c r="K6" s="4" t="s">
        <v>40</v>
      </c>
      <c r="L6" s="2" t="s">
        <v>34</v>
      </c>
    </row>
    <row r="7" spans="1:12" x14ac:dyDescent="0.35">
      <c r="A7" s="2" t="s">
        <v>8</v>
      </c>
      <c r="B7" s="2" t="s">
        <v>49</v>
      </c>
      <c r="C7" s="2">
        <v>2017</v>
      </c>
      <c r="D7" s="2">
        <v>4562.5</v>
      </c>
      <c r="E7" s="6">
        <f>10.72+6.68*D7/1000</f>
        <v>41.197499999999998</v>
      </c>
      <c r="F7" s="6">
        <f t="shared" si="0"/>
        <v>494.37</v>
      </c>
      <c r="G7" s="6">
        <v>14166</v>
      </c>
      <c r="H7" s="3">
        <f t="shared" si="1"/>
        <v>3.4898348157560356E-2</v>
      </c>
      <c r="I7" s="4">
        <v>0.55820000000000003</v>
      </c>
      <c r="J7" s="4" t="s">
        <v>40</v>
      </c>
      <c r="K7" s="4" t="s">
        <v>35</v>
      </c>
      <c r="L7" s="2" t="s">
        <v>42</v>
      </c>
    </row>
    <row r="8" spans="1:12" x14ac:dyDescent="0.35">
      <c r="A8" s="2" t="s">
        <v>9</v>
      </c>
      <c r="B8" s="2" t="s">
        <v>10</v>
      </c>
      <c r="C8" s="2">
        <v>2019</v>
      </c>
      <c r="D8" s="2">
        <v>4562.5</v>
      </c>
      <c r="E8" s="6">
        <v>31.09</v>
      </c>
      <c r="F8" s="6">
        <f t="shared" si="0"/>
        <v>373.08</v>
      </c>
      <c r="G8" s="6">
        <v>20648</v>
      </c>
      <c r="H8" s="3">
        <f t="shared" si="1"/>
        <v>1.8068578070515304E-2</v>
      </c>
      <c r="I8" s="4">
        <v>0.42980000000000002</v>
      </c>
      <c r="J8" s="4" t="s">
        <v>40</v>
      </c>
      <c r="K8" s="4" t="s">
        <v>40</v>
      </c>
    </row>
    <row r="9" spans="1:12" x14ac:dyDescent="0.35">
      <c r="A9" s="2" t="s">
        <v>11</v>
      </c>
      <c r="B9" s="2" t="s">
        <v>12</v>
      </c>
      <c r="C9" s="2">
        <v>2019</v>
      </c>
      <c r="D9" s="2">
        <v>4562.5</v>
      </c>
      <c r="E9" s="6">
        <f>29.03+1.54+1+11.08</f>
        <v>42.65</v>
      </c>
      <c r="F9" s="6">
        <f t="shared" si="0"/>
        <v>511.79999999999995</v>
      </c>
      <c r="G9" s="6">
        <v>18888</v>
      </c>
      <c r="H9" s="3">
        <f t="shared" si="1"/>
        <v>2.709656925031766E-2</v>
      </c>
      <c r="I9" s="4">
        <v>0.4637</v>
      </c>
      <c r="J9" s="4" t="s">
        <v>40</v>
      </c>
      <c r="K9" s="4" t="s">
        <v>35</v>
      </c>
    </row>
    <row r="10" spans="1:12" x14ac:dyDescent="0.35">
      <c r="A10" s="2" t="s">
        <v>13</v>
      </c>
      <c r="B10" s="2" t="s">
        <v>14</v>
      </c>
      <c r="C10" s="2">
        <v>2018</v>
      </c>
      <c r="D10" s="2">
        <v>4562.5</v>
      </c>
      <c r="E10" s="6">
        <f>(14.97+3+12)/3 + 10.39*D10/1000</f>
        <v>57.394375000000004</v>
      </c>
      <c r="F10" s="6">
        <f t="shared" si="0"/>
        <v>688.73250000000007</v>
      </c>
      <c r="G10" s="6">
        <v>15996</v>
      </c>
      <c r="H10" s="3">
        <f t="shared" si="1"/>
        <v>4.3056545386346588E-2</v>
      </c>
      <c r="I10" s="4">
        <v>0.52769999999999995</v>
      </c>
      <c r="J10" s="4" t="s">
        <v>40</v>
      </c>
      <c r="K10" s="4" t="s">
        <v>35</v>
      </c>
    </row>
    <row r="11" spans="1:12" x14ac:dyDescent="0.35">
      <c r="A11" s="2" t="s">
        <v>15</v>
      </c>
      <c r="B11" s="2" t="s">
        <v>16</v>
      </c>
      <c r="C11" s="2">
        <v>2010</v>
      </c>
      <c r="D11" s="2">
        <v>4562.5</v>
      </c>
      <c r="E11" s="6">
        <f>(23.75+4.75*(D11*3-5000)/1000)/3</f>
        <v>21.671875</v>
      </c>
      <c r="F11" s="6">
        <f t="shared" si="0"/>
        <v>260.0625</v>
      </c>
      <c r="G11" s="6">
        <v>18902</v>
      </c>
      <c r="H11" s="3">
        <f t="shared" si="1"/>
        <v>1.3758464712728811E-2</v>
      </c>
      <c r="I11" s="4">
        <v>0.46939999999999998</v>
      </c>
      <c r="J11" s="4" t="s">
        <v>40</v>
      </c>
      <c r="K11" s="4" t="s">
        <v>40</v>
      </c>
    </row>
    <row r="12" spans="1:12" x14ac:dyDescent="0.35">
      <c r="A12" s="2" t="s">
        <v>17</v>
      </c>
      <c r="B12" s="2" t="s">
        <v>18</v>
      </c>
      <c r="C12" s="2">
        <v>2018</v>
      </c>
      <c r="D12" s="2">
        <v>4562.5</v>
      </c>
      <c r="E12" s="6">
        <f>(19.52/3)+4.82*D12/1000</f>
        <v>28.497916666666669</v>
      </c>
      <c r="F12" s="6">
        <f t="shared" si="0"/>
        <v>341.97500000000002</v>
      </c>
      <c r="G12" s="6">
        <v>21054</v>
      </c>
      <c r="H12" s="3">
        <f t="shared" si="1"/>
        <v>1.6242756720813149E-2</v>
      </c>
      <c r="I12" s="4">
        <v>0.45800000000000002</v>
      </c>
      <c r="J12" s="4" t="s">
        <v>40</v>
      </c>
      <c r="K12" s="4" t="s">
        <v>40</v>
      </c>
    </row>
    <row r="13" spans="1:12" x14ac:dyDescent="0.35">
      <c r="A13" s="2" t="s">
        <v>19</v>
      </c>
      <c r="B13" s="2" t="s">
        <v>20</v>
      </c>
      <c r="C13" s="2">
        <v>2019</v>
      </c>
      <c r="D13" s="2">
        <v>4562.5</v>
      </c>
      <c r="E13" s="6">
        <f>27.27+11.04*FLOOR((D13-1000)/1000,1)</f>
        <v>60.39</v>
      </c>
      <c r="F13" s="6">
        <f t="shared" si="0"/>
        <v>724.68000000000006</v>
      </c>
      <c r="G13" s="6">
        <v>15743</v>
      </c>
      <c r="H13" s="3">
        <f t="shared" si="1"/>
        <v>4.6031887187956554E-2</v>
      </c>
      <c r="I13" s="4">
        <v>0.46970000000000001</v>
      </c>
      <c r="J13" s="4" t="s">
        <v>35</v>
      </c>
      <c r="K13" s="4" t="s">
        <v>40</v>
      </c>
      <c r="L13" s="2" t="s">
        <v>39</v>
      </c>
    </row>
    <row r="14" spans="1:12" x14ac:dyDescent="0.35">
      <c r="A14" s="2" t="s">
        <v>21</v>
      </c>
      <c r="B14" s="2" t="s">
        <v>22</v>
      </c>
      <c r="C14" s="2">
        <v>2018</v>
      </c>
      <c r="D14" s="2">
        <v>4562.5</v>
      </c>
      <c r="E14" s="6">
        <f>(75+12.5*(D14*3-6000)/1000)/3</f>
        <v>57.03125</v>
      </c>
      <c r="F14" s="6">
        <f t="shared" si="0"/>
        <v>684.375</v>
      </c>
      <c r="G14" s="6">
        <v>20099</v>
      </c>
      <c r="H14" s="3">
        <f t="shared" si="1"/>
        <v>3.4050201502562313E-2</v>
      </c>
      <c r="I14" s="4">
        <v>0.40799999999999997</v>
      </c>
      <c r="J14" s="2" t="s">
        <v>40</v>
      </c>
      <c r="K14" s="4" t="s">
        <v>40</v>
      </c>
    </row>
    <row r="15" spans="1:12" x14ac:dyDescent="0.35">
      <c r="A15" s="2" t="s">
        <v>23</v>
      </c>
      <c r="B15" s="2" t="s">
        <v>36</v>
      </c>
      <c r="C15" s="2">
        <v>2019</v>
      </c>
      <c r="D15" s="2">
        <v>4562.5</v>
      </c>
      <c r="E15" s="6">
        <f>14.8+20.2+3.8*FLOOR(D15/1000,1)</f>
        <v>50.2</v>
      </c>
      <c r="F15" s="6">
        <f t="shared" si="0"/>
        <v>602.40000000000009</v>
      </c>
      <c r="G15" s="6">
        <v>19296</v>
      </c>
      <c r="H15" s="3">
        <f t="shared" si="1"/>
        <v>3.121890547263682E-2</v>
      </c>
      <c r="I15" s="4">
        <v>0.44230000000000003</v>
      </c>
      <c r="J15" s="2" t="s">
        <v>40</v>
      </c>
      <c r="K15" s="4" t="s">
        <v>40</v>
      </c>
    </row>
    <row r="16" spans="1:12" x14ac:dyDescent="0.35">
      <c r="A16" s="2" t="s">
        <v>24</v>
      </c>
      <c r="B16" s="2" t="s">
        <v>25</v>
      </c>
      <c r="C16" s="2" t="s">
        <v>38</v>
      </c>
      <c r="D16" s="2">
        <v>4562.5</v>
      </c>
      <c r="E16" s="6" t="s">
        <v>38</v>
      </c>
      <c r="F16" s="6" t="s">
        <v>38</v>
      </c>
      <c r="G16" s="6">
        <v>18311</v>
      </c>
      <c r="H16" s="3" t="s">
        <v>38</v>
      </c>
      <c r="I16" s="4">
        <v>0.45789999999999997</v>
      </c>
      <c r="J16" s="2" t="s">
        <v>38</v>
      </c>
      <c r="K16" s="4" t="s">
        <v>40</v>
      </c>
      <c r="L16" s="2" t="s">
        <v>37</v>
      </c>
    </row>
    <row r="17" spans="1:11" x14ac:dyDescent="0.35">
      <c r="A17" s="2" t="s">
        <v>26</v>
      </c>
      <c r="B17" s="2" t="s">
        <v>27</v>
      </c>
      <c r="C17" s="2">
        <v>2016</v>
      </c>
      <c r="D17" s="2">
        <v>4562.5</v>
      </c>
      <c r="E17" s="6">
        <f>(22+4*FLOOR(D17*3/1000,1))/3</f>
        <v>24.666666666666668</v>
      </c>
      <c r="F17" s="6">
        <f t="shared" si="0"/>
        <v>296</v>
      </c>
      <c r="G17" s="6">
        <v>24688</v>
      </c>
      <c r="H17" s="3">
        <f t="shared" si="1"/>
        <v>1.1989630589760207E-2</v>
      </c>
      <c r="I17" s="4">
        <v>0.39040000000000002</v>
      </c>
      <c r="J17" s="2" t="s">
        <v>40</v>
      </c>
      <c r="K17" s="4" t="s">
        <v>40</v>
      </c>
    </row>
    <row r="18" spans="1:11" x14ac:dyDescent="0.35">
      <c r="A18" s="2" t="s">
        <v>28</v>
      </c>
      <c r="B18" s="2" t="s">
        <v>29</v>
      </c>
      <c r="C18" s="2">
        <v>1998</v>
      </c>
      <c r="D18" s="2">
        <v>4562.5</v>
      </c>
      <c r="E18" s="6">
        <f>(21+D18*3*0.133681/100)/3</f>
        <v>13.099195625</v>
      </c>
      <c r="F18" s="6">
        <f t="shared" si="0"/>
        <v>157.1903475</v>
      </c>
      <c r="G18" s="6">
        <v>24155</v>
      </c>
      <c r="H18" s="3">
        <f t="shared" si="1"/>
        <v>6.5075697578141174E-3</v>
      </c>
      <c r="I18" s="4">
        <v>0.36630000000000001</v>
      </c>
      <c r="J18" s="2" t="s">
        <v>40</v>
      </c>
      <c r="K18" s="4" t="s">
        <v>40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Walker Grimshaw</dc:creator>
  <cp:lastModifiedBy>Walker Grimshaw</cp:lastModifiedBy>
  <dcterms:created xsi:type="dcterms:W3CDTF">2020-01-27T21:25:30Z</dcterms:created>
  <dcterms:modified xsi:type="dcterms:W3CDTF">2020-02-21T15:05:07Z</dcterms:modified>
</cp:coreProperties>
</file>