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24"/>
  <workbookPr/>
  <mc:AlternateContent xmlns:mc="http://schemas.openxmlformats.org/markup-compatibility/2006">
    <mc:Choice Requires="x15">
      <x15ac:absPath xmlns:x15ac="http://schemas.microsoft.com/office/spreadsheetml/2010/11/ac" url="C:\Users\lap19\Documents\WaterUtilities\UtilityData\PA\data\Official_Statements\"/>
    </mc:Choice>
  </mc:AlternateContent>
  <xr:revisionPtr revIDLastSave="0" documentId="11_BDB4ADDFCC5A5794EADBBD8795D587F1A6858D0C" xr6:coauthVersionLast="45" xr6:coauthVersionMax="45" xr10:uidLastSave="{00000000-0000-0000-0000-000000000000}"/>
  <bookViews>
    <workbookView xWindow="0" yWindow="0" windowWidth="15756" windowHeight="12216" activeTab="12" xr2:uid="{00000000-000D-0000-FFFF-FFFF00000000}"/>
  </bookViews>
  <sheets>
    <sheet name="notes" sheetId="17" r:id="rId1"/>
    <sheet name="basicInfo" sheetId="1" r:id="rId2"/>
    <sheet name="maturitySched" sheetId="2" r:id="rId3"/>
    <sheet name="bondPurpose" sheetId="5" r:id="rId4"/>
    <sheet name="otherDebt" sheetId="3" r:id="rId5"/>
    <sheet name="longTerm" sheetId="18" r:id="rId6"/>
    <sheet name="debtService" sheetId="4" r:id="rId7"/>
    <sheet name="board" sheetId="6" r:id="rId8"/>
    <sheet name="utilityInfo" sheetId="7" r:id="rId9"/>
    <sheet name="serviceArea" sheetId="8" r:id="rId10"/>
    <sheet name="interconnect" sheetId="9" r:id="rId11"/>
    <sheet name="source" sheetId="11" r:id="rId12"/>
    <sheet name="customers" sheetId="10" r:id="rId13"/>
    <sheet name="usage" sheetId="12" r:id="rId14"/>
    <sheet name="unaccounted" sheetId="13" r:id="rId15"/>
    <sheet name="largestCust" sheetId="14" r:id="rId16"/>
    <sheet name="rates" sheetId="19" r:id="rId17"/>
    <sheet name="fiscal" sheetId="16" r:id="rId18"/>
    <sheet name="assets" sheetId="20" r:id="rId19"/>
    <sheet name="revCollect" sheetId="15" r:id="rId20"/>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40" i="3" l="1"/>
  <c r="AI55" i="20"/>
  <c r="AH55" i="20"/>
  <c r="AI31" i="20"/>
  <c r="AH31" i="20"/>
  <c r="AI25" i="20"/>
  <c r="K146" i="3"/>
  <c r="I25" i="4"/>
  <c r="I26" i="4"/>
  <c r="I27" i="4"/>
  <c r="I28" i="4"/>
  <c r="I29" i="4"/>
  <c r="G24" i="4"/>
  <c r="G23" i="4"/>
  <c r="G22" i="4"/>
  <c r="G21" i="4"/>
  <c r="G20" i="4"/>
  <c r="E24" i="4"/>
  <c r="I24" i="4" s="1"/>
  <c r="E23" i="4"/>
  <c r="I23" i="4" s="1"/>
  <c r="E22" i="4"/>
  <c r="I22" i="4" s="1"/>
  <c r="E20" i="4"/>
  <c r="I20" i="4" s="1"/>
  <c r="E21" i="4"/>
  <c r="I21" i="4" s="1"/>
  <c r="AK33" i="16"/>
  <c r="I163" i="12"/>
  <c r="I164" i="12" s="1"/>
  <c r="E11" i="13" s="1"/>
  <c r="I162" i="12"/>
  <c r="I161" i="12"/>
  <c r="I160" i="12"/>
  <c r="I159" i="12"/>
  <c r="I158" i="12"/>
  <c r="E10" i="13"/>
  <c r="K217" i="14"/>
  <c r="H217" i="14"/>
  <c r="I105" i="10"/>
  <c r="K206" i="14"/>
  <c r="H206" i="14"/>
  <c r="J705" i="2"/>
  <c r="J706" i="2" s="1"/>
  <c r="J707" i="2" s="1"/>
  <c r="J708" i="2" s="1"/>
  <c r="J709" i="2" s="1"/>
  <c r="J710" i="2" s="1"/>
  <c r="J711" i="2" s="1"/>
  <c r="J712" i="2" s="1"/>
  <c r="J713" i="2" s="1"/>
  <c r="J714" i="2" s="1"/>
  <c r="J715" i="2" s="1"/>
  <c r="J716" i="2" s="1"/>
  <c r="J717" i="2" s="1"/>
  <c r="J718" i="2" s="1"/>
  <c r="J719" i="2" s="1"/>
  <c r="J720" i="2" s="1"/>
  <c r="J678" i="2"/>
  <c r="J679" i="2" s="1"/>
  <c r="J680" i="2" s="1"/>
  <c r="J681" i="2" s="1"/>
  <c r="J682" i="2" s="1"/>
  <c r="J683" i="2" s="1"/>
  <c r="J684" i="2" s="1"/>
  <c r="J685" i="2" s="1"/>
  <c r="J686" i="2" s="1"/>
  <c r="J687" i="2" s="1"/>
  <c r="J688" i="2" s="1"/>
  <c r="J689" i="2" s="1"/>
  <c r="J690" i="2" s="1"/>
  <c r="J691" i="2" s="1"/>
  <c r="J692" i="2" s="1"/>
  <c r="J693" i="2" s="1"/>
  <c r="J694" i="2" s="1"/>
  <c r="J695" i="2" s="1"/>
  <c r="J696" i="2" s="1"/>
  <c r="J697" i="2" s="1"/>
  <c r="J698" i="2" s="1"/>
  <c r="J699" i="2" s="1"/>
  <c r="J700" i="2" s="1"/>
  <c r="J701" i="2" s="1"/>
  <c r="J702" i="2" s="1"/>
  <c r="J703" i="2" s="1"/>
  <c r="AG31" i="20"/>
  <c r="AF31" i="20"/>
  <c r="AE31" i="20"/>
  <c r="AD31" i="20"/>
  <c r="AE27" i="20"/>
  <c r="AI27" i="20"/>
  <c r="AH27" i="20"/>
  <c r="AG27" i="20"/>
  <c r="AF27" i="20"/>
  <c r="AD27" i="20"/>
  <c r="K102" i="3"/>
  <c r="I16" i="4"/>
  <c r="I19" i="4"/>
  <c r="I18" i="4"/>
  <c r="I17" i="4"/>
  <c r="I15" i="4"/>
  <c r="AG29" i="16"/>
  <c r="Q23" i="7"/>
  <c r="I93" i="10"/>
  <c r="H194" i="14"/>
  <c r="H193" i="14"/>
  <c r="H192" i="14"/>
  <c r="H191" i="14"/>
  <c r="H190" i="14"/>
  <c r="H189" i="14"/>
  <c r="H188" i="14"/>
  <c r="H187" i="14"/>
  <c r="H185" i="14"/>
  <c r="I136" i="12"/>
  <c r="E28" i="9"/>
  <c r="E27" i="9"/>
  <c r="J656" i="2" l="1"/>
  <c r="J657" i="2" s="1"/>
  <c r="J658" i="2" s="1"/>
  <c r="J659" i="2" s="1"/>
  <c r="J660" i="2" s="1"/>
  <c r="J661" i="2" s="1"/>
  <c r="J662" i="2" s="1"/>
  <c r="J663" i="2" s="1"/>
  <c r="J664" i="2" s="1"/>
  <c r="J665" i="2" s="1"/>
  <c r="J666" i="2" s="1"/>
  <c r="J667" i="2" s="1"/>
  <c r="J668" i="2" s="1"/>
  <c r="J669" i="2" s="1"/>
  <c r="J670" i="2" s="1"/>
  <c r="J671" i="2" s="1"/>
  <c r="J672" i="2" s="1"/>
  <c r="J673" i="2" s="1"/>
  <c r="J674" i="2" s="1"/>
  <c r="J675" i="2" s="1"/>
  <c r="J676" i="2" s="1"/>
  <c r="J677" i="2" s="1"/>
  <c r="J639" i="2"/>
  <c r="J640" i="2" s="1"/>
  <c r="J641" i="2" s="1"/>
  <c r="J642" i="2" s="1"/>
  <c r="J643" i="2" s="1"/>
  <c r="J644" i="2" s="1"/>
  <c r="J645" i="2" s="1"/>
  <c r="J646" i="2" s="1"/>
  <c r="J647" i="2" s="1"/>
  <c r="J648" i="2" s="1"/>
  <c r="J649" i="2" s="1"/>
  <c r="J650" i="2" s="1"/>
  <c r="J651" i="2" s="1"/>
  <c r="J652" i="2" s="1"/>
  <c r="J653" i="2" s="1"/>
  <c r="H169" i="14"/>
  <c r="I169" i="14"/>
  <c r="I118" i="12"/>
  <c r="I115" i="12"/>
  <c r="I116" i="12"/>
  <c r="I117" i="12"/>
  <c r="K118" i="12"/>
  <c r="E21" i="9"/>
  <c r="E25" i="9"/>
  <c r="E24" i="9"/>
  <c r="E23" i="9"/>
  <c r="E22" i="9"/>
  <c r="E20" i="9"/>
  <c r="E19" i="9"/>
  <c r="J10" i="4"/>
  <c r="J11" i="4"/>
  <c r="J12" i="4"/>
  <c r="J13" i="4"/>
  <c r="J14" i="4"/>
  <c r="J9" i="4"/>
  <c r="I14" i="4"/>
  <c r="I13" i="4"/>
  <c r="I12" i="4"/>
  <c r="I11" i="4"/>
  <c r="I10" i="4"/>
  <c r="I9" i="4"/>
  <c r="AI54" i="20"/>
  <c r="AH54" i="20"/>
  <c r="AG54" i="20"/>
  <c r="AF54" i="20"/>
  <c r="AE54" i="20"/>
  <c r="AD54" i="20"/>
  <c r="AC54" i="20"/>
  <c r="AI49" i="20"/>
  <c r="AH49" i="20"/>
  <c r="AG49" i="20"/>
  <c r="AF49" i="20"/>
  <c r="AE49" i="20"/>
  <c r="AD49" i="20"/>
  <c r="AC49" i="20"/>
  <c r="AI43" i="20"/>
  <c r="AH43" i="20"/>
  <c r="AG43" i="20"/>
  <c r="AF43" i="20"/>
  <c r="AE43" i="20"/>
  <c r="AD43" i="20"/>
  <c r="AC43" i="20"/>
  <c r="AC31" i="20"/>
  <c r="AC27" i="20"/>
  <c r="AI22" i="20"/>
  <c r="AH22" i="20"/>
  <c r="AG22" i="20"/>
  <c r="AF22" i="20"/>
  <c r="AE22" i="20"/>
  <c r="AD22" i="20"/>
  <c r="AC22" i="20"/>
  <c r="AC50" i="20" l="1"/>
  <c r="AD50" i="20"/>
  <c r="AC56" i="20"/>
  <c r="AH50" i="20"/>
  <c r="AH56" i="20" s="1"/>
  <c r="AI50" i="20"/>
  <c r="AI56" i="20" s="1"/>
  <c r="AG50" i="20"/>
  <c r="AG56" i="20" s="1"/>
  <c r="AF50" i="20"/>
  <c r="AF56" i="20" s="1"/>
  <c r="AD56" i="20"/>
  <c r="AE50" i="20"/>
  <c r="AE56" i="20" s="1"/>
  <c r="AE29" i="16"/>
  <c r="N237" i="19"/>
  <c r="N259" i="19" s="1"/>
  <c r="E9" i="13"/>
  <c r="I120" i="12"/>
  <c r="J611" i="2"/>
  <c r="J612" i="2" s="1"/>
  <c r="J613" i="2" s="1"/>
  <c r="J614" i="2" s="1"/>
  <c r="J615" i="2" s="1"/>
  <c r="J616" i="2" s="1"/>
  <c r="J617" i="2" s="1"/>
  <c r="J618" i="2" s="1"/>
  <c r="J619" i="2" s="1"/>
  <c r="J620" i="2" s="1"/>
  <c r="J621" i="2" s="1"/>
  <c r="J622" i="2" s="1"/>
  <c r="J623" i="2" s="1"/>
  <c r="J624" i="2" s="1"/>
  <c r="J625" i="2" s="1"/>
  <c r="J626" i="2" s="1"/>
  <c r="J627" i="2" s="1"/>
  <c r="J628" i="2" s="1"/>
  <c r="J629" i="2" s="1"/>
  <c r="J630" i="2" s="1"/>
  <c r="J631" i="2" s="1"/>
  <c r="J632" i="2" s="1"/>
  <c r="J633" i="2" s="1"/>
  <c r="J634" i="2" s="1"/>
  <c r="J635" i="2" s="1"/>
  <c r="J636" i="2" s="1"/>
  <c r="J637" i="2" s="1"/>
  <c r="J638" i="2" s="1"/>
  <c r="J590" i="2"/>
  <c r="J591" i="2" s="1"/>
  <c r="J592" i="2" s="1"/>
  <c r="J593" i="2" s="1"/>
  <c r="J594" i="2" s="1"/>
  <c r="J595" i="2" s="1"/>
  <c r="J596" i="2" s="1"/>
  <c r="J597" i="2" s="1"/>
  <c r="J598" i="2" s="1"/>
  <c r="J599" i="2" s="1"/>
  <c r="J600" i="2" s="1"/>
  <c r="J601" i="2" s="1"/>
  <c r="J602" i="2" s="1"/>
  <c r="J603" i="2" s="1"/>
  <c r="J604" i="2" s="1"/>
  <c r="J605" i="2" s="1"/>
  <c r="J606" i="2" s="1"/>
  <c r="J607" i="2" s="1"/>
  <c r="J608" i="2" s="1"/>
  <c r="J609" i="2" s="1"/>
  <c r="J610" i="2" s="1"/>
  <c r="AB49" i="20"/>
  <c r="AA49" i="20"/>
  <c r="AB43" i="20"/>
  <c r="AA43" i="20"/>
  <c r="AB31" i="20"/>
  <c r="AA31" i="20"/>
  <c r="AB54" i="20"/>
  <c r="AA54" i="20"/>
  <c r="AB27" i="20"/>
  <c r="AA27" i="20"/>
  <c r="AB22" i="20"/>
  <c r="AA22" i="20"/>
  <c r="AB33" i="16"/>
  <c r="AC29" i="16"/>
  <c r="AD29" i="16"/>
  <c r="I123" i="14"/>
  <c r="J567" i="2"/>
  <c r="J568" i="2" s="1"/>
  <c r="J569" i="2" s="1"/>
  <c r="J570" i="2" s="1"/>
  <c r="J571" i="2" s="1"/>
  <c r="J572" i="2" s="1"/>
  <c r="J573" i="2" s="1"/>
  <c r="J574" i="2" s="1"/>
  <c r="J575" i="2" s="1"/>
  <c r="J576" i="2" s="1"/>
  <c r="J577" i="2" s="1"/>
  <c r="J578" i="2" s="1"/>
  <c r="J579" i="2" s="1"/>
  <c r="J580" i="2" s="1"/>
  <c r="J581" i="2" s="1"/>
  <c r="J582" i="2" s="1"/>
  <c r="J583" i="2" s="1"/>
  <c r="J584" i="2" s="1"/>
  <c r="J585" i="2" s="1"/>
  <c r="J586" i="2" s="1"/>
  <c r="J587" i="2" s="1"/>
  <c r="J588" i="2" s="1"/>
  <c r="J589" i="2" s="1"/>
  <c r="AA50" i="20" l="1"/>
  <c r="AB50" i="20"/>
  <c r="AB56" i="20"/>
  <c r="AA56" i="20"/>
  <c r="Z49" i="20" l="1"/>
  <c r="Z54" i="20"/>
  <c r="Z43" i="20"/>
  <c r="Z31" i="20"/>
  <c r="Z27" i="20"/>
  <c r="Z22" i="20"/>
  <c r="Y49" i="20"/>
  <c r="Y54" i="20"/>
  <c r="Y43" i="20"/>
  <c r="W27" i="20"/>
  <c r="Y31" i="20"/>
  <c r="Y27" i="20"/>
  <c r="Y22" i="20"/>
  <c r="X54" i="20"/>
  <c r="W54" i="20"/>
  <c r="X49" i="20"/>
  <c r="W49" i="20"/>
  <c r="X43" i="20"/>
  <c r="W43" i="20"/>
  <c r="X31" i="20"/>
  <c r="W31" i="20"/>
  <c r="X27" i="20"/>
  <c r="X22" i="20"/>
  <c r="W22" i="20"/>
  <c r="W16" i="20"/>
  <c r="X16" i="20"/>
  <c r="Y16" i="20"/>
  <c r="Z16" i="20"/>
  <c r="AA16" i="20"/>
  <c r="AA33" i="20" s="1"/>
  <c r="AB16" i="20"/>
  <c r="AB33" i="20" s="1"/>
  <c r="AC16" i="20"/>
  <c r="AC33" i="20" s="1"/>
  <c r="AD16" i="20"/>
  <c r="AD33" i="20" s="1"/>
  <c r="AE16" i="20"/>
  <c r="AE33" i="20" s="1"/>
  <c r="AF16" i="20"/>
  <c r="AF33" i="20" s="1"/>
  <c r="AG16" i="20"/>
  <c r="AG33" i="20" s="1"/>
  <c r="AH16" i="20"/>
  <c r="AH33" i="20" s="1"/>
  <c r="AI16" i="20"/>
  <c r="AI33" i="20" s="1"/>
  <c r="J538" i="2"/>
  <c r="J510" i="2"/>
  <c r="J483" i="2"/>
  <c r="J484" i="2" s="1"/>
  <c r="J485" i="2" s="1"/>
  <c r="J486" i="2" s="1"/>
  <c r="J487" i="2" s="1"/>
  <c r="J488" i="2" s="1"/>
  <c r="J489" i="2" s="1"/>
  <c r="J490" i="2" s="1"/>
  <c r="J491" i="2" s="1"/>
  <c r="J492" i="2" s="1"/>
  <c r="J493" i="2" s="1"/>
  <c r="J494" i="2" s="1"/>
  <c r="J495" i="2" s="1"/>
  <c r="J496" i="2" s="1"/>
  <c r="J497" i="2" s="1"/>
  <c r="J498" i="2" s="1"/>
  <c r="J499" i="2" s="1"/>
  <c r="J500" i="2" s="1"/>
  <c r="J501" i="2" s="1"/>
  <c r="J502" i="2" s="1"/>
  <c r="J503" i="2" s="1"/>
  <c r="J504" i="2" s="1"/>
  <c r="J505" i="2" s="1"/>
  <c r="J506" i="2" s="1"/>
  <c r="J507" i="2" s="1"/>
  <c r="J508" i="2" s="1"/>
  <c r="J509" i="2" s="1"/>
  <c r="J477" i="2"/>
  <c r="J478" i="2"/>
  <c r="J479" i="2" s="1"/>
  <c r="J480" i="2" s="1"/>
  <c r="J481" i="2" s="1"/>
  <c r="J445" i="2"/>
  <c r="J446" i="2" s="1"/>
  <c r="J447" i="2" s="1"/>
  <c r="J448" i="2" s="1"/>
  <c r="J449" i="2" s="1"/>
  <c r="J410" i="2"/>
  <c r="J411" i="2" s="1"/>
  <c r="J412" i="2" s="1"/>
  <c r="J413" i="2" s="1"/>
  <c r="J414" i="2" s="1"/>
  <c r="J415" i="2" s="1"/>
  <c r="J416" i="2" s="1"/>
  <c r="J417" i="2" s="1"/>
  <c r="J334" i="2"/>
  <c r="J361" i="2"/>
  <c r="J386" i="2"/>
  <c r="H387" i="2"/>
  <c r="J387" i="2" s="1"/>
  <c r="J388" i="2" s="1"/>
  <c r="J389" i="2" s="1"/>
  <c r="J390" i="2" s="1"/>
  <c r="J391" i="2" s="1"/>
  <c r="J392" i="2" s="1"/>
  <c r="J393" i="2" s="1"/>
  <c r="V54" i="20"/>
  <c r="V49" i="20"/>
  <c r="V43" i="20"/>
  <c r="V27" i="20"/>
  <c r="V31" i="20"/>
  <c r="V22" i="20"/>
  <c r="V16" i="20"/>
  <c r="I69" i="12"/>
  <c r="J312" i="2"/>
  <c r="J313" i="2" s="1"/>
  <c r="J314" i="2" s="1"/>
  <c r="J315" i="2" s="1"/>
  <c r="J316" i="2" s="1"/>
  <c r="J317" i="2" s="1"/>
  <c r="J318" i="2" s="1"/>
  <c r="J319" i="2" s="1"/>
  <c r="J320" i="2" s="1"/>
  <c r="J321" i="2" s="1"/>
  <c r="J322" i="2" s="1"/>
  <c r="W50" i="20" l="1"/>
  <c r="X50" i="20"/>
  <c r="W56" i="20"/>
  <c r="X56" i="20"/>
  <c r="Y33" i="20"/>
  <c r="Y50" i="20"/>
  <c r="Z50" i="20"/>
  <c r="Z56" i="20"/>
  <c r="Z33" i="20"/>
  <c r="Y56" i="20"/>
  <c r="X33" i="20"/>
  <c r="W33" i="20"/>
  <c r="V50" i="20"/>
  <c r="V56" i="20" s="1"/>
  <c r="J511" i="2"/>
  <c r="J512" i="2" s="1"/>
  <c r="J513" i="2" s="1"/>
  <c r="J514" i="2" s="1"/>
  <c r="J515" i="2" s="1"/>
  <c r="J516" i="2" s="1"/>
  <c r="J517" i="2" s="1"/>
  <c r="J518" i="2" s="1"/>
  <c r="J519" i="2" s="1"/>
  <c r="J520" i="2" s="1"/>
  <c r="J521" i="2" s="1"/>
  <c r="J522" i="2" s="1"/>
  <c r="J523" i="2" s="1"/>
  <c r="J524" i="2" s="1"/>
  <c r="J525" i="2" s="1"/>
  <c r="J526" i="2" s="1"/>
  <c r="J527" i="2" s="1"/>
  <c r="J528" i="2" s="1"/>
  <c r="J529" i="2" s="1"/>
  <c r="J530" i="2" s="1"/>
  <c r="J531" i="2" s="1"/>
  <c r="J532" i="2" s="1"/>
  <c r="J533" i="2" s="1"/>
  <c r="J534" i="2" s="1"/>
  <c r="J535" i="2" s="1"/>
  <c r="J536" i="2" s="1"/>
  <c r="J537" i="2" s="1"/>
  <c r="J539" i="2" s="1"/>
  <c r="J540" i="2" s="1"/>
  <c r="J541" i="2" s="1"/>
  <c r="J542" i="2" s="1"/>
  <c r="J543" i="2" s="1"/>
  <c r="J544" i="2" s="1"/>
  <c r="J545" i="2" s="1"/>
  <c r="J546" i="2" s="1"/>
  <c r="J547" i="2" s="1"/>
  <c r="J548" i="2" s="1"/>
  <c r="J549" i="2" s="1"/>
  <c r="J550" i="2" s="1"/>
  <c r="J551" i="2" s="1"/>
  <c r="J552" i="2" s="1"/>
  <c r="J553" i="2" s="1"/>
  <c r="J554" i="2" s="1"/>
  <c r="J555" i="2" s="1"/>
  <c r="J556" i="2" s="1"/>
  <c r="J557" i="2" s="1"/>
  <c r="J558" i="2" s="1"/>
  <c r="J559" i="2" s="1"/>
  <c r="J560" i="2" s="1"/>
  <c r="J561" i="2" s="1"/>
  <c r="J562" i="2" s="1"/>
  <c r="J563" i="2" s="1"/>
  <c r="J564" i="2" s="1"/>
  <c r="J565" i="2" s="1"/>
  <c r="V33" i="20"/>
  <c r="J362" i="2"/>
  <c r="J363" i="2" s="1"/>
  <c r="J364" i="2" s="1"/>
  <c r="J365" i="2" s="1"/>
  <c r="J366" i="2" s="1"/>
  <c r="J367" i="2" s="1"/>
  <c r="J368" i="2" s="1"/>
  <c r="J369" i="2" s="1"/>
  <c r="J370" i="2" s="1"/>
  <c r="J371" i="2" s="1"/>
  <c r="J372" i="2" s="1"/>
  <c r="J373" i="2" s="1"/>
  <c r="J374" i="2" s="1"/>
  <c r="J375" i="2" s="1"/>
  <c r="J376" i="2" s="1"/>
  <c r="J335" i="2"/>
  <c r="J336" i="2" s="1"/>
  <c r="J337" i="2" s="1"/>
  <c r="J338" i="2" s="1"/>
  <c r="J339" i="2" s="1"/>
  <c r="J340" i="2" s="1"/>
  <c r="J341" i="2" s="1"/>
  <c r="J342" i="2" s="1"/>
  <c r="J343" i="2" s="1"/>
  <c r="J344" i="2" s="1"/>
  <c r="J345" i="2" s="1"/>
  <c r="J346" i="2" s="1"/>
  <c r="J347" i="2" s="1"/>
  <c r="J348" i="2" s="1"/>
  <c r="J349" i="2" s="1"/>
  <c r="U49" i="20"/>
  <c r="T49" i="20"/>
  <c r="U54" i="20"/>
  <c r="T54" i="20"/>
  <c r="U43" i="20"/>
  <c r="T43" i="20"/>
  <c r="U31" i="20"/>
  <c r="T31" i="20"/>
  <c r="U22" i="20"/>
  <c r="T22" i="20"/>
  <c r="U16" i="20"/>
  <c r="T16" i="20"/>
  <c r="T33" i="20" s="1"/>
  <c r="L14" i="7"/>
  <c r="L64" i="12"/>
  <c r="I51" i="12"/>
  <c r="I54" i="12" s="1"/>
  <c r="I60" i="12"/>
  <c r="M293" i="2"/>
  <c r="H303" i="2"/>
  <c r="H293" i="2"/>
  <c r="H290" i="2"/>
  <c r="J283" i="2"/>
  <c r="J284" i="2" s="1"/>
  <c r="J285" i="2" s="1"/>
  <c r="J286" i="2" s="1"/>
  <c r="J287" i="2" s="1"/>
  <c r="J288" i="2" s="1"/>
  <c r="J289" i="2" s="1"/>
  <c r="R23" i="20"/>
  <c r="S49" i="20"/>
  <c r="R49" i="20"/>
  <c r="S54" i="20"/>
  <c r="R54" i="20"/>
  <c r="S43" i="20"/>
  <c r="R43" i="20"/>
  <c r="S31" i="20"/>
  <c r="R31" i="20"/>
  <c r="S22" i="20"/>
  <c r="R22" i="20"/>
  <c r="S16" i="20"/>
  <c r="R16" i="20"/>
  <c r="J262" i="2"/>
  <c r="J263" i="2" s="1"/>
  <c r="J264" i="2" s="1"/>
  <c r="J265" i="2" s="1"/>
  <c r="J266" i="2" s="1"/>
  <c r="J267" i="2" s="1"/>
  <c r="J268" i="2" s="1"/>
  <c r="J269" i="2" s="1"/>
  <c r="J270" i="2" s="1"/>
  <c r="J271" i="2" s="1"/>
  <c r="J272" i="2" s="1"/>
  <c r="J273" i="2" s="1"/>
  <c r="J274" i="2" s="1"/>
  <c r="J275" i="2" s="1"/>
  <c r="J276" i="2" s="1"/>
  <c r="J277" i="2" s="1"/>
  <c r="J278" i="2" s="1"/>
  <c r="J279" i="2" s="1"/>
  <c r="J280" i="2" s="1"/>
  <c r="J281" i="2" s="1"/>
  <c r="J282" i="2" s="1"/>
  <c r="L46" i="12"/>
  <c r="Q23" i="20"/>
  <c r="Q24" i="20"/>
  <c r="Q27" i="20" s="1"/>
  <c r="Q55" i="20"/>
  <c r="Q54" i="20"/>
  <c r="Q49" i="20"/>
  <c r="Q43" i="20"/>
  <c r="Q50" i="20" s="1"/>
  <c r="Q56" i="20" s="1"/>
  <c r="Q31" i="20"/>
  <c r="Q22" i="20"/>
  <c r="Q16" i="20"/>
  <c r="L10" i="7"/>
  <c r="I42" i="12"/>
  <c r="I44" i="12" s="1"/>
  <c r="I41" i="12"/>
  <c r="J233" i="2"/>
  <c r="J234" i="2" s="1"/>
  <c r="J235" i="2" s="1"/>
  <c r="J236" i="2" s="1"/>
  <c r="J237" i="2" s="1"/>
  <c r="J238" i="2" s="1"/>
  <c r="J239" i="2" s="1"/>
  <c r="J240" i="2" s="1"/>
  <c r="J241" i="2" s="1"/>
  <c r="J242" i="2" s="1"/>
  <c r="J243" i="2" s="1"/>
  <c r="J244" i="2" s="1"/>
  <c r="J245" i="2" s="1"/>
  <c r="J246" i="2" s="1"/>
  <c r="J247" i="2" s="1"/>
  <c r="J248" i="2" s="1"/>
  <c r="J249" i="2" s="1"/>
  <c r="J250" i="2" s="1"/>
  <c r="J251" i="2" s="1"/>
  <c r="J252" i="2" s="1"/>
  <c r="J253" i="2" s="1"/>
  <c r="J254" i="2" s="1"/>
  <c r="J255" i="2" s="1"/>
  <c r="J256" i="2" s="1"/>
  <c r="J257" i="2" s="1"/>
  <c r="M24" i="20"/>
  <c r="M23" i="20"/>
  <c r="M27" i="20" s="1"/>
  <c r="M54" i="20"/>
  <c r="M55" i="20"/>
  <c r="M49" i="20"/>
  <c r="M43" i="20"/>
  <c r="M50" i="20" s="1"/>
  <c r="M56" i="20" s="1"/>
  <c r="M31" i="20"/>
  <c r="M22" i="20"/>
  <c r="M16" i="20"/>
  <c r="P34" i="16"/>
  <c r="Q34" i="16"/>
  <c r="R34" i="16"/>
  <c r="R35" i="16" s="1"/>
  <c r="S34" i="16"/>
  <c r="T34" i="16"/>
  <c r="T35" i="16" s="1"/>
  <c r="U34" i="16"/>
  <c r="V34" i="16"/>
  <c r="V35" i="16" s="1"/>
  <c r="W34" i="16"/>
  <c r="W35" i="16" s="1"/>
  <c r="X34" i="16"/>
  <c r="Y34" i="16"/>
  <c r="Y35" i="16" s="1"/>
  <c r="Z34" i="16"/>
  <c r="Z35" i="16" s="1"/>
  <c r="AA34" i="16"/>
  <c r="AA35" i="16" s="1"/>
  <c r="AB34" i="16"/>
  <c r="AB35" i="16" s="1"/>
  <c r="AC34" i="16"/>
  <c r="AD34" i="16"/>
  <c r="AD35" i="16" s="1"/>
  <c r="AE34" i="16"/>
  <c r="AF34" i="16"/>
  <c r="AG34" i="16"/>
  <c r="AH34" i="16"/>
  <c r="AI34" i="16"/>
  <c r="AJ34" i="16"/>
  <c r="AK34" i="16"/>
  <c r="O34" i="16"/>
  <c r="O35" i="16" s="1"/>
  <c r="M34" i="16"/>
  <c r="N34" i="16"/>
  <c r="N35" i="16" s="1"/>
  <c r="I25" i="12"/>
  <c r="I28" i="12"/>
  <c r="I37" i="12"/>
  <c r="I36" i="12"/>
  <c r="I35" i="12"/>
  <c r="I34" i="12"/>
  <c r="I38" i="12" s="1"/>
  <c r="I39" i="12" s="1"/>
  <c r="K195" i="2"/>
  <c r="K203" i="2"/>
  <c r="K202" i="2"/>
  <c r="K201" i="2"/>
  <c r="K200" i="2"/>
  <c r="K199" i="2"/>
  <c r="K197" i="2"/>
  <c r="K198" i="2"/>
  <c r="K196" i="2"/>
  <c r="K194" i="2"/>
  <c r="K193" i="2"/>
  <c r="K192" i="2"/>
  <c r="K191" i="2"/>
  <c r="K190" i="2"/>
  <c r="J223" i="2"/>
  <c r="J224" i="2" s="1"/>
  <c r="J225" i="2" s="1"/>
  <c r="J226" i="2" s="1"/>
  <c r="J227" i="2" s="1"/>
  <c r="J228" i="2" s="1"/>
  <c r="J229" i="2" s="1"/>
  <c r="J230" i="2" s="1"/>
  <c r="J231" i="2" s="1"/>
  <c r="J190" i="2"/>
  <c r="J191" i="2" s="1"/>
  <c r="J192" i="2" s="1"/>
  <c r="J193" i="2" s="1"/>
  <c r="J194" i="2" s="1"/>
  <c r="J195" i="2" s="1"/>
  <c r="J196" i="2" s="1"/>
  <c r="J197" i="2" s="1"/>
  <c r="J198" i="2" s="1"/>
  <c r="J199" i="2" s="1"/>
  <c r="J200" i="2" s="1"/>
  <c r="J201" i="2" s="1"/>
  <c r="J202" i="2" s="1"/>
  <c r="J203" i="2" s="1"/>
  <c r="J144" i="2"/>
  <c r="J145" i="2"/>
  <c r="J146" i="2"/>
  <c r="J147" i="2"/>
  <c r="J148" i="2"/>
  <c r="J149" i="2"/>
  <c r="J150" i="2"/>
  <c r="J151" i="2"/>
  <c r="J152" i="2"/>
  <c r="J153" i="2"/>
  <c r="J154" i="2"/>
  <c r="J155" i="2"/>
  <c r="J156" i="2"/>
  <c r="J157" i="2"/>
  <c r="J158" i="2"/>
  <c r="J159" i="2"/>
  <c r="J160" i="2"/>
  <c r="J161" i="2"/>
  <c r="J162" i="2" s="1"/>
  <c r="J163" i="2" s="1"/>
  <c r="J164" i="2" s="1"/>
  <c r="J165" i="2" s="1"/>
  <c r="J166" i="2" s="1"/>
  <c r="J167" i="2" s="1"/>
  <c r="J168" i="2" s="1"/>
  <c r="J169" i="2" s="1"/>
  <c r="J170" i="2" s="1"/>
  <c r="J143" i="2"/>
  <c r="K54" i="20"/>
  <c r="K49" i="20"/>
  <c r="K43" i="20"/>
  <c r="K31" i="20"/>
  <c r="K23" i="20"/>
  <c r="K27" i="20" s="1"/>
  <c r="K22" i="20"/>
  <c r="K16" i="20"/>
  <c r="L37" i="16"/>
  <c r="I34" i="16"/>
  <c r="J34" i="16"/>
  <c r="L34" i="16"/>
  <c r="J37" i="16"/>
  <c r="K29" i="16"/>
  <c r="K34" i="16" s="1"/>
  <c r="K35" i="16" s="1"/>
  <c r="I27" i="12"/>
  <c r="I26" i="12"/>
  <c r="I21" i="12"/>
  <c r="I12" i="12"/>
  <c r="I14" i="10"/>
  <c r="J112" i="2"/>
  <c r="J113" i="2" s="1"/>
  <c r="J114" i="2" s="1"/>
  <c r="J115" i="2" s="1"/>
  <c r="J116" i="2" s="1"/>
  <c r="J117" i="2" s="1"/>
  <c r="J118" i="2" s="1"/>
  <c r="J119" i="2" s="1"/>
  <c r="J120" i="2" s="1"/>
  <c r="J121" i="2" s="1"/>
  <c r="J122" i="2" s="1"/>
  <c r="J123" i="2" s="1"/>
  <c r="J124" i="2" s="1"/>
  <c r="J125" i="2" s="1"/>
  <c r="J126" i="2" s="1"/>
  <c r="J127" i="2" s="1"/>
  <c r="J128" i="2" s="1"/>
  <c r="J129" i="2" s="1"/>
  <c r="J130" i="2" s="1"/>
  <c r="J131" i="2" s="1"/>
  <c r="J132" i="2" s="1"/>
  <c r="J133" i="2" s="1"/>
  <c r="J134" i="2" s="1"/>
  <c r="J135" i="2" s="1"/>
  <c r="J136" i="2" s="1"/>
  <c r="J137" i="2" s="1"/>
  <c r="J81" i="2"/>
  <c r="J82" i="2" s="1"/>
  <c r="J83" i="2" s="1"/>
  <c r="J84" i="2" s="1"/>
  <c r="J85" i="2" s="1"/>
  <c r="J86" i="2" s="1"/>
  <c r="J87" i="2" s="1"/>
  <c r="J88" i="2" s="1"/>
  <c r="J89" i="2" s="1"/>
  <c r="J90" i="2" s="1"/>
  <c r="J91" i="2" s="1"/>
  <c r="J92" i="2" s="1"/>
  <c r="J93" i="2" s="1"/>
  <c r="J94" i="2" s="1"/>
  <c r="J95" i="2" s="1"/>
  <c r="J96" i="2" s="1"/>
  <c r="J97" i="2" s="1"/>
  <c r="J98" i="2" s="1"/>
  <c r="J99" i="2" s="1"/>
  <c r="J100" i="2" s="1"/>
  <c r="J101" i="2" s="1"/>
  <c r="J102" i="2" s="1"/>
  <c r="J103" i="2" s="1"/>
  <c r="J104" i="2" s="1"/>
  <c r="I54" i="20"/>
  <c r="H54" i="20"/>
  <c r="I49" i="20"/>
  <c r="H49" i="20"/>
  <c r="I43" i="20"/>
  <c r="H43" i="20"/>
  <c r="I31" i="20"/>
  <c r="H31" i="20"/>
  <c r="H25" i="20"/>
  <c r="I24" i="20"/>
  <c r="I23" i="20" s="1"/>
  <c r="I27" i="20" s="1"/>
  <c r="H24" i="20"/>
  <c r="H23" i="20" s="1"/>
  <c r="I22" i="20"/>
  <c r="H22" i="20"/>
  <c r="I16" i="20"/>
  <c r="H16" i="20"/>
  <c r="I8" i="4"/>
  <c r="I7" i="4"/>
  <c r="L4" i="7"/>
  <c r="I11" i="12"/>
  <c r="I20" i="12"/>
  <c r="K15" i="12"/>
  <c r="AK35" i="16" l="1"/>
  <c r="AJ35" i="16"/>
  <c r="M33" i="20"/>
  <c r="R33" i="20"/>
  <c r="S33" i="20"/>
  <c r="R50" i="20"/>
  <c r="I62" i="12"/>
  <c r="I63" i="12"/>
  <c r="I64" i="12"/>
  <c r="T50" i="20"/>
  <c r="U50" i="20"/>
  <c r="AE35" i="16"/>
  <c r="AF35" i="16"/>
  <c r="AI35" i="16"/>
  <c r="AG35" i="16"/>
  <c r="AH35" i="16"/>
  <c r="I43" i="12"/>
  <c r="I45" i="12"/>
  <c r="I53" i="12"/>
  <c r="I61" i="12"/>
  <c r="Q35" i="16"/>
  <c r="AC35" i="16"/>
  <c r="U35" i="16"/>
  <c r="X35" i="16"/>
  <c r="S35" i="16"/>
  <c r="U33" i="20"/>
  <c r="U56" i="20"/>
  <c r="T56" i="20"/>
  <c r="S50" i="20"/>
  <c r="I65" i="12"/>
  <c r="I66" i="12" s="1"/>
  <c r="E8" i="13" s="1"/>
  <c r="I52" i="12"/>
  <c r="I55" i="12"/>
  <c r="J290" i="2"/>
  <c r="J291" i="2" s="1"/>
  <c r="J292" i="2" s="1"/>
  <c r="J293" i="2" s="1"/>
  <c r="J294" i="2" s="1"/>
  <c r="J295" i="2" s="1"/>
  <c r="J296" i="2" s="1"/>
  <c r="J297" i="2" s="1"/>
  <c r="J298" i="2" s="1"/>
  <c r="J299" i="2" s="1"/>
  <c r="J300" i="2" s="1"/>
  <c r="J301" i="2" s="1"/>
  <c r="J302" i="2" s="1"/>
  <c r="J303" i="2" s="1"/>
  <c r="J304" i="2" s="1"/>
  <c r="J305" i="2" s="1"/>
  <c r="J306" i="2" s="1"/>
  <c r="J307" i="2" s="1"/>
  <c r="J308" i="2" s="1"/>
  <c r="J309" i="2" s="1"/>
  <c r="J310" i="2" s="1"/>
  <c r="J311" i="2" s="1"/>
  <c r="S56" i="20"/>
  <c r="R56" i="20"/>
  <c r="I46" i="12"/>
  <c r="Q33" i="20"/>
  <c r="P35" i="16"/>
  <c r="J258" i="2"/>
  <c r="J259" i="2" s="1"/>
  <c r="J260" i="2" s="1"/>
  <c r="J261" i="2" s="1"/>
  <c r="I50" i="20"/>
  <c r="I56" i="20" s="1"/>
  <c r="K50" i="20"/>
  <c r="H50" i="20"/>
  <c r="H56" i="20" s="1"/>
  <c r="K56" i="20"/>
  <c r="K33" i="20"/>
  <c r="H33" i="20"/>
  <c r="I33" i="20"/>
  <c r="I29" i="12"/>
  <c r="I30" i="12" s="1"/>
  <c r="J138" i="2"/>
  <c r="J139" i="2" s="1"/>
  <c r="J140" i="2" s="1"/>
  <c r="J141" i="2" s="1"/>
  <c r="J142" i="2" s="1"/>
  <c r="J105" i="2"/>
  <c r="J51" i="2"/>
  <c r="J52" i="2" s="1"/>
  <c r="J53" i="2" s="1"/>
  <c r="J54" i="2" s="1"/>
  <c r="J55" i="2" s="1"/>
  <c r="J56" i="2" s="1"/>
  <c r="J57" i="2" s="1"/>
  <c r="J58" i="2" s="1"/>
  <c r="J59" i="2" s="1"/>
  <c r="J60" i="2" s="1"/>
  <c r="J61" i="2" s="1"/>
  <c r="J62" i="2" s="1"/>
  <c r="J63" i="2" s="1"/>
  <c r="J64" i="2" s="1"/>
  <c r="J65" i="2" s="1"/>
  <c r="J66" i="2" s="1"/>
  <c r="J67" i="2" s="1"/>
  <c r="J68" i="2" s="1"/>
  <c r="J69" i="2" s="1"/>
  <c r="J70" i="2" s="1"/>
  <c r="J71" i="2" s="1"/>
  <c r="J72" i="2" s="1"/>
  <c r="J73" i="2" s="1"/>
  <c r="J74" i="2" s="1"/>
  <c r="J75" i="2" s="1"/>
  <c r="J76" i="2" s="1"/>
  <c r="J77" i="2" s="1"/>
  <c r="J78" i="2" s="1"/>
  <c r="J79" i="2" s="1"/>
  <c r="J80" i="2" s="1"/>
  <c r="J28" i="2"/>
  <c r="J29" i="2" s="1"/>
  <c r="J30" i="2" s="1"/>
  <c r="J31" i="2" s="1"/>
  <c r="J32" i="2" s="1"/>
  <c r="J33" i="2" s="1"/>
  <c r="J34" i="2" s="1"/>
  <c r="J35" i="2" s="1"/>
  <c r="J36" i="2" s="1"/>
  <c r="J37" i="2" s="1"/>
  <c r="J38" i="2" s="1"/>
  <c r="J39" i="2" s="1"/>
  <c r="J40" i="2" s="1"/>
  <c r="J41" i="2" s="1"/>
  <c r="J42" i="2" s="1"/>
  <c r="J43" i="2" s="1"/>
  <c r="J44" i="2" s="1"/>
  <c r="J45" i="2" s="1"/>
  <c r="J46" i="2" s="1"/>
  <c r="J47" i="2" s="1"/>
  <c r="J48" i="2" s="1"/>
  <c r="J49" i="2" s="1"/>
  <c r="J50" i="2" s="1"/>
  <c r="J5" i="3"/>
  <c r="F34" i="16"/>
  <c r="F35" i="16" s="1"/>
  <c r="G34" i="16"/>
  <c r="H34" i="16"/>
  <c r="I35" i="16"/>
  <c r="E34" i="16"/>
  <c r="E35" i="16" s="1"/>
  <c r="G54" i="20"/>
  <c r="F54" i="20"/>
  <c r="G49" i="20"/>
  <c r="F49" i="20"/>
  <c r="G43" i="20"/>
  <c r="F43" i="20"/>
  <c r="G31" i="20"/>
  <c r="F31" i="20"/>
  <c r="G24" i="20"/>
  <c r="G23" i="20" s="1"/>
  <c r="F24" i="20"/>
  <c r="F23" i="20" s="1"/>
  <c r="G22" i="20"/>
  <c r="F22" i="20"/>
  <c r="G16" i="20"/>
  <c r="F16" i="20"/>
  <c r="I3" i="4"/>
  <c r="I4" i="4"/>
  <c r="I5" i="4"/>
  <c r="I6" i="4"/>
  <c r="I2" i="4"/>
  <c r="E26" i="16"/>
  <c r="E10" i="16"/>
  <c r="F26" i="16"/>
  <c r="F10" i="16"/>
  <c r="L2" i="7"/>
  <c r="K6" i="12"/>
  <c r="K5" i="12"/>
  <c r="I47" i="12" l="1"/>
  <c r="I48" i="12" s="1"/>
  <c r="E6" i="13" s="1"/>
  <c r="I56" i="12"/>
  <c r="I57" i="12" s="1"/>
  <c r="E7" i="13" s="1"/>
  <c r="J106" i="2"/>
  <c r="J107" i="2" s="1"/>
  <c r="J108" i="2" s="1"/>
  <c r="J109" i="2" s="1"/>
  <c r="J110" i="2" s="1"/>
  <c r="J111" i="2" s="1"/>
  <c r="F50" i="20"/>
  <c r="F56" i="20" s="1"/>
  <c r="G50" i="20"/>
  <c r="G56" i="20" s="1"/>
  <c r="H35" i="16"/>
  <c r="G35" i="16"/>
  <c r="G27" i="20"/>
  <c r="G33" i="20" s="1"/>
  <c r="F27" i="20"/>
  <c r="F33" i="20" s="1"/>
  <c r="F27" i="16"/>
  <c r="F36" i="16" s="1"/>
  <c r="E27" i="16"/>
  <c r="E36" i="16" s="1"/>
  <c r="M25" i="2" l="1"/>
  <c r="M24" i="2"/>
  <c r="M23" i="2"/>
  <c r="M22" i="2"/>
  <c r="J2" i="2"/>
  <c r="J3" i="2" s="1"/>
  <c r="J4" i="2" s="1"/>
  <c r="J5" i="2" s="1"/>
  <c r="J6" i="2" s="1"/>
  <c r="J7" i="2" s="1"/>
  <c r="J8" i="2" s="1"/>
  <c r="J9" i="2" s="1"/>
  <c r="J10" i="2" s="1"/>
  <c r="J11" i="2" s="1"/>
  <c r="J12" i="2" s="1"/>
  <c r="J13" i="2" s="1"/>
  <c r="J14" i="2" s="1"/>
  <c r="J15" i="2" s="1"/>
  <c r="J16" i="2" s="1"/>
  <c r="J17" i="2" s="1"/>
  <c r="J18" i="2" s="1"/>
  <c r="J19" i="2" s="1"/>
  <c r="J20" i="2" s="1"/>
  <c r="J21" i="2" s="1"/>
  <c r="J22" i="2" s="1"/>
  <c r="J23" i="2" s="1"/>
  <c r="J24" i="2" s="1"/>
  <c r="J25" i="2" s="1"/>
  <c r="J26" i="2" s="1"/>
  <c r="J27" i="2" s="1"/>
  <c r="AK26" i="16" l="1"/>
  <c r="AK10" i="16"/>
  <c r="AK27" i="16" l="1"/>
  <c r="AK36" i="16" s="1"/>
  <c r="G10" i="16"/>
  <c r="H10" i="16"/>
  <c r="I10" i="16"/>
  <c r="J10" i="16"/>
  <c r="K10" i="16"/>
  <c r="L10" i="16"/>
  <c r="M10" i="16"/>
  <c r="N10" i="16"/>
  <c r="O10" i="16"/>
  <c r="P10" i="16"/>
  <c r="Q10" i="16"/>
  <c r="R10" i="16"/>
  <c r="S10" i="16"/>
  <c r="T10" i="16"/>
  <c r="U10" i="16"/>
  <c r="V10" i="16"/>
  <c r="W10" i="16"/>
  <c r="X10" i="16"/>
  <c r="Y10" i="16"/>
  <c r="Z10" i="16"/>
  <c r="AA10" i="16"/>
  <c r="AB10" i="16"/>
  <c r="AC10" i="16"/>
  <c r="AD10" i="16"/>
  <c r="AE10" i="16"/>
  <c r="AF10" i="16"/>
  <c r="AG10" i="16"/>
  <c r="AH10" i="16"/>
  <c r="AI10" i="16"/>
  <c r="G26" i="16"/>
  <c r="H26" i="16"/>
  <c r="I26" i="16"/>
  <c r="J26" i="16"/>
  <c r="K26" i="16"/>
  <c r="L26" i="16"/>
  <c r="M26" i="16"/>
  <c r="N26" i="16"/>
  <c r="O26" i="16"/>
  <c r="P26" i="16"/>
  <c r="Q26" i="16"/>
  <c r="R26" i="16"/>
  <c r="S26" i="16"/>
  <c r="T26" i="16"/>
  <c r="U26" i="16"/>
  <c r="V26" i="16"/>
  <c r="W26" i="16"/>
  <c r="X26" i="16"/>
  <c r="Y26" i="16"/>
  <c r="Z26" i="16"/>
  <c r="AA26" i="16"/>
  <c r="AB26" i="16"/>
  <c r="AC26" i="16"/>
  <c r="AD26" i="16"/>
  <c r="AE26" i="16"/>
  <c r="AF26" i="16"/>
  <c r="AG26" i="16"/>
  <c r="AH26" i="16"/>
  <c r="AI26" i="16"/>
  <c r="AJ26" i="16"/>
  <c r="AJ10" i="16"/>
  <c r="AB27" i="16" l="1"/>
  <c r="AB36" i="16" s="1"/>
  <c r="T27" i="16"/>
  <c r="T36" i="16" s="1"/>
  <c r="T38" i="16" s="1"/>
  <c r="U37" i="16" s="1"/>
  <c r="L27" i="16"/>
  <c r="L36" i="16" s="1"/>
  <c r="L38" i="16" s="1"/>
  <c r="AH27" i="16"/>
  <c r="AH36" i="16" s="1"/>
  <c r="R27" i="16"/>
  <c r="R36" i="16" s="1"/>
  <c r="Z27" i="16"/>
  <c r="Z36" i="16" s="1"/>
  <c r="AI27" i="16"/>
  <c r="AI36" i="16" s="1"/>
  <c r="S27" i="16"/>
  <c r="S36" i="16" s="1"/>
  <c r="S38" i="16" s="1"/>
  <c r="AE27" i="16"/>
  <c r="AE36" i="16" s="1"/>
  <c r="AE38" i="16" s="1"/>
  <c r="AF37" i="16" s="1"/>
  <c r="W27" i="16"/>
  <c r="W36" i="16" s="1"/>
  <c r="O27" i="16"/>
  <c r="O36" i="16" s="1"/>
  <c r="O38" i="16" s="1"/>
  <c r="P37" i="16" s="1"/>
  <c r="J27" i="16"/>
  <c r="J36" i="16" s="1"/>
  <c r="G27" i="16"/>
  <c r="G36" i="16" s="1"/>
  <c r="G37" i="16" s="1"/>
  <c r="F38" i="16" s="1"/>
  <c r="F37" i="16" s="1"/>
  <c r="AD27" i="16"/>
  <c r="AD36" i="16" s="1"/>
  <c r="AF27" i="16"/>
  <c r="AF36" i="16" s="1"/>
  <c r="X27" i="16"/>
  <c r="X36" i="16" s="1"/>
  <c r="P27" i="16"/>
  <c r="P36" i="16" s="1"/>
  <c r="H27" i="16"/>
  <c r="H36" i="16" s="1"/>
  <c r="AC27" i="16"/>
  <c r="AC36" i="16" s="1"/>
  <c r="U27" i="16"/>
  <c r="U36" i="16" s="1"/>
  <c r="M27" i="16"/>
  <c r="M36" i="16" s="1"/>
  <c r="AA27" i="16"/>
  <c r="AA36" i="16" s="1"/>
  <c r="K27" i="16"/>
  <c r="K36" i="16" s="1"/>
  <c r="V27" i="16"/>
  <c r="V36" i="16" s="1"/>
  <c r="N27" i="16"/>
  <c r="N36" i="16" s="1"/>
  <c r="N37" i="16" s="1"/>
  <c r="AG27" i="16"/>
  <c r="AG36" i="16" s="1"/>
  <c r="Y27" i="16"/>
  <c r="Y36" i="16" s="1"/>
  <c r="Q27" i="16"/>
  <c r="Q36" i="16" s="1"/>
  <c r="I27" i="16"/>
  <c r="I36" i="16" s="1"/>
  <c r="AJ27" i="16"/>
  <c r="AJ36" i="16" s="1"/>
  <c r="AF38" i="16" l="1"/>
  <c r="AG37" i="16" s="1"/>
  <c r="AG38" i="16" s="1"/>
  <c r="AH37" i="16" s="1"/>
  <c r="AH38" i="16" s="1"/>
  <c r="AI37" i="16" s="1"/>
  <c r="AI38" i="16" s="1"/>
  <c r="AJ37" i="16" s="1"/>
  <c r="AJ38" i="16" s="1"/>
  <c r="AK37" i="16" s="1"/>
  <c r="AK38" i="16" s="1"/>
  <c r="P38" i="16"/>
  <c r="Q37" i="16" s="1"/>
  <c r="Q38" i="16" s="1"/>
  <c r="R37" i="16" s="1"/>
  <c r="R38" i="16" s="1"/>
  <c r="U38" i="16"/>
  <c r="V37" i="16" s="1"/>
  <c r="V38" i="16" s="1"/>
  <c r="W37" i="16" s="1"/>
  <c r="W38" i="16" s="1"/>
  <c r="X37" i="16" s="1"/>
  <c r="X38" i="16" s="1"/>
  <c r="Y37" i="16" s="1"/>
  <c r="Y38" i="16" s="1"/>
  <c r="Z37" i="16" s="1"/>
  <c r="Z38" i="16" s="1"/>
  <c r="AA37" i="16" s="1"/>
  <c r="AA38" i="16" s="1"/>
  <c r="AB38" i="16" s="1"/>
  <c r="AC37" i="16" s="1"/>
  <c r="AC38" i="16" s="1"/>
  <c r="AD37" i="16" s="1"/>
  <c r="AD38" i="16" s="1"/>
  <c r="L35" i="16"/>
  <c r="M35" i="16"/>
  <c r="E38" i="16"/>
  <c r="E37" i="16" s="1"/>
  <c r="J35" i="16"/>
  <c r="M38" i="16" l="1"/>
</calcChain>
</file>

<file path=xl/sharedStrings.xml><?xml version="1.0" encoding="utf-8"?>
<sst xmlns="http://schemas.openxmlformats.org/spreadsheetml/2006/main" count="17441" uniqueCount="918">
  <si>
    <t>Put any interesting about utility development, finances, etc. here</t>
  </si>
  <si>
    <t>Also list the document and page number of interesting information so we can find it later.</t>
  </si>
  <si>
    <t xml:space="preserve">I do not understand what happens between 2008 and 2012 - swaps, bonds reoffered / refunded / variable interest. </t>
  </si>
  <si>
    <t>document</t>
  </si>
  <si>
    <t>page</t>
  </si>
  <si>
    <t>description</t>
  </si>
  <si>
    <t>Official Statement 1991</t>
  </si>
  <si>
    <t>Water rates for 20 nearby suppliers</t>
  </si>
  <si>
    <t>Has 35 MGD in excess capacity that they are aggressively trying to market. Targeting the Greater Pittsburgh International Airport which is under construction. They are also negotiating with the County of Allegheny.</t>
  </si>
  <si>
    <t>The state has promulgated drinking water regulations that require the covering of all finished water reservoirs by December 31, 1995. The authority cannot comply with this regulation by 1995 because has to do each reservoir independently. Should complete by 2002.</t>
  </si>
  <si>
    <t>The finances of the authority and the city seem to allow money to move back and forth between the city and authority for both direct and indirect expenses.</t>
  </si>
  <si>
    <t>Details transactions with city of pittsburgh and payments, etc.</t>
  </si>
  <si>
    <t>Details amount likely to go to city empoloyee benefits</t>
  </si>
  <si>
    <t>A historic account of the economic development of Pittsburgh</t>
  </si>
  <si>
    <t>Table of new building permits and dollar values from 1981 to 1990, also number of jobs, major industries, etc. Noted a sharp decline in early 1980s due to steel recession.</t>
  </si>
  <si>
    <t>Official Statement 1993</t>
  </si>
  <si>
    <t>ALCOSAN does have challenges with CSO's. The Capital Improvement Plan of 1984 will hopefully eliminate CSOs.</t>
  </si>
  <si>
    <t>At least $100 million more in bonds will be needed to finish covering the reservoirs to be in compliance with State Regulation.</t>
  </si>
  <si>
    <r>
      <t xml:space="preserve">*** The authority pays the city $4.23 M each year and this includes </t>
    </r>
    <r>
      <rPr>
        <b/>
        <sz val="11"/>
        <color theme="1"/>
        <rFont val="Calibri"/>
        <family val="2"/>
        <scheme val="minor"/>
      </rPr>
      <t>600 Mgal</t>
    </r>
    <r>
      <rPr>
        <sz val="11"/>
        <color theme="1"/>
        <rFont val="Calibri"/>
        <family val="2"/>
        <scheme val="minor"/>
      </rPr>
      <t xml:space="preserve"> of water annually provided to the city for no charge.</t>
    </r>
  </si>
  <si>
    <t>The city is responsible for billings and collections of the Authority's water charges. Authority employees are eligible for retirement benefits.</t>
  </si>
  <si>
    <t>Has a long section on the CIP lan for the authority.</t>
  </si>
  <si>
    <t>The Pennsylvania-American Water Company, Wilkinsburg-Penn Joint Water Authority and West View Water Authority also serve sections of the city. The authority provides a number of interconnections with other systems for supply and emergency.</t>
  </si>
  <si>
    <t>Provides the service area for the ALCOSAN Sewer System</t>
  </si>
  <si>
    <t>Official Statement 1995</t>
  </si>
  <si>
    <t>In 2025 the Capital Lease Agreement ends and the Authority should own the utility - payments totaling $95,845,000. They also entered a cooperation agreement in 1995 so that the City will provide certain services to the Authority on a fee for service basis and the Authority will make payments to the city to reimburse it for costs and capital expenses incurred by the City related to the Sewer System.</t>
  </si>
  <si>
    <t>The sewer system is still having COS and in need of more Capital Improvement. ALCOSAN is separate from Pittsburgh but it seems there health is tied to the authorities health.</t>
  </si>
  <si>
    <t>Plans for the future prospective water sales. They say they have 25 MGD excess capacity but the math (and previous years) suggests 35.</t>
  </si>
  <si>
    <t>Table of projected GO Debt and additional payment to the City of Pittsburgh - owe $85M still to aquire the system</t>
  </si>
  <si>
    <t>Have break down of water expenses</t>
  </si>
  <si>
    <t>New labor agreements increase salary by 3% each year</t>
  </si>
  <si>
    <t>Predict increases in water sales due to rate increases. Also collected $3.8M in deliquent accounts due to aggressive program.</t>
  </si>
  <si>
    <t>In 1996 the PA American Water Company will reduce their demand from the authority from 4 to 2 MGD</t>
  </si>
  <si>
    <t>Several of the authorities they sell water too are looking to increase water usage.</t>
  </si>
  <si>
    <t>Projected monthly water sales forecasts for 1994 through 1999</t>
  </si>
  <si>
    <t>Official Statement 1998</t>
  </si>
  <si>
    <t>LTV Steel is going to close their manufaturing plant in 1998.</t>
  </si>
  <si>
    <t>PA American Water Company terminated their 4 MGD contract (revenues of $2.7M) in 1996… maybe that’s why they did their usage for 1996 instead of 1997.</t>
  </si>
  <si>
    <t>Need to do a study to address COS between 1998 and 2003.</t>
  </si>
  <si>
    <t>Official Statement 2002</t>
  </si>
  <si>
    <t>EPA is moving towards a consent decree ofr all entities owning or operating sewer systems that convey wastewater to ALCOSAN for treatment</t>
  </si>
  <si>
    <t>IRS is investingating the 1998 Bonds - I think on whether or not they should be tax-exempt</t>
  </si>
  <si>
    <t>There are 225 CSOs (of which only 45 are addresed by the Capital Improvement Program) in the Authority's sewer system. EPA is requring them to implement 9 minimum control measures in 1997, to be completed by 2003. The authority has not figured out how to solve CSO challenges but will need to invest in those efforts soon.</t>
  </si>
  <si>
    <t>Entered into contract with US Water LLC to help manage the systems functions and activities.</t>
  </si>
  <si>
    <t>Pittsburgh has the most expensive rates compared with surrounding area</t>
  </si>
  <si>
    <t xml:space="preserve">ALCOSAN now provides services for 83 municipalities, of which Pittsburgh is the largest. </t>
  </si>
  <si>
    <t>Had to complete a $3M upgrade for chlorine storage to meet air quality regulations</t>
  </si>
  <si>
    <t>Official Statement 2003</t>
  </si>
  <si>
    <t>Future debt estimates based on new Capital Improvement program. EPA issued a letter expressing the intent for a CSO if ALCOSAN does not address CSO problems.</t>
  </si>
  <si>
    <t>IRS believes they owe federal taxes on interest from 1998 on two of the bonds. The authority is contesting.</t>
  </si>
  <si>
    <t>Authority is organized into 3 operating divisions: administration, water and sewer operations, and engineering and construction</t>
  </si>
  <si>
    <t>Pittsburgh has a $60M shortfall in 2003 and are trying to expand their taxing power. They city may raise property tax rates… The Authority and its Capital Lease and Cooperation Agreement with the City should not be adversely affected by any bankruptcy filing by the city. The Authority is financially self-sufficient.</t>
  </si>
  <si>
    <t>Official Statement 2005</t>
  </si>
  <si>
    <t>Talks about aggreements made around CSO</t>
  </si>
  <si>
    <t>The Authority is permitted for a total of 194 CSOs in the sewage collection system. Of these, the Authority operates and maintains 40 of the CSOs. The remainder of CSOs are operated by ALCOSAN</t>
  </si>
  <si>
    <t>Continue to receive management help from US Water - which is United Water - whose corporate parent is Suez</t>
  </si>
  <si>
    <t>The City of Pittsburgh is under financial distress… The Authroity has 3 agreements with the City. It leases the water and sewer system and makes payment to the City for direct and indirect services. The Authority is also required to purchase delinquent wastewater treatment receiveables. The authority subsidizes the City and provides a rate qualization subsidy to other City waer companies.</t>
  </si>
  <si>
    <t>Statement on financial condition that indicates it is improving, which is confusing because the fiscal statements show a worsening condition</t>
  </si>
  <si>
    <t>A legal claim was made against the utility for incorrect billing following a rate increase for a monthy. The claim would involve a large percent of customers.. Amounting to as much as $1.2 million in credit.</t>
  </si>
  <si>
    <r>
      <t xml:space="preserve">In 2004 the authority entered into a consent </t>
    </r>
    <r>
      <rPr>
        <b/>
        <sz val="11"/>
        <color theme="1"/>
        <rFont val="Calibri"/>
        <family val="2"/>
        <scheme val="minor"/>
      </rPr>
      <t>agreement</t>
    </r>
    <r>
      <rPr>
        <sz val="11"/>
        <color theme="1"/>
        <rFont val="Calibri"/>
        <family val="2"/>
        <scheme val="minor"/>
      </rPr>
      <t xml:space="preserve"> over COS</t>
    </r>
  </si>
  <si>
    <t>*Pittsburgh was almost completely built by 1950 - with 75% of homes older than 40 years</t>
  </si>
  <si>
    <t>Water and sewer developments are requried as part of the City's urban redevelopment efforts (Urban Redevelopment Authority - URA).</t>
  </si>
  <si>
    <t>Official Statement 2007</t>
  </si>
  <si>
    <t>Something about future swapping</t>
  </si>
  <si>
    <t>The Authority has undertaken a marketing effort to sell potable water to municipalities within the region. It is also investigating the opportunity to purchase existing water systems located in municipalities adjacent to its current service area.</t>
  </si>
  <si>
    <t>The Keystone Brewing company, a large commercial customer having a significant delinquent sewage receivable balance with the Authority, declared bankruptcy. The Authority's bad debt reserves were increased by 15% to 65%</t>
  </si>
  <si>
    <t xml:space="preserve">The new IT system is allowsing them to increase collections and decrease bad debt. </t>
  </si>
  <si>
    <t>Utliity expenses went up 5.3% due to increase in natural gas costs and electricity costs. They signed a new contract with Reliant Energy… prices are estimated to increase by 20% in 2006.</t>
  </si>
  <si>
    <t>Third yar of improved financial performance. Sewer rates are not recovering costs… 73% less than the revenue required.</t>
  </si>
  <si>
    <t>In 2003 the City was declared a distressed city and was eligible for the municipaliteid Financial Recovery Act (Act 47) and Act 11, which entails intergovernmental agreements.</t>
  </si>
  <si>
    <t>All kinds of interesting stuff about restructuring taxes to get reduce business privelige tax, tax non-charitable businesses (previously excempt), eliminate mill mercantile tax, etc.</t>
  </si>
  <si>
    <t>I don't understand this table at all, but large change in real estate tax rates of the city</t>
  </si>
  <si>
    <t>Table of taxes collected from 1996 to 2005 and delinquent</t>
  </si>
  <si>
    <t>Goes through different types of taxes used by the City</t>
  </si>
  <si>
    <t>Tells story of bonds and purposes from 1984 onward</t>
  </si>
  <si>
    <t>The Authority assumed operation and maintenance responsibilities for the sewer system in 1999</t>
  </si>
  <si>
    <t>Official Statement 2008 Series D</t>
  </si>
  <si>
    <t>Ratings for bonds are based only on the insurer. This is the first time the Utility has been rated - not great by moody or SP</t>
  </si>
  <si>
    <t>It is anticipated the cooperation agreement between Authority and City will be amended in 2008 and adjust payments made by authority to the City</t>
  </si>
  <si>
    <t>Lots of interesting stuff about why costs changed.</t>
  </si>
  <si>
    <r>
      <t xml:space="preserve">Talk about the rate increase in 2007 exceeding rate increase of other water providers in the City, resulting in </t>
    </r>
    <r>
      <rPr>
        <b/>
        <sz val="11"/>
        <color theme="1"/>
        <rFont val="Calibri"/>
        <family val="2"/>
        <scheme val="minor"/>
      </rPr>
      <t>a decrease of the rate equalization subsidy by 16.4% or $135,000.</t>
    </r>
  </si>
  <si>
    <t>Series 1993 Bond was downgrated to A by S&amp;P. Also some 1991 principle bonds "defeased"</t>
  </si>
  <si>
    <t>Official Statement 2010</t>
  </si>
  <si>
    <t>Not a new series but redoing 2008 bonds</t>
  </si>
  <si>
    <t>The Authority entered into an agreement in 2009 to purcahse the water system of Borough of Millvale for $3M. The Authority paied $1.55M and relieved the Borough of receivables totaling $1.4M. The Authority will also provide sanditary sewer and garbage billing at no charge.</t>
  </si>
  <si>
    <t>Official Statement 2012 Series C of 2008</t>
  </si>
  <si>
    <t>They Authority has an interim executive management services agreement with Veolia Water to provide a full time, on site, interim executive director and consulting services. The cost is $150,572 per month plus additional incentive payments.</t>
  </si>
  <si>
    <t>The Authority has $630,725,000 in first lien bonds, of which $331,360,000 are fixed rate and $299,365,000 are variable rate. They also have $103,795,000 in subordinate bonds.</t>
  </si>
  <si>
    <t>They do have a consent decree with EPA - they have paid $110,000 in penalities for not meeting deadlines.</t>
  </si>
  <si>
    <t>The Capital Lease Payments to the City seem to keep growing over time - now totalling $101,416,975 dollars.</t>
  </si>
  <si>
    <t>Bay Valley Foods moved to using their own water wells and processing water through their own treatment plants - a loss in revenue of $350,000 per month</t>
  </si>
  <si>
    <t>NRG Energy Center Pittsburgh is also looking to use their own water wells and may be another loss of revenue</t>
  </si>
  <si>
    <t>Breakdown of 2008 bond financing and all bonds / moneys loaned to authority since 1984. The goal of the 2008 bonds was to level the authority's debt service requirements at $42M until 2040. Due to the financial cricis in 2008 - the debt service increased to $51.7M in 2009, 49.8M in 20010, $50.8M in 2011, and $52.7M in 2012.</t>
  </si>
  <si>
    <t>Official Statement 2013</t>
  </si>
  <si>
    <t>They are continuing their agreement with Veolia through 2014 - charging $135,000 per month. Veolia will also do a rate study.</t>
  </si>
  <si>
    <t>Information on consent decree</t>
  </si>
  <si>
    <t>The Authority currently pays $7,150,000 to the City each year. The Cooperation agreement is currently being modified.</t>
  </si>
  <si>
    <t>The city has 66,413 billing units - with an additional 7,600 fire hydrants, 3,400 private fire lines, 408 unbilled city accounts, and 6,599 currently disconnected accounts. 23,000 customers receive wholesale water from PAWC and the water system serves water to 6 neighboring communities.</t>
  </si>
  <si>
    <t>Pittsburgh saw an increase in median household income and population from 2007 to 2011 -reversing a 30 year trend in decreasing pop</t>
  </si>
  <si>
    <t>Results of 2013 rate study - INCLUDING the need to link their revenue and consumption data</t>
  </si>
  <si>
    <t>Provides the revenues obtained based on meter size and customer class ($14M residential, $14.5M commercial, $1.6M industrial, $9.7M health and education) - this is water… also have sewer.</t>
  </si>
  <si>
    <t xml:space="preserve">In 2010 the Authority began assessing a 5% DISC (Distribution Infrastructure System Charge) on all bills - increase to 7% in 2011. </t>
  </si>
  <si>
    <t>Authority anticipates more stringent EPA regulations on THM and is working to improve technologies on 3 water storage tanks.</t>
  </si>
  <si>
    <t>Talks about the progression to a full consent decree in January of 2008 that must be reduced by 2026.</t>
  </si>
  <si>
    <t>Rate Study</t>
  </si>
  <si>
    <t>Official Statement 2017</t>
  </si>
  <si>
    <t>The Authority is doing an aggressive increase in rates from 2016 to 2020 of 49%</t>
  </si>
  <si>
    <t>The PA Legislature has passed legislation tha tif approved will materially change how the Authority establishes its rates and charges</t>
  </si>
  <si>
    <t>In 2016 the Authority closed an $80M revolving credit facility with JPMorgan Chase Bank - has drawn $27,900,000</t>
  </si>
  <si>
    <t xml:space="preserve">In June 2017, House Bill 1490 (“HB 1490”) was introduced in the Pennsylvania legislature to place the Authority under PUC oversight. </t>
  </si>
  <si>
    <t>Pursuant to HB 1490, it is anticipated that the Authority’s ability to change its rates and charges will be subject to the prior approval of the PUC effective April 1, 2018</t>
  </si>
  <si>
    <t>Certain physical components of the System were originally constructed or installed over 100 years ago and CIP to the System has not kept pace with the needs for upgrades. As a result, the Authority</t>
  </si>
  <si>
    <r>
      <t xml:space="preserve">experiences frequent problems with the system: water line breaks, elevated lead levels, and the </t>
    </r>
    <r>
      <rPr>
        <b/>
        <sz val="11"/>
        <color theme="1"/>
        <rFont val="Calibri"/>
        <family val="2"/>
        <scheme val="minor"/>
      </rPr>
      <t>inability to collect and charge for 50% of the clean water it produces.</t>
    </r>
  </si>
  <si>
    <t>The authority is sueing Veolia for mismanaging the authority's business, etc.</t>
  </si>
  <si>
    <t>The Blue Ribbon Panel Review is being conducted on the Authorities operations, financial conditions, and organizational structures. Several reports are available.</t>
  </si>
  <si>
    <t>They recommended restructuring the Authority and transferring the City's owernship of the infrastructure, governance, and rate setting responsibilities to a Private Infrastructure Trust, entering into a long-term asset management lease with a private partner, etc.</t>
  </si>
  <si>
    <t>The PA state legislator indicated in an MOU on Nov 2017 that they would introduce a bill to place the Authority under the oversight of a state created board to address the Authority's financial, managerial, and public health &amp; safety problems. This would be similar to Act 47.</t>
  </si>
  <si>
    <t>Official Statement 2017 Series C</t>
  </si>
  <si>
    <t>HB 1490 did pass and the Authority is under the PUC.</t>
  </si>
  <si>
    <t>http://rainmatters-map.org/#</t>
  </si>
  <si>
    <t>They had some lead levels exceeding 15 ppb - 83% of tests were below that level but need to take actions. Will try to replace 7% of Authority controlled lead service lines per year.</t>
  </si>
  <si>
    <t>They will start a program to provide water pitchers with filters for lead to city residents.</t>
  </si>
  <si>
    <t>On Nov 2017 the Authority and PADEP signed a Consent Order and Agreement to resolve alleged violations related to lead and corrosion control. It also has a civil penalty of $2.4M</t>
  </si>
  <si>
    <t>Had a few precautionary flush and boil advisories for water quality challenges</t>
  </si>
  <si>
    <t>PADEP issued an Administratrive Order requiring the Authority to make critical infrastructure upgrades to the Water System to ensure adequate pressure and volume within the system.</t>
  </si>
  <si>
    <t>Many components of the system are in need of critical upgrades.</t>
  </si>
  <si>
    <t>It looks like the consent decree has been modified to 2032 and requires a green infrastructure component.</t>
  </si>
  <si>
    <t xml:space="preserve">Pittsburgh and the Authority have transactions through their subsidiezed water use, system leases ($101M), and pension - contribut 5% of pre-tax pay. </t>
  </si>
  <si>
    <t>In the 2017 Consulting Engineer’s Annual Report, the System is functional, but in violatoin of criticla regulatory requirements.</t>
  </si>
  <si>
    <t>There are systems that cannot be taken offline due to lack of backup facilities.</t>
  </si>
  <si>
    <t>It seems like the Authority appointed and designated the City as the Authority's agent to manage, operate, and maintain the water and sewer system for the term of the lease. The City provides services need to operate the System while the Authority Reimburses the City.</t>
  </si>
  <si>
    <t>The Cpaital Lease Agreement in 1995 terminated the 1984 lease. The City positions were eliminated and those positions were created within the Authority.</t>
  </si>
  <si>
    <t>Official Statement 2019</t>
  </si>
  <si>
    <t>Rate Increase of 13% was approved by the PUC - 1 month delay</t>
  </si>
  <si>
    <t>Rate covenant and debt service (27) have gotten much more complicated</t>
  </si>
  <si>
    <t>Gives overview of the relationship between the City and the Authority over time.</t>
  </si>
  <si>
    <t>The authority voted to terminate the Cooperation Agreement. They are currently negotiating a new Agreement that reflects their respective rights and obligations, accurately reflectes the division of services related to the system, provides for payments between the City and teh Authority based upon actual, verfiable, direct expenses in accorance with PUC, confirm payments by teh Authority to the City is subordinate to debt obligations, confirm the System remains under public ownership, etc.</t>
  </si>
  <si>
    <t>PUC oversight of the utility via Act 65 places PAWS under PUC regulation.</t>
  </si>
  <si>
    <t>Update on Blue Ribbon Panel Review - highlighted concerns about the Authority's governance, physical assets, and future - the Authority is not under legal obligations to pursue recommendations from the Panel.</t>
  </si>
  <si>
    <t>The Mayor of the City issued an executive order relating to the governance of the Authority - directing the Authority to adopt some of the governance changes from the Panel Report.</t>
  </si>
  <si>
    <t>Lead mitigation - the Authority has implemented a number of critical initiatives to help mitigate and eliminate lead within thew ater system</t>
  </si>
  <si>
    <t>in March 2019 the Authority received the necessary PADEP Operating Permit for adding Orthophosphate to chemically treat lead and copper corrosion.</t>
  </si>
  <si>
    <t>Ithey also received $49.1 M in PENNVEST grants and loans to replace lead service lines.</t>
  </si>
  <si>
    <t>PUC approvaed a joint settlement that would increase rates by 13% and add $21M in revenues.</t>
  </si>
  <si>
    <t>The goals for their Capital Improvement Plan are listed, along with anticipated expenditures</t>
  </si>
  <si>
    <t xml:space="preserve">Debt Service Coverage </t>
  </si>
  <si>
    <t>Discussion about changes in revenues and operating costs from 2017 to 2018</t>
  </si>
  <si>
    <t>Due to regional governance complexity, the regulatory body was switched from PADEP to EPA in 2016</t>
  </si>
  <si>
    <t>Have their water 2030 plan - more than 40% of their pipes were installed before 1920!</t>
  </si>
  <si>
    <t>Goes into details about the consent decree with ALCOSAN</t>
  </si>
  <si>
    <t>PWSID</t>
  </si>
  <si>
    <t>name</t>
  </si>
  <si>
    <t>OSYear</t>
  </si>
  <si>
    <t>WaterSewer</t>
  </si>
  <si>
    <t>bondRatingMoody</t>
  </si>
  <si>
    <t>bondRatingSP</t>
  </si>
  <si>
    <t>systemRatingMoody</t>
  </si>
  <si>
    <t>SystemRatingSP</t>
  </si>
  <si>
    <t>bondAmount</t>
  </si>
  <si>
    <t>startYear</t>
  </si>
  <si>
    <t>endYear</t>
  </si>
  <si>
    <t>series</t>
  </si>
  <si>
    <t>payment</t>
  </si>
  <si>
    <t>rateCovenantCurrent</t>
  </si>
  <si>
    <t>rateCovenantTotal</t>
  </si>
  <si>
    <t>debtSRF</t>
  </si>
  <si>
    <t>openLoop</t>
  </si>
  <si>
    <t>taxable</t>
  </si>
  <si>
    <t>insured</t>
  </si>
  <si>
    <t>notes</t>
  </si>
  <si>
    <t>PA5020038</t>
  </si>
  <si>
    <t>Pittsburgh Water &amp; Sewer Authority</t>
  </si>
  <si>
    <t>Both</t>
  </si>
  <si>
    <t>Aaa</t>
  </si>
  <si>
    <t>AAA</t>
  </si>
  <si>
    <t>NA</t>
  </si>
  <si>
    <t>A</t>
  </si>
  <si>
    <t>Semi-Annual</t>
  </si>
  <si>
    <t>Equal to MADS requirements and less than 10% of the proceeds of the bonds.</t>
  </si>
  <si>
    <t>Limited</t>
  </si>
  <si>
    <t>No</t>
  </si>
  <si>
    <t>Financial Guaranty Insurance Company</t>
  </si>
  <si>
    <t>Annual</t>
  </si>
  <si>
    <t>B</t>
  </si>
  <si>
    <t>Financial Security Assurance</t>
  </si>
  <si>
    <t>C</t>
  </si>
  <si>
    <t>Ambac</t>
  </si>
  <si>
    <t>MBIA</t>
  </si>
  <si>
    <t>Fixed Rate - Refunding Bonds</t>
  </si>
  <si>
    <t>VMIG 1</t>
  </si>
  <si>
    <t>A-1</t>
  </si>
  <si>
    <t>B-1</t>
  </si>
  <si>
    <t>Monthly</t>
  </si>
  <si>
    <t>Variable Rate Demand - Refunding Revenue Bonds</t>
  </si>
  <si>
    <t>B-2</t>
  </si>
  <si>
    <t>Baa1</t>
  </si>
  <si>
    <t>Yes</t>
  </si>
  <si>
    <t>Fixed Rate</t>
  </si>
  <si>
    <t>D-1</t>
  </si>
  <si>
    <t>No - Relying on creditworthiness of Letters of Credit Banks: BOA</t>
  </si>
  <si>
    <t>No - Relying on creditworthiness of Letters of Credit Banks: PNC</t>
  </si>
  <si>
    <t>A-1+</t>
  </si>
  <si>
    <t>C-1A</t>
  </si>
  <si>
    <t>No - Relying on creditworthiness of Letters of Credit Banks: Northwest Savings Bank</t>
  </si>
  <si>
    <t>Term Mode</t>
  </si>
  <si>
    <t>C-1B</t>
  </si>
  <si>
    <t>No - Relying on creditworthiness of Letters of Credit Banks: ESB Bank</t>
  </si>
  <si>
    <t>C-1C</t>
  </si>
  <si>
    <t>No - Relying on creditworthiness of Letters of Credit Banks: Washington Federal Savings Gank</t>
  </si>
  <si>
    <t>AA-</t>
  </si>
  <si>
    <t>C-1D</t>
  </si>
  <si>
    <t>Assured Guaranty Municipal</t>
  </si>
  <si>
    <t>Reoffering Circular</t>
  </si>
  <si>
    <t>C-2</t>
  </si>
  <si>
    <t>Variable Rate Demand; Find this mentioned in a refunding document but can't find bond document</t>
  </si>
  <si>
    <t>D-2</t>
  </si>
  <si>
    <t>A2</t>
  </si>
  <si>
    <t>Equal to MADS requirements</t>
  </si>
  <si>
    <t>AA</t>
  </si>
  <si>
    <t>Rate covenant modified to be 125% of annual debt service with respect to senior debt and 100% of the aggregate annual debt service for subordinate debt.</t>
  </si>
  <si>
    <t>Based on LIBOR Index Rate</t>
  </si>
  <si>
    <t>A3</t>
  </si>
  <si>
    <t>Least of 10% of aggregate Principal Amount of all Debt Service Reserve Bonds, the MADS for any year, of 125% of average aggregate annual debt service on all common debt.</t>
  </si>
  <si>
    <t>A-</t>
  </si>
  <si>
    <t>bondSeries</t>
  </si>
  <si>
    <t>scheduleType</t>
  </si>
  <si>
    <t>maturityYear</t>
  </si>
  <si>
    <t>month</t>
  </si>
  <si>
    <t>principalAmount</t>
  </si>
  <si>
    <t>couponRate</t>
  </si>
  <si>
    <t>remainingPrincipal</t>
  </si>
  <si>
    <t>interest</t>
  </si>
  <si>
    <t>yieldToMaturity</t>
  </si>
  <si>
    <t>price</t>
  </si>
  <si>
    <t>Maturity Schedule</t>
  </si>
  <si>
    <t>Sept</t>
  </si>
  <si>
    <t>Mandatory Redemption</t>
  </si>
  <si>
    <t>Dec</t>
  </si>
  <si>
    <t>Unknown</t>
  </si>
  <si>
    <t>amount</t>
  </si>
  <si>
    <t>purpose</t>
  </si>
  <si>
    <t>Redemption of Series of 1985 and 1986 Program Bonds</t>
  </si>
  <si>
    <t>Deposit to Debt Service Reserve Fund</t>
  </si>
  <si>
    <t>Deposit to Debt Service Fund</t>
  </si>
  <si>
    <t>Cost of Issuance</t>
  </si>
  <si>
    <t>Underwriters Discount</t>
  </si>
  <si>
    <t>Original Issuance Discount</t>
  </si>
  <si>
    <t>Deposit to Escrow for 1991 Refunding Bonds</t>
  </si>
  <si>
    <t>Deposit to Construction Fund</t>
  </si>
  <si>
    <t>Deposit to Acquisition Fund</t>
  </si>
  <si>
    <t>Deposit to Capital Project Fund</t>
  </si>
  <si>
    <t>Deposit to Debt Service Reserve Fund for 1995 Series A Bonds</t>
  </si>
  <si>
    <t>Deposit to Debt Service Reserve Fund for 1995 Series B Bonds</t>
  </si>
  <si>
    <t>Deposit to Debt Service Fund for 1995 Series A Bonds (Accrued Interest)</t>
  </si>
  <si>
    <t>Deposit to Debt Service Fund for 1995 Series B Bonds (Accrued Interest)</t>
  </si>
  <si>
    <t>Deposit to Escrow Fund - Refund Series A bonds from 1995</t>
  </si>
  <si>
    <t>Deposit to Debt Service Reserve Fund for 1998 Bonds</t>
  </si>
  <si>
    <t>Deposit to Debt Service Funds (Accrued Interest)</t>
  </si>
  <si>
    <t>Redemption Fund Deposit - refund 1993 Series A bonds and 1993 Series B bonds.</t>
  </si>
  <si>
    <t>Yield Reduction Payment to US Treasury</t>
  </si>
  <si>
    <t>Capital Project</t>
  </si>
  <si>
    <t>Capitalized Interest</t>
  </si>
  <si>
    <t>Deposit to Escrow to refund bonds 2002 and 2005</t>
  </si>
  <si>
    <t>Debt Service Reserve Fund</t>
  </si>
  <si>
    <t>Bonds A and D-1 - Project Fund Deposit</t>
  </si>
  <si>
    <t>Bonds A and D-1 - Refund Deposits (part of 1993 A and 2003 Bonds) and Swap Termination Amounts</t>
  </si>
  <si>
    <t>Bonds A and D-1 - Cost of Issuance</t>
  </si>
  <si>
    <t>Bonds B-1 and B-2 - deposit to remarketing proceeds purchase account… paying purchase price of reoffered bonds?</t>
  </si>
  <si>
    <t>Refund 2003 Bonds</t>
  </si>
  <si>
    <t>Refund 2007B-1 Bonds</t>
  </si>
  <si>
    <t>Swap Termination Payments for 2007B-1 and 2007B-2 bonds</t>
  </si>
  <si>
    <t>Authority Reimbursements</t>
  </si>
  <si>
    <t>Municipal Bond Insurance Premium</t>
  </si>
  <si>
    <t>Debt Service Fund</t>
  </si>
  <si>
    <t>Redemption of Refunded Bonds</t>
  </si>
  <si>
    <t>Other</t>
  </si>
  <si>
    <t>Redemption of Refunded Bonds - Bond 2017C</t>
  </si>
  <si>
    <t>Cost of issuance for Bond 2017c</t>
  </si>
  <si>
    <t>Repayment of Construction Loan Facility</t>
  </si>
  <si>
    <t>Redemption of Refunded Subordinate Bonds</t>
  </si>
  <si>
    <t>Swap Termination Payments</t>
  </si>
  <si>
    <t>debtName</t>
  </si>
  <si>
    <t>type</t>
  </si>
  <si>
    <t>aveRate</t>
  </si>
  <si>
    <t>currentRemaining</t>
  </si>
  <si>
    <t>payments</t>
  </si>
  <si>
    <t>Daily Adjustable Demand Water and Sewer System Revenue Bonds, Series of 1984</t>
  </si>
  <si>
    <t>Bond</t>
  </si>
  <si>
    <t>Obtained for a 7 year Capital Improvement Program</t>
  </si>
  <si>
    <t>Finance Capital Improvement Program. Refunded by the 1985 bonds on April 1, 1987.</t>
  </si>
  <si>
    <t>Water and Sewer System Adjustable Rate Tender Revenue Bonds, Series of 1985</t>
  </si>
  <si>
    <t>Paid of $88604000 of the 1984 bonds. Refunded by the 1986 Bonds</t>
  </si>
  <si>
    <t>Adjustable Rate Tender Revenue Bonds, Series of 1986</t>
  </si>
  <si>
    <t>Water and Sewer System Revenue Refunding Bonds, Series of 1986</t>
  </si>
  <si>
    <t>Paid 241,411,000 to cover earlier 1986 and remaining of 1985 bonds</t>
  </si>
  <si>
    <t>Short Term Facility Loan with Pittsburgh National Bank</t>
  </si>
  <si>
    <t>Short-term Loan</t>
  </si>
  <si>
    <t>Repaid in 1991 from July 1986 Escrow Fund. Paid $1.541M in interest in 1991.</t>
  </si>
  <si>
    <t>Water and Sewer System Revenue Bonds, Series of 1991</t>
  </si>
  <si>
    <t>Water and Sewer System Revenue Bonds, Series of 1993 A</t>
  </si>
  <si>
    <t>Water and Sewer System Revenue Bonds, Series of 1993 B</t>
  </si>
  <si>
    <t>Water and Sewer System Revenue Bonds, Series of 1993</t>
  </si>
  <si>
    <t>Water and Sewer System Revenue Bonds Series of 1998</t>
  </si>
  <si>
    <t>Water and Sewer System Revenue Bonds Series A of 1998</t>
  </si>
  <si>
    <t>Water and Sewer System Revenue Bonds Series B of 1998</t>
  </si>
  <si>
    <t>Water and Sewer System Revenue Bonds Series C of 1998</t>
  </si>
  <si>
    <t>Water and Sewer System Bonds, Series 2002</t>
  </si>
  <si>
    <t>Pennvest Loans (4)</t>
  </si>
  <si>
    <t>Loan</t>
  </si>
  <si>
    <t>They have 4 PennVest loans</t>
  </si>
  <si>
    <t>Water and Sewer System Bonds, Series 2003</t>
  </si>
  <si>
    <t>Pennvest Loans (6)</t>
  </si>
  <si>
    <t>They now have 6 Pennvest loans</t>
  </si>
  <si>
    <t>Water and Sewer System Bonds, Series of 2005</t>
  </si>
  <si>
    <t>PennVest Loan 71911</t>
  </si>
  <si>
    <t>Sewer</t>
  </si>
  <si>
    <t>Annual payment of 9,456</t>
  </si>
  <si>
    <t>Railside street sanitary sewer extension</t>
  </si>
  <si>
    <t>PennVest Loan 58066</t>
  </si>
  <si>
    <t>Stormwater</t>
  </si>
  <si>
    <t>Annual pyament of 47,449</t>
  </si>
  <si>
    <t>Storm sewer</t>
  </si>
  <si>
    <t>PennVest Loan 25074</t>
  </si>
  <si>
    <t>Water</t>
  </si>
  <si>
    <t>Annual payment of 216,218</t>
  </si>
  <si>
    <t>Water System Improvements No 1</t>
  </si>
  <si>
    <t>PennVest Loan 71217</t>
  </si>
  <si>
    <t>Annual payment of 105,966</t>
  </si>
  <si>
    <t>Interceptor</t>
  </si>
  <si>
    <t>Pennvest Loan 12587</t>
  </si>
  <si>
    <t>Annual payment of 296,981</t>
  </si>
  <si>
    <t>Water System Improvements No 2</t>
  </si>
  <si>
    <t>PennVest Loan 12608</t>
  </si>
  <si>
    <t>Annual payment of $266,086</t>
  </si>
  <si>
    <t>Water System Improvements No 3</t>
  </si>
  <si>
    <t>Subordinate lien which is why not paid for yet. 2008 Loan is going to cover.</t>
  </si>
  <si>
    <t>Water and Sewer System Bonds, Series of 2007</t>
  </si>
  <si>
    <t>Pennvest Loan 71362</t>
  </si>
  <si>
    <t>TBD</t>
  </si>
  <si>
    <t>Sewer System Improvements Phase 1</t>
  </si>
  <si>
    <t>PennVest Loan 27772</t>
  </si>
  <si>
    <t>Sewer System Improvements Phase 2</t>
  </si>
  <si>
    <t>PennVest Loan 27784</t>
  </si>
  <si>
    <t>Sewer System Improvements Phase 3</t>
  </si>
  <si>
    <t>PennVest Loan 12696</t>
  </si>
  <si>
    <t>Water System Improvements Phase 5</t>
  </si>
  <si>
    <t>PennVestLoan 83126</t>
  </si>
  <si>
    <t>Water System Improvements Phase 6</t>
  </si>
  <si>
    <t>Water and Sewer System Revenue Bonds Series A of 2008</t>
  </si>
  <si>
    <t>Bonds Series B1 &amp; B2 of 2008</t>
  </si>
  <si>
    <t>Bond Series D1 of 2008</t>
  </si>
  <si>
    <t>Bond Series D2 of 2008</t>
  </si>
  <si>
    <t>I cannot find a D2 bond document</t>
  </si>
  <si>
    <t>Bond Series C-1A of 2008</t>
  </si>
  <si>
    <t>Bond Series C-1B of 2008</t>
  </si>
  <si>
    <t>Bond Series C-1C of 2008</t>
  </si>
  <si>
    <t>Bond Series C-1D of 2008</t>
  </si>
  <si>
    <t>Bond Series C-2 of 2008</t>
  </si>
  <si>
    <t>I cannot find a C-2 Bonds document</t>
  </si>
  <si>
    <t>defeased</t>
  </si>
  <si>
    <t>PennVest Loans (16)</t>
  </si>
  <si>
    <t>Pennvest Loan 71396</t>
  </si>
  <si>
    <t>180,744 annually</t>
  </si>
  <si>
    <t>Sewer Improvement Project Phase IV</t>
  </si>
  <si>
    <t>PennVest Loan 8106</t>
  </si>
  <si>
    <t>149,724 annually</t>
  </si>
  <si>
    <t>Water Improvement Project Phase 7</t>
  </si>
  <si>
    <t>PennvestLoan NA</t>
  </si>
  <si>
    <t>Water Improvement Project Phase 8</t>
  </si>
  <si>
    <t>Revolving Credit Facility - JP Morgan Chase Bank</t>
  </si>
  <si>
    <t>Line of Credit</t>
  </si>
  <si>
    <t>The authority will use this to issue bond debt or finance capital projects</t>
  </si>
  <si>
    <t>Acrcreted values?</t>
  </si>
  <si>
    <t>Bond Series 2013A</t>
  </si>
  <si>
    <t>Bond Series 2013B</t>
  </si>
  <si>
    <t>2017C</t>
  </si>
  <si>
    <t>Bond Series 2017A</t>
  </si>
  <si>
    <t>Bond Series 2017B</t>
  </si>
  <si>
    <t>Bond Series 2017C</t>
  </si>
  <si>
    <t>PennVest Loan 71396</t>
  </si>
  <si>
    <t>PennVest Loan 81026</t>
  </si>
  <si>
    <t>PennVest Loan 81027</t>
  </si>
  <si>
    <t>PennVest Loan 71404</t>
  </si>
  <si>
    <t>PennVest Loan 58113</t>
  </si>
  <si>
    <t>PennVest Loans (17)</t>
  </si>
  <si>
    <t>1 to 3.25</t>
  </si>
  <si>
    <t>In 2018 the maximum amount was raised from $80M to $150M</t>
  </si>
  <si>
    <t>Revolving Credit Facility -PNC Bank</t>
  </si>
  <si>
    <t>Capital Lease</t>
  </si>
  <si>
    <t>Lease</t>
  </si>
  <si>
    <t>A lease agreement for financing the acquisition of utility assets valued at 7445000</t>
  </si>
  <si>
    <t>Swap Borrowing</t>
  </si>
  <si>
    <t>Swap</t>
  </si>
  <si>
    <t>Termination of swaps created a lot of interest that has to be paid.</t>
  </si>
  <si>
    <t>PennVest Loan</t>
  </si>
  <si>
    <t>Replace lead service lines</t>
  </si>
  <si>
    <t>year</t>
  </si>
  <si>
    <t>principal</t>
  </si>
  <si>
    <t>total</t>
  </si>
  <si>
    <t>otherDebt</t>
  </si>
  <si>
    <t>totalDebtService</t>
  </si>
  <si>
    <t>Includes PennVest Loans in otherDebt</t>
  </si>
  <si>
    <t>For 2017c</t>
  </si>
  <si>
    <t>netIncome</t>
  </si>
  <si>
    <t>AmountRemaining</t>
  </si>
  <si>
    <t>principalInterest</t>
  </si>
  <si>
    <t>debtServCovNet</t>
  </si>
  <si>
    <t>debtServCovTotal</t>
  </si>
  <si>
    <t>maxAnnualDebtService</t>
  </si>
  <si>
    <t>Notes</t>
  </si>
  <si>
    <t>Method 1 is debtServCovTotal - Covenant Option 1 and method 2 is maxAnnualDebtService - Covenant Option 2</t>
  </si>
  <si>
    <t>Includes City Co-op Payment as part of debt ($7,150,000)</t>
  </si>
  <si>
    <t>members</t>
  </si>
  <si>
    <t>office</t>
  </si>
  <si>
    <t>termExpire</t>
  </si>
  <si>
    <t>municipality</t>
  </si>
  <si>
    <t>Robert Wilburn</t>
  </si>
  <si>
    <t>Chairman</t>
  </si>
  <si>
    <t>6 members are ppointed by Mayor and approved by City council</t>
  </si>
  <si>
    <t>Joseph Preston Jr.</t>
  </si>
  <si>
    <t>Member</t>
  </si>
  <si>
    <t>Marion Wise</t>
  </si>
  <si>
    <t>Treasurer</t>
  </si>
  <si>
    <t>The treasurer is the treasurer for the city of Pittsburgh</t>
  </si>
  <si>
    <t>Lewis Borman</t>
  </si>
  <si>
    <t>Secretary</t>
  </si>
  <si>
    <t>The secretary is the assistant secretary for the City of Pittsburgh</t>
  </si>
  <si>
    <t>Ben Hayllar</t>
  </si>
  <si>
    <t>Assistant Secretary/Treasurer</t>
  </si>
  <si>
    <t>Ann Davis</t>
  </si>
  <si>
    <t>Eugene Ricciardi</t>
  </si>
  <si>
    <t>David Matter</t>
  </si>
  <si>
    <t>D'Ann Swanson</t>
  </si>
  <si>
    <t>Ex officio until position is filled</t>
  </si>
  <si>
    <t>Vacant</t>
  </si>
  <si>
    <t>Vice Chairman</t>
  </si>
  <si>
    <t>Ex officio until position is filled; On Pittsburgh City Council</t>
  </si>
  <si>
    <t>Cliff Merkell</t>
  </si>
  <si>
    <t>Treasurer of City of Pittsburgh</t>
  </si>
  <si>
    <t>Rowan Miranda</t>
  </si>
  <si>
    <t>Budget Officer Director, City of Pittsburgh</t>
  </si>
  <si>
    <t>Paul Hennigan</t>
  </si>
  <si>
    <t>Director of Finance, City of Pittsburgh</t>
  </si>
  <si>
    <t>Robert Provolt Sr.</t>
  </si>
  <si>
    <t>Richard Fees</t>
  </si>
  <si>
    <t>Still hasn't been replaced</t>
  </si>
  <si>
    <t>Stephen Leeper</t>
  </si>
  <si>
    <t>Director of Development Policy for City of Pittsburgh</t>
  </si>
  <si>
    <t>Member of PA General Assembly</t>
  </si>
  <si>
    <t>James Motznik</t>
  </si>
  <si>
    <t>Member of City Council</t>
  </si>
  <si>
    <t>Ellen McLean</t>
  </si>
  <si>
    <t>Director of Finance and Budget for City of Pittsburgh</t>
  </si>
  <si>
    <t>Union Representative</t>
  </si>
  <si>
    <t>Jan Hedqueist</t>
  </si>
  <si>
    <t>Treasurer of Pittsburgh</t>
  </si>
  <si>
    <t>Jan Hedquist</t>
  </si>
  <si>
    <t>Director of Finance and Budget in Pittsburgh</t>
  </si>
  <si>
    <t>Len Bodak</t>
  </si>
  <si>
    <t>City Council Member for Pittsburgh</t>
  </si>
  <si>
    <t>Don Walko</t>
  </si>
  <si>
    <t>Robert Jablonowski</t>
  </si>
  <si>
    <t>Henry Blum</t>
  </si>
  <si>
    <t>Don Linzer</t>
  </si>
  <si>
    <t>Scott Kunka</t>
  </si>
  <si>
    <t>Dan Deasy</t>
  </si>
  <si>
    <t>Margaret Lanier</t>
  </si>
  <si>
    <t>From 2008 C document - issued in 2009</t>
  </si>
  <si>
    <t>Patrick Dowd</t>
  </si>
  <si>
    <t>Patrick Bigley</t>
  </si>
  <si>
    <t>Deborah Lestitian</t>
  </si>
  <si>
    <t>Paul Leger</t>
  </si>
  <si>
    <t>James Turner</t>
  </si>
  <si>
    <t>Deborah Gross</t>
  </si>
  <si>
    <t>Chaton Turner</t>
  </si>
  <si>
    <t>Michael Weber</t>
  </si>
  <si>
    <t>Michael Domach</t>
  </si>
  <si>
    <t>governance</t>
  </si>
  <si>
    <t>taxingPower</t>
  </si>
  <si>
    <t>ratesApproval</t>
  </si>
  <si>
    <t>manager</t>
  </si>
  <si>
    <t>contractTermYrs</t>
  </si>
  <si>
    <t>contractAmount</t>
  </si>
  <si>
    <t>nEmployees</t>
  </si>
  <si>
    <t>ngoverningMunis</t>
  </si>
  <si>
    <t>nMunis</t>
  </si>
  <si>
    <t>nCounties</t>
  </si>
  <si>
    <t>defaultDebt</t>
  </si>
  <si>
    <t>populationServed</t>
  </si>
  <si>
    <t>meteredConnections</t>
  </si>
  <si>
    <t>pipeMiles</t>
  </si>
  <si>
    <t>areaMi2</t>
  </si>
  <si>
    <t>authority</t>
  </si>
  <si>
    <t>none</t>
  </si>
  <si>
    <t>the City</t>
  </si>
  <si>
    <t>Never</t>
  </si>
  <si>
    <t>City of census is 55 mi2</t>
  </si>
  <si>
    <t>No wastewater treatment plants</t>
  </si>
  <si>
    <t>Part of a regional system that provides service to 550,000 (370,000 live within Pittsburgh). Average sewer line is 60-70 years old with some 150 years. ALCOSAN services 24 municipalities.</t>
  </si>
  <si>
    <t>Serve municipalities pursuant to agreements with the City</t>
  </si>
  <si>
    <t>Don't really update this info much.</t>
  </si>
  <si>
    <t>335,000 of population served live in Pittsburgh. In once place they say ALCOSAN serves 24, in another 83, municipalities. Oh, this is Pittsburgh relative. They serve 24 munis within Pittsburgh MSA, 83 total over 225 mi2 and 1.015M people.</t>
  </si>
  <si>
    <t>Of which 325,000 live in the city</t>
  </si>
  <si>
    <t>Contract was extended to 2045 (instead of 2025)</t>
  </si>
  <si>
    <t>none; anticipated that as of April 1, 2018 will be subject to PUC approval</t>
  </si>
  <si>
    <t>This is just within PWSA</t>
  </si>
  <si>
    <t>PUC approval required</t>
  </si>
  <si>
    <t>Looking to hire 77 employees in 2018 and 122 new employees in 2019 for a total working force of 524 by 2023. Average age of pipes is 80 years old. More than 40% installed prior to 1920!</t>
  </si>
  <si>
    <t>county</t>
  </si>
  <si>
    <t>Pittsburgh</t>
  </si>
  <si>
    <t>City</t>
  </si>
  <si>
    <t>This is the service area for ALCOSAN, which includes Pittsburgh</t>
  </si>
  <si>
    <t>Baldwin</t>
  </si>
  <si>
    <t>Borough</t>
  </si>
  <si>
    <t>Township</t>
  </si>
  <si>
    <t>Bellevue</t>
  </si>
  <si>
    <t>Bethel Park</t>
  </si>
  <si>
    <t>Braddock Hills</t>
  </si>
  <si>
    <t>Brenwood</t>
  </si>
  <si>
    <t>Crnegie</t>
  </si>
  <si>
    <t>Castle Shannon</t>
  </si>
  <si>
    <t>Churchill</t>
  </si>
  <si>
    <t>Crafton</t>
  </si>
  <si>
    <t>Dormont</t>
  </si>
  <si>
    <t>Edgewood</t>
  </si>
  <si>
    <t>Greentree</t>
  </si>
  <si>
    <t>Ingram</t>
  </si>
  <si>
    <t>Mt. Lebanon</t>
  </si>
  <si>
    <t>Penn Hills</t>
  </si>
  <si>
    <t>Pleasant Hills</t>
  </si>
  <si>
    <t>Reserve</t>
  </si>
  <si>
    <t>Ross</t>
  </si>
  <si>
    <t>Swissvale</t>
  </si>
  <si>
    <t>West Homestead</t>
  </si>
  <si>
    <t>West Mifflin</t>
  </si>
  <si>
    <t>Whitehall</t>
  </si>
  <si>
    <t>Wilkinsburg</t>
  </si>
  <si>
    <t>systemName</t>
  </si>
  <si>
    <t>aveVolume_MGD</t>
  </si>
  <si>
    <t>contractVolume_MGD</t>
  </si>
  <si>
    <t>role</t>
  </si>
  <si>
    <t>contractStart</t>
  </si>
  <si>
    <t>contractEnd</t>
  </si>
  <si>
    <t>Pennsylvania-American Water Company</t>
  </si>
  <si>
    <t>Regular</t>
  </si>
  <si>
    <t>Sell</t>
  </si>
  <si>
    <t>The Authority is attempting to market its excess suply of water. Sales in 1991 were $2.602M and 1992 were $2.824M</t>
  </si>
  <si>
    <t>Allegheny County Sanitary Authority (ALCOSAN)</t>
  </si>
  <si>
    <t>Purchase</t>
  </si>
  <si>
    <t>The Authority does not own any WTP</t>
  </si>
  <si>
    <t>The Authority is attempting to market its excess suply of water.</t>
  </si>
  <si>
    <t>Borough of Millvale</t>
  </si>
  <si>
    <t>Emergency</t>
  </si>
  <si>
    <t>Recently formalized a long term agreement for the sale of water</t>
  </si>
  <si>
    <t>West View Water Authority</t>
  </si>
  <si>
    <t>Reserve Township</t>
  </si>
  <si>
    <t>Shaler Township</t>
  </si>
  <si>
    <t>Etna Borough</t>
  </si>
  <si>
    <t>Sharpsburg Borough</t>
  </si>
  <si>
    <t>Fox Chapel Water Authority</t>
  </si>
  <si>
    <t>Blawnox Borough</t>
  </si>
  <si>
    <t>The Authority does not own any WTP. ALCOSAN serves 24 municipalities.</t>
  </si>
  <si>
    <t>The Authority is attempting to market its excess suply of water. Term will be automatically updated for another 5 years.</t>
  </si>
  <si>
    <t>Authority sells to 8 adjacent municipalities and one wholesale customer. They are the primary source of water for 3 municipalities. 4 contracts require monthly minimum charges.</t>
  </si>
  <si>
    <t>Sold 783 Mgal in 2012</t>
  </si>
  <si>
    <t>Sharpsburg</t>
  </si>
  <si>
    <t>Aspinwall Borough</t>
  </si>
  <si>
    <t>Hampton Shaler Water Authority</t>
  </si>
  <si>
    <t>http://www.drinkingwater.state.pa.us/dwrsbroker/broker.exe?_service=DWRSProd&amp;_sessionid=8QxMKNO1Q52&amp;_program=system.ints1.sas&amp;bgdate=14976&amp;eddate=15340</t>
  </si>
  <si>
    <t>sourceType</t>
  </si>
  <si>
    <t>nameInf</t>
  </si>
  <si>
    <t>infType</t>
  </si>
  <si>
    <t>dateOnline</t>
  </si>
  <si>
    <t>lastUpdate</t>
  </si>
  <si>
    <t>capacityMgal</t>
  </si>
  <si>
    <t>dateOffline</t>
  </si>
  <si>
    <t>challenges</t>
  </si>
  <si>
    <t>resolutions</t>
  </si>
  <si>
    <t>surface</t>
  </si>
  <si>
    <t>Allegheny River</t>
  </si>
  <si>
    <t>River</t>
  </si>
  <si>
    <t>The original Permit was for 115 MGD</t>
  </si>
  <si>
    <t>DER issued a Water Allocation Permit in March 1989 for 100 MGD, but would reevaluate this in the future. In 1943 they had been issued a permit for 115 Mgal</t>
  </si>
  <si>
    <t>WTP</t>
  </si>
  <si>
    <t>Have a single water treatment plant and six reservoir</t>
  </si>
  <si>
    <t>DER issued a Water Allocation Permit in March 1989 for 100 MGD, but would reevaluate this in the future.</t>
  </si>
  <si>
    <t>Have a single water treatment plant and four reservoirs</t>
  </si>
  <si>
    <t>Highland No. 1</t>
  </si>
  <si>
    <t>Reservoir</t>
  </si>
  <si>
    <t>Highland No. 2</t>
  </si>
  <si>
    <t>Lanpher</t>
  </si>
  <si>
    <t>Herron Hill</t>
  </si>
  <si>
    <t>Total storage capacity of reservoirs and tanks if 455 Mgal</t>
  </si>
  <si>
    <t>DER (now DEP) issued a Water Allocation Permit in March 1989 for 100 MGD, but would reevaluate this in the future.</t>
  </si>
  <si>
    <t>Pilot Plant</t>
  </si>
  <si>
    <t>Simulates treatment and hydraulic conditions in the authority's main plant to achieve most efficent plant operations and meet current and future regulations.</t>
  </si>
  <si>
    <t>Microfiltration Facility</t>
  </si>
  <si>
    <t>Designed to provide additional treatment so the Highlands No. 1 Reservoir could remain open.</t>
  </si>
  <si>
    <t>They had a day where they reached 99 MGD</t>
  </si>
  <si>
    <t>Expanded to treat 26 MGD in 2009. Optimized at 9 MGD</t>
  </si>
  <si>
    <t>groupBy</t>
  </si>
  <si>
    <t>class</t>
  </si>
  <si>
    <t>tier</t>
  </si>
  <si>
    <t>nConnections</t>
  </si>
  <si>
    <t>Total</t>
  </si>
  <si>
    <t>Summed connections (excluding interconnections to other utilities)</t>
  </si>
  <si>
    <t>Customer</t>
  </si>
  <si>
    <t>Residential</t>
  </si>
  <si>
    <t>Commercial</t>
  </si>
  <si>
    <t>Industrial</t>
  </si>
  <si>
    <t>Wholesale</t>
  </si>
  <si>
    <t>Other Utilities</t>
  </si>
  <si>
    <t>Represents 84% of the total customers within the city - the others are served by 3 independent water purveyors that the authority sells.</t>
  </si>
  <si>
    <t>Pennsylvania American Water</t>
  </si>
  <si>
    <t>This is just American Water - I think other utilities are baked into Wholesale</t>
  </si>
  <si>
    <t>This includes health and education sector</t>
  </si>
  <si>
    <t>The authority purchased Millvale Water Authority in 2010 - adding 2000 customers</t>
  </si>
  <si>
    <t>No Bill Group</t>
  </si>
  <si>
    <t>Have 10,401 disconnected accounts</t>
  </si>
  <si>
    <t>location</t>
  </si>
  <si>
    <t>volume_MGD</t>
  </si>
  <si>
    <t>peak_MGD</t>
  </si>
  <si>
    <t>annual_MG</t>
  </si>
  <si>
    <t>percentUse</t>
  </si>
  <si>
    <t>Capacity</t>
  </si>
  <si>
    <t>Permit was issued in 1989 for 100 MGD. Treatment plant can do 117 MGD.</t>
  </si>
  <si>
    <t>Treated Water</t>
  </si>
  <si>
    <t>Maximum withdrawal was 90 MGD</t>
  </si>
  <si>
    <t>Metered Consumption</t>
  </si>
  <si>
    <t>Average use of American Water Company</t>
  </si>
  <si>
    <t>The provide the percent of usage but not volume</t>
  </si>
  <si>
    <t>Unaccounted</t>
  </si>
  <si>
    <t>Estimate Unaccounted as Treated - Total Metered Consumption</t>
  </si>
  <si>
    <t>Sum of estimated metered consumption</t>
  </si>
  <si>
    <t>The provide the percent of usage but not volume. Estimated assuming 4 MGD is American Water Company Use and accounts for 8% of water</t>
  </si>
  <si>
    <t>Approximately 5.5 mgal were sold to several adjacent utilities.</t>
  </si>
  <si>
    <t>The provide the percent of usage but not volume. I think an error in percentages when comparing to 1992 and 1994. Adjusted to 7.8</t>
  </si>
  <si>
    <t>Appoximately 1.5 MGD sold to several adjacent municipalities for resale</t>
  </si>
  <si>
    <t>This is for American Water Company - still based on 4 MGD minimum.</t>
  </si>
  <si>
    <t>They noted they supplied 25 bgal, of which 1 bgal went to adjacent municipalities. Still peak at 90 mgd</t>
  </si>
  <si>
    <t>Includes heath and education sector, as well as various units of government</t>
  </si>
  <si>
    <t>Adjusted to take out 2.7 Mgal Utility and used proportions from 1998. Original was 9.9% to wholesale</t>
  </si>
  <si>
    <t>*They did have a peak day where 95 MGD were used.</t>
  </si>
  <si>
    <t>Calculation is 71.2 MGD, but text says 73 MGD. Probably this should be the number used for 2002 as well since they say 25 mgd excess last year… This year they say 35 MGD. Who knows.</t>
  </si>
  <si>
    <t>Unclear what fraction sales to utilities are included in wholesale… kept similar break up. So if 7.2% was to wholesale, assume half of that went to other utilities - they had another wholesale customer and this could account for the water purveyors they exclude. This should be held loosely. For four boroughs listed, 9.6% of their total usage based on largest customers so I think all this data is questionable.</t>
  </si>
  <si>
    <t>They excluded customers of other water purveyors; Original was 7.2 - assumed 5% whent to other utilities</t>
  </si>
  <si>
    <t>I am growing increasingly uncertain about how to interpret their break out.</t>
  </si>
  <si>
    <t>They say the average amount supplied (is that production… probably if they hit 99 MGD or metered consumption). Again, multiple numbers given (73, 70.5, 65)</t>
  </si>
  <si>
    <t>7.2% went to 3 munis based on top 10 list. 2.2 MGD went to American Water Co - water purveyor they don't account for</t>
  </si>
  <si>
    <t>They sell to 8 munis but have 18 customers - so split in two again. Originally had 9.5%</t>
  </si>
  <si>
    <t>Of which at least 2.2 MGD is one water purveyor.</t>
  </si>
  <si>
    <t>In the engineering report at back it listed 72.8 mgd and 99.17 mgd peak. Who knows what is accurate.</t>
  </si>
  <si>
    <t>*I am going with engineering reports at the end since they actually change year to year</t>
  </si>
  <si>
    <t>Said they withdraw an average of 70.5 MGD</t>
  </si>
  <si>
    <t>2.53 goes to 2 of 3 regular sales to utilities… Assume third utility is 1/3 of the next level (~.12 MGD)</t>
  </si>
  <si>
    <t>This seems right given nearly half of Commercial should be going to an Institutional customer class.</t>
  </si>
  <si>
    <t>Treated and distributed over 20.66 bgal… does this mean metered (distributed) or treated? This is the average daily filtered processed water… still not sure what that means.</t>
  </si>
  <si>
    <t>Other (includes Helath &amp; Education)</t>
  </si>
  <si>
    <t>Now Health &amp; Educationa nd Fire and No bill go here</t>
  </si>
  <si>
    <t>grossPercent</t>
  </si>
  <si>
    <t>adjustedPercent</t>
  </si>
  <si>
    <t>method</t>
  </si>
  <si>
    <t>Used percentages relative to other utility volume to estimate metered usage. Took Treated Water - Sum Metered Consumption and Divided by Treated Water.</t>
  </si>
  <si>
    <t>Estimated from usage… all values calculated in usage and here.</t>
  </si>
  <si>
    <t>Provided in paragraph some clues about withdrawn and distributed water.</t>
  </si>
  <si>
    <t>Estimated</t>
  </si>
  <si>
    <t>Must be greater than 25% since their goal is to get it below 25%. Indeed - they mention they are not collecting for more than 50% of their metered water use… that said, not all of this is lost water.</t>
  </si>
  <si>
    <t>customer</t>
  </si>
  <si>
    <t>gallons</t>
  </si>
  <si>
    <t>revenue</t>
  </si>
  <si>
    <t>percentMethod</t>
  </si>
  <si>
    <t>percentGal</t>
  </si>
  <si>
    <t>percentRev</t>
  </si>
  <si>
    <t>Housing Authority of Pittsburgh</t>
  </si>
  <si>
    <t>Housing Authority</t>
  </si>
  <si>
    <t>University of Pittsburgh</t>
  </si>
  <si>
    <t>University</t>
  </si>
  <si>
    <t>LTV Steel</t>
  </si>
  <si>
    <t>Manufacturing</t>
  </si>
  <si>
    <t>H.J. Heinz Company</t>
  </si>
  <si>
    <t>Food Processing</t>
  </si>
  <si>
    <t>Pittsburgh Brewing Company</t>
  </si>
  <si>
    <t>Beverage</t>
  </si>
  <si>
    <t>Carnegie-Mellon University</t>
  </si>
  <si>
    <t>Oxford Development</t>
  </si>
  <si>
    <t>Real Estate</t>
  </si>
  <si>
    <t>ALCOSAN</t>
  </si>
  <si>
    <t>Wastewater System</t>
  </si>
  <si>
    <t>Allegheny General Hopsital</t>
  </si>
  <si>
    <t>Hospital</t>
  </si>
  <si>
    <t>Western Penitentiary</t>
  </si>
  <si>
    <t>Prison</t>
  </si>
  <si>
    <t>Veterans Affairs Hospital</t>
  </si>
  <si>
    <t>Pittsburgh Allegheny County Thermal</t>
  </si>
  <si>
    <t>Steam Heating Company</t>
  </si>
  <si>
    <t>Allegheny County</t>
  </si>
  <si>
    <t>County Govt</t>
  </si>
  <si>
    <t>Allegheny County Jail</t>
  </si>
  <si>
    <t>The Galbreath Company</t>
  </si>
  <si>
    <t>Fox Chapel Municipal Authority</t>
  </si>
  <si>
    <t>Municipality</t>
  </si>
  <si>
    <t>Reported</t>
  </si>
  <si>
    <t>University of Pittsburgh Medical Center</t>
  </si>
  <si>
    <t>Duquesne University</t>
  </si>
  <si>
    <t>Carnegie Mellon University</t>
  </si>
  <si>
    <t>Spectacor Management Inc</t>
  </si>
  <si>
    <t>Port Authority of Allegheny County</t>
  </si>
  <si>
    <t>Public Transit</t>
  </si>
  <si>
    <t>PA American Water Co.</t>
  </si>
  <si>
    <t>Water Purveyor - not included in usage estimates. Sigh.</t>
  </si>
  <si>
    <t>DLM Foods</t>
  </si>
  <si>
    <t>Pittsburgh Housing Authority</t>
  </si>
  <si>
    <t>West Penn Allegheny Health System</t>
  </si>
  <si>
    <t>Health Care</t>
  </si>
  <si>
    <t>Reserve Water Dept.</t>
  </si>
  <si>
    <t>Keystone Brewers Inc.</t>
  </si>
  <si>
    <t>Mercy Hospital</t>
  </si>
  <si>
    <t>Bay Valley Foods</t>
  </si>
  <si>
    <t>West Penn Hospital</t>
  </si>
  <si>
    <t>SCI Pittsburgh</t>
  </si>
  <si>
    <t>NRG Energy Center Pittsburgh</t>
  </si>
  <si>
    <t>Power Plant</t>
  </si>
  <si>
    <t>I wonder if this is revenue and other years its usage…</t>
  </si>
  <si>
    <t>Univeristy of Pittsburgh</t>
  </si>
  <si>
    <t>*Note that their 2012 discosure information is totally different.</t>
  </si>
  <si>
    <t>Large Industrial Customer</t>
  </si>
  <si>
    <t>Allegheny General Hospital</t>
  </si>
  <si>
    <t>Childrens Hospital</t>
  </si>
  <si>
    <t>Rserve Township</t>
  </si>
  <si>
    <t>wholesale contract terminated in 1996</t>
  </si>
  <si>
    <t>Aspinwall</t>
  </si>
  <si>
    <t>Allegheny County Prison</t>
  </si>
  <si>
    <t>River Bend Properties</t>
  </si>
  <si>
    <t>Apartment</t>
  </si>
  <si>
    <t>They have Bay Valley Foods here on another paper.</t>
  </si>
  <si>
    <t>City of Pittsburgh</t>
  </si>
  <si>
    <t>Riverside Community Correction Center</t>
  </si>
  <si>
    <t>PNC Park</t>
  </si>
  <si>
    <t>Baseball Stadium</t>
  </si>
  <si>
    <t>I think this is gallons in thousands - so added 3 zeros</t>
  </si>
  <si>
    <t>*I think they are off a tenth (should be 0.8 instead of 0.08), etc.</t>
  </si>
  <si>
    <t>Allegheny Commons East Association</t>
  </si>
  <si>
    <t>rateYear</t>
  </si>
  <si>
    <t>yearSet</t>
  </si>
  <si>
    <t>billFrequency</t>
  </si>
  <si>
    <t>charges</t>
  </si>
  <si>
    <t>chargeType</t>
  </si>
  <si>
    <t>classUnit</t>
  </si>
  <si>
    <t>gallonsIncluded</t>
  </si>
  <si>
    <t>otherClass</t>
  </si>
  <si>
    <t>cost</t>
  </si>
  <si>
    <t>costUnit</t>
  </si>
  <si>
    <t>Quarterly</t>
  </si>
  <si>
    <t>Consumption Charges</t>
  </si>
  <si>
    <t>Volume</t>
  </si>
  <si>
    <t>per thousand gallons</t>
  </si>
  <si>
    <t>Back-calculate Charges are over minimum use (not provided). Rate study done in 1985, not sure if rates raise much prior to CIP and rate study?</t>
  </si>
  <si>
    <t>Wholesale up to 500,000 gal</t>
  </si>
  <si>
    <t>rate increase of 14%. Charges are over minimum use (not provided).</t>
  </si>
  <si>
    <t>rate increase of 41%. Charges are over minimum use (not provided).</t>
  </si>
  <si>
    <t>rate increase of 19%</t>
  </si>
  <si>
    <t>rate increase of 18%</t>
  </si>
  <si>
    <t>rate increase of 5%</t>
  </si>
  <si>
    <t>rate increase of -18%</t>
  </si>
  <si>
    <t>Flat Charge</t>
  </si>
  <si>
    <t>Meter Size</t>
  </si>
  <si>
    <t>Taken from Table 3 on page 25</t>
  </si>
  <si>
    <t>rate increase of 8.5%</t>
  </si>
  <si>
    <t>rate increase of 3.5%; I do get the same value they get when calculating rates.</t>
  </si>
  <si>
    <t>rate increase of 3.5%</t>
  </si>
  <si>
    <t>rate increase of 4%</t>
  </si>
  <si>
    <t>Taken from Table on page 22</t>
  </si>
  <si>
    <t>rate increase of 9.5%</t>
  </si>
  <si>
    <t>Their rates table shows no change but their comparison with other suppliers does show a change</t>
  </si>
  <si>
    <t>Their rates table shows no change but their comparison with other suppliers does show a change. The 2002 OS shows there were two rate changes in 1994</t>
  </si>
  <si>
    <t>Heath &amp; Education</t>
  </si>
  <si>
    <t>inch</t>
  </si>
  <si>
    <t>*I am guessing the rates are now monthly since fixed charge went to 1/3</t>
  </si>
  <si>
    <t>A footnote of sewage use rate charges that were not included in their calculation.</t>
  </si>
  <si>
    <t>19% increase</t>
  </si>
  <si>
    <t>less than 3 Mgal</t>
  </si>
  <si>
    <t>more than 3 Mgal</t>
  </si>
  <si>
    <t>17% increase</t>
  </si>
  <si>
    <t>Now they have it right - excluding sewer rates in this table. Second most expensive, but not by much.</t>
  </si>
  <si>
    <t>No increase for wholesale</t>
  </si>
  <si>
    <t>per meter</t>
  </si>
  <si>
    <t>Health &amp; Educational</t>
  </si>
  <si>
    <t>Fire</t>
  </si>
  <si>
    <t>Means the sum doesn't match what was recorded</t>
  </si>
  <si>
    <t>Name</t>
  </si>
  <si>
    <t>Category</t>
  </si>
  <si>
    <t>SubCategory</t>
  </si>
  <si>
    <t>y1986</t>
  </si>
  <si>
    <t>y1987</t>
  </si>
  <si>
    <t>y1988</t>
  </si>
  <si>
    <t>y1989</t>
  </si>
  <si>
    <t>y1990</t>
  </si>
  <si>
    <t>y1991</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</si>
  <si>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</si>
  <si>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</si>
  <si>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</si>
  <si>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</si>
  <si>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</si>
  <si>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</si>
  <si>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</si>
  <si>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</si>
  <si>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</si>
  <si>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</si>
  <si>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</si>
  <si>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</si>
  <si>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</si>
  <si>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</si>
  <si>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</si>
  <si>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</si>
  <si>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</si>
  <si>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</si>
  <si>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</si>
  <si>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</si>
  <si>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</si>
  <si>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</si>
  <si>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</si>
  <si>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</si>
  <si>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</si>
  <si>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</si>
  <si>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y2018</t>
  </si>
  <si>
    <t>Revenues</t>
  </si>
  <si>
    <t>Metered &amp; Flat Sales, Misc.</t>
  </si>
  <si>
    <t>Sales to Water Utilities</t>
  </si>
  <si>
    <t>-</t>
  </si>
  <si>
    <t>Wastewater treatment</t>
  </si>
  <si>
    <t>Total Operating Revenues</t>
  </si>
  <si>
    <t>Expenses</t>
  </si>
  <si>
    <t>City Reimbursement</t>
  </si>
  <si>
    <t>Water Department Direct Expenses</t>
  </si>
  <si>
    <t>Sewer Direct and Indirect Expenses</t>
  </si>
  <si>
    <t>City indirect cost allocation</t>
  </si>
  <si>
    <t>Wastewater indirect cost allocation</t>
  </si>
  <si>
    <t>Water indirect cost allocation</t>
  </si>
  <si>
    <t>Transfer costs, net</t>
  </si>
  <si>
    <t>City employee benefits</t>
  </si>
  <si>
    <t>Fixed lease payment</t>
  </si>
  <si>
    <t>Additional payment</t>
  </si>
  <si>
    <t>Subsidy of non-City water agency customers</t>
  </si>
  <si>
    <t>Depreciation Amortization of capitalized lease assets</t>
  </si>
  <si>
    <t>General Administration</t>
  </si>
  <si>
    <t>Wastewater direct expenses</t>
  </si>
  <si>
    <t>Total Operating Expenses</t>
  </si>
  <si>
    <t>Other Income and (Expense)</t>
  </si>
  <si>
    <t>Revenue - Expense</t>
  </si>
  <si>
    <t>Interest income</t>
  </si>
  <si>
    <t>Interest expense</t>
  </si>
  <si>
    <t>Extraordinary Gain / Donated Property</t>
  </si>
  <si>
    <t>Federal Grants</t>
  </si>
  <si>
    <t>Amortization of Bond</t>
  </si>
  <si>
    <t>Other / (inc lead line replace in 2018)</t>
  </si>
  <si>
    <t>Total Other Income and Expenses</t>
  </si>
  <si>
    <t>Total nonoperating revenue and expenses</t>
  </si>
  <si>
    <t>Total Nonoperating Revenues and Expenses</t>
  </si>
  <si>
    <t>Net Income</t>
  </si>
  <si>
    <t>Retained Earnings</t>
  </si>
  <si>
    <t>Retained Earnings - Start of Year</t>
  </si>
  <si>
    <t>Retained Earnings - End of Year</t>
  </si>
  <si>
    <t>restated</t>
  </si>
  <si>
    <t>restated with GASB 65</t>
  </si>
  <si>
    <t>Supplement with Financial statements</t>
  </si>
  <si>
    <t>Current Assets</t>
  </si>
  <si>
    <t>Accrued interest</t>
  </si>
  <si>
    <t>Cash</t>
  </si>
  <si>
    <t>Short-term investments</t>
  </si>
  <si>
    <t>Billed accounts receivable</t>
  </si>
  <si>
    <t>Water Billed Accounts Receivable</t>
  </si>
  <si>
    <t>Wastewater Billed accounts receivable</t>
  </si>
  <si>
    <t>Unbilled accounts receivable</t>
  </si>
  <si>
    <t>Water unbilled accounts receivable</t>
  </si>
  <si>
    <t>Wastewater unbilled accounts receivable</t>
  </si>
  <si>
    <t>Due from City of Pittsburgh</t>
  </si>
  <si>
    <t>Inventory</t>
  </si>
  <si>
    <t>Prepaid Expenses</t>
  </si>
  <si>
    <t>Restricted Assets</t>
  </si>
  <si>
    <t>Accrued interest receivable</t>
  </si>
  <si>
    <t>Accrued interest payable</t>
  </si>
  <si>
    <t>Investments</t>
  </si>
  <si>
    <t>Prepaid Lease and Obligations</t>
  </si>
  <si>
    <t>Fixed Assets</t>
  </si>
  <si>
    <t>Property</t>
  </si>
  <si>
    <t>Depreciation</t>
  </si>
  <si>
    <t>Construction in Progress</t>
  </si>
  <si>
    <t>Capital Lease assets net of accumulated amorization / Hedging derivative later</t>
  </si>
  <si>
    <t>Other Assets</t>
  </si>
  <si>
    <t>Bond Issue Costs</t>
  </si>
  <si>
    <t>Deferred hydroelectric</t>
  </si>
  <si>
    <t>Deferred Assets</t>
  </si>
  <si>
    <t>Total Assets</t>
  </si>
  <si>
    <t>Current Liabilities</t>
  </si>
  <si>
    <t>Accounts Payable</t>
  </si>
  <si>
    <t>Accrued payroll and related obligations</t>
  </si>
  <si>
    <t>Accounts payable and accrued expenses</t>
  </si>
  <si>
    <t>Due to City of Pittsburgh</t>
  </si>
  <si>
    <t>Payroll Obligations</t>
  </si>
  <si>
    <t>Accounts payable wastewater treatment</t>
  </si>
  <si>
    <t>Bonds and Loans payable, current portion</t>
  </si>
  <si>
    <t>Accounts payable from restricted assets</t>
  </si>
  <si>
    <t>Accrued Interest</t>
  </si>
  <si>
    <t>Longterm Liabilities</t>
  </si>
  <si>
    <t>Accounts Payable - trusteed funds</t>
  </si>
  <si>
    <t>Bonds Payable</t>
  </si>
  <si>
    <t>Swap liability</t>
  </si>
  <si>
    <t>Total Liabilities</t>
  </si>
  <si>
    <t>Fund Equity</t>
  </si>
  <si>
    <t>Contributed Capital - restricted</t>
  </si>
  <si>
    <t>Accumulated Deficit / Net Investment in Capital Assets</t>
  </si>
  <si>
    <t>Unrestricted</t>
  </si>
  <si>
    <t>Deferred / Unearned Revenue / Swap Hedging</t>
  </si>
  <si>
    <t>Total Liabilities and Fund Equity</t>
  </si>
  <si>
    <t>amountBilled</t>
  </si>
  <si>
    <t>uncollected</t>
  </si>
  <si>
    <t>percentCollected</t>
  </si>
  <si>
    <t>Collects 85% within year billed, 6% by following year, and remaining later.</t>
  </si>
  <si>
    <t>Collects 93 to 95% of water billings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</si>
</sst>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
    <numFmt numFmtId="166" formatCode="0.0"/>
  </numFmts>
  <fonts count="6">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0" fontId="5" fillId="0" borderId="0" applyNumberFormat="0" applyFill="0" applyBorder="0" applyAlignment="0" applyProtection="0"/>
  </cellStyleXfs>
  <cellXfs count="40">
    <xf numFmtId="0" fontId="0" fillId="0" borderId="0" xfId="0"/>
    <xf numFmtId="0" fontId="0" fillId="2" borderId="0" xfId="0" applyFill="1"/>
    <xf numFmtId="0" fontId="3" fillId="2" borderId="1" xfId="0" applyFont="1" applyFill="1" applyBorder="1" applyAlignment="1">
      <alignment horizontal="center"/>
    </xf>
    <xf numFmtId="164" fontId="3" fillId="2" borderId="1" xfId="1" applyNumberFormat="1" applyFont="1" applyFill="1" applyBorder="1"/>
    <xf numFmtId="0" fontId="3" fillId="2" borderId="1" xfId="0" applyFont="1" applyFill="1" applyBorder="1"/>
    <xf numFmtId="164" fontId="3" fillId="2" borderId="1" xfId="1" applyNumberFormat="1" applyFont="1" applyFill="1" applyBorder="1" applyAlignment="1">
      <alignment horizontal="center"/>
    </xf>
    <xf numFmtId="165" fontId="3" fillId="2" borderId="1" xfId="0" applyNumberFormat="1" applyFont="1" applyFill="1" applyBorder="1" applyAlignment="1">
      <alignment horizontal="center"/>
    </xf>
    <xf numFmtId="0" fontId="3" fillId="2" borderId="0" xfId="0" applyFont="1" applyFill="1"/>
    <xf numFmtId="164" fontId="3" fillId="2" borderId="1" xfId="1" applyNumberFormat="1" applyFont="1" applyFill="1" applyBorder="1" applyAlignment="1"/>
    <xf numFmtId="2" fontId="3" fillId="2" borderId="1" xfId="1" applyNumberFormat="1" applyFont="1" applyFill="1" applyBorder="1" applyAlignment="1">
      <alignment horizontal="center" vertical="center"/>
    </xf>
    <xf numFmtId="164" fontId="0" fillId="2" borderId="0" xfId="1" applyNumberFormat="1" applyFont="1" applyFill="1" applyAlignment="1">
      <alignment horizontal="center"/>
    </xf>
    <xf numFmtId="164" fontId="3" fillId="3" borderId="0" xfId="1" applyNumberFormat="1" applyFont="1" applyFill="1" applyAlignment="1">
      <alignment horizontal="left"/>
    </xf>
    <xf numFmtId="164" fontId="3" fillId="3" borderId="0" xfId="1" applyNumberFormat="1" applyFont="1" applyFill="1" applyAlignment="1">
      <alignment horizontal="center"/>
    </xf>
    <xf numFmtId="164" fontId="0" fillId="2" borderId="0" xfId="1" applyNumberFormat="1" applyFont="1" applyFill="1"/>
    <xf numFmtId="164" fontId="2" fillId="2" borderId="0" xfId="1" applyNumberFormat="1" applyFont="1" applyFill="1"/>
    <xf numFmtId="164" fontId="3" fillId="2" borderId="0" xfId="1" applyNumberFormat="1" applyFont="1" applyFill="1" applyAlignment="1">
      <alignment horizontal="center"/>
    </xf>
    <xf numFmtId="164" fontId="3" fillId="2" borderId="0" xfId="1" applyNumberFormat="1" applyFont="1" applyFill="1"/>
    <xf numFmtId="0" fontId="4" fillId="2" borderId="0" xfId="0" applyFont="1" applyFill="1"/>
    <xf numFmtId="0" fontId="3" fillId="2" borderId="1" xfId="0" applyFont="1" applyFill="1" applyBorder="1" applyAlignment="1">
      <alignment vertical="center"/>
    </xf>
    <xf numFmtId="0" fontId="0" fillId="2" borderId="0" xfId="0" applyFont="1" applyFill="1"/>
    <xf numFmtId="2" fontId="0" fillId="2" borderId="0" xfId="0" applyNumberFormat="1" applyFill="1"/>
    <xf numFmtId="0" fontId="0" fillId="2" borderId="0" xfId="0" applyFill="1" applyAlignment="1">
      <alignment horizontal="center"/>
    </xf>
    <xf numFmtId="0" fontId="3" fillId="2" borderId="1" xfId="0" applyFont="1" applyFill="1" applyBorder="1" applyAlignment="1">
      <alignment horizontal="center" vertical="center"/>
    </xf>
    <xf numFmtId="164" fontId="1" fillId="2" borderId="0" xfId="1" applyNumberFormat="1" applyFont="1" applyFill="1" applyAlignment="1">
      <alignment horizontal="center"/>
    </xf>
    <xf numFmtId="164" fontId="1" fillId="2" borderId="0" xfId="1" applyNumberFormat="1" applyFont="1" applyFill="1"/>
    <xf numFmtId="164" fontId="3" fillId="2" borderId="0" xfId="0" applyNumberFormat="1" applyFont="1" applyFill="1"/>
    <xf numFmtId="0" fontId="3" fillId="2" borderId="0" xfId="0" applyFont="1" applyFill="1" applyBorder="1"/>
    <xf numFmtId="2" fontId="0" fillId="2" borderId="0" xfId="0" applyNumberFormat="1" applyFill="1" applyAlignment="1">
      <alignment horizontal="center"/>
    </xf>
    <xf numFmtId="166" fontId="0" fillId="2" borderId="0" xfId="0" applyNumberFormat="1" applyFill="1" applyAlignment="1">
      <alignment horizontal="center"/>
    </xf>
    <xf numFmtId="164" fontId="3" fillId="3" borderId="0" xfId="1" applyNumberFormat="1" applyFont="1" applyFill="1"/>
    <xf numFmtId="0" fontId="0" fillId="2" borderId="0" xfId="0" applyFont="1" applyFill="1" applyBorder="1"/>
    <xf numFmtId="0" fontId="0" fillId="2" borderId="0" xfId="0" applyFont="1" applyFill="1" applyAlignment="1">
      <alignment horizontal="center"/>
    </xf>
    <xf numFmtId="43" fontId="0" fillId="2" borderId="0" xfId="0" applyNumberFormat="1" applyFill="1"/>
    <xf numFmtId="0" fontId="0" fillId="3" borderId="0" xfId="0" applyFill="1"/>
    <xf numFmtId="0" fontId="0" fillId="3" borderId="0" xfId="0" applyFill="1" applyAlignment="1">
      <alignment horizontal="center"/>
    </xf>
    <xf numFmtId="2" fontId="3" fillId="2" borderId="1" xfId="0" applyNumberFormat="1" applyFont="1" applyFill="1" applyBorder="1"/>
    <xf numFmtId="0" fontId="4" fillId="3" borderId="0" xfId="0" applyFont="1" applyFill="1"/>
    <xf numFmtId="2" fontId="3" fillId="2" borderId="1" xfId="0" applyNumberFormat="1" applyFont="1" applyFill="1" applyBorder="1" applyAlignment="1">
      <alignment horizontal="center"/>
    </xf>
    <xf numFmtId="0" fontId="5" fillId="0" borderId="0" xfId="2"/>
    <xf numFmtId="0" fontId="0" fillId="2" borderId="0" xfId="0" applyFill="1" applyAlignment="1">
      <alignment horizontal="right"/>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rainmatters-map.org/"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drinkingwater.state.pa.us/dwrsbroker/broker.exe?_service=DWRSProd&amp;_sessionid=8QxMKNO1Q52&amp;_program=system.ints1.sas&amp;bgdate=14976&amp;eddate=15340"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9"/>
  <sheetViews>
    <sheetView workbookViewId="0"/>
  </sheetViews>
  <sheetFormatPr defaultColWidth="8.85546875" defaultRowHeight="14.45"/>
  <cols>
    <col min="1" max="1" width="22.28515625" style="1" customWidth="1"/>
    <col min="2" max="2" width="8.85546875" style="21"/>
    <col min="3" max="16384" width="8.85546875" style="1"/>
  </cols>
  <sheetData>
    <row r="1" spans="1:3" ht="18">
      <c r="A1" s="17" t="s">
        <v>0</v>
      </c>
    </row>
    <row r="2" spans="1:3" ht="18">
      <c r="A2" s="17" t="s">
        <v>1</v>
      </c>
    </row>
    <row r="3" spans="1:3" ht="18">
      <c r="A3" s="17"/>
    </row>
    <row r="4" spans="1:3" ht="18">
      <c r="A4" s="17"/>
    </row>
    <row r="5" spans="1:3" s="33" customFormat="1" ht="18">
      <c r="A5" s="36" t="s">
        <v>2</v>
      </c>
      <c r="B5" s="34"/>
    </row>
    <row r="7" spans="1:3">
      <c r="A7" s="18" t="s">
        <v>3</v>
      </c>
      <c r="B7" s="22" t="s">
        <v>4</v>
      </c>
      <c r="C7" s="18" t="s">
        <v>5</v>
      </c>
    </row>
    <row r="8" spans="1:3">
      <c r="A8" s="1" t="s">
        <v>6</v>
      </c>
      <c r="B8" s="21">
        <v>25</v>
      </c>
      <c r="C8" s="1" t="s">
        <v>7</v>
      </c>
    </row>
    <row r="9" spans="1:3">
      <c r="A9" s="1" t="s">
        <v>6</v>
      </c>
      <c r="B9" s="21">
        <v>26</v>
      </c>
      <c r="C9" s="1" t="s">
        <v>8</v>
      </c>
    </row>
    <row r="10" spans="1:3">
      <c r="A10" s="1" t="s">
        <v>6</v>
      </c>
      <c r="B10" s="21">
        <v>30</v>
      </c>
      <c r="C10" s="1" t="s">
        <v>9</v>
      </c>
    </row>
    <row r="11" spans="1:3">
      <c r="A11" s="1" t="s">
        <v>6</v>
      </c>
      <c r="B11" s="21">
        <v>31</v>
      </c>
      <c r="C11" s="1" t="s">
        <v>10</v>
      </c>
    </row>
    <row r="12" spans="1:3">
      <c r="A12" s="1" t="s">
        <v>6</v>
      </c>
      <c r="B12" s="21">
        <v>85</v>
      </c>
      <c r="C12" s="1" t="s">
        <v>11</v>
      </c>
    </row>
    <row r="13" spans="1:3">
      <c r="A13" s="1" t="s">
        <v>6</v>
      </c>
      <c r="B13" s="21">
        <v>88</v>
      </c>
      <c r="C13" s="1" t="s">
        <v>12</v>
      </c>
    </row>
    <row r="14" spans="1:3">
      <c r="A14" s="1" t="s">
        <v>6</v>
      </c>
      <c r="B14" s="21">
        <v>111</v>
      </c>
      <c r="C14" s="1" t="s">
        <v>13</v>
      </c>
    </row>
    <row r="15" spans="1:3">
      <c r="A15" s="1" t="s">
        <v>6</v>
      </c>
      <c r="B15" s="21">
        <v>119</v>
      </c>
      <c r="C15" s="1" t="s">
        <v>14</v>
      </c>
    </row>
    <row r="17" spans="1:3">
      <c r="A17" s="1" t="s">
        <v>15</v>
      </c>
      <c r="B17" s="21">
        <v>23</v>
      </c>
      <c r="C17" s="1" t="s">
        <v>16</v>
      </c>
    </row>
    <row r="18" spans="1:3">
      <c r="A18" s="1" t="s">
        <v>15</v>
      </c>
      <c r="B18" s="21">
        <v>25</v>
      </c>
      <c r="C18" s="1" t="s">
        <v>7</v>
      </c>
    </row>
    <row r="19" spans="1:3">
      <c r="A19" s="1" t="s">
        <v>15</v>
      </c>
      <c r="B19" s="21">
        <v>29</v>
      </c>
      <c r="C19" s="1" t="s">
        <v>17</v>
      </c>
    </row>
    <row r="20" spans="1:3">
      <c r="A20" s="1" t="s">
        <v>15</v>
      </c>
      <c r="B20" s="21">
        <v>83</v>
      </c>
      <c r="C20" s="1" t="s">
        <v>18</v>
      </c>
    </row>
    <row r="21" spans="1:3">
      <c r="A21" s="1" t="s">
        <v>15</v>
      </c>
      <c r="B21" s="21">
        <v>83</v>
      </c>
      <c r="C21" s="1" t="s">
        <v>19</v>
      </c>
    </row>
    <row r="22" spans="1:3">
      <c r="A22" s="1" t="s">
        <v>15</v>
      </c>
      <c r="B22" s="21">
        <v>149</v>
      </c>
      <c r="C22" s="1" t="s">
        <v>20</v>
      </c>
    </row>
    <row r="23" spans="1:3">
      <c r="A23" s="1" t="s">
        <v>15</v>
      </c>
      <c r="B23" s="21">
        <v>150</v>
      </c>
      <c r="C23" s="1" t="s">
        <v>21</v>
      </c>
    </row>
    <row r="24" spans="1:3">
      <c r="A24" s="1" t="s">
        <v>15</v>
      </c>
      <c r="B24" s="21">
        <v>153</v>
      </c>
      <c r="C24" s="1" t="s">
        <v>22</v>
      </c>
    </row>
    <row r="26" spans="1:3">
      <c r="A26" s="1" t="s">
        <v>23</v>
      </c>
      <c r="B26" s="21">
        <v>9</v>
      </c>
      <c r="C26" s="1" t="s">
        <v>24</v>
      </c>
    </row>
    <row r="27" spans="1:3">
      <c r="A27" s="1" t="s">
        <v>23</v>
      </c>
      <c r="B27" s="21">
        <v>20</v>
      </c>
      <c r="C27" s="1" t="s">
        <v>25</v>
      </c>
    </row>
    <row r="28" spans="1:3">
      <c r="A28" s="1" t="s">
        <v>23</v>
      </c>
      <c r="B28" s="21">
        <v>23</v>
      </c>
      <c r="C28" s="1" t="s">
        <v>26</v>
      </c>
    </row>
    <row r="29" spans="1:3">
      <c r="A29" s="1" t="s">
        <v>23</v>
      </c>
      <c r="B29" s="21">
        <v>118</v>
      </c>
      <c r="C29" s="1" t="s">
        <v>27</v>
      </c>
    </row>
    <row r="30" spans="1:3">
      <c r="A30" s="1" t="s">
        <v>23</v>
      </c>
      <c r="B30" s="21">
        <v>128</v>
      </c>
      <c r="C30" s="1" t="s">
        <v>28</v>
      </c>
    </row>
    <row r="31" spans="1:3">
      <c r="A31" s="1" t="s">
        <v>23</v>
      </c>
      <c r="B31" s="21">
        <v>129</v>
      </c>
      <c r="C31" s="1" t="s">
        <v>29</v>
      </c>
    </row>
    <row r="32" spans="1:3">
      <c r="A32" s="1" t="s">
        <v>23</v>
      </c>
      <c r="B32" s="21">
        <v>135</v>
      </c>
      <c r="C32" s="1" t="s">
        <v>30</v>
      </c>
    </row>
    <row r="33" spans="1:3">
      <c r="A33" s="1" t="s">
        <v>23</v>
      </c>
      <c r="B33" s="21">
        <v>135</v>
      </c>
      <c r="C33" s="1" t="s">
        <v>31</v>
      </c>
    </row>
    <row r="34" spans="1:3">
      <c r="A34" s="1" t="s">
        <v>23</v>
      </c>
      <c r="B34" s="21">
        <v>135</v>
      </c>
      <c r="C34" s="1" t="s">
        <v>32</v>
      </c>
    </row>
    <row r="35" spans="1:3">
      <c r="A35" s="1" t="s">
        <v>23</v>
      </c>
      <c r="B35" s="21">
        <v>155</v>
      </c>
      <c r="C35" s="1" t="s">
        <v>33</v>
      </c>
    </row>
    <row r="37" spans="1:3">
      <c r="A37" s="1" t="s">
        <v>34</v>
      </c>
      <c r="B37" s="21">
        <v>25</v>
      </c>
      <c r="C37" s="1" t="s">
        <v>35</v>
      </c>
    </row>
    <row r="38" spans="1:3">
      <c r="A38" s="1" t="s">
        <v>34</v>
      </c>
      <c r="B38" s="21">
        <v>68</v>
      </c>
      <c r="C38" s="1" t="s">
        <v>36</v>
      </c>
    </row>
    <row r="39" spans="1:3">
      <c r="A39" s="1" t="s">
        <v>34</v>
      </c>
      <c r="B39" s="21">
        <v>104</v>
      </c>
      <c r="C39" s="1" t="s">
        <v>37</v>
      </c>
    </row>
    <row r="41" spans="1:3">
      <c r="A41" s="1" t="s">
        <v>38</v>
      </c>
      <c r="B41" s="21">
        <v>20</v>
      </c>
      <c r="C41" s="1" t="s">
        <v>39</v>
      </c>
    </row>
    <row r="42" spans="1:3">
      <c r="A42" s="1" t="s">
        <v>38</v>
      </c>
      <c r="B42" s="21">
        <v>21</v>
      </c>
      <c r="C42" s="1" t="s">
        <v>40</v>
      </c>
    </row>
    <row r="43" spans="1:3" s="33" customFormat="1">
      <c r="A43" s="33" t="s">
        <v>38</v>
      </c>
      <c r="B43" s="34">
        <v>23</v>
      </c>
      <c r="C43" s="33" t="s">
        <v>41</v>
      </c>
    </row>
    <row r="44" spans="1:3">
      <c r="A44" s="1" t="s">
        <v>38</v>
      </c>
      <c r="B44" s="21">
        <v>33</v>
      </c>
      <c r="C44" s="1" t="s">
        <v>42</v>
      </c>
    </row>
    <row r="45" spans="1:3">
      <c r="A45" s="1" t="s">
        <v>38</v>
      </c>
      <c r="B45" s="21">
        <v>39</v>
      </c>
      <c r="C45" s="1" t="s">
        <v>43</v>
      </c>
    </row>
    <row r="46" spans="1:3">
      <c r="A46" s="1" t="s">
        <v>38</v>
      </c>
      <c r="B46" s="21">
        <v>44</v>
      </c>
      <c r="C46" s="1" t="s">
        <v>44</v>
      </c>
    </row>
    <row r="47" spans="1:3">
      <c r="A47" s="1" t="s">
        <v>38</v>
      </c>
      <c r="B47" s="21">
        <v>46</v>
      </c>
      <c r="C47" s="1" t="s">
        <v>45</v>
      </c>
    </row>
    <row r="49" spans="1:3">
      <c r="A49" s="1" t="s">
        <v>46</v>
      </c>
      <c r="B49" s="21">
        <v>17</v>
      </c>
      <c r="C49" s="1" t="s">
        <v>47</v>
      </c>
    </row>
    <row r="50" spans="1:3">
      <c r="A50" s="1" t="s">
        <v>46</v>
      </c>
      <c r="B50" s="21">
        <v>19</v>
      </c>
      <c r="C50" s="1" t="s">
        <v>48</v>
      </c>
    </row>
    <row r="51" spans="1:3">
      <c r="A51" s="1" t="s">
        <v>46</v>
      </c>
      <c r="B51" s="21">
        <v>29</v>
      </c>
      <c r="C51" s="1" t="s">
        <v>49</v>
      </c>
    </row>
    <row r="52" spans="1:3" s="33" customFormat="1">
      <c r="A52" s="33" t="s">
        <v>46</v>
      </c>
      <c r="B52" s="34">
        <v>42</v>
      </c>
      <c r="C52" s="33" t="s">
        <v>50</v>
      </c>
    </row>
    <row r="54" spans="1:3">
      <c r="A54" s="1" t="s">
        <v>51</v>
      </c>
      <c r="B54" s="21">
        <v>20</v>
      </c>
      <c r="C54" s="1" t="s">
        <v>52</v>
      </c>
    </row>
    <row r="55" spans="1:3" s="33" customFormat="1">
      <c r="A55" s="33" t="s">
        <v>51</v>
      </c>
      <c r="B55" s="34">
        <v>22</v>
      </c>
      <c r="C55" s="33" t="s">
        <v>53</v>
      </c>
    </row>
    <row r="56" spans="1:3">
      <c r="A56" s="1" t="s">
        <v>51</v>
      </c>
      <c r="B56" s="21">
        <v>31</v>
      </c>
      <c r="C56" s="1" t="s">
        <v>54</v>
      </c>
    </row>
    <row r="57" spans="1:3">
      <c r="A57" s="1" t="s">
        <v>51</v>
      </c>
      <c r="B57" s="21">
        <v>61</v>
      </c>
      <c r="C57" s="1" t="s">
        <v>55</v>
      </c>
    </row>
    <row r="58" spans="1:3">
      <c r="A58" s="1" t="s">
        <v>51</v>
      </c>
      <c r="B58" s="21">
        <v>63</v>
      </c>
      <c r="C58" s="1" t="s">
        <v>56</v>
      </c>
    </row>
    <row r="59" spans="1:3" s="33" customFormat="1">
      <c r="A59" s="33" t="s">
        <v>51</v>
      </c>
      <c r="B59" s="34">
        <v>87</v>
      </c>
      <c r="C59" s="33" t="s">
        <v>57</v>
      </c>
    </row>
    <row r="60" spans="1:3" s="33" customFormat="1">
      <c r="A60" s="33" t="s">
        <v>51</v>
      </c>
      <c r="B60" s="34">
        <v>88</v>
      </c>
      <c r="C60" s="33" t="s">
        <v>58</v>
      </c>
    </row>
    <row r="61" spans="1:3">
      <c r="A61" s="1" t="s">
        <v>51</v>
      </c>
      <c r="B61" s="21">
        <v>108</v>
      </c>
      <c r="C61" s="1" t="s">
        <v>59</v>
      </c>
    </row>
    <row r="62" spans="1:3">
      <c r="A62" s="1" t="s">
        <v>51</v>
      </c>
      <c r="B62" s="21">
        <v>122</v>
      </c>
      <c r="C62" s="1" t="s">
        <v>60</v>
      </c>
    </row>
    <row r="64" spans="1:3">
      <c r="A64" s="1" t="s">
        <v>61</v>
      </c>
      <c r="B64" s="21">
        <v>28</v>
      </c>
      <c r="C64" s="1" t="s">
        <v>62</v>
      </c>
    </row>
    <row r="65" spans="1:3">
      <c r="A65" s="1" t="s">
        <v>61</v>
      </c>
      <c r="B65" s="21">
        <v>41</v>
      </c>
      <c r="C65" s="1" t="s">
        <v>63</v>
      </c>
    </row>
    <row r="66" spans="1:3" s="33" customFormat="1">
      <c r="A66" s="33" t="s">
        <v>61</v>
      </c>
      <c r="B66" s="34">
        <v>66</v>
      </c>
      <c r="C66" s="33" t="s">
        <v>64</v>
      </c>
    </row>
    <row r="67" spans="1:3">
      <c r="A67" s="1" t="s">
        <v>61</v>
      </c>
      <c r="B67" s="21">
        <v>66</v>
      </c>
      <c r="C67" s="1" t="s">
        <v>65</v>
      </c>
    </row>
    <row r="68" spans="1:3">
      <c r="A68" s="1" t="s">
        <v>61</v>
      </c>
      <c r="B68" s="21">
        <v>66</v>
      </c>
      <c r="C68" s="1" t="s">
        <v>66</v>
      </c>
    </row>
    <row r="69" spans="1:3">
      <c r="A69" s="1" t="s">
        <v>61</v>
      </c>
      <c r="B69" s="21">
        <v>69</v>
      </c>
      <c r="C69" s="1" t="s">
        <v>67</v>
      </c>
    </row>
    <row r="70" spans="1:3" s="33" customFormat="1">
      <c r="A70" s="33" t="s">
        <v>61</v>
      </c>
      <c r="B70" s="34">
        <v>103</v>
      </c>
      <c r="C70" s="33" t="s">
        <v>68</v>
      </c>
    </row>
    <row r="71" spans="1:3" s="33" customFormat="1">
      <c r="A71" s="33" t="s">
        <v>61</v>
      </c>
      <c r="B71" s="34">
        <v>105</v>
      </c>
      <c r="C71" s="33" t="s">
        <v>69</v>
      </c>
    </row>
    <row r="72" spans="1:3">
      <c r="A72" s="1" t="s">
        <v>61</v>
      </c>
      <c r="B72" s="21">
        <v>106</v>
      </c>
      <c r="C72" s="1" t="s">
        <v>70</v>
      </c>
    </row>
    <row r="73" spans="1:3">
      <c r="A73" s="1" t="s">
        <v>61</v>
      </c>
      <c r="B73" s="21">
        <v>107</v>
      </c>
      <c r="C73" s="1" t="s">
        <v>71</v>
      </c>
    </row>
    <row r="74" spans="1:3">
      <c r="A74" s="1" t="s">
        <v>61</v>
      </c>
      <c r="B74" s="21">
        <v>109</v>
      </c>
      <c r="C74" s="1" t="s">
        <v>72</v>
      </c>
    </row>
    <row r="75" spans="1:3">
      <c r="A75" s="1" t="s">
        <v>61</v>
      </c>
      <c r="B75" s="21">
        <v>128</v>
      </c>
      <c r="C75" s="1" t="s">
        <v>73</v>
      </c>
    </row>
    <row r="76" spans="1:3">
      <c r="A76" s="1" t="s">
        <v>61</v>
      </c>
      <c r="B76" s="21">
        <v>135</v>
      </c>
      <c r="C76" s="1" t="s">
        <v>74</v>
      </c>
    </row>
    <row r="78" spans="1:3">
      <c r="A78" s="1" t="s">
        <v>75</v>
      </c>
      <c r="B78" s="21">
        <v>6</v>
      </c>
      <c r="C78" s="1" t="s">
        <v>76</v>
      </c>
    </row>
    <row r="79" spans="1:3">
      <c r="A79" s="1" t="s">
        <v>75</v>
      </c>
      <c r="B79" s="21">
        <v>32</v>
      </c>
      <c r="C79" s="1" t="s">
        <v>77</v>
      </c>
    </row>
    <row r="80" spans="1:3">
      <c r="A80" s="1" t="s">
        <v>75</v>
      </c>
      <c r="B80" s="21">
        <v>58</v>
      </c>
      <c r="C80" s="1" t="s">
        <v>78</v>
      </c>
    </row>
    <row r="81" spans="1:3" s="33" customFormat="1">
      <c r="A81" s="33" t="s">
        <v>75</v>
      </c>
      <c r="B81" s="34">
        <v>58</v>
      </c>
      <c r="C81" s="33" t="s">
        <v>79</v>
      </c>
    </row>
    <row r="82" spans="1:3">
      <c r="A82" s="1" t="s">
        <v>75</v>
      </c>
      <c r="B82" s="21">
        <v>74</v>
      </c>
      <c r="C82" s="1" t="s">
        <v>80</v>
      </c>
    </row>
    <row r="84" spans="1:3">
      <c r="A84" s="1" t="s">
        <v>81</v>
      </c>
      <c r="C84" s="1" t="s">
        <v>82</v>
      </c>
    </row>
    <row r="85" spans="1:3" s="33" customFormat="1">
      <c r="A85" s="33" t="s">
        <v>81</v>
      </c>
      <c r="B85" s="34">
        <v>122</v>
      </c>
      <c r="C85" s="33" t="s">
        <v>83</v>
      </c>
    </row>
    <row r="87" spans="1:3" s="33" customFormat="1">
      <c r="A87" s="33" t="s">
        <v>84</v>
      </c>
      <c r="B87" s="34">
        <v>8</v>
      </c>
      <c r="C87" s="33" t="s">
        <v>85</v>
      </c>
    </row>
    <row r="88" spans="1:3">
      <c r="A88" s="1" t="s">
        <v>84</v>
      </c>
      <c r="B88" s="21">
        <v>9</v>
      </c>
      <c r="C88" s="1" t="s">
        <v>86</v>
      </c>
    </row>
    <row r="89" spans="1:3">
      <c r="A89" s="1" t="s">
        <v>84</v>
      </c>
      <c r="B89" s="21">
        <v>24</v>
      </c>
      <c r="C89" s="1" t="s">
        <v>87</v>
      </c>
    </row>
    <row r="90" spans="1:3">
      <c r="A90" s="1" t="s">
        <v>84</v>
      </c>
      <c r="B90" s="21">
        <v>37</v>
      </c>
      <c r="C90" s="1" t="s">
        <v>88</v>
      </c>
    </row>
    <row r="91" spans="1:3" s="33" customFormat="1">
      <c r="A91" s="33" t="s">
        <v>84</v>
      </c>
      <c r="B91" s="34">
        <v>41</v>
      </c>
      <c r="C91" s="33" t="s">
        <v>89</v>
      </c>
    </row>
    <row r="92" spans="1:3" s="33" customFormat="1">
      <c r="A92" s="33" t="s">
        <v>84</v>
      </c>
      <c r="B92" s="34">
        <v>41</v>
      </c>
      <c r="C92" s="33" t="s">
        <v>90</v>
      </c>
    </row>
    <row r="93" spans="1:3">
      <c r="A93" s="1" t="s">
        <v>84</v>
      </c>
      <c r="B93" s="21">
        <v>174</v>
      </c>
      <c r="C93" s="1" t="s">
        <v>91</v>
      </c>
    </row>
    <row r="95" spans="1:3">
      <c r="A95" s="1" t="s">
        <v>92</v>
      </c>
      <c r="B95" s="21">
        <v>10</v>
      </c>
      <c r="C95" s="1" t="s">
        <v>93</v>
      </c>
    </row>
    <row r="96" spans="1:3">
      <c r="A96" s="1" t="s">
        <v>92</v>
      </c>
      <c r="B96" s="21">
        <v>29</v>
      </c>
      <c r="C96" s="1" t="s">
        <v>94</v>
      </c>
    </row>
    <row r="97" spans="1:3">
      <c r="A97" s="1" t="s">
        <v>92</v>
      </c>
      <c r="B97" s="21">
        <v>44</v>
      </c>
      <c r="C97" s="1" t="s">
        <v>95</v>
      </c>
    </row>
    <row r="98" spans="1:3">
      <c r="A98" s="1" t="s">
        <v>92</v>
      </c>
      <c r="B98" s="21">
        <v>48</v>
      </c>
      <c r="C98" s="1" t="s">
        <v>96</v>
      </c>
    </row>
    <row r="99" spans="1:3">
      <c r="A99" s="1" t="s">
        <v>92</v>
      </c>
      <c r="B99" s="21">
        <v>50</v>
      </c>
      <c r="C99" s="1" t="s">
        <v>97</v>
      </c>
    </row>
    <row r="100" spans="1:3" s="33" customFormat="1">
      <c r="A100" s="33" t="s">
        <v>92</v>
      </c>
      <c r="B100" s="34">
        <v>50</v>
      </c>
      <c r="C100" s="33" t="s">
        <v>98</v>
      </c>
    </row>
    <row r="101" spans="1:3">
      <c r="A101" s="1" t="s">
        <v>92</v>
      </c>
      <c r="B101" s="21">
        <v>51</v>
      </c>
      <c r="C101" s="1" t="s">
        <v>99</v>
      </c>
    </row>
    <row r="102" spans="1:3">
      <c r="A102" s="1" t="s">
        <v>92</v>
      </c>
      <c r="B102" s="21">
        <v>101</v>
      </c>
      <c r="C102" s="1" t="s">
        <v>100</v>
      </c>
    </row>
    <row r="103" spans="1:3" s="33" customFormat="1">
      <c r="A103" s="33" t="s">
        <v>92</v>
      </c>
      <c r="B103" s="34">
        <v>102</v>
      </c>
      <c r="C103" s="33" t="s">
        <v>101</v>
      </c>
    </row>
    <row r="104" spans="1:3">
      <c r="A104" s="1" t="s">
        <v>92</v>
      </c>
      <c r="B104" s="21">
        <v>256</v>
      </c>
      <c r="C104" s="1" t="s">
        <v>102</v>
      </c>
    </row>
    <row r="105" spans="1:3">
      <c r="A105" s="1" t="s">
        <v>92</v>
      </c>
      <c r="B105" s="21">
        <v>277</v>
      </c>
      <c r="C105" s="1" t="s">
        <v>103</v>
      </c>
    </row>
    <row r="107" spans="1:3" s="33" customFormat="1">
      <c r="A107" s="33" t="s">
        <v>104</v>
      </c>
      <c r="B107" s="34">
        <v>10</v>
      </c>
      <c r="C107" s="33" t="s">
        <v>105</v>
      </c>
    </row>
    <row r="108" spans="1:3">
      <c r="A108" s="1" t="s">
        <v>104</v>
      </c>
      <c r="B108" s="21">
        <v>10</v>
      </c>
      <c r="C108" s="1" t="s">
        <v>106</v>
      </c>
    </row>
    <row r="109" spans="1:3">
      <c r="A109" s="1" t="s">
        <v>104</v>
      </c>
      <c r="B109" s="21">
        <v>19</v>
      </c>
      <c r="C109" s="1" t="s">
        <v>107</v>
      </c>
    </row>
    <row r="110" spans="1:3" s="33" customFormat="1">
      <c r="A110" s="33" t="s">
        <v>104</v>
      </c>
      <c r="B110" s="34">
        <v>29</v>
      </c>
      <c r="C110" s="33" t="s">
        <v>108</v>
      </c>
    </row>
    <row r="111" spans="1:3" s="33" customFormat="1">
      <c r="A111" s="33" t="s">
        <v>104</v>
      </c>
      <c r="B111" s="34">
        <v>29</v>
      </c>
      <c r="C111" s="33" t="s">
        <v>109</v>
      </c>
    </row>
    <row r="112" spans="1:3">
      <c r="A112" s="33" t="s">
        <v>104</v>
      </c>
      <c r="B112" s="34">
        <v>31</v>
      </c>
      <c r="C112" s="33" t="s">
        <v>110</v>
      </c>
    </row>
    <row r="113" spans="1:3" s="33" customFormat="1">
      <c r="A113" s="33" t="s">
        <v>104</v>
      </c>
      <c r="B113" s="34">
        <v>31</v>
      </c>
      <c r="C113" s="33" t="s">
        <v>111</v>
      </c>
    </row>
    <row r="114" spans="1:3">
      <c r="A114" s="1" t="s">
        <v>104</v>
      </c>
      <c r="B114" s="21">
        <v>32</v>
      </c>
      <c r="C114" s="1" t="s">
        <v>112</v>
      </c>
    </row>
    <row r="115" spans="1:3">
      <c r="A115" s="1" t="s">
        <v>104</v>
      </c>
      <c r="B115" s="21">
        <v>32</v>
      </c>
      <c r="C115" s="1" t="s">
        <v>113</v>
      </c>
    </row>
    <row r="116" spans="1:3">
      <c r="A116" s="1" t="s">
        <v>104</v>
      </c>
      <c r="B116" s="21">
        <v>33</v>
      </c>
      <c r="C116" s="1" t="s">
        <v>114</v>
      </c>
    </row>
    <row r="117" spans="1:3" s="33" customFormat="1">
      <c r="A117" s="33" t="s">
        <v>104</v>
      </c>
      <c r="B117" s="34">
        <v>35</v>
      </c>
      <c r="C117" s="33" t="s">
        <v>115</v>
      </c>
    </row>
    <row r="118" spans="1:3" s="33" customFormat="1">
      <c r="A118" s="33" t="s">
        <v>116</v>
      </c>
      <c r="B118" s="34">
        <v>38</v>
      </c>
      <c r="C118" s="33" t="s">
        <v>117</v>
      </c>
    </row>
    <row r="119" spans="1:3">
      <c r="A119" s="1" t="s">
        <v>104</v>
      </c>
      <c r="B119" s="21">
        <v>43</v>
      </c>
      <c r="C119" s="38" t="s">
        <v>118</v>
      </c>
    </row>
    <row r="120" spans="1:3">
      <c r="A120" s="1" t="s">
        <v>104</v>
      </c>
      <c r="B120" s="21">
        <v>44</v>
      </c>
      <c r="C120" s="1" t="s">
        <v>119</v>
      </c>
    </row>
    <row r="121" spans="1:3">
      <c r="A121" s="1" t="s">
        <v>104</v>
      </c>
      <c r="B121" s="21">
        <v>44</v>
      </c>
      <c r="C121" s="1" t="s">
        <v>120</v>
      </c>
    </row>
    <row r="122" spans="1:3" s="33" customFormat="1">
      <c r="A122" s="33" t="s">
        <v>104</v>
      </c>
      <c r="B122" s="34">
        <v>45</v>
      </c>
      <c r="C122" s="33" t="s">
        <v>121</v>
      </c>
    </row>
    <row r="123" spans="1:3">
      <c r="A123" s="1" t="s">
        <v>104</v>
      </c>
      <c r="B123" s="21">
        <v>46</v>
      </c>
      <c r="C123" s="1" t="s">
        <v>122</v>
      </c>
    </row>
    <row r="124" spans="1:3" s="33" customFormat="1">
      <c r="A124" s="33" t="s">
        <v>104</v>
      </c>
      <c r="B124" s="34">
        <v>46</v>
      </c>
      <c r="C124" s="33" t="s">
        <v>123</v>
      </c>
    </row>
    <row r="125" spans="1:3">
      <c r="A125" s="1" t="s">
        <v>104</v>
      </c>
      <c r="B125" s="21">
        <v>66</v>
      </c>
      <c r="C125" s="1" t="s">
        <v>124</v>
      </c>
    </row>
    <row r="126" spans="1:3">
      <c r="A126" s="1" t="s">
        <v>116</v>
      </c>
      <c r="B126" s="21">
        <v>69</v>
      </c>
      <c r="C126" s="1" t="s">
        <v>125</v>
      </c>
    </row>
    <row r="127" spans="1:3">
      <c r="A127" s="1" t="s">
        <v>104</v>
      </c>
      <c r="B127" s="21">
        <v>225</v>
      </c>
      <c r="C127" s="1" t="s">
        <v>126</v>
      </c>
    </row>
    <row r="128" spans="1:3" s="33" customFormat="1">
      <c r="A128" s="33" t="s">
        <v>116</v>
      </c>
      <c r="B128" s="34">
        <v>415</v>
      </c>
      <c r="C128" s="33" t="s">
        <v>127</v>
      </c>
    </row>
    <row r="129" spans="1:3" s="33" customFormat="1">
      <c r="A129" s="33" t="s">
        <v>116</v>
      </c>
      <c r="B129" s="34">
        <v>415</v>
      </c>
      <c r="C129" s="33" t="s">
        <v>128</v>
      </c>
    </row>
    <row r="130" spans="1:3">
      <c r="A130" s="1" t="s">
        <v>116</v>
      </c>
      <c r="B130" s="21">
        <v>417</v>
      </c>
      <c r="C130" s="1" t="s">
        <v>129</v>
      </c>
    </row>
    <row r="131" spans="1:3">
      <c r="A131" s="1" t="s">
        <v>116</v>
      </c>
      <c r="B131" s="21">
        <v>417</v>
      </c>
      <c r="C131" s="1" t="s">
        <v>130</v>
      </c>
    </row>
    <row r="133" spans="1:3">
      <c r="A133" s="1" t="s">
        <v>131</v>
      </c>
      <c r="B133" s="21">
        <v>11</v>
      </c>
      <c r="C133" s="1" t="s">
        <v>132</v>
      </c>
    </row>
    <row r="134" spans="1:3">
      <c r="A134" s="1" t="s">
        <v>131</v>
      </c>
      <c r="B134" s="21">
        <v>29</v>
      </c>
      <c r="C134" s="1" t="s">
        <v>133</v>
      </c>
    </row>
    <row r="135" spans="1:3">
      <c r="A135" s="1" t="s">
        <v>131</v>
      </c>
      <c r="B135" s="21">
        <v>30</v>
      </c>
      <c r="C135" s="1" t="s">
        <v>134</v>
      </c>
    </row>
    <row r="136" spans="1:3" s="33" customFormat="1">
      <c r="A136" s="33" t="s">
        <v>131</v>
      </c>
      <c r="B136" s="34">
        <v>31</v>
      </c>
      <c r="C136" s="33" t="s">
        <v>135</v>
      </c>
    </row>
    <row r="137" spans="1:3" s="33" customFormat="1">
      <c r="A137" s="33" t="s">
        <v>131</v>
      </c>
      <c r="B137" s="34">
        <v>31</v>
      </c>
      <c r="C137" s="33" t="s">
        <v>136</v>
      </c>
    </row>
    <row r="138" spans="1:3">
      <c r="A138" s="1" t="s">
        <v>131</v>
      </c>
      <c r="B138" s="21">
        <v>32</v>
      </c>
      <c r="C138" s="1" t="s">
        <v>137</v>
      </c>
    </row>
    <row r="139" spans="1:3">
      <c r="A139" s="1" t="s">
        <v>131</v>
      </c>
      <c r="B139" s="21">
        <v>32</v>
      </c>
      <c r="C139" s="1" t="s">
        <v>138</v>
      </c>
    </row>
    <row r="140" spans="1:3">
      <c r="A140" s="1" t="s">
        <v>131</v>
      </c>
      <c r="B140" s="21">
        <v>33</v>
      </c>
      <c r="C140" s="1" t="s">
        <v>139</v>
      </c>
    </row>
    <row r="141" spans="1:3">
      <c r="A141" s="1" t="s">
        <v>131</v>
      </c>
      <c r="B141" s="21">
        <v>34</v>
      </c>
      <c r="C141" s="1" t="s">
        <v>140</v>
      </c>
    </row>
    <row r="142" spans="1:3">
      <c r="A142" s="1" t="s">
        <v>131</v>
      </c>
      <c r="B142" s="21">
        <v>34</v>
      </c>
      <c r="C142" s="1" t="s">
        <v>141</v>
      </c>
    </row>
    <row r="143" spans="1:3">
      <c r="A143" s="1" t="s">
        <v>131</v>
      </c>
      <c r="B143" s="21">
        <v>49</v>
      </c>
      <c r="C143" s="1" t="s">
        <v>142</v>
      </c>
    </row>
    <row r="144" spans="1:3">
      <c r="A144" s="1" t="s">
        <v>131</v>
      </c>
      <c r="B144" s="21">
        <v>50</v>
      </c>
      <c r="C144" s="1" t="s">
        <v>143</v>
      </c>
    </row>
    <row r="145" spans="1:3">
      <c r="A145" s="1" t="s">
        <v>131</v>
      </c>
      <c r="B145" s="21">
        <v>56</v>
      </c>
      <c r="C145" s="1" t="s">
        <v>144</v>
      </c>
    </row>
    <row r="146" spans="1:3">
      <c r="A146" s="1" t="s">
        <v>131</v>
      </c>
      <c r="B146" s="21">
        <v>195</v>
      </c>
      <c r="C146" s="1" t="s">
        <v>145</v>
      </c>
    </row>
    <row r="147" spans="1:3">
      <c r="A147" s="1" t="s">
        <v>131</v>
      </c>
      <c r="B147" s="21">
        <v>197</v>
      </c>
      <c r="C147" s="1" t="s">
        <v>146</v>
      </c>
    </row>
    <row r="148" spans="1:3">
      <c r="A148" s="1" t="s">
        <v>131</v>
      </c>
      <c r="B148" s="21">
        <v>400</v>
      </c>
      <c r="C148" s="1" t="s">
        <v>147</v>
      </c>
    </row>
    <row r="149" spans="1:3">
      <c r="A149" s="1" t="s">
        <v>131</v>
      </c>
      <c r="B149" s="21">
        <v>434</v>
      </c>
      <c r="C149" s="1" t="s">
        <v>148</v>
      </c>
    </row>
  </sheetData>
  <hyperlinks>
    <hyperlink ref="C119" r:id="rId1" display="http://rainmatters-map.org/"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6"/>
  <sheetViews>
    <sheetView workbookViewId="0">
      <selection activeCell="B2" sqref="B2"/>
    </sheetView>
  </sheetViews>
  <sheetFormatPr defaultColWidth="8.85546875" defaultRowHeight="14.45"/>
  <cols>
    <col min="1" max="1" width="10.140625" style="1" bestFit="1" customWidth="1"/>
    <col min="2" max="3" width="8.85546875" style="1"/>
    <col min="4" max="4" width="11.28515625" style="1" bestFit="1" customWidth="1"/>
    <col min="5" max="16384" width="8.85546875" style="1"/>
  </cols>
  <sheetData>
    <row r="1" spans="1:8">
      <c r="A1" s="2" t="s">
        <v>149</v>
      </c>
      <c r="B1" s="2" t="s">
        <v>150</v>
      </c>
      <c r="C1" s="2" t="s">
        <v>151</v>
      </c>
      <c r="D1" s="2" t="s">
        <v>152</v>
      </c>
      <c r="E1" s="2" t="s">
        <v>507</v>
      </c>
      <c r="F1" s="2" t="s">
        <v>414</v>
      </c>
      <c r="G1" s="2" t="s">
        <v>281</v>
      </c>
      <c r="H1" s="4" t="s">
        <v>168</v>
      </c>
    </row>
    <row r="2" spans="1:8">
      <c r="A2" s="1" t="s">
        <v>169</v>
      </c>
      <c r="B2" s="1" t="s">
        <v>170</v>
      </c>
      <c r="C2" s="1">
        <v>1993</v>
      </c>
      <c r="D2" s="1" t="s">
        <v>314</v>
      </c>
      <c r="F2" s="1" t="s">
        <v>508</v>
      </c>
      <c r="G2" s="1" t="s">
        <v>509</v>
      </c>
      <c r="H2" s="1" t="s">
        <v>510</v>
      </c>
    </row>
    <row r="3" spans="1:8">
      <c r="A3" s="1" t="s">
        <v>169</v>
      </c>
      <c r="B3" s="1" t="s">
        <v>170</v>
      </c>
      <c r="C3" s="1">
        <v>1993</v>
      </c>
      <c r="D3" s="1" t="s">
        <v>314</v>
      </c>
      <c r="F3" s="1" t="s">
        <v>511</v>
      </c>
      <c r="G3" s="1" t="s">
        <v>512</v>
      </c>
    </row>
    <row r="4" spans="1:8">
      <c r="A4" s="1" t="s">
        <v>169</v>
      </c>
      <c r="B4" s="1" t="s">
        <v>170</v>
      </c>
      <c r="C4" s="1">
        <v>1993</v>
      </c>
      <c r="D4" s="1" t="s">
        <v>314</v>
      </c>
      <c r="F4" s="1" t="s">
        <v>511</v>
      </c>
      <c r="G4" s="1" t="s">
        <v>513</v>
      </c>
    </row>
    <row r="5" spans="1:8">
      <c r="A5" s="1" t="s">
        <v>169</v>
      </c>
      <c r="B5" s="1" t="s">
        <v>170</v>
      </c>
      <c r="C5" s="1">
        <v>1993</v>
      </c>
      <c r="D5" s="1" t="s">
        <v>314</v>
      </c>
      <c r="F5" s="1" t="s">
        <v>514</v>
      </c>
      <c r="G5" s="1" t="s">
        <v>512</v>
      </c>
    </row>
    <row r="6" spans="1:8">
      <c r="A6" s="1" t="s">
        <v>169</v>
      </c>
      <c r="B6" s="1" t="s">
        <v>170</v>
      </c>
      <c r="C6" s="1">
        <v>1993</v>
      </c>
      <c r="D6" s="1" t="s">
        <v>314</v>
      </c>
      <c r="F6" s="1" t="s">
        <v>515</v>
      </c>
      <c r="G6" s="1" t="s">
        <v>512</v>
      </c>
    </row>
    <row r="7" spans="1:8">
      <c r="A7" s="1" t="s">
        <v>169</v>
      </c>
      <c r="B7" s="1" t="s">
        <v>170</v>
      </c>
      <c r="C7" s="1">
        <v>1993</v>
      </c>
      <c r="D7" s="1" t="s">
        <v>314</v>
      </c>
      <c r="F7" s="1" t="s">
        <v>516</v>
      </c>
      <c r="G7" s="1" t="s">
        <v>512</v>
      </c>
    </row>
    <row r="8" spans="1:8">
      <c r="A8" s="1" t="s">
        <v>169</v>
      </c>
      <c r="B8" s="1" t="s">
        <v>170</v>
      </c>
      <c r="C8" s="1">
        <v>1993</v>
      </c>
      <c r="D8" s="1" t="s">
        <v>314</v>
      </c>
      <c r="F8" s="1" t="s">
        <v>517</v>
      </c>
      <c r="G8" s="1" t="s">
        <v>512</v>
      </c>
    </row>
    <row r="9" spans="1:8">
      <c r="A9" s="1" t="s">
        <v>169</v>
      </c>
      <c r="B9" s="1" t="s">
        <v>170</v>
      </c>
      <c r="C9" s="1">
        <v>1993</v>
      </c>
      <c r="D9" s="1" t="s">
        <v>314</v>
      </c>
      <c r="F9" s="1" t="s">
        <v>518</v>
      </c>
      <c r="G9" s="1" t="s">
        <v>512</v>
      </c>
    </row>
    <row r="10" spans="1:8">
      <c r="A10" s="1" t="s">
        <v>169</v>
      </c>
      <c r="B10" s="1" t="s">
        <v>170</v>
      </c>
      <c r="C10" s="1">
        <v>1993</v>
      </c>
      <c r="D10" s="1" t="s">
        <v>314</v>
      </c>
      <c r="F10" s="1" t="s">
        <v>519</v>
      </c>
      <c r="G10" s="1" t="s">
        <v>512</v>
      </c>
    </row>
    <row r="11" spans="1:8">
      <c r="A11" s="1" t="s">
        <v>169</v>
      </c>
      <c r="B11" s="1" t="s">
        <v>170</v>
      </c>
      <c r="C11" s="1">
        <v>1993</v>
      </c>
      <c r="D11" s="1" t="s">
        <v>314</v>
      </c>
      <c r="F11" s="1" t="s">
        <v>520</v>
      </c>
      <c r="G11" s="1" t="s">
        <v>512</v>
      </c>
    </row>
    <row r="12" spans="1:8">
      <c r="A12" s="1" t="s">
        <v>169</v>
      </c>
      <c r="B12" s="1" t="s">
        <v>170</v>
      </c>
      <c r="C12" s="1">
        <v>1993</v>
      </c>
      <c r="D12" s="1" t="s">
        <v>314</v>
      </c>
      <c r="F12" s="1" t="s">
        <v>521</v>
      </c>
      <c r="G12" s="1" t="s">
        <v>512</v>
      </c>
    </row>
    <row r="13" spans="1:8">
      <c r="A13" s="1" t="s">
        <v>169</v>
      </c>
      <c r="B13" s="1" t="s">
        <v>170</v>
      </c>
      <c r="C13" s="1">
        <v>1993</v>
      </c>
      <c r="D13" s="1" t="s">
        <v>314</v>
      </c>
      <c r="F13" s="1" t="s">
        <v>522</v>
      </c>
      <c r="G13" s="1" t="s">
        <v>512</v>
      </c>
    </row>
    <row r="14" spans="1:8">
      <c r="A14" s="1" t="s">
        <v>169</v>
      </c>
      <c r="B14" s="1" t="s">
        <v>170</v>
      </c>
      <c r="C14" s="1">
        <v>1993</v>
      </c>
      <c r="D14" s="1" t="s">
        <v>314</v>
      </c>
      <c r="F14" s="1" t="s">
        <v>523</v>
      </c>
      <c r="G14" s="1" t="s">
        <v>512</v>
      </c>
    </row>
    <row r="15" spans="1:8">
      <c r="A15" s="1" t="s">
        <v>169</v>
      </c>
      <c r="B15" s="1" t="s">
        <v>170</v>
      </c>
      <c r="C15" s="1">
        <v>1993</v>
      </c>
      <c r="D15" s="1" t="s">
        <v>314</v>
      </c>
      <c r="F15" s="1" t="s">
        <v>524</v>
      </c>
      <c r="G15" s="1" t="s">
        <v>512</v>
      </c>
    </row>
    <row r="16" spans="1:8">
      <c r="A16" s="1" t="s">
        <v>169</v>
      </c>
      <c r="B16" s="1" t="s">
        <v>170</v>
      </c>
      <c r="C16" s="1">
        <v>1993</v>
      </c>
      <c r="D16" s="1" t="s">
        <v>314</v>
      </c>
      <c r="F16" s="1" t="s">
        <v>525</v>
      </c>
      <c r="G16" s="1" t="s">
        <v>512</v>
      </c>
    </row>
    <row r="17" spans="1:7">
      <c r="A17" s="1" t="s">
        <v>169</v>
      </c>
      <c r="B17" s="1" t="s">
        <v>170</v>
      </c>
      <c r="C17" s="1">
        <v>1993</v>
      </c>
      <c r="D17" s="1" t="s">
        <v>314</v>
      </c>
      <c r="F17" s="1" t="s">
        <v>526</v>
      </c>
      <c r="G17" s="1" t="s">
        <v>513</v>
      </c>
    </row>
    <row r="18" spans="1:7">
      <c r="A18" s="1" t="s">
        <v>169</v>
      </c>
      <c r="B18" s="1" t="s">
        <v>170</v>
      </c>
      <c r="C18" s="1">
        <v>1993</v>
      </c>
      <c r="D18" s="1" t="s">
        <v>314</v>
      </c>
      <c r="F18" s="1" t="s">
        <v>527</v>
      </c>
      <c r="G18" s="1" t="s">
        <v>513</v>
      </c>
    </row>
    <row r="19" spans="1:7">
      <c r="A19" s="1" t="s">
        <v>169</v>
      </c>
      <c r="B19" s="1" t="s">
        <v>170</v>
      </c>
      <c r="C19" s="1">
        <v>1993</v>
      </c>
      <c r="D19" s="1" t="s">
        <v>314</v>
      </c>
      <c r="F19" s="1" t="s">
        <v>528</v>
      </c>
      <c r="G19" s="1" t="s">
        <v>512</v>
      </c>
    </row>
    <row r="20" spans="1:7">
      <c r="A20" s="1" t="s">
        <v>169</v>
      </c>
      <c r="B20" s="1" t="s">
        <v>170</v>
      </c>
      <c r="C20" s="1">
        <v>1993</v>
      </c>
      <c r="D20" s="1" t="s">
        <v>314</v>
      </c>
      <c r="F20" s="1" t="s">
        <v>529</v>
      </c>
      <c r="G20" s="1" t="s">
        <v>513</v>
      </c>
    </row>
    <row r="21" spans="1:7">
      <c r="A21" s="1" t="s">
        <v>169</v>
      </c>
      <c r="B21" s="1" t="s">
        <v>170</v>
      </c>
      <c r="C21" s="1">
        <v>1993</v>
      </c>
      <c r="D21" s="1" t="s">
        <v>314</v>
      </c>
      <c r="F21" s="1" t="s">
        <v>530</v>
      </c>
      <c r="G21" s="1" t="s">
        <v>513</v>
      </c>
    </row>
    <row r="22" spans="1:7">
      <c r="A22" s="1" t="s">
        <v>169</v>
      </c>
      <c r="B22" s="1" t="s">
        <v>170</v>
      </c>
      <c r="C22" s="1">
        <v>1993</v>
      </c>
      <c r="D22" s="1" t="s">
        <v>314</v>
      </c>
      <c r="F22" s="1" t="s">
        <v>531</v>
      </c>
      <c r="G22" s="1" t="s">
        <v>512</v>
      </c>
    </row>
    <row r="23" spans="1:7">
      <c r="A23" s="1" t="s">
        <v>169</v>
      </c>
      <c r="B23" s="1" t="s">
        <v>170</v>
      </c>
      <c r="C23" s="1">
        <v>1993</v>
      </c>
      <c r="D23" s="1" t="s">
        <v>314</v>
      </c>
      <c r="F23" s="1" t="s">
        <v>532</v>
      </c>
      <c r="G23" s="1" t="s">
        <v>512</v>
      </c>
    </row>
    <row r="24" spans="1:7">
      <c r="A24" s="1" t="s">
        <v>169</v>
      </c>
      <c r="B24" s="1" t="s">
        <v>170</v>
      </c>
      <c r="C24" s="1">
        <v>1993</v>
      </c>
      <c r="D24" s="1" t="s">
        <v>314</v>
      </c>
      <c r="F24" s="1" t="s">
        <v>533</v>
      </c>
      <c r="G24" s="1" t="s">
        <v>512</v>
      </c>
    </row>
    <row r="25" spans="1:7">
      <c r="A25" s="1" t="s">
        <v>169</v>
      </c>
      <c r="B25" s="1" t="s">
        <v>170</v>
      </c>
      <c r="C25" s="1">
        <v>1993</v>
      </c>
      <c r="D25" s="1" t="s">
        <v>314</v>
      </c>
      <c r="F25" s="1" t="s">
        <v>534</v>
      </c>
      <c r="G25" s="1" t="s">
        <v>512</v>
      </c>
    </row>
    <row r="26" spans="1:7">
      <c r="A26" s="1" t="s">
        <v>169</v>
      </c>
      <c r="B26" s="1" t="s">
        <v>170</v>
      </c>
      <c r="C26" s="1">
        <v>1993</v>
      </c>
      <c r="D26" s="1" t="s">
        <v>314</v>
      </c>
      <c r="F26" s="1" t="s">
        <v>535</v>
      </c>
      <c r="G26" s="1" t="s">
        <v>512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38"/>
  <sheetViews>
    <sheetView topLeftCell="G1" workbookViewId="0">
      <selection activeCell="U38" sqref="U38"/>
    </sheetView>
  </sheetViews>
  <sheetFormatPr defaultColWidth="8.85546875" defaultRowHeight="14.45"/>
  <cols>
    <col min="1" max="1" width="10.140625" style="1" bestFit="1" customWidth="1"/>
    <col min="2" max="2" width="8.85546875" style="1"/>
    <col min="3" max="3" width="11.28515625" style="1" bestFit="1" customWidth="1"/>
    <col min="4" max="4" width="17.5703125" style="1" customWidth="1"/>
    <col min="5" max="5" width="15.85546875" style="1" bestFit="1" customWidth="1"/>
    <col min="6" max="6" width="20" style="1" bestFit="1" customWidth="1"/>
    <col min="7" max="16384" width="8.85546875" style="1"/>
  </cols>
  <sheetData>
    <row r="1" spans="1:11">
      <c r="A1" s="2" t="s">
        <v>149</v>
      </c>
      <c r="B1" s="2" t="s">
        <v>151</v>
      </c>
      <c r="C1" s="2" t="s">
        <v>152</v>
      </c>
      <c r="D1" s="2" t="s">
        <v>536</v>
      </c>
      <c r="E1" s="2" t="s">
        <v>537</v>
      </c>
      <c r="F1" s="2" t="s">
        <v>538</v>
      </c>
      <c r="G1" s="2" t="s">
        <v>281</v>
      </c>
      <c r="H1" s="2" t="s">
        <v>539</v>
      </c>
      <c r="I1" s="2" t="s">
        <v>540</v>
      </c>
      <c r="J1" s="2" t="s">
        <v>541</v>
      </c>
      <c r="K1" s="2" t="s">
        <v>168</v>
      </c>
    </row>
    <row r="2" spans="1:11">
      <c r="A2" s="1" t="s">
        <v>169</v>
      </c>
      <c r="B2" s="1">
        <v>1991</v>
      </c>
      <c r="C2" s="1" t="s">
        <v>322</v>
      </c>
      <c r="D2" s="1" t="s">
        <v>542</v>
      </c>
      <c r="E2" s="1">
        <v>4</v>
      </c>
      <c r="F2" s="1">
        <v>12</v>
      </c>
      <c r="G2" s="1" t="s">
        <v>543</v>
      </c>
      <c r="H2" s="1" t="s">
        <v>544</v>
      </c>
      <c r="I2" s="1">
        <v>1986</v>
      </c>
      <c r="J2" s="1">
        <v>1996</v>
      </c>
      <c r="K2" s="1" t="s">
        <v>545</v>
      </c>
    </row>
    <row r="3" spans="1:11">
      <c r="A3" s="1" t="s">
        <v>169</v>
      </c>
      <c r="B3" s="1">
        <v>1991</v>
      </c>
      <c r="C3" s="1" t="s">
        <v>314</v>
      </c>
      <c r="D3" s="1" t="s">
        <v>546</v>
      </c>
      <c r="G3" s="1" t="s">
        <v>543</v>
      </c>
      <c r="H3" s="1" t="s">
        <v>547</v>
      </c>
      <c r="I3" s="1">
        <v>1955</v>
      </c>
      <c r="K3" s="1" t="s">
        <v>548</v>
      </c>
    </row>
    <row r="4" spans="1:11">
      <c r="A4" s="1" t="s">
        <v>169</v>
      </c>
      <c r="B4" s="1">
        <v>1993</v>
      </c>
      <c r="C4" s="1" t="s">
        <v>322</v>
      </c>
      <c r="D4" s="1" t="s">
        <v>542</v>
      </c>
      <c r="E4" s="1">
        <v>4</v>
      </c>
      <c r="F4" s="1">
        <v>12</v>
      </c>
      <c r="G4" s="1" t="s">
        <v>543</v>
      </c>
      <c r="H4" s="1" t="s">
        <v>544</v>
      </c>
      <c r="I4" s="1">
        <v>1986</v>
      </c>
      <c r="J4" s="1">
        <v>1996</v>
      </c>
      <c r="K4" s="1" t="s">
        <v>549</v>
      </c>
    </row>
    <row r="5" spans="1:11">
      <c r="A5" s="1" t="s">
        <v>169</v>
      </c>
      <c r="B5" s="1">
        <v>1993</v>
      </c>
      <c r="C5" s="1" t="s">
        <v>322</v>
      </c>
      <c r="D5" s="1" t="s">
        <v>550</v>
      </c>
      <c r="G5" s="1" t="s">
        <v>551</v>
      </c>
      <c r="H5" s="1" t="s">
        <v>544</v>
      </c>
      <c r="I5" s="1">
        <v>1993</v>
      </c>
      <c r="K5" s="1" t="s">
        <v>552</v>
      </c>
    </row>
    <row r="6" spans="1:11">
      <c r="A6" s="1" t="s">
        <v>169</v>
      </c>
      <c r="B6" s="1">
        <v>1993</v>
      </c>
      <c r="C6" s="1" t="s">
        <v>322</v>
      </c>
      <c r="D6" s="1" t="s">
        <v>553</v>
      </c>
      <c r="G6" s="1" t="s">
        <v>543</v>
      </c>
      <c r="H6" s="1" t="s">
        <v>544</v>
      </c>
    </row>
    <row r="7" spans="1:11">
      <c r="A7" s="1" t="s">
        <v>169</v>
      </c>
      <c r="B7" s="1">
        <v>1993</v>
      </c>
      <c r="C7" s="1" t="s">
        <v>322</v>
      </c>
      <c r="D7" s="1" t="s">
        <v>554</v>
      </c>
      <c r="G7" s="1" t="s">
        <v>543</v>
      </c>
      <c r="H7" s="1" t="s">
        <v>544</v>
      </c>
    </row>
    <row r="8" spans="1:11">
      <c r="A8" s="1" t="s">
        <v>169</v>
      </c>
      <c r="B8" s="1">
        <v>1993</v>
      </c>
      <c r="C8" s="1" t="s">
        <v>322</v>
      </c>
      <c r="D8" s="1" t="s">
        <v>555</v>
      </c>
      <c r="G8" s="1" t="s">
        <v>551</v>
      </c>
      <c r="H8" s="1" t="s">
        <v>544</v>
      </c>
    </row>
    <row r="9" spans="1:11">
      <c r="A9" s="1" t="s">
        <v>169</v>
      </c>
      <c r="B9" s="1">
        <v>1993</v>
      </c>
      <c r="C9" s="1" t="s">
        <v>322</v>
      </c>
      <c r="D9" s="1" t="s">
        <v>556</v>
      </c>
      <c r="G9" s="1" t="s">
        <v>551</v>
      </c>
      <c r="H9" s="1" t="s">
        <v>544</v>
      </c>
    </row>
    <row r="10" spans="1:11">
      <c r="A10" s="1" t="s">
        <v>169</v>
      </c>
      <c r="B10" s="1">
        <v>1993</v>
      </c>
      <c r="C10" s="1" t="s">
        <v>322</v>
      </c>
      <c r="D10" s="1" t="s">
        <v>557</v>
      </c>
      <c r="G10" s="1" t="s">
        <v>551</v>
      </c>
      <c r="H10" s="1" t="s">
        <v>544</v>
      </c>
    </row>
    <row r="11" spans="1:11">
      <c r="A11" s="1" t="s">
        <v>169</v>
      </c>
      <c r="B11" s="1">
        <v>1993</v>
      </c>
      <c r="C11" s="1" t="s">
        <v>322</v>
      </c>
      <c r="D11" s="1" t="s">
        <v>558</v>
      </c>
      <c r="G11" s="1" t="s">
        <v>551</v>
      </c>
      <c r="H11" s="1" t="s">
        <v>544</v>
      </c>
    </row>
    <row r="12" spans="1:11">
      <c r="A12" s="1" t="s">
        <v>169</v>
      </c>
      <c r="B12" s="1">
        <v>1993</v>
      </c>
      <c r="C12" s="1" t="s">
        <v>322</v>
      </c>
      <c r="D12" s="1" t="s">
        <v>559</v>
      </c>
      <c r="G12" s="1" t="s">
        <v>543</v>
      </c>
      <c r="H12" s="1" t="s">
        <v>544</v>
      </c>
    </row>
    <row r="13" spans="1:11">
      <c r="A13" s="1" t="s">
        <v>169</v>
      </c>
      <c r="B13" s="1">
        <v>1993</v>
      </c>
      <c r="C13" s="1" t="s">
        <v>314</v>
      </c>
      <c r="D13" s="1" t="s">
        <v>546</v>
      </c>
      <c r="G13" s="1" t="s">
        <v>543</v>
      </c>
      <c r="H13" s="1" t="s">
        <v>547</v>
      </c>
      <c r="I13" s="1">
        <v>1955</v>
      </c>
      <c r="K13" s="1" t="s">
        <v>560</v>
      </c>
    </row>
    <row r="14" spans="1:11">
      <c r="A14" s="1" t="s">
        <v>169</v>
      </c>
      <c r="B14" s="1">
        <v>1995</v>
      </c>
      <c r="C14" s="1" t="s">
        <v>322</v>
      </c>
      <c r="D14" s="1" t="s">
        <v>542</v>
      </c>
      <c r="E14" s="1">
        <v>4</v>
      </c>
      <c r="F14" s="1">
        <v>12</v>
      </c>
      <c r="G14" s="1" t="s">
        <v>543</v>
      </c>
      <c r="H14" s="1" t="s">
        <v>544</v>
      </c>
      <c r="I14" s="1">
        <v>1986</v>
      </c>
      <c r="J14" s="1">
        <v>1996</v>
      </c>
      <c r="K14" s="1" t="s">
        <v>561</v>
      </c>
    </row>
    <row r="15" spans="1:11">
      <c r="A15" s="1" t="s">
        <v>169</v>
      </c>
      <c r="B15" s="1">
        <v>2002</v>
      </c>
      <c r="C15" s="1" t="s">
        <v>322</v>
      </c>
      <c r="K15" s="1" t="s">
        <v>562</v>
      </c>
    </row>
    <row r="16" spans="1:11">
      <c r="A16" s="1" t="s">
        <v>169</v>
      </c>
      <c r="B16" s="1">
        <v>2002</v>
      </c>
      <c r="C16" s="1" t="s">
        <v>314</v>
      </c>
      <c r="D16" s="1" t="s">
        <v>546</v>
      </c>
      <c r="G16" s="1" t="s">
        <v>543</v>
      </c>
      <c r="H16" s="1" t="s">
        <v>547</v>
      </c>
      <c r="I16" s="1">
        <v>1955</v>
      </c>
      <c r="K16" s="1" t="s">
        <v>548</v>
      </c>
    </row>
    <row r="17" spans="1:11">
      <c r="A17" s="1" t="s">
        <v>169</v>
      </c>
      <c r="B17" s="1">
        <v>2003</v>
      </c>
      <c r="C17" s="1" t="s">
        <v>322</v>
      </c>
      <c r="K17" s="1" t="s">
        <v>562</v>
      </c>
    </row>
    <row r="18" spans="1:11">
      <c r="A18" s="1" t="s">
        <v>169</v>
      </c>
      <c r="B18" s="1">
        <v>2003</v>
      </c>
      <c r="C18" s="1" t="s">
        <v>314</v>
      </c>
      <c r="D18" s="1" t="s">
        <v>546</v>
      </c>
      <c r="G18" s="1" t="s">
        <v>543</v>
      </c>
      <c r="H18" s="1" t="s">
        <v>547</v>
      </c>
      <c r="I18" s="1">
        <v>1955</v>
      </c>
      <c r="K18" s="1" t="s">
        <v>548</v>
      </c>
    </row>
    <row r="19" spans="1:11">
      <c r="A19" s="1" t="s">
        <v>169</v>
      </c>
      <c r="B19" s="1">
        <v>2013</v>
      </c>
      <c r="C19" s="1" t="s">
        <v>322</v>
      </c>
      <c r="D19" s="1" t="s">
        <v>558</v>
      </c>
      <c r="E19" s="1">
        <f>ROUND(783.066/365,2)</f>
        <v>2.15</v>
      </c>
      <c r="G19" s="1" t="s">
        <v>543</v>
      </c>
      <c r="H19" s="1" t="s">
        <v>544</v>
      </c>
      <c r="K19" s="1" t="s">
        <v>563</v>
      </c>
    </row>
    <row r="20" spans="1:11">
      <c r="A20" s="1" t="s">
        <v>169</v>
      </c>
      <c r="B20" s="1">
        <v>2013</v>
      </c>
      <c r="C20" s="1" t="s">
        <v>322</v>
      </c>
      <c r="D20" s="1" t="s">
        <v>554</v>
      </c>
      <c r="E20" s="1">
        <f>ROUND((116.594+21.512)/365,2)</f>
        <v>0.38</v>
      </c>
      <c r="G20" s="1" t="s">
        <v>543</v>
      </c>
      <c r="H20" s="1" t="s">
        <v>544</v>
      </c>
    </row>
    <row r="21" spans="1:11">
      <c r="A21" s="1" t="s">
        <v>169</v>
      </c>
      <c r="B21" s="1">
        <v>2013</v>
      </c>
      <c r="C21" s="1" t="s">
        <v>322</v>
      </c>
      <c r="D21" s="1" t="s">
        <v>564</v>
      </c>
      <c r="E21" s="1">
        <f>ROUND(27.6/365,2)</f>
        <v>0.08</v>
      </c>
      <c r="G21" s="1" t="s">
        <v>543</v>
      </c>
      <c r="H21" s="1" t="s">
        <v>544</v>
      </c>
    </row>
    <row r="22" spans="1:11">
      <c r="A22" s="1" t="s">
        <v>169</v>
      </c>
      <c r="B22" s="1">
        <v>2013</v>
      </c>
      <c r="C22" s="1" t="s">
        <v>322</v>
      </c>
      <c r="D22" s="1" t="s">
        <v>542</v>
      </c>
      <c r="E22" s="1">
        <f>ROUND(10.76/365,2)</f>
        <v>0.03</v>
      </c>
      <c r="H22" s="1" t="s">
        <v>544</v>
      </c>
    </row>
    <row r="23" spans="1:11">
      <c r="A23" s="1" t="s">
        <v>169</v>
      </c>
      <c r="B23" s="1">
        <v>2013</v>
      </c>
      <c r="C23" s="1" t="s">
        <v>322</v>
      </c>
      <c r="D23" s="1" t="s">
        <v>553</v>
      </c>
      <c r="E23" s="1">
        <f>ROUND(14.63/365,2)</f>
        <v>0.04</v>
      </c>
      <c r="H23" s="1" t="s">
        <v>544</v>
      </c>
    </row>
    <row r="24" spans="1:11">
      <c r="A24" s="1" t="s">
        <v>169</v>
      </c>
      <c r="B24" s="1">
        <v>2013</v>
      </c>
      <c r="C24" s="1" t="s">
        <v>322</v>
      </c>
      <c r="D24" s="1" t="s">
        <v>565</v>
      </c>
      <c r="E24" s="1">
        <f>ROUND(66.589/365,2)</f>
        <v>0.18</v>
      </c>
      <c r="H24" s="1" t="s">
        <v>544</v>
      </c>
    </row>
    <row r="25" spans="1:11">
      <c r="A25" s="1" t="s">
        <v>169</v>
      </c>
      <c r="B25" s="1">
        <v>2013</v>
      </c>
      <c r="C25" s="1" t="s">
        <v>322</v>
      </c>
      <c r="D25" s="1" t="s">
        <v>566</v>
      </c>
      <c r="E25" s="1">
        <f>ROUND(7.6/365,2)</f>
        <v>0.02</v>
      </c>
      <c r="H25" s="1" t="s">
        <v>544</v>
      </c>
    </row>
    <row r="26" spans="1:11">
      <c r="A26" s="1" t="s">
        <v>169</v>
      </c>
      <c r="B26" s="1">
        <v>2017</v>
      </c>
      <c r="C26" s="1" t="s">
        <v>314</v>
      </c>
      <c r="D26" s="1" t="s">
        <v>546</v>
      </c>
      <c r="G26" s="1" t="s">
        <v>543</v>
      </c>
      <c r="H26" s="1" t="s">
        <v>547</v>
      </c>
      <c r="I26" s="1">
        <v>1955</v>
      </c>
    </row>
    <row r="27" spans="1:11">
      <c r="A27" s="1" t="s">
        <v>169</v>
      </c>
      <c r="B27" s="1">
        <v>2017</v>
      </c>
      <c r="C27" s="1" t="s">
        <v>322</v>
      </c>
      <c r="D27" s="1" t="s">
        <v>558</v>
      </c>
      <c r="E27" s="1">
        <f>ROUND(709/365,2)</f>
        <v>1.94</v>
      </c>
      <c r="G27" s="1" t="s">
        <v>543</v>
      </c>
      <c r="H27" s="1" t="s">
        <v>544</v>
      </c>
    </row>
    <row r="28" spans="1:11">
      <c r="A28" s="1" t="s">
        <v>169</v>
      </c>
      <c r="B28" s="1">
        <v>2017</v>
      </c>
      <c r="C28" s="1" t="s">
        <v>322</v>
      </c>
      <c r="D28" s="1" t="s">
        <v>554</v>
      </c>
      <c r="E28" s="1">
        <f>ROUND(135/365,2)</f>
        <v>0.37</v>
      </c>
      <c r="G28" s="1" t="s">
        <v>543</v>
      </c>
      <c r="H28" s="1" t="s">
        <v>544</v>
      </c>
    </row>
    <row r="29" spans="1:11">
      <c r="A29" s="1" t="s">
        <v>169</v>
      </c>
      <c r="B29" s="1">
        <v>2017</v>
      </c>
      <c r="C29" s="1" t="s">
        <v>322</v>
      </c>
      <c r="D29" s="1" t="s">
        <v>564</v>
      </c>
      <c r="G29" s="1" t="s">
        <v>543</v>
      </c>
      <c r="H29" s="1" t="s">
        <v>544</v>
      </c>
    </row>
    <row r="30" spans="1:11">
      <c r="A30" s="1" t="s">
        <v>169</v>
      </c>
      <c r="B30" s="1">
        <v>2017</v>
      </c>
      <c r="C30" s="1" t="s">
        <v>322</v>
      </c>
      <c r="D30" s="1" t="s">
        <v>542</v>
      </c>
      <c r="G30" s="1" t="s">
        <v>543</v>
      </c>
      <c r="H30" s="1" t="s">
        <v>544</v>
      </c>
    </row>
    <row r="31" spans="1:11">
      <c r="A31" s="1" t="s">
        <v>169</v>
      </c>
      <c r="B31" s="1">
        <v>2017</v>
      </c>
      <c r="C31" s="1" t="s">
        <v>322</v>
      </c>
      <c r="D31" s="1" t="s">
        <v>553</v>
      </c>
      <c r="H31" s="1" t="s">
        <v>544</v>
      </c>
    </row>
    <row r="32" spans="1:11">
      <c r="A32" s="1" t="s">
        <v>169</v>
      </c>
      <c r="B32" s="1">
        <v>2017</v>
      </c>
      <c r="C32" s="1" t="s">
        <v>322</v>
      </c>
      <c r="D32" s="1" t="s">
        <v>565</v>
      </c>
      <c r="H32" s="1" t="s">
        <v>544</v>
      </c>
    </row>
    <row r="33" spans="1:8">
      <c r="A33" s="1" t="s">
        <v>169</v>
      </c>
      <c r="B33" s="1">
        <v>2017</v>
      </c>
      <c r="C33" s="1" t="s">
        <v>322</v>
      </c>
      <c r="D33" s="1" t="s">
        <v>566</v>
      </c>
      <c r="H33" s="1" t="s">
        <v>544</v>
      </c>
    </row>
    <row r="34" spans="1:8">
      <c r="A34" s="1" t="s">
        <v>169</v>
      </c>
      <c r="B34" s="1">
        <v>2017</v>
      </c>
      <c r="C34" s="1" t="s">
        <v>322</v>
      </c>
      <c r="D34" s="1" t="s">
        <v>559</v>
      </c>
    </row>
    <row r="38" spans="1:8">
      <c r="F38" s="38" t="s">
        <v>567</v>
      </c>
    </row>
  </sheetData>
  <hyperlinks>
    <hyperlink ref="F38"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49"/>
  <sheetViews>
    <sheetView topLeftCell="A29" workbookViewId="0">
      <selection activeCell="C50" sqref="C50"/>
    </sheetView>
  </sheetViews>
  <sheetFormatPr defaultColWidth="8.85546875" defaultRowHeight="14.45"/>
  <cols>
    <col min="1" max="1" width="10.140625" style="1" bestFit="1" customWidth="1"/>
    <col min="2" max="6" width="8.85546875" style="1"/>
    <col min="7" max="7" width="10.28515625" style="1" bestFit="1" customWidth="1"/>
    <col min="8" max="16384" width="8.85546875" style="1"/>
  </cols>
  <sheetData>
    <row r="1" spans="1:13">
      <c r="A1" s="2" t="s">
        <v>149</v>
      </c>
      <c r="B1" s="2" t="s">
        <v>150</v>
      </c>
      <c r="C1" s="2" t="s">
        <v>151</v>
      </c>
      <c r="D1" s="4" t="s">
        <v>568</v>
      </c>
      <c r="E1" s="4" t="s">
        <v>569</v>
      </c>
      <c r="F1" s="4" t="s">
        <v>570</v>
      </c>
      <c r="G1" s="4" t="s">
        <v>571</v>
      </c>
      <c r="H1" s="4" t="s">
        <v>572</v>
      </c>
      <c r="I1" s="4" t="s">
        <v>573</v>
      </c>
      <c r="J1" s="4" t="s">
        <v>574</v>
      </c>
      <c r="K1" s="4" t="s">
        <v>575</v>
      </c>
      <c r="L1" s="4" t="s">
        <v>576</v>
      </c>
      <c r="M1" s="4" t="s">
        <v>168</v>
      </c>
    </row>
    <row r="2" spans="1:13">
      <c r="A2" s="1" t="s">
        <v>169</v>
      </c>
      <c r="B2" s="1" t="s">
        <v>170</v>
      </c>
      <c r="C2" s="1">
        <v>1991</v>
      </c>
      <c r="D2" s="1" t="s">
        <v>577</v>
      </c>
      <c r="E2" s="1" t="s">
        <v>578</v>
      </c>
      <c r="F2" s="1" t="s">
        <v>579</v>
      </c>
      <c r="G2" s="1">
        <v>1943</v>
      </c>
      <c r="H2" s="26"/>
      <c r="I2" s="26">
        <v>115</v>
      </c>
      <c r="J2" s="26"/>
      <c r="K2" s="30" t="s">
        <v>580</v>
      </c>
      <c r="L2" s="26"/>
      <c r="M2" s="26"/>
    </row>
    <row r="3" spans="1:13">
      <c r="A3" s="1" t="s">
        <v>169</v>
      </c>
      <c r="B3" s="1" t="s">
        <v>170</v>
      </c>
      <c r="C3" s="1">
        <v>1991</v>
      </c>
      <c r="D3" s="1" t="s">
        <v>577</v>
      </c>
      <c r="E3" s="1" t="s">
        <v>578</v>
      </c>
      <c r="F3" s="1" t="s">
        <v>579</v>
      </c>
      <c r="G3" s="1">
        <v>1989</v>
      </c>
      <c r="I3" s="1">
        <v>100</v>
      </c>
      <c r="K3" s="1" t="s">
        <v>581</v>
      </c>
    </row>
    <row r="4" spans="1:13">
      <c r="A4" s="1" t="s">
        <v>169</v>
      </c>
      <c r="B4" s="1" t="s">
        <v>170</v>
      </c>
      <c r="C4" s="1">
        <v>1991</v>
      </c>
      <c r="D4" s="1" t="s">
        <v>577</v>
      </c>
      <c r="E4" s="1" t="s">
        <v>582</v>
      </c>
      <c r="F4" s="1" t="s">
        <v>582</v>
      </c>
      <c r="G4" s="1">
        <v>1969</v>
      </c>
      <c r="I4" s="1">
        <v>117</v>
      </c>
      <c r="M4" s="1" t="s">
        <v>583</v>
      </c>
    </row>
    <row r="5" spans="1:13">
      <c r="A5" s="1" t="s">
        <v>169</v>
      </c>
      <c r="B5" s="1" t="s">
        <v>170</v>
      </c>
      <c r="C5" s="1">
        <v>1993</v>
      </c>
      <c r="D5" s="1" t="s">
        <v>577</v>
      </c>
      <c r="E5" s="1" t="s">
        <v>578</v>
      </c>
      <c r="F5" s="1" t="s">
        <v>579</v>
      </c>
      <c r="G5" s="1">
        <v>1989</v>
      </c>
      <c r="I5" s="1">
        <v>100</v>
      </c>
      <c r="K5" s="1" t="s">
        <v>584</v>
      </c>
    </row>
    <row r="6" spans="1:13">
      <c r="A6" s="1" t="s">
        <v>169</v>
      </c>
      <c r="B6" s="1" t="s">
        <v>170</v>
      </c>
      <c r="C6" s="1">
        <v>1993</v>
      </c>
      <c r="D6" s="1" t="s">
        <v>577</v>
      </c>
      <c r="E6" s="1" t="s">
        <v>582</v>
      </c>
      <c r="F6" s="1" t="s">
        <v>582</v>
      </c>
      <c r="G6" s="1">
        <v>1969</v>
      </c>
      <c r="I6" s="1">
        <v>117</v>
      </c>
      <c r="M6" s="1" t="s">
        <v>585</v>
      </c>
    </row>
    <row r="7" spans="1:13">
      <c r="A7" s="1" t="s">
        <v>169</v>
      </c>
      <c r="B7" s="1" t="s">
        <v>170</v>
      </c>
      <c r="C7" s="1">
        <v>1993</v>
      </c>
      <c r="D7" s="1" t="s">
        <v>577</v>
      </c>
      <c r="E7" s="1" t="s">
        <v>586</v>
      </c>
      <c r="F7" s="1" t="s">
        <v>587</v>
      </c>
      <c r="I7" s="1">
        <v>130</v>
      </c>
    </row>
    <row r="8" spans="1:13">
      <c r="A8" s="1" t="s">
        <v>169</v>
      </c>
      <c r="B8" s="1" t="s">
        <v>170</v>
      </c>
      <c r="C8" s="1">
        <v>1993</v>
      </c>
      <c r="D8" s="1" t="s">
        <v>577</v>
      </c>
      <c r="E8" s="1" t="s">
        <v>588</v>
      </c>
      <c r="F8" s="1" t="s">
        <v>587</v>
      </c>
      <c r="I8" s="1">
        <v>125</v>
      </c>
    </row>
    <row r="9" spans="1:13">
      <c r="A9" s="1" t="s">
        <v>169</v>
      </c>
      <c r="B9" s="1" t="s">
        <v>170</v>
      </c>
      <c r="C9" s="1">
        <v>1993</v>
      </c>
      <c r="D9" s="1" t="s">
        <v>577</v>
      </c>
      <c r="E9" s="1" t="s">
        <v>589</v>
      </c>
      <c r="F9" s="1" t="s">
        <v>587</v>
      </c>
      <c r="I9" s="1">
        <v>154</v>
      </c>
    </row>
    <row r="10" spans="1:13">
      <c r="A10" s="1" t="s">
        <v>169</v>
      </c>
      <c r="B10" s="1" t="s">
        <v>170</v>
      </c>
      <c r="C10" s="1">
        <v>1993</v>
      </c>
      <c r="D10" s="1" t="s">
        <v>577</v>
      </c>
      <c r="E10" s="1" t="s">
        <v>590</v>
      </c>
      <c r="F10" s="1" t="s">
        <v>587</v>
      </c>
      <c r="I10" s="1">
        <v>11.5</v>
      </c>
    </row>
    <row r="11" spans="1:13">
      <c r="A11" s="1" t="s">
        <v>169</v>
      </c>
      <c r="B11" s="1" t="s">
        <v>170</v>
      </c>
      <c r="C11" s="1">
        <v>1995</v>
      </c>
      <c r="D11" s="1" t="s">
        <v>577</v>
      </c>
      <c r="E11" s="1" t="s">
        <v>582</v>
      </c>
      <c r="F11" s="1" t="s">
        <v>582</v>
      </c>
      <c r="G11" s="1">
        <v>1969</v>
      </c>
      <c r="I11" s="1">
        <v>117</v>
      </c>
      <c r="M11" s="1" t="s">
        <v>591</v>
      </c>
    </row>
    <row r="12" spans="1:13">
      <c r="A12" s="1" t="s">
        <v>169</v>
      </c>
      <c r="B12" s="1" t="s">
        <v>170</v>
      </c>
      <c r="C12" s="1">
        <v>1995</v>
      </c>
      <c r="D12" s="1" t="s">
        <v>577</v>
      </c>
      <c r="E12" s="1" t="s">
        <v>578</v>
      </c>
      <c r="F12" s="1" t="s">
        <v>579</v>
      </c>
      <c r="G12" s="1">
        <v>1989</v>
      </c>
      <c r="I12" s="1">
        <v>100</v>
      </c>
      <c r="K12" s="1" t="s">
        <v>584</v>
      </c>
    </row>
    <row r="13" spans="1:13">
      <c r="A13" s="1" t="s">
        <v>169</v>
      </c>
      <c r="B13" s="1" t="s">
        <v>170</v>
      </c>
      <c r="C13" s="1">
        <v>1998</v>
      </c>
      <c r="D13" s="1" t="s">
        <v>577</v>
      </c>
      <c r="E13" s="1" t="s">
        <v>582</v>
      </c>
      <c r="F13" s="1" t="s">
        <v>582</v>
      </c>
      <c r="G13" s="1">
        <v>1969</v>
      </c>
      <c r="I13" s="1">
        <v>117</v>
      </c>
      <c r="M13" s="1" t="s">
        <v>583</v>
      </c>
    </row>
    <row r="14" spans="1:13">
      <c r="A14" s="1" t="s">
        <v>169</v>
      </c>
      <c r="B14" s="1" t="s">
        <v>170</v>
      </c>
      <c r="C14" s="1">
        <v>2002</v>
      </c>
      <c r="D14" s="1" t="s">
        <v>577</v>
      </c>
      <c r="E14" s="1" t="s">
        <v>582</v>
      </c>
      <c r="F14" s="1" t="s">
        <v>582</v>
      </c>
      <c r="G14" s="1">
        <v>1969</v>
      </c>
      <c r="I14" s="1">
        <v>117</v>
      </c>
      <c r="M14" s="1" t="s">
        <v>583</v>
      </c>
    </row>
    <row r="15" spans="1:13">
      <c r="A15" s="1" t="s">
        <v>169</v>
      </c>
      <c r="B15" s="1" t="s">
        <v>170</v>
      </c>
      <c r="C15" s="1">
        <v>2002</v>
      </c>
      <c r="D15" s="1" t="s">
        <v>577</v>
      </c>
      <c r="E15" s="1" t="s">
        <v>578</v>
      </c>
      <c r="F15" s="1" t="s">
        <v>579</v>
      </c>
      <c r="G15" s="1">
        <v>1989</v>
      </c>
      <c r="I15" s="1">
        <v>100</v>
      </c>
      <c r="K15" s="1" t="s">
        <v>592</v>
      </c>
    </row>
    <row r="16" spans="1:13">
      <c r="A16" s="1" t="s">
        <v>169</v>
      </c>
      <c r="B16" s="1" t="s">
        <v>170</v>
      </c>
      <c r="C16" s="1">
        <v>2002</v>
      </c>
      <c r="D16" s="1" t="s">
        <v>577</v>
      </c>
      <c r="E16" s="1" t="s">
        <v>593</v>
      </c>
      <c r="F16" s="1" t="s">
        <v>582</v>
      </c>
      <c r="G16" s="1">
        <v>2000</v>
      </c>
      <c r="K16" s="1" t="s">
        <v>594</v>
      </c>
    </row>
    <row r="17" spans="1:13">
      <c r="A17" s="1" t="s">
        <v>169</v>
      </c>
      <c r="B17" s="1" t="s">
        <v>170</v>
      </c>
      <c r="C17" s="1">
        <v>2002</v>
      </c>
      <c r="D17" s="1" t="s">
        <v>577</v>
      </c>
      <c r="E17" s="1" t="s">
        <v>595</v>
      </c>
      <c r="F17" s="1" t="s">
        <v>582</v>
      </c>
      <c r="G17" s="1">
        <v>2002</v>
      </c>
      <c r="K17" s="1" t="s">
        <v>596</v>
      </c>
    </row>
    <row r="18" spans="1:13">
      <c r="A18" s="1" t="s">
        <v>169</v>
      </c>
      <c r="B18" s="1" t="s">
        <v>170</v>
      </c>
      <c r="C18" s="1">
        <v>2003</v>
      </c>
      <c r="D18" s="1" t="s">
        <v>577</v>
      </c>
      <c r="E18" s="1" t="s">
        <v>582</v>
      </c>
      <c r="F18" s="1" t="s">
        <v>582</v>
      </c>
      <c r="G18" s="1">
        <v>1969</v>
      </c>
      <c r="I18" s="1">
        <v>117</v>
      </c>
      <c r="M18" s="1" t="s">
        <v>583</v>
      </c>
    </row>
    <row r="19" spans="1:13">
      <c r="A19" s="1" t="s">
        <v>169</v>
      </c>
      <c r="B19" s="1" t="s">
        <v>170</v>
      </c>
      <c r="C19" s="1">
        <v>2003</v>
      </c>
      <c r="D19" s="1" t="s">
        <v>577</v>
      </c>
      <c r="E19" s="1" t="s">
        <v>578</v>
      </c>
      <c r="F19" s="1" t="s">
        <v>579</v>
      </c>
      <c r="G19" s="1">
        <v>1989</v>
      </c>
      <c r="I19" s="1">
        <v>100</v>
      </c>
      <c r="K19" s="1" t="s">
        <v>592</v>
      </c>
    </row>
    <row r="20" spans="1:13">
      <c r="A20" s="1" t="s">
        <v>169</v>
      </c>
      <c r="B20" s="1" t="s">
        <v>170</v>
      </c>
      <c r="C20" s="1">
        <v>2003</v>
      </c>
      <c r="D20" s="1" t="s">
        <v>577</v>
      </c>
      <c r="E20" s="1" t="s">
        <v>593</v>
      </c>
      <c r="F20" s="1" t="s">
        <v>582</v>
      </c>
      <c r="G20" s="1">
        <v>2000</v>
      </c>
      <c r="K20" s="1" t="s">
        <v>594</v>
      </c>
    </row>
    <row r="21" spans="1:13">
      <c r="A21" s="1" t="s">
        <v>169</v>
      </c>
      <c r="B21" s="1" t="s">
        <v>170</v>
      </c>
      <c r="C21" s="1">
        <v>2003</v>
      </c>
      <c r="D21" s="1" t="s">
        <v>577</v>
      </c>
      <c r="E21" s="1" t="s">
        <v>595</v>
      </c>
      <c r="F21" s="1" t="s">
        <v>582</v>
      </c>
      <c r="G21" s="1">
        <v>2002</v>
      </c>
      <c r="K21" s="1" t="s">
        <v>596</v>
      </c>
    </row>
    <row r="22" spans="1:13">
      <c r="A22" s="1" t="s">
        <v>169</v>
      </c>
      <c r="B22" s="1" t="s">
        <v>170</v>
      </c>
      <c r="C22" s="1">
        <v>2005</v>
      </c>
      <c r="D22" s="1" t="s">
        <v>577</v>
      </c>
      <c r="E22" s="1" t="s">
        <v>582</v>
      </c>
      <c r="F22" s="1" t="s">
        <v>582</v>
      </c>
      <c r="G22" s="1">
        <v>1969</v>
      </c>
      <c r="I22" s="1">
        <v>117</v>
      </c>
      <c r="M22" s="1" t="s">
        <v>583</v>
      </c>
    </row>
    <row r="23" spans="1:13">
      <c r="A23" s="1" t="s">
        <v>169</v>
      </c>
      <c r="B23" s="1" t="s">
        <v>170</v>
      </c>
      <c r="C23" s="1">
        <v>2005</v>
      </c>
      <c r="D23" s="1" t="s">
        <v>577</v>
      </c>
      <c r="E23" s="1" t="s">
        <v>578</v>
      </c>
      <c r="F23" s="1" t="s">
        <v>579</v>
      </c>
      <c r="G23" s="1">
        <v>1989</v>
      </c>
      <c r="I23" s="1">
        <v>100</v>
      </c>
      <c r="K23" s="1" t="s">
        <v>592</v>
      </c>
      <c r="M23" s="1" t="s">
        <v>597</v>
      </c>
    </row>
    <row r="24" spans="1:13">
      <c r="A24" s="1" t="s">
        <v>169</v>
      </c>
      <c r="B24" s="1" t="s">
        <v>170</v>
      </c>
      <c r="C24" s="1">
        <v>2005</v>
      </c>
      <c r="D24" s="1" t="s">
        <v>577</v>
      </c>
      <c r="E24" s="1" t="s">
        <v>593</v>
      </c>
      <c r="F24" s="1" t="s">
        <v>582</v>
      </c>
      <c r="G24" s="1">
        <v>2000</v>
      </c>
      <c r="K24" s="1" t="s">
        <v>594</v>
      </c>
    </row>
    <row r="25" spans="1:13">
      <c r="A25" s="1" t="s">
        <v>169</v>
      </c>
      <c r="B25" s="1" t="s">
        <v>170</v>
      </c>
      <c r="C25" s="1">
        <v>2005</v>
      </c>
      <c r="D25" s="1" t="s">
        <v>577</v>
      </c>
      <c r="E25" s="1" t="s">
        <v>595</v>
      </c>
      <c r="F25" s="1" t="s">
        <v>582</v>
      </c>
      <c r="G25" s="1">
        <v>2002</v>
      </c>
      <c r="K25" s="1" t="s">
        <v>596</v>
      </c>
    </row>
    <row r="26" spans="1:13">
      <c r="A26" s="1" t="s">
        <v>169</v>
      </c>
      <c r="B26" s="1" t="s">
        <v>170</v>
      </c>
      <c r="C26" s="1">
        <v>2007</v>
      </c>
      <c r="D26" s="1" t="s">
        <v>577</v>
      </c>
      <c r="E26" s="1" t="s">
        <v>582</v>
      </c>
      <c r="F26" s="1" t="s">
        <v>582</v>
      </c>
      <c r="G26" s="1">
        <v>1969</v>
      </c>
      <c r="I26" s="1">
        <v>117</v>
      </c>
      <c r="M26" s="1" t="s">
        <v>583</v>
      </c>
    </row>
    <row r="27" spans="1:13">
      <c r="A27" s="1" t="s">
        <v>169</v>
      </c>
      <c r="B27" s="1" t="s">
        <v>170</v>
      </c>
      <c r="C27" s="1">
        <v>2007</v>
      </c>
      <c r="D27" s="1" t="s">
        <v>577</v>
      </c>
      <c r="E27" s="1" t="s">
        <v>578</v>
      </c>
      <c r="F27" s="1" t="s">
        <v>579</v>
      </c>
      <c r="G27" s="1">
        <v>1989</v>
      </c>
      <c r="I27" s="1">
        <v>100</v>
      </c>
      <c r="K27" s="1" t="s">
        <v>592</v>
      </c>
      <c r="M27" s="1" t="s">
        <v>597</v>
      </c>
    </row>
    <row r="28" spans="1:13">
      <c r="A28" s="1" t="s">
        <v>169</v>
      </c>
      <c r="B28" s="1" t="s">
        <v>170</v>
      </c>
      <c r="C28" s="1">
        <v>2007</v>
      </c>
      <c r="D28" s="1" t="s">
        <v>577</v>
      </c>
      <c r="E28" s="1" t="s">
        <v>593</v>
      </c>
      <c r="F28" s="1" t="s">
        <v>582</v>
      </c>
      <c r="G28" s="1">
        <v>2000</v>
      </c>
      <c r="K28" s="1" t="s">
        <v>594</v>
      </c>
    </row>
    <row r="29" spans="1:13">
      <c r="A29" s="1" t="s">
        <v>169</v>
      </c>
      <c r="B29" s="1" t="s">
        <v>170</v>
      </c>
      <c r="C29" s="1">
        <v>2007</v>
      </c>
      <c r="D29" s="1" t="s">
        <v>577</v>
      </c>
      <c r="E29" s="1" t="s">
        <v>595</v>
      </c>
      <c r="F29" s="1" t="s">
        <v>582</v>
      </c>
      <c r="G29" s="1">
        <v>2002</v>
      </c>
      <c r="K29" s="1" t="s">
        <v>596</v>
      </c>
    </row>
    <row r="30" spans="1:13">
      <c r="A30" s="1" t="s">
        <v>169</v>
      </c>
      <c r="B30" s="1" t="s">
        <v>170</v>
      </c>
      <c r="C30" s="1">
        <v>2008</v>
      </c>
      <c r="D30" s="1" t="s">
        <v>577</v>
      </c>
      <c r="E30" s="1" t="s">
        <v>582</v>
      </c>
      <c r="F30" s="1" t="s">
        <v>582</v>
      </c>
      <c r="G30" s="1">
        <v>1969</v>
      </c>
      <c r="I30" s="1">
        <v>117</v>
      </c>
      <c r="M30" s="1" t="s">
        <v>583</v>
      </c>
    </row>
    <row r="31" spans="1:13">
      <c r="A31" s="1" t="s">
        <v>169</v>
      </c>
      <c r="B31" s="1" t="s">
        <v>170</v>
      </c>
      <c r="C31" s="1">
        <v>2008</v>
      </c>
      <c r="D31" s="1" t="s">
        <v>577</v>
      </c>
      <c r="E31" s="1" t="s">
        <v>578</v>
      </c>
      <c r="F31" s="1" t="s">
        <v>579</v>
      </c>
      <c r="G31" s="1">
        <v>1989</v>
      </c>
      <c r="I31" s="1">
        <v>100</v>
      </c>
      <c r="K31" s="1" t="s">
        <v>592</v>
      </c>
      <c r="M31" s="1" t="s">
        <v>597</v>
      </c>
    </row>
    <row r="32" spans="1:13">
      <c r="A32" s="1" t="s">
        <v>169</v>
      </c>
      <c r="B32" s="1" t="s">
        <v>170</v>
      </c>
      <c r="C32" s="1">
        <v>2008</v>
      </c>
      <c r="D32" s="1" t="s">
        <v>577</v>
      </c>
      <c r="E32" s="1" t="s">
        <v>593</v>
      </c>
      <c r="F32" s="1" t="s">
        <v>582</v>
      </c>
      <c r="G32" s="1">
        <v>2000</v>
      </c>
      <c r="K32" s="1" t="s">
        <v>594</v>
      </c>
    </row>
    <row r="33" spans="1:13">
      <c r="A33" s="1" t="s">
        <v>169</v>
      </c>
      <c r="B33" s="1" t="s">
        <v>170</v>
      </c>
      <c r="C33" s="1">
        <v>2008</v>
      </c>
      <c r="D33" s="1" t="s">
        <v>577</v>
      </c>
      <c r="E33" s="1" t="s">
        <v>595</v>
      </c>
      <c r="F33" s="1" t="s">
        <v>582</v>
      </c>
      <c r="G33" s="1">
        <v>2002</v>
      </c>
      <c r="I33" s="1">
        <v>20</v>
      </c>
      <c r="K33" s="1" t="s">
        <v>596</v>
      </c>
    </row>
    <row r="34" spans="1:13">
      <c r="A34" s="1" t="s">
        <v>169</v>
      </c>
      <c r="B34" s="1" t="s">
        <v>170</v>
      </c>
      <c r="C34" s="1">
        <v>2012</v>
      </c>
      <c r="D34" s="1" t="s">
        <v>577</v>
      </c>
      <c r="E34" s="1" t="s">
        <v>582</v>
      </c>
      <c r="F34" s="1" t="s">
        <v>582</v>
      </c>
      <c r="G34" s="1">
        <v>1969</v>
      </c>
      <c r="I34" s="1">
        <v>117</v>
      </c>
      <c r="M34" s="1" t="s">
        <v>583</v>
      </c>
    </row>
    <row r="35" spans="1:13">
      <c r="A35" s="1" t="s">
        <v>169</v>
      </c>
      <c r="B35" s="1" t="s">
        <v>170</v>
      </c>
      <c r="C35" s="1">
        <v>2012</v>
      </c>
      <c r="D35" s="1" t="s">
        <v>577</v>
      </c>
      <c r="E35" s="1" t="s">
        <v>578</v>
      </c>
      <c r="F35" s="1" t="s">
        <v>579</v>
      </c>
      <c r="G35" s="1">
        <v>1989</v>
      </c>
      <c r="I35" s="1">
        <v>100</v>
      </c>
      <c r="K35" s="1" t="s">
        <v>592</v>
      </c>
      <c r="M35" s="1" t="s">
        <v>597</v>
      </c>
    </row>
    <row r="36" spans="1:13">
      <c r="A36" s="1" t="s">
        <v>169</v>
      </c>
      <c r="B36" s="1" t="s">
        <v>170</v>
      </c>
      <c r="C36" s="1">
        <v>2012</v>
      </c>
      <c r="D36" s="1" t="s">
        <v>577</v>
      </c>
      <c r="E36" s="1" t="s">
        <v>593</v>
      </c>
      <c r="F36" s="1" t="s">
        <v>582</v>
      </c>
      <c r="G36" s="1">
        <v>2000</v>
      </c>
      <c r="K36" s="1" t="s">
        <v>594</v>
      </c>
    </row>
    <row r="37" spans="1:13">
      <c r="A37" s="1" t="s">
        <v>169</v>
      </c>
      <c r="B37" s="1" t="s">
        <v>170</v>
      </c>
      <c r="C37" s="1">
        <v>2012</v>
      </c>
      <c r="D37" s="1" t="s">
        <v>577</v>
      </c>
      <c r="E37" s="1" t="s">
        <v>595</v>
      </c>
      <c r="F37" s="1" t="s">
        <v>582</v>
      </c>
      <c r="G37" s="1">
        <v>2002</v>
      </c>
      <c r="I37" s="1">
        <v>20</v>
      </c>
      <c r="K37" s="1" t="s">
        <v>596</v>
      </c>
    </row>
    <row r="38" spans="1:13">
      <c r="A38" s="1" t="s">
        <v>169</v>
      </c>
      <c r="B38" s="1" t="s">
        <v>170</v>
      </c>
      <c r="C38" s="1">
        <v>2013</v>
      </c>
      <c r="D38" s="1" t="s">
        <v>577</v>
      </c>
      <c r="E38" s="1" t="s">
        <v>582</v>
      </c>
      <c r="F38" s="1" t="s">
        <v>582</v>
      </c>
      <c r="G38" s="1">
        <v>1969</v>
      </c>
      <c r="I38" s="1">
        <v>117</v>
      </c>
      <c r="M38" s="1" t="s">
        <v>583</v>
      </c>
    </row>
    <row r="39" spans="1:13">
      <c r="A39" s="1" t="s">
        <v>169</v>
      </c>
      <c r="B39" s="1" t="s">
        <v>170</v>
      </c>
      <c r="C39" s="1">
        <v>2013</v>
      </c>
      <c r="D39" s="1" t="s">
        <v>577</v>
      </c>
      <c r="E39" s="1" t="s">
        <v>578</v>
      </c>
      <c r="F39" s="1" t="s">
        <v>579</v>
      </c>
      <c r="G39" s="1">
        <v>1989</v>
      </c>
      <c r="I39" s="1">
        <v>100</v>
      </c>
      <c r="K39" s="1" t="s">
        <v>592</v>
      </c>
      <c r="M39" s="1" t="s">
        <v>597</v>
      </c>
    </row>
    <row r="40" spans="1:13">
      <c r="A40" s="1" t="s">
        <v>169</v>
      </c>
      <c r="B40" s="1" t="s">
        <v>170</v>
      </c>
      <c r="C40" s="1">
        <v>2013</v>
      </c>
      <c r="D40" s="1" t="s">
        <v>577</v>
      </c>
      <c r="E40" s="1" t="s">
        <v>593</v>
      </c>
      <c r="F40" s="1" t="s">
        <v>582</v>
      </c>
      <c r="G40" s="1">
        <v>2000</v>
      </c>
      <c r="K40" s="1" t="s">
        <v>594</v>
      </c>
    </row>
    <row r="41" spans="1:13">
      <c r="A41" s="1" t="s">
        <v>169</v>
      </c>
      <c r="B41" s="1" t="s">
        <v>170</v>
      </c>
      <c r="C41" s="1">
        <v>2013</v>
      </c>
      <c r="D41" s="1" t="s">
        <v>577</v>
      </c>
      <c r="E41" s="1" t="s">
        <v>595</v>
      </c>
      <c r="F41" s="1" t="s">
        <v>582</v>
      </c>
      <c r="G41" s="1">
        <v>2002</v>
      </c>
      <c r="I41" s="1">
        <v>26</v>
      </c>
      <c r="K41" s="1" t="s">
        <v>598</v>
      </c>
    </row>
    <row r="42" spans="1:13">
      <c r="A42" s="1" t="s">
        <v>169</v>
      </c>
      <c r="B42" s="1" t="s">
        <v>170</v>
      </c>
      <c r="C42" s="1">
        <v>2017</v>
      </c>
      <c r="D42" s="1" t="s">
        <v>577</v>
      </c>
      <c r="E42" s="1" t="s">
        <v>582</v>
      </c>
      <c r="F42" s="1" t="s">
        <v>582</v>
      </c>
      <c r="G42" s="1">
        <v>1969</v>
      </c>
      <c r="I42" s="1">
        <v>117</v>
      </c>
      <c r="M42" s="1" t="s">
        <v>583</v>
      </c>
    </row>
    <row r="43" spans="1:13">
      <c r="A43" s="1" t="s">
        <v>169</v>
      </c>
      <c r="B43" s="1" t="s">
        <v>170</v>
      </c>
      <c r="C43" s="1">
        <v>2017</v>
      </c>
      <c r="D43" s="1" t="s">
        <v>577</v>
      </c>
      <c r="E43" s="1" t="s">
        <v>578</v>
      </c>
      <c r="F43" s="1" t="s">
        <v>579</v>
      </c>
      <c r="G43" s="1">
        <v>1989</v>
      </c>
      <c r="I43" s="1">
        <v>100</v>
      </c>
      <c r="K43" s="1" t="s">
        <v>592</v>
      </c>
      <c r="M43" s="1" t="s">
        <v>597</v>
      </c>
    </row>
    <row r="44" spans="1:13">
      <c r="A44" s="1" t="s">
        <v>169</v>
      </c>
      <c r="B44" s="1" t="s">
        <v>170</v>
      </c>
      <c r="C44" s="1">
        <v>2017</v>
      </c>
      <c r="D44" s="1" t="s">
        <v>577</v>
      </c>
      <c r="E44" s="1" t="s">
        <v>593</v>
      </c>
      <c r="F44" s="1" t="s">
        <v>582</v>
      </c>
      <c r="G44" s="1">
        <v>2000</v>
      </c>
      <c r="K44" s="1" t="s">
        <v>594</v>
      </c>
    </row>
    <row r="45" spans="1:13">
      <c r="A45" s="1" t="s">
        <v>169</v>
      </c>
      <c r="B45" s="1" t="s">
        <v>170</v>
      </c>
      <c r="C45" s="1">
        <v>2017</v>
      </c>
      <c r="D45" s="1" t="s">
        <v>577</v>
      </c>
      <c r="E45" s="1" t="s">
        <v>595</v>
      </c>
      <c r="F45" s="1" t="s">
        <v>582</v>
      </c>
      <c r="G45" s="1">
        <v>2002</v>
      </c>
      <c r="I45" s="1">
        <v>26</v>
      </c>
      <c r="K45" s="1" t="s">
        <v>598</v>
      </c>
    </row>
    <row r="46" spans="1:13">
      <c r="A46" s="1" t="s">
        <v>169</v>
      </c>
      <c r="B46" s="1" t="s">
        <v>170</v>
      </c>
      <c r="C46" s="1">
        <v>2019</v>
      </c>
      <c r="D46" s="1" t="s">
        <v>577</v>
      </c>
      <c r="E46" s="1" t="s">
        <v>582</v>
      </c>
      <c r="F46" s="1" t="s">
        <v>582</v>
      </c>
      <c r="G46" s="1">
        <v>1969</v>
      </c>
      <c r="I46" s="1">
        <v>117</v>
      </c>
      <c r="M46" s="1" t="s">
        <v>583</v>
      </c>
    </row>
    <row r="47" spans="1:13">
      <c r="A47" s="1" t="s">
        <v>169</v>
      </c>
      <c r="B47" s="1" t="s">
        <v>170</v>
      </c>
      <c r="C47" s="1">
        <v>2019</v>
      </c>
      <c r="D47" s="1" t="s">
        <v>577</v>
      </c>
      <c r="E47" s="1" t="s">
        <v>578</v>
      </c>
      <c r="F47" s="1" t="s">
        <v>579</v>
      </c>
      <c r="G47" s="1">
        <v>1989</v>
      </c>
      <c r="I47" s="1">
        <v>100</v>
      </c>
      <c r="K47" s="1" t="s">
        <v>592</v>
      </c>
      <c r="M47" s="1" t="s">
        <v>597</v>
      </c>
    </row>
    <row r="48" spans="1:13">
      <c r="A48" s="1" t="s">
        <v>169</v>
      </c>
      <c r="B48" s="1" t="s">
        <v>170</v>
      </c>
      <c r="C48" s="1">
        <v>2019</v>
      </c>
      <c r="D48" s="1" t="s">
        <v>577</v>
      </c>
      <c r="E48" s="1" t="s">
        <v>593</v>
      </c>
      <c r="F48" s="1" t="s">
        <v>582</v>
      </c>
      <c r="G48" s="1">
        <v>2000</v>
      </c>
      <c r="K48" s="1" t="s">
        <v>594</v>
      </c>
    </row>
    <row r="49" spans="1:11">
      <c r="A49" s="1" t="s">
        <v>169</v>
      </c>
      <c r="B49" s="1" t="s">
        <v>170</v>
      </c>
      <c r="C49" s="1">
        <v>2019</v>
      </c>
      <c r="D49" s="1" t="s">
        <v>577</v>
      </c>
      <c r="E49" s="1" t="s">
        <v>595</v>
      </c>
      <c r="F49" s="1" t="s">
        <v>582</v>
      </c>
      <c r="G49" s="1">
        <v>2002</v>
      </c>
      <c r="I49" s="1">
        <v>26</v>
      </c>
      <c r="K49" s="1" t="s">
        <v>598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07"/>
  <sheetViews>
    <sheetView tabSelected="1" topLeftCell="A48" workbookViewId="0">
      <selection activeCell="J61" sqref="J61"/>
    </sheetView>
  </sheetViews>
  <sheetFormatPr defaultColWidth="8.85546875" defaultRowHeight="14.45"/>
  <cols>
    <col min="1" max="1" width="10.140625" style="1" bestFit="1" customWidth="1"/>
    <col min="2" max="3" width="8.85546875" style="1"/>
    <col min="4" max="4" width="11.28515625" style="1" bestFit="1" customWidth="1"/>
    <col min="5" max="16384" width="8.85546875" style="1"/>
  </cols>
  <sheetData>
    <row r="1" spans="1:10">
      <c r="A1" s="2" t="s">
        <v>149</v>
      </c>
      <c r="B1" s="2" t="s">
        <v>150</v>
      </c>
      <c r="C1" s="2" t="s">
        <v>151</v>
      </c>
      <c r="D1" s="2" t="s">
        <v>152</v>
      </c>
      <c r="E1" s="4" t="s">
        <v>599</v>
      </c>
      <c r="F1" s="4" t="s">
        <v>600</v>
      </c>
      <c r="G1" s="2" t="s">
        <v>601</v>
      </c>
      <c r="H1" s="4" t="s">
        <v>395</v>
      </c>
      <c r="I1" s="4" t="s">
        <v>602</v>
      </c>
      <c r="J1" s="4" t="s">
        <v>168</v>
      </c>
    </row>
    <row r="2" spans="1:10">
      <c r="A2" s="1" t="s">
        <v>169</v>
      </c>
      <c r="B2" s="1" t="s">
        <v>170</v>
      </c>
      <c r="C2" s="1">
        <v>1991</v>
      </c>
      <c r="D2" s="1" t="s">
        <v>322</v>
      </c>
      <c r="E2" s="1" t="s">
        <v>603</v>
      </c>
      <c r="F2" s="1" t="s">
        <v>603</v>
      </c>
      <c r="G2" s="1" t="s">
        <v>174</v>
      </c>
      <c r="H2" s="1">
        <v>1990</v>
      </c>
      <c r="I2" s="1">
        <v>81812</v>
      </c>
      <c r="J2" s="1" t="s">
        <v>604</v>
      </c>
    </row>
    <row r="3" spans="1:10">
      <c r="A3" s="1" t="s">
        <v>169</v>
      </c>
      <c r="B3" s="1" t="s">
        <v>170</v>
      </c>
      <c r="C3" s="1">
        <v>1991</v>
      </c>
      <c r="D3" s="1" t="s">
        <v>322</v>
      </c>
      <c r="E3" s="1" t="s">
        <v>605</v>
      </c>
      <c r="F3" s="1" t="s">
        <v>606</v>
      </c>
      <c r="G3" s="1" t="s">
        <v>174</v>
      </c>
      <c r="H3" s="1">
        <v>1990</v>
      </c>
      <c r="I3" s="1">
        <v>74521</v>
      </c>
    </row>
    <row r="4" spans="1:10">
      <c r="A4" s="1" t="s">
        <v>169</v>
      </c>
      <c r="B4" s="1" t="s">
        <v>170</v>
      </c>
      <c r="C4" s="1">
        <v>1991</v>
      </c>
      <c r="D4" s="1" t="s">
        <v>322</v>
      </c>
      <c r="E4" s="1" t="s">
        <v>605</v>
      </c>
      <c r="F4" s="1" t="s">
        <v>607</v>
      </c>
      <c r="G4" s="1" t="s">
        <v>174</v>
      </c>
      <c r="H4" s="1">
        <v>1990</v>
      </c>
      <c r="I4" s="1">
        <v>7061</v>
      </c>
    </row>
    <row r="5" spans="1:10">
      <c r="A5" s="1" t="s">
        <v>169</v>
      </c>
      <c r="B5" s="1" t="s">
        <v>170</v>
      </c>
      <c r="C5" s="1">
        <v>1991</v>
      </c>
      <c r="D5" s="1" t="s">
        <v>322</v>
      </c>
      <c r="E5" s="1" t="s">
        <v>605</v>
      </c>
      <c r="F5" s="1" t="s">
        <v>608</v>
      </c>
      <c r="G5" s="1" t="s">
        <v>174</v>
      </c>
      <c r="H5" s="1">
        <v>1990</v>
      </c>
      <c r="I5" s="1">
        <v>208</v>
      </c>
    </row>
    <row r="6" spans="1:10">
      <c r="A6" s="1" t="s">
        <v>169</v>
      </c>
      <c r="B6" s="1" t="s">
        <v>170</v>
      </c>
      <c r="C6" s="1">
        <v>1991</v>
      </c>
      <c r="D6" s="1" t="s">
        <v>322</v>
      </c>
      <c r="E6" s="1" t="s">
        <v>605</v>
      </c>
      <c r="F6" s="1" t="s">
        <v>609</v>
      </c>
      <c r="G6" s="1" t="s">
        <v>174</v>
      </c>
      <c r="H6" s="1">
        <v>1990</v>
      </c>
      <c r="I6" s="1">
        <v>22</v>
      </c>
    </row>
    <row r="7" spans="1:10">
      <c r="A7" s="1" t="s">
        <v>169</v>
      </c>
      <c r="B7" s="1" t="s">
        <v>170</v>
      </c>
      <c r="C7" s="1">
        <v>1991</v>
      </c>
      <c r="D7" s="1" t="s">
        <v>322</v>
      </c>
      <c r="E7" s="1" t="s">
        <v>605</v>
      </c>
      <c r="F7" s="1" t="s">
        <v>610</v>
      </c>
      <c r="G7" s="1" t="s">
        <v>174</v>
      </c>
      <c r="H7" s="1">
        <v>1990</v>
      </c>
      <c r="I7" s="1">
        <v>1</v>
      </c>
    </row>
    <row r="8" spans="1:10">
      <c r="A8" s="1" t="s">
        <v>169</v>
      </c>
      <c r="B8" s="1" t="s">
        <v>170</v>
      </c>
      <c r="C8" s="1">
        <v>1993</v>
      </c>
      <c r="D8" s="1" t="s">
        <v>322</v>
      </c>
      <c r="E8" s="1" t="s">
        <v>603</v>
      </c>
      <c r="F8" s="1" t="s">
        <v>603</v>
      </c>
      <c r="G8" s="1" t="s">
        <v>174</v>
      </c>
      <c r="H8" s="1">
        <v>1992</v>
      </c>
      <c r="I8" s="1">
        <v>83667</v>
      </c>
      <c r="J8" s="1" t="s">
        <v>611</v>
      </c>
    </row>
    <row r="9" spans="1:10">
      <c r="A9" s="1" t="s">
        <v>169</v>
      </c>
      <c r="B9" s="1" t="s">
        <v>170</v>
      </c>
      <c r="C9" s="1">
        <v>1993</v>
      </c>
      <c r="D9" s="1" t="s">
        <v>322</v>
      </c>
      <c r="E9" s="1" t="s">
        <v>605</v>
      </c>
      <c r="F9" s="1" t="s">
        <v>606</v>
      </c>
      <c r="G9" s="1" t="s">
        <v>174</v>
      </c>
      <c r="H9" s="1">
        <v>1992</v>
      </c>
      <c r="I9" s="1">
        <v>76781</v>
      </c>
    </row>
    <row r="10" spans="1:10">
      <c r="A10" s="1" t="s">
        <v>169</v>
      </c>
      <c r="B10" s="1" t="s">
        <v>170</v>
      </c>
      <c r="C10" s="1">
        <v>1993</v>
      </c>
      <c r="D10" s="1" t="s">
        <v>322</v>
      </c>
      <c r="E10" s="1" t="s">
        <v>605</v>
      </c>
      <c r="F10" s="1" t="s">
        <v>607</v>
      </c>
      <c r="G10" s="1" t="s">
        <v>174</v>
      </c>
      <c r="H10" s="1">
        <v>1992</v>
      </c>
      <c r="I10" s="1">
        <v>6664</v>
      </c>
    </row>
    <row r="11" spans="1:10">
      <c r="A11" s="1" t="s">
        <v>169</v>
      </c>
      <c r="B11" s="1" t="s">
        <v>170</v>
      </c>
      <c r="C11" s="1">
        <v>1993</v>
      </c>
      <c r="D11" s="1" t="s">
        <v>322</v>
      </c>
      <c r="E11" s="1" t="s">
        <v>605</v>
      </c>
      <c r="F11" s="1" t="s">
        <v>608</v>
      </c>
      <c r="G11" s="1" t="s">
        <v>174</v>
      </c>
      <c r="H11" s="1">
        <v>1992</v>
      </c>
      <c r="I11" s="1">
        <v>201</v>
      </c>
    </row>
    <row r="12" spans="1:10">
      <c r="A12" s="1" t="s">
        <v>169</v>
      </c>
      <c r="B12" s="1" t="s">
        <v>170</v>
      </c>
      <c r="C12" s="1">
        <v>1993</v>
      </c>
      <c r="D12" s="1" t="s">
        <v>322</v>
      </c>
      <c r="E12" s="1" t="s">
        <v>605</v>
      </c>
      <c r="F12" s="1" t="s">
        <v>609</v>
      </c>
      <c r="G12" s="1" t="s">
        <v>174</v>
      </c>
      <c r="H12" s="1">
        <v>1992</v>
      </c>
      <c r="I12" s="1">
        <v>21</v>
      </c>
    </row>
    <row r="13" spans="1:10">
      <c r="A13" s="1" t="s">
        <v>169</v>
      </c>
      <c r="B13" s="1" t="s">
        <v>170</v>
      </c>
      <c r="C13" s="1">
        <v>1993</v>
      </c>
      <c r="D13" s="1" t="s">
        <v>322</v>
      </c>
      <c r="E13" s="1" t="s">
        <v>605</v>
      </c>
      <c r="F13" s="1" t="s">
        <v>610</v>
      </c>
      <c r="G13" s="1" t="s">
        <v>174</v>
      </c>
      <c r="H13" s="1">
        <v>1992</v>
      </c>
      <c r="I13" s="1">
        <v>1</v>
      </c>
      <c r="J13" s="1" t="s">
        <v>612</v>
      </c>
    </row>
    <row r="14" spans="1:10">
      <c r="A14" s="1" t="s">
        <v>169</v>
      </c>
      <c r="B14" s="1" t="s">
        <v>170</v>
      </c>
      <c r="C14" s="1">
        <v>1995</v>
      </c>
      <c r="D14" s="1" t="s">
        <v>322</v>
      </c>
      <c r="E14" s="1" t="s">
        <v>603</v>
      </c>
      <c r="F14" s="1" t="s">
        <v>603</v>
      </c>
      <c r="G14" s="1" t="s">
        <v>174</v>
      </c>
      <c r="H14" s="1">
        <v>1994</v>
      </c>
      <c r="I14" s="1">
        <f>SUM(I15:I19)</f>
        <v>81777</v>
      </c>
      <c r="J14" s="1" t="s">
        <v>611</v>
      </c>
    </row>
    <row r="15" spans="1:10">
      <c r="A15" s="1" t="s">
        <v>169</v>
      </c>
      <c r="B15" s="1" t="s">
        <v>170</v>
      </c>
      <c r="C15" s="1">
        <v>1995</v>
      </c>
      <c r="D15" s="1" t="s">
        <v>322</v>
      </c>
      <c r="E15" s="1" t="s">
        <v>605</v>
      </c>
      <c r="F15" s="1" t="s">
        <v>606</v>
      </c>
      <c r="G15" s="1" t="s">
        <v>174</v>
      </c>
      <c r="H15" s="1">
        <v>1994</v>
      </c>
      <c r="I15" s="1">
        <v>75735</v>
      </c>
    </row>
    <row r="16" spans="1:10">
      <c r="A16" s="1" t="s">
        <v>169</v>
      </c>
      <c r="B16" s="1" t="s">
        <v>170</v>
      </c>
      <c r="C16" s="1">
        <v>1995</v>
      </c>
      <c r="D16" s="1" t="s">
        <v>322</v>
      </c>
      <c r="E16" s="1" t="s">
        <v>605</v>
      </c>
      <c r="F16" s="1" t="s">
        <v>607</v>
      </c>
      <c r="G16" s="1" t="s">
        <v>174</v>
      </c>
      <c r="H16" s="1">
        <v>1994</v>
      </c>
      <c r="I16" s="1">
        <v>5835</v>
      </c>
    </row>
    <row r="17" spans="1:10">
      <c r="A17" s="1" t="s">
        <v>169</v>
      </c>
      <c r="B17" s="1" t="s">
        <v>170</v>
      </c>
      <c r="C17" s="1">
        <v>1995</v>
      </c>
      <c r="D17" s="1" t="s">
        <v>322</v>
      </c>
      <c r="E17" s="1" t="s">
        <v>605</v>
      </c>
      <c r="F17" s="1" t="s">
        <v>608</v>
      </c>
      <c r="G17" s="1" t="s">
        <v>174</v>
      </c>
      <c r="H17" s="1">
        <v>1994</v>
      </c>
      <c r="I17" s="1">
        <v>184</v>
      </c>
    </row>
    <row r="18" spans="1:10">
      <c r="A18" s="1" t="s">
        <v>169</v>
      </c>
      <c r="B18" s="1" t="s">
        <v>170</v>
      </c>
      <c r="C18" s="1">
        <v>1995</v>
      </c>
      <c r="D18" s="1" t="s">
        <v>322</v>
      </c>
      <c r="E18" s="1" t="s">
        <v>605</v>
      </c>
      <c r="F18" s="1" t="s">
        <v>609</v>
      </c>
      <c r="G18" s="1" t="s">
        <v>174</v>
      </c>
      <c r="H18" s="1">
        <v>1994</v>
      </c>
      <c r="I18" s="1">
        <v>22</v>
      </c>
    </row>
    <row r="19" spans="1:10">
      <c r="A19" s="1" t="s">
        <v>169</v>
      </c>
      <c r="B19" s="1" t="s">
        <v>170</v>
      </c>
      <c r="C19" s="1">
        <v>1995</v>
      </c>
      <c r="D19" s="1" t="s">
        <v>322</v>
      </c>
      <c r="E19" s="1" t="s">
        <v>605</v>
      </c>
      <c r="F19" s="1" t="s">
        <v>610</v>
      </c>
      <c r="G19" s="1" t="s">
        <v>174</v>
      </c>
      <c r="H19" s="1">
        <v>1994</v>
      </c>
      <c r="I19" s="1">
        <v>1</v>
      </c>
      <c r="J19" s="1" t="s">
        <v>612</v>
      </c>
    </row>
    <row r="20" spans="1:10">
      <c r="A20" s="1" t="s">
        <v>169</v>
      </c>
      <c r="B20" s="1" t="s">
        <v>170</v>
      </c>
      <c r="C20" s="1">
        <v>1998</v>
      </c>
      <c r="D20" s="1" t="s">
        <v>322</v>
      </c>
      <c r="E20" s="1" t="s">
        <v>603</v>
      </c>
      <c r="F20" s="1" t="s">
        <v>603</v>
      </c>
      <c r="G20" s="1" t="s">
        <v>174</v>
      </c>
      <c r="H20" s="1">
        <v>1996</v>
      </c>
      <c r="I20" s="1">
        <v>82671</v>
      </c>
    </row>
    <row r="21" spans="1:10">
      <c r="A21" s="1" t="s">
        <v>169</v>
      </c>
      <c r="B21" s="1" t="s">
        <v>170</v>
      </c>
      <c r="C21" s="1">
        <v>1998</v>
      </c>
      <c r="D21" s="1" t="s">
        <v>322</v>
      </c>
      <c r="E21" s="1" t="s">
        <v>605</v>
      </c>
      <c r="F21" s="1" t="s">
        <v>606</v>
      </c>
      <c r="G21" s="1" t="s">
        <v>174</v>
      </c>
      <c r="H21" s="1">
        <v>1996</v>
      </c>
      <c r="I21" s="1">
        <v>76384</v>
      </c>
    </row>
    <row r="22" spans="1:10">
      <c r="A22" s="1" t="s">
        <v>169</v>
      </c>
      <c r="B22" s="1" t="s">
        <v>170</v>
      </c>
      <c r="C22" s="1">
        <v>1998</v>
      </c>
      <c r="D22" s="1" t="s">
        <v>322</v>
      </c>
      <c r="E22" s="1" t="s">
        <v>605</v>
      </c>
      <c r="F22" s="1" t="s">
        <v>607</v>
      </c>
      <c r="G22" s="1" t="s">
        <v>174</v>
      </c>
      <c r="H22" s="1">
        <v>1996</v>
      </c>
      <c r="I22" s="1">
        <v>6070</v>
      </c>
    </row>
    <row r="23" spans="1:10">
      <c r="A23" s="1" t="s">
        <v>169</v>
      </c>
      <c r="B23" s="1" t="s">
        <v>170</v>
      </c>
      <c r="C23" s="1">
        <v>1998</v>
      </c>
      <c r="D23" s="1" t="s">
        <v>322</v>
      </c>
      <c r="E23" s="1" t="s">
        <v>605</v>
      </c>
      <c r="F23" s="1" t="s">
        <v>608</v>
      </c>
      <c r="G23" s="1" t="s">
        <v>174</v>
      </c>
      <c r="H23" s="1">
        <v>1996</v>
      </c>
      <c r="I23" s="1">
        <v>194</v>
      </c>
    </row>
    <row r="24" spans="1:10">
      <c r="A24" s="1" t="s">
        <v>169</v>
      </c>
      <c r="B24" s="1" t="s">
        <v>170</v>
      </c>
      <c r="C24" s="1">
        <v>1998</v>
      </c>
      <c r="D24" s="1" t="s">
        <v>322</v>
      </c>
      <c r="E24" s="1" t="s">
        <v>605</v>
      </c>
      <c r="F24" s="1" t="s">
        <v>609</v>
      </c>
      <c r="G24" s="1" t="s">
        <v>174</v>
      </c>
      <c r="H24" s="1">
        <v>1996</v>
      </c>
      <c r="I24" s="1">
        <v>21</v>
      </c>
    </row>
    <row r="25" spans="1:10">
      <c r="A25" s="1" t="s">
        <v>169</v>
      </c>
      <c r="B25" s="1" t="s">
        <v>170</v>
      </c>
      <c r="C25" s="1">
        <v>1998</v>
      </c>
      <c r="D25" s="1" t="s">
        <v>322</v>
      </c>
      <c r="E25" s="1" t="s">
        <v>605</v>
      </c>
      <c r="F25" s="1" t="s">
        <v>610</v>
      </c>
      <c r="G25" s="1" t="s">
        <v>174</v>
      </c>
      <c r="H25" s="1">
        <v>1996</v>
      </c>
      <c r="I25" s="1">
        <v>1</v>
      </c>
      <c r="J25" s="1" t="s">
        <v>613</v>
      </c>
    </row>
    <row r="26" spans="1:10">
      <c r="A26" s="1" t="s">
        <v>169</v>
      </c>
      <c r="B26" s="1" t="s">
        <v>170</v>
      </c>
      <c r="C26" s="1">
        <v>2002</v>
      </c>
      <c r="D26" s="1" t="s">
        <v>322</v>
      </c>
      <c r="E26" s="1" t="s">
        <v>603</v>
      </c>
      <c r="F26" s="1" t="s">
        <v>603</v>
      </c>
      <c r="G26" s="1" t="s">
        <v>174</v>
      </c>
      <c r="H26" s="1">
        <v>2001</v>
      </c>
      <c r="I26" s="1">
        <v>83174</v>
      </c>
    </row>
    <row r="27" spans="1:10">
      <c r="A27" s="1" t="s">
        <v>169</v>
      </c>
      <c r="B27" s="1" t="s">
        <v>170</v>
      </c>
      <c r="C27" s="1">
        <v>2002</v>
      </c>
      <c r="D27" s="1" t="s">
        <v>322</v>
      </c>
      <c r="E27" s="1" t="s">
        <v>605</v>
      </c>
      <c r="F27" s="1" t="s">
        <v>606</v>
      </c>
      <c r="G27" s="1" t="s">
        <v>174</v>
      </c>
      <c r="H27" s="1">
        <v>2001</v>
      </c>
      <c r="I27" s="1">
        <v>74940</v>
      </c>
    </row>
    <row r="28" spans="1:10">
      <c r="A28" s="1" t="s">
        <v>169</v>
      </c>
      <c r="B28" s="1" t="s">
        <v>170</v>
      </c>
      <c r="C28" s="1">
        <v>2002</v>
      </c>
      <c r="D28" s="1" t="s">
        <v>322</v>
      </c>
      <c r="E28" s="1" t="s">
        <v>605</v>
      </c>
      <c r="F28" s="1" t="s">
        <v>607</v>
      </c>
      <c r="G28" s="1" t="s">
        <v>174</v>
      </c>
      <c r="H28" s="1">
        <v>2001</v>
      </c>
      <c r="I28" s="1">
        <v>8053</v>
      </c>
    </row>
    <row r="29" spans="1:10">
      <c r="A29" s="1" t="s">
        <v>169</v>
      </c>
      <c r="B29" s="1" t="s">
        <v>170</v>
      </c>
      <c r="C29" s="1">
        <v>2002</v>
      </c>
      <c r="D29" s="1" t="s">
        <v>322</v>
      </c>
      <c r="E29" s="1" t="s">
        <v>605</v>
      </c>
      <c r="F29" s="1" t="s">
        <v>608</v>
      </c>
      <c r="G29" s="1" t="s">
        <v>174</v>
      </c>
      <c r="H29" s="1">
        <v>2001</v>
      </c>
      <c r="I29" s="1">
        <v>162</v>
      </c>
    </row>
    <row r="30" spans="1:10">
      <c r="A30" s="1" t="s">
        <v>169</v>
      </c>
      <c r="B30" s="1" t="s">
        <v>170</v>
      </c>
      <c r="C30" s="1">
        <v>2002</v>
      </c>
      <c r="D30" s="1" t="s">
        <v>322</v>
      </c>
      <c r="E30" s="1" t="s">
        <v>605</v>
      </c>
      <c r="F30" s="1" t="s">
        <v>609</v>
      </c>
      <c r="G30" s="1" t="s">
        <v>174</v>
      </c>
      <c r="H30" s="1">
        <v>2001</v>
      </c>
      <c r="I30" s="1">
        <v>19</v>
      </c>
    </row>
    <row r="31" spans="1:10">
      <c r="A31" s="1" t="s">
        <v>169</v>
      </c>
      <c r="B31" s="1" t="s">
        <v>170</v>
      </c>
      <c r="C31" s="1">
        <v>2003</v>
      </c>
      <c r="D31" s="1" t="s">
        <v>322</v>
      </c>
      <c r="E31" s="1" t="s">
        <v>603</v>
      </c>
      <c r="F31" s="1" t="s">
        <v>603</v>
      </c>
      <c r="G31" s="1" t="s">
        <v>174</v>
      </c>
      <c r="H31" s="1">
        <v>2002</v>
      </c>
      <c r="I31" s="1">
        <v>82388</v>
      </c>
    </row>
    <row r="32" spans="1:10">
      <c r="A32" s="1" t="s">
        <v>169</v>
      </c>
      <c r="B32" s="1" t="s">
        <v>170</v>
      </c>
      <c r="C32" s="1">
        <v>2003</v>
      </c>
      <c r="D32" s="1" t="s">
        <v>322</v>
      </c>
      <c r="E32" s="1" t="s">
        <v>605</v>
      </c>
      <c r="F32" s="1" t="s">
        <v>606</v>
      </c>
      <c r="G32" s="1" t="s">
        <v>174</v>
      </c>
      <c r="H32" s="1">
        <v>2002</v>
      </c>
      <c r="I32" s="1">
        <v>75423</v>
      </c>
    </row>
    <row r="33" spans="1:10">
      <c r="A33" s="1" t="s">
        <v>169</v>
      </c>
      <c r="B33" s="1" t="s">
        <v>170</v>
      </c>
      <c r="C33" s="1">
        <v>2003</v>
      </c>
      <c r="D33" s="1" t="s">
        <v>322</v>
      </c>
      <c r="E33" s="1" t="s">
        <v>605</v>
      </c>
      <c r="F33" s="1" t="s">
        <v>607</v>
      </c>
      <c r="G33" s="1" t="s">
        <v>174</v>
      </c>
      <c r="H33" s="1">
        <v>2002</v>
      </c>
      <c r="I33" s="1">
        <v>6794</v>
      </c>
      <c r="J33" s="1" t="s">
        <v>614</v>
      </c>
    </row>
    <row r="34" spans="1:10">
      <c r="A34" s="1" t="s">
        <v>169</v>
      </c>
      <c r="B34" s="1" t="s">
        <v>170</v>
      </c>
      <c r="C34" s="1">
        <v>2003</v>
      </c>
      <c r="D34" s="1" t="s">
        <v>322</v>
      </c>
      <c r="E34" s="1" t="s">
        <v>605</v>
      </c>
      <c r="F34" s="1" t="s">
        <v>608</v>
      </c>
      <c r="G34" s="1" t="s">
        <v>174</v>
      </c>
      <c r="H34" s="1">
        <v>2002</v>
      </c>
      <c r="I34" s="1">
        <v>156</v>
      </c>
    </row>
    <row r="35" spans="1:10">
      <c r="A35" s="1" t="s">
        <v>169</v>
      </c>
      <c r="B35" s="1" t="s">
        <v>170</v>
      </c>
      <c r="C35" s="1">
        <v>2003</v>
      </c>
      <c r="D35" s="1" t="s">
        <v>322</v>
      </c>
      <c r="E35" s="1" t="s">
        <v>605</v>
      </c>
      <c r="F35" s="1" t="s">
        <v>609</v>
      </c>
      <c r="G35" s="1" t="s">
        <v>174</v>
      </c>
      <c r="H35" s="1">
        <v>2002</v>
      </c>
      <c r="I35" s="1">
        <v>15</v>
      </c>
    </row>
    <row r="36" spans="1:10">
      <c r="A36" s="1" t="s">
        <v>169</v>
      </c>
      <c r="B36" s="1" t="s">
        <v>170</v>
      </c>
      <c r="C36" s="1">
        <v>2005</v>
      </c>
      <c r="D36" s="1" t="s">
        <v>322</v>
      </c>
      <c r="E36" s="1" t="s">
        <v>603</v>
      </c>
      <c r="F36" s="1" t="s">
        <v>603</v>
      </c>
      <c r="G36" s="1" t="s">
        <v>174</v>
      </c>
      <c r="H36" s="1">
        <v>2004</v>
      </c>
      <c r="I36" s="1">
        <v>82135</v>
      </c>
    </row>
    <row r="37" spans="1:10">
      <c r="A37" s="1" t="s">
        <v>169</v>
      </c>
      <c r="B37" s="1" t="s">
        <v>170</v>
      </c>
      <c r="C37" s="1">
        <v>2005</v>
      </c>
      <c r="D37" s="1" t="s">
        <v>322</v>
      </c>
      <c r="E37" s="1" t="s">
        <v>605</v>
      </c>
      <c r="F37" s="1" t="s">
        <v>606</v>
      </c>
      <c r="G37" s="1" t="s">
        <v>174</v>
      </c>
      <c r="H37" s="1">
        <v>2004</v>
      </c>
      <c r="I37" s="1">
        <v>74148</v>
      </c>
    </row>
    <row r="38" spans="1:10">
      <c r="A38" s="1" t="s">
        <v>169</v>
      </c>
      <c r="B38" s="1" t="s">
        <v>170</v>
      </c>
      <c r="C38" s="1">
        <v>2005</v>
      </c>
      <c r="D38" s="1" t="s">
        <v>322</v>
      </c>
      <c r="E38" s="1" t="s">
        <v>605</v>
      </c>
      <c r="F38" s="1" t="s">
        <v>607</v>
      </c>
      <c r="G38" s="1" t="s">
        <v>174</v>
      </c>
      <c r="H38" s="1">
        <v>2004</v>
      </c>
      <c r="I38" s="1">
        <v>7851</v>
      </c>
      <c r="J38" s="1" t="s">
        <v>614</v>
      </c>
    </row>
    <row r="39" spans="1:10">
      <c r="A39" s="1" t="s">
        <v>169</v>
      </c>
      <c r="B39" s="1" t="s">
        <v>170</v>
      </c>
      <c r="C39" s="1">
        <v>2005</v>
      </c>
      <c r="D39" s="1" t="s">
        <v>322</v>
      </c>
      <c r="E39" s="1" t="s">
        <v>605</v>
      </c>
      <c r="F39" s="1" t="s">
        <v>608</v>
      </c>
      <c r="G39" s="1" t="s">
        <v>174</v>
      </c>
      <c r="H39" s="1">
        <v>2004</v>
      </c>
      <c r="I39" s="1">
        <v>118</v>
      </c>
    </row>
    <row r="40" spans="1:10">
      <c r="A40" s="1" t="s">
        <v>169</v>
      </c>
      <c r="B40" s="1" t="s">
        <v>170</v>
      </c>
      <c r="C40" s="1">
        <v>2005</v>
      </c>
      <c r="D40" s="1" t="s">
        <v>322</v>
      </c>
      <c r="E40" s="1" t="s">
        <v>605</v>
      </c>
      <c r="F40" s="1" t="s">
        <v>609</v>
      </c>
      <c r="G40" s="1" t="s">
        <v>174</v>
      </c>
      <c r="H40" s="1">
        <v>2004</v>
      </c>
      <c r="I40" s="1">
        <v>18</v>
      </c>
    </row>
    <row r="41" spans="1:10">
      <c r="A41" s="1" t="s">
        <v>169</v>
      </c>
      <c r="B41" s="1" t="s">
        <v>170</v>
      </c>
      <c r="C41" s="1">
        <v>2007</v>
      </c>
      <c r="D41" s="1" t="s">
        <v>322</v>
      </c>
      <c r="E41" s="1" t="s">
        <v>603</v>
      </c>
      <c r="F41" s="1" t="s">
        <v>603</v>
      </c>
      <c r="G41" s="1" t="s">
        <v>174</v>
      </c>
      <c r="H41" s="1">
        <v>2005</v>
      </c>
      <c r="I41" s="1">
        <v>82135</v>
      </c>
    </row>
    <row r="42" spans="1:10">
      <c r="A42" s="1" t="s">
        <v>169</v>
      </c>
      <c r="B42" s="1" t="s">
        <v>170</v>
      </c>
      <c r="C42" s="1">
        <v>2007</v>
      </c>
      <c r="D42" s="1" t="s">
        <v>322</v>
      </c>
      <c r="E42" s="1" t="s">
        <v>605</v>
      </c>
      <c r="F42" s="1" t="s">
        <v>606</v>
      </c>
      <c r="G42" s="1" t="s">
        <v>174</v>
      </c>
      <c r="H42" s="1">
        <v>2005</v>
      </c>
      <c r="I42" s="1">
        <v>74148</v>
      </c>
    </row>
    <row r="43" spans="1:10">
      <c r="A43" s="1" t="s">
        <v>169</v>
      </c>
      <c r="B43" s="1" t="s">
        <v>170</v>
      </c>
      <c r="C43" s="1">
        <v>2007</v>
      </c>
      <c r="D43" s="1" t="s">
        <v>322</v>
      </c>
      <c r="E43" s="1" t="s">
        <v>605</v>
      </c>
      <c r="F43" s="1" t="s">
        <v>607</v>
      </c>
      <c r="G43" s="1" t="s">
        <v>174</v>
      </c>
      <c r="H43" s="1">
        <v>2005</v>
      </c>
      <c r="I43" s="1">
        <v>7851</v>
      </c>
      <c r="J43" s="1" t="s">
        <v>614</v>
      </c>
    </row>
    <row r="44" spans="1:10">
      <c r="A44" s="1" t="s">
        <v>169</v>
      </c>
      <c r="B44" s="1" t="s">
        <v>170</v>
      </c>
      <c r="C44" s="1">
        <v>2007</v>
      </c>
      <c r="D44" s="1" t="s">
        <v>322</v>
      </c>
      <c r="E44" s="1" t="s">
        <v>605</v>
      </c>
      <c r="F44" s="1" t="s">
        <v>608</v>
      </c>
      <c r="G44" s="1" t="s">
        <v>174</v>
      </c>
      <c r="H44" s="1">
        <v>2005</v>
      </c>
      <c r="I44" s="1">
        <v>118</v>
      </c>
    </row>
    <row r="45" spans="1:10">
      <c r="A45" s="1" t="s">
        <v>169</v>
      </c>
      <c r="B45" s="1" t="s">
        <v>170</v>
      </c>
      <c r="C45" s="1">
        <v>2007</v>
      </c>
      <c r="D45" s="1" t="s">
        <v>322</v>
      </c>
      <c r="E45" s="1" t="s">
        <v>605</v>
      </c>
      <c r="F45" s="1" t="s">
        <v>609</v>
      </c>
      <c r="G45" s="1" t="s">
        <v>174</v>
      </c>
      <c r="H45" s="1">
        <v>2005</v>
      </c>
      <c r="I45" s="1">
        <v>18</v>
      </c>
    </row>
    <row r="46" spans="1:10">
      <c r="A46" s="1" t="s">
        <v>169</v>
      </c>
      <c r="B46" s="1" t="s">
        <v>170</v>
      </c>
      <c r="C46" s="1">
        <v>2008</v>
      </c>
      <c r="D46" s="1" t="s">
        <v>322</v>
      </c>
      <c r="E46" s="1" t="s">
        <v>603</v>
      </c>
      <c r="F46" s="1" t="s">
        <v>603</v>
      </c>
      <c r="G46" s="1" t="s">
        <v>174</v>
      </c>
      <c r="H46" s="1">
        <v>2006</v>
      </c>
      <c r="I46" s="1">
        <v>83322</v>
      </c>
    </row>
    <row r="47" spans="1:10">
      <c r="A47" s="1" t="s">
        <v>169</v>
      </c>
      <c r="B47" s="1" t="s">
        <v>170</v>
      </c>
      <c r="C47" s="1">
        <v>2008</v>
      </c>
      <c r="D47" s="1" t="s">
        <v>322</v>
      </c>
      <c r="E47" s="1" t="s">
        <v>605</v>
      </c>
      <c r="F47" s="1" t="s">
        <v>606</v>
      </c>
      <c r="G47" s="1" t="s">
        <v>174</v>
      </c>
      <c r="H47" s="1">
        <v>2006</v>
      </c>
      <c r="I47" s="1">
        <v>75028</v>
      </c>
    </row>
    <row r="48" spans="1:10">
      <c r="A48" s="1" t="s">
        <v>169</v>
      </c>
      <c r="B48" s="1" t="s">
        <v>170</v>
      </c>
      <c r="C48" s="1">
        <v>2008</v>
      </c>
      <c r="D48" s="1" t="s">
        <v>322</v>
      </c>
      <c r="E48" s="1" t="s">
        <v>605</v>
      </c>
      <c r="F48" s="1" t="s">
        <v>607</v>
      </c>
      <c r="G48" s="1" t="s">
        <v>174</v>
      </c>
      <c r="H48" s="1">
        <v>2006</v>
      </c>
      <c r="I48" s="1">
        <v>8135</v>
      </c>
      <c r="J48" s="1" t="s">
        <v>614</v>
      </c>
    </row>
    <row r="49" spans="1:10">
      <c r="A49" s="1" t="s">
        <v>169</v>
      </c>
      <c r="B49" s="1" t="s">
        <v>170</v>
      </c>
      <c r="C49" s="1">
        <v>2008</v>
      </c>
      <c r="D49" s="1" t="s">
        <v>322</v>
      </c>
      <c r="E49" s="1" t="s">
        <v>605</v>
      </c>
      <c r="F49" s="1" t="s">
        <v>608</v>
      </c>
      <c r="G49" s="1" t="s">
        <v>174</v>
      </c>
      <c r="H49" s="1">
        <v>2006</v>
      </c>
      <c r="I49" s="1">
        <v>143</v>
      </c>
    </row>
    <row r="50" spans="1:10">
      <c r="A50" s="1" t="s">
        <v>169</v>
      </c>
      <c r="B50" s="1" t="s">
        <v>170</v>
      </c>
      <c r="C50" s="1">
        <v>2008</v>
      </c>
      <c r="D50" s="1" t="s">
        <v>322</v>
      </c>
      <c r="E50" s="1" t="s">
        <v>605</v>
      </c>
      <c r="F50" s="1" t="s">
        <v>609</v>
      </c>
      <c r="G50" s="1" t="s">
        <v>174</v>
      </c>
      <c r="H50" s="1">
        <v>2006</v>
      </c>
      <c r="I50" s="1">
        <v>16</v>
      </c>
    </row>
    <row r="51" spans="1:10">
      <c r="A51" s="1" t="s">
        <v>169</v>
      </c>
      <c r="B51" s="1" t="s">
        <v>170</v>
      </c>
      <c r="C51" s="1">
        <v>2008</v>
      </c>
      <c r="D51" s="1" t="s">
        <v>322</v>
      </c>
      <c r="E51" s="1" t="s">
        <v>603</v>
      </c>
      <c r="F51" s="1" t="s">
        <v>603</v>
      </c>
      <c r="G51" s="1" t="s">
        <v>174</v>
      </c>
      <c r="H51" s="1">
        <v>2008</v>
      </c>
      <c r="I51" s="1">
        <v>86283</v>
      </c>
    </row>
    <row r="52" spans="1:10">
      <c r="A52" s="1" t="s">
        <v>169</v>
      </c>
      <c r="B52" s="1" t="s">
        <v>170</v>
      </c>
      <c r="C52" s="1">
        <v>2008</v>
      </c>
      <c r="D52" s="1" t="s">
        <v>322</v>
      </c>
      <c r="E52" s="1" t="s">
        <v>605</v>
      </c>
      <c r="F52" s="1" t="s">
        <v>606</v>
      </c>
      <c r="G52" s="1" t="s">
        <v>174</v>
      </c>
      <c r="H52" s="1">
        <v>2008</v>
      </c>
      <c r="I52" s="1">
        <v>77863</v>
      </c>
    </row>
    <row r="53" spans="1:10">
      <c r="A53" s="1" t="s">
        <v>169</v>
      </c>
      <c r="B53" s="1" t="s">
        <v>170</v>
      </c>
      <c r="C53" s="1">
        <v>2008</v>
      </c>
      <c r="D53" s="1" t="s">
        <v>322</v>
      </c>
      <c r="E53" s="1" t="s">
        <v>605</v>
      </c>
      <c r="F53" s="1" t="s">
        <v>607</v>
      </c>
      <c r="G53" s="1" t="s">
        <v>174</v>
      </c>
      <c r="H53" s="1">
        <v>2008</v>
      </c>
      <c r="I53" s="1">
        <v>8265</v>
      </c>
      <c r="J53" s="1" t="s">
        <v>614</v>
      </c>
    </row>
    <row r="54" spans="1:10">
      <c r="A54" s="1" t="s">
        <v>169</v>
      </c>
      <c r="B54" s="1" t="s">
        <v>170</v>
      </c>
      <c r="C54" s="1">
        <v>2008</v>
      </c>
      <c r="D54" s="1" t="s">
        <v>322</v>
      </c>
      <c r="E54" s="1" t="s">
        <v>605</v>
      </c>
      <c r="F54" s="1" t="s">
        <v>608</v>
      </c>
      <c r="G54" s="1" t="s">
        <v>174</v>
      </c>
      <c r="H54" s="1">
        <v>2008</v>
      </c>
      <c r="I54" s="1">
        <v>139</v>
      </c>
    </row>
    <row r="55" spans="1:10">
      <c r="A55" s="1" t="s">
        <v>169</v>
      </c>
      <c r="B55" s="1" t="s">
        <v>170</v>
      </c>
      <c r="C55" s="1">
        <v>2008</v>
      </c>
      <c r="D55" s="1" t="s">
        <v>322</v>
      </c>
      <c r="E55" s="1" t="s">
        <v>605</v>
      </c>
      <c r="F55" s="1" t="s">
        <v>609</v>
      </c>
      <c r="G55" s="1" t="s">
        <v>174</v>
      </c>
      <c r="H55" s="1">
        <v>2008</v>
      </c>
      <c r="I55" s="1">
        <v>16</v>
      </c>
    </row>
    <row r="56" spans="1:10">
      <c r="A56" s="1" t="s">
        <v>169</v>
      </c>
      <c r="B56" s="1" t="s">
        <v>170</v>
      </c>
      <c r="C56" s="1">
        <v>2010</v>
      </c>
      <c r="D56" s="1" t="s">
        <v>322</v>
      </c>
      <c r="E56" s="1" t="s">
        <v>603</v>
      </c>
      <c r="F56" s="1" t="s">
        <v>603</v>
      </c>
      <c r="G56" s="1" t="s">
        <v>174</v>
      </c>
      <c r="H56" s="1">
        <v>2009</v>
      </c>
      <c r="I56" s="1">
        <v>79704</v>
      </c>
    </row>
    <row r="57" spans="1:10">
      <c r="A57" s="1" t="s">
        <v>169</v>
      </c>
      <c r="B57" s="1" t="s">
        <v>170</v>
      </c>
      <c r="C57" s="1">
        <v>2010</v>
      </c>
      <c r="D57" s="1" t="s">
        <v>322</v>
      </c>
      <c r="E57" s="1" t="s">
        <v>605</v>
      </c>
      <c r="F57" s="1" t="s">
        <v>606</v>
      </c>
      <c r="G57" s="1" t="s">
        <v>174</v>
      </c>
      <c r="H57" s="1">
        <v>2009</v>
      </c>
      <c r="I57" s="1">
        <v>73082</v>
      </c>
    </row>
    <row r="58" spans="1:10">
      <c r="A58" s="1" t="s">
        <v>169</v>
      </c>
      <c r="B58" s="1" t="s">
        <v>170</v>
      </c>
      <c r="C58" s="1">
        <v>2010</v>
      </c>
      <c r="D58" s="1" t="s">
        <v>322</v>
      </c>
      <c r="E58" s="1" t="s">
        <v>605</v>
      </c>
      <c r="F58" s="1" t="s">
        <v>607</v>
      </c>
      <c r="G58" s="1" t="s">
        <v>174</v>
      </c>
      <c r="H58" s="1">
        <v>2009</v>
      </c>
      <c r="I58" s="1">
        <v>6481</v>
      </c>
      <c r="J58" s="1" t="s">
        <v>614</v>
      </c>
    </row>
    <row r="59" spans="1:10">
      <c r="A59" s="1" t="s">
        <v>169</v>
      </c>
      <c r="B59" s="1" t="s">
        <v>170</v>
      </c>
      <c r="C59" s="1">
        <v>2010</v>
      </c>
      <c r="D59" s="1" t="s">
        <v>322</v>
      </c>
      <c r="E59" s="1" t="s">
        <v>605</v>
      </c>
      <c r="F59" s="1" t="s">
        <v>608</v>
      </c>
      <c r="G59" s="1" t="s">
        <v>174</v>
      </c>
      <c r="H59" s="1">
        <v>2009</v>
      </c>
      <c r="I59" s="1">
        <v>125</v>
      </c>
    </row>
    <row r="60" spans="1:10">
      <c r="A60" s="1" t="s">
        <v>169</v>
      </c>
      <c r="B60" s="1" t="s">
        <v>170</v>
      </c>
      <c r="C60" s="1">
        <v>2010</v>
      </c>
      <c r="D60" s="1" t="s">
        <v>322</v>
      </c>
      <c r="E60" s="1" t="s">
        <v>605</v>
      </c>
      <c r="F60" s="1" t="s">
        <v>609</v>
      </c>
      <c r="G60" s="1" t="s">
        <v>174</v>
      </c>
      <c r="H60" s="1">
        <v>2009</v>
      </c>
      <c r="I60" s="1">
        <v>16</v>
      </c>
    </row>
    <row r="61" spans="1:10">
      <c r="A61" s="1" t="s">
        <v>169</v>
      </c>
      <c r="B61" s="1" t="s">
        <v>170</v>
      </c>
      <c r="C61" s="1">
        <v>2012</v>
      </c>
      <c r="D61" s="1" t="s">
        <v>322</v>
      </c>
      <c r="E61" s="1" t="s">
        <v>603</v>
      </c>
      <c r="F61" s="1" t="s">
        <v>603</v>
      </c>
      <c r="G61" s="1" t="s">
        <v>174</v>
      </c>
      <c r="H61" s="1">
        <v>2011</v>
      </c>
      <c r="I61" s="1">
        <v>81183</v>
      </c>
      <c r="J61" s="1" t="s">
        <v>615</v>
      </c>
    </row>
    <row r="62" spans="1:10">
      <c r="A62" s="1" t="s">
        <v>169</v>
      </c>
      <c r="B62" s="1" t="s">
        <v>170</v>
      </c>
      <c r="C62" s="1">
        <v>2012</v>
      </c>
      <c r="D62" s="1" t="s">
        <v>322</v>
      </c>
      <c r="E62" s="1" t="s">
        <v>605</v>
      </c>
      <c r="F62" s="1" t="s">
        <v>606</v>
      </c>
      <c r="G62" s="1" t="s">
        <v>174</v>
      </c>
      <c r="H62" s="1">
        <v>2011</v>
      </c>
      <c r="I62" s="1">
        <v>74237</v>
      </c>
    </row>
    <row r="63" spans="1:10">
      <c r="A63" s="1" t="s">
        <v>169</v>
      </c>
      <c r="B63" s="1" t="s">
        <v>170</v>
      </c>
      <c r="C63" s="1">
        <v>2012</v>
      </c>
      <c r="D63" s="1" t="s">
        <v>322</v>
      </c>
      <c r="E63" s="1" t="s">
        <v>605</v>
      </c>
      <c r="F63" s="1" t="s">
        <v>607</v>
      </c>
      <c r="G63" s="1" t="s">
        <v>174</v>
      </c>
      <c r="H63" s="1">
        <v>2011</v>
      </c>
      <c r="I63" s="1">
        <v>6803</v>
      </c>
      <c r="J63" s="1" t="s">
        <v>614</v>
      </c>
    </row>
    <row r="64" spans="1:10">
      <c r="A64" s="1" t="s">
        <v>169</v>
      </c>
      <c r="B64" s="1" t="s">
        <v>170</v>
      </c>
      <c r="C64" s="1">
        <v>2012</v>
      </c>
      <c r="D64" s="1" t="s">
        <v>322</v>
      </c>
      <c r="E64" s="1" t="s">
        <v>605</v>
      </c>
      <c r="F64" s="1" t="s">
        <v>608</v>
      </c>
      <c r="G64" s="1" t="s">
        <v>174</v>
      </c>
      <c r="H64" s="1">
        <v>2011</v>
      </c>
      <c r="I64" s="1">
        <v>126</v>
      </c>
    </row>
    <row r="65" spans="1:9">
      <c r="A65" s="1" t="s">
        <v>169</v>
      </c>
      <c r="B65" s="1" t="s">
        <v>170</v>
      </c>
      <c r="C65" s="1">
        <v>2012</v>
      </c>
      <c r="D65" s="1" t="s">
        <v>322</v>
      </c>
      <c r="E65" s="1" t="s">
        <v>605</v>
      </c>
      <c r="F65" s="1" t="s">
        <v>609</v>
      </c>
      <c r="G65" s="1" t="s">
        <v>174</v>
      </c>
      <c r="H65" s="1">
        <v>2011</v>
      </c>
      <c r="I65" s="1">
        <v>17</v>
      </c>
    </row>
    <row r="66" spans="1:9">
      <c r="A66" s="1" t="s">
        <v>169</v>
      </c>
      <c r="B66" s="1" t="s">
        <v>170</v>
      </c>
      <c r="C66" s="1">
        <v>2013</v>
      </c>
      <c r="D66" s="1" t="s">
        <v>322</v>
      </c>
      <c r="E66" s="1" t="s">
        <v>603</v>
      </c>
      <c r="F66" s="1" t="s">
        <v>603</v>
      </c>
      <c r="G66" s="1" t="s">
        <v>174</v>
      </c>
      <c r="H66" s="1">
        <v>2012</v>
      </c>
      <c r="I66" s="1">
        <v>82827</v>
      </c>
    </row>
    <row r="67" spans="1:9">
      <c r="A67" s="1" t="s">
        <v>169</v>
      </c>
      <c r="B67" s="1" t="s">
        <v>170</v>
      </c>
      <c r="C67" s="1">
        <v>2013</v>
      </c>
      <c r="D67" s="1" t="s">
        <v>322</v>
      </c>
      <c r="E67" s="1" t="s">
        <v>605</v>
      </c>
      <c r="F67" s="1" t="s">
        <v>606</v>
      </c>
      <c r="G67" s="1" t="s">
        <v>174</v>
      </c>
      <c r="H67" s="1">
        <v>2012</v>
      </c>
      <c r="I67" s="1">
        <v>73879</v>
      </c>
    </row>
    <row r="68" spans="1:9">
      <c r="A68" s="1" t="s">
        <v>169</v>
      </c>
      <c r="B68" s="1" t="s">
        <v>170</v>
      </c>
      <c r="C68" s="1">
        <v>2013</v>
      </c>
      <c r="D68" s="1" t="s">
        <v>322</v>
      </c>
      <c r="E68" s="1" t="s">
        <v>605</v>
      </c>
      <c r="F68" s="1" t="s">
        <v>607</v>
      </c>
      <c r="G68" s="1" t="s">
        <v>174</v>
      </c>
      <c r="H68" s="1">
        <v>2012</v>
      </c>
      <c r="I68" s="1">
        <v>8812</v>
      </c>
    </row>
    <row r="69" spans="1:9">
      <c r="A69" s="1" t="s">
        <v>169</v>
      </c>
      <c r="B69" s="1" t="s">
        <v>170</v>
      </c>
      <c r="C69" s="1">
        <v>2013</v>
      </c>
      <c r="D69" s="1" t="s">
        <v>322</v>
      </c>
      <c r="E69" s="1" t="s">
        <v>605</v>
      </c>
      <c r="F69" s="1" t="s">
        <v>608</v>
      </c>
      <c r="G69" s="1" t="s">
        <v>174</v>
      </c>
      <c r="H69" s="1">
        <v>2012</v>
      </c>
      <c r="I69" s="1">
        <v>119</v>
      </c>
    </row>
    <row r="70" spans="1:9">
      <c r="A70" s="1" t="s">
        <v>169</v>
      </c>
      <c r="B70" s="1" t="s">
        <v>170</v>
      </c>
      <c r="C70" s="1">
        <v>2013</v>
      </c>
      <c r="D70" s="1" t="s">
        <v>322</v>
      </c>
      <c r="E70" s="1" t="s">
        <v>605</v>
      </c>
      <c r="F70" s="1" t="s">
        <v>609</v>
      </c>
      <c r="G70" s="1" t="s">
        <v>174</v>
      </c>
      <c r="H70" s="1">
        <v>2012</v>
      </c>
      <c r="I70" s="1">
        <v>17</v>
      </c>
    </row>
    <row r="71" spans="1:9">
      <c r="A71" s="1" t="s">
        <v>169</v>
      </c>
      <c r="B71" s="1" t="s">
        <v>170</v>
      </c>
      <c r="C71" s="1" t="s">
        <v>174</v>
      </c>
      <c r="D71" s="1" t="s">
        <v>322</v>
      </c>
      <c r="E71" s="1" t="s">
        <v>603</v>
      </c>
      <c r="F71" s="1" t="s">
        <v>603</v>
      </c>
      <c r="G71" s="1" t="s">
        <v>174</v>
      </c>
      <c r="H71" s="1">
        <v>2013</v>
      </c>
      <c r="I71" s="1">
        <v>80929</v>
      </c>
    </row>
    <row r="72" spans="1:9">
      <c r="A72" s="1" t="s">
        <v>169</v>
      </c>
      <c r="B72" s="1" t="s">
        <v>170</v>
      </c>
      <c r="C72" s="1" t="s">
        <v>174</v>
      </c>
      <c r="D72" s="1" t="s">
        <v>322</v>
      </c>
      <c r="E72" s="1" t="s">
        <v>605</v>
      </c>
      <c r="F72" s="1" t="s">
        <v>606</v>
      </c>
      <c r="G72" s="1" t="s">
        <v>174</v>
      </c>
      <c r="H72" s="1">
        <v>2013</v>
      </c>
      <c r="I72" s="1">
        <v>71391</v>
      </c>
    </row>
    <row r="73" spans="1:9">
      <c r="A73" s="1" t="s">
        <v>169</v>
      </c>
      <c r="B73" s="1" t="s">
        <v>170</v>
      </c>
      <c r="C73" s="1" t="s">
        <v>174</v>
      </c>
      <c r="D73" s="1" t="s">
        <v>322</v>
      </c>
      <c r="E73" s="1" t="s">
        <v>605</v>
      </c>
      <c r="F73" s="1" t="s">
        <v>607</v>
      </c>
      <c r="G73" s="1" t="s">
        <v>174</v>
      </c>
      <c r="H73" s="1">
        <v>2013</v>
      </c>
      <c r="I73" s="1">
        <v>9414</v>
      </c>
    </row>
    <row r="74" spans="1:9">
      <c r="A74" s="1" t="s">
        <v>169</v>
      </c>
      <c r="B74" s="1" t="s">
        <v>170</v>
      </c>
      <c r="C74" s="1" t="s">
        <v>174</v>
      </c>
      <c r="D74" s="1" t="s">
        <v>322</v>
      </c>
      <c r="E74" s="1" t="s">
        <v>605</v>
      </c>
      <c r="F74" s="1" t="s">
        <v>608</v>
      </c>
      <c r="G74" s="1" t="s">
        <v>174</v>
      </c>
      <c r="H74" s="1">
        <v>2013</v>
      </c>
      <c r="I74" s="1">
        <v>105</v>
      </c>
    </row>
    <row r="75" spans="1:9">
      <c r="A75" s="1" t="s">
        <v>169</v>
      </c>
      <c r="B75" s="1" t="s">
        <v>170</v>
      </c>
      <c r="C75" s="1" t="s">
        <v>174</v>
      </c>
      <c r="D75" s="1" t="s">
        <v>322</v>
      </c>
      <c r="E75" s="1" t="s">
        <v>605</v>
      </c>
      <c r="F75" s="1" t="s">
        <v>609</v>
      </c>
      <c r="G75" s="1" t="s">
        <v>174</v>
      </c>
      <c r="H75" s="1">
        <v>2013</v>
      </c>
      <c r="I75" s="1">
        <v>19</v>
      </c>
    </row>
    <row r="76" spans="1:9">
      <c r="A76" s="1" t="s">
        <v>169</v>
      </c>
      <c r="B76" s="1" t="s">
        <v>170</v>
      </c>
      <c r="C76" s="1" t="s">
        <v>174</v>
      </c>
      <c r="D76" s="1" t="s">
        <v>322</v>
      </c>
      <c r="E76" s="1" t="s">
        <v>603</v>
      </c>
      <c r="F76" s="1" t="s">
        <v>603</v>
      </c>
      <c r="G76" s="1" t="s">
        <v>174</v>
      </c>
      <c r="H76" s="1">
        <v>2014</v>
      </c>
      <c r="I76" s="1">
        <v>71369</v>
      </c>
    </row>
    <row r="77" spans="1:9">
      <c r="A77" s="1" t="s">
        <v>169</v>
      </c>
      <c r="B77" s="1" t="s">
        <v>170</v>
      </c>
      <c r="C77" s="1" t="s">
        <v>174</v>
      </c>
      <c r="D77" s="1" t="s">
        <v>322</v>
      </c>
      <c r="E77" s="1" t="s">
        <v>605</v>
      </c>
      <c r="F77" s="1" t="s">
        <v>606</v>
      </c>
      <c r="G77" s="1" t="s">
        <v>174</v>
      </c>
      <c r="H77" s="1">
        <v>2014</v>
      </c>
      <c r="I77" s="1">
        <v>64213</v>
      </c>
    </row>
    <row r="78" spans="1:9">
      <c r="A78" s="1" t="s">
        <v>169</v>
      </c>
      <c r="B78" s="1" t="s">
        <v>170</v>
      </c>
      <c r="C78" s="1" t="s">
        <v>174</v>
      </c>
      <c r="D78" s="1" t="s">
        <v>322</v>
      </c>
      <c r="E78" s="1" t="s">
        <v>605</v>
      </c>
      <c r="F78" s="1" t="s">
        <v>607</v>
      </c>
      <c r="G78" s="1" t="s">
        <v>174</v>
      </c>
      <c r="H78" s="1">
        <v>2014</v>
      </c>
      <c r="I78" s="1">
        <v>7041</v>
      </c>
    </row>
    <row r="79" spans="1:9">
      <c r="A79" s="1" t="s">
        <v>169</v>
      </c>
      <c r="B79" s="1" t="s">
        <v>170</v>
      </c>
      <c r="C79" s="1" t="s">
        <v>174</v>
      </c>
      <c r="D79" s="1" t="s">
        <v>322</v>
      </c>
      <c r="E79" s="1" t="s">
        <v>605</v>
      </c>
      <c r="F79" s="1" t="s">
        <v>608</v>
      </c>
      <c r="G79" s="1" t="s">
        <v>174</v>
      </c>
      <c r="H79" s="1">
        <v>2014</v>
      </c>
      <c r="I79" s="1">
        <v>98</v>
      </c>
    </row>
    <row r="80" spans="1:9">
      <c r="A80" s="1" t="s">
        <v>169</v>
      </c>
      <c r="B80" s="1" t="s">
        <v>170</v>
      </c>
      <c r="C80" s="1" t="s">
        <v>174</v>
      </c>
      <c r="D80" s="1" t="s">
        <v>322</v>
      </c>
      <c r="E80" s="1" t="s">
        <v>605</v>
      </c>
      <c r="F80" s="1" t="s">
        <v>609</v>
      </c>
      <c r="G80" s="1" t="s">
        <v>174</v>
      </c>
      <c r="H80" s="1">
        <v>2014</v>
      </c>
      <c r="I80" s="1">
        <v>18</v>
      </c>
    </row>
    <row r="81" spans="1:10">
      <c r="A81" s="1" t="s">
        <v>169</v>
      </c>
      <c r="B81" s="1" t="s">
        <v>170</v>
      </c>
      <c r="C81" s="1" t="s">
        <v>174</v>
      </c>
      <c r="D81" s="1" t="s">
        <v>322</v>
      </c>
      <c r="E81" s="1" t="s">
        <v>605</v>
      </c>
      <c r="F81" s="1" t="s">
        <v>616</v>
      </c>
      <c r="G81" s="1" t="s">
        <v>174</v>
      </c>
      <c r="H81" s="1">
        <v>2014</v>
      </c>
      <c r="I81" s="1">
        <v>1</v>
      </c>
    </row>
    <row r="82" spans="1:10">
      <c r="A82" s="1" t="s">
        <v>169</v>
      </c>
      <c r="B82" s="1" t="s">
        <v>170</v>
      </c>
      <c r="C82" s="1" t="s">
        <v>174</v>
      </c>
      <c r="D82" s="1" t="s">
        <v>322</v>
      </c>
      <c r="E82" s="1" t="s">
        <v>603</v>
      </c>
      <c r="F82" s="1" t="s">
        <v>603</v>
      </c>
      <c r="G82" s="1" t="s">
        <v>174</v>
      </c>
      <c r="H82" s="1">
        <v>2015</v>
      </c>
      <c r="I82" s="1">
        <v>82385</v>
      </c>
    </row>
    <row r="83" spans="1:10">
      <c r="A83" s="1" t="s">
        <v>169</v>
      </c>
      <c r="B83" s="1" t="s">
        <v>170</v>
      </c>
      <c r="C83" s="1" t="s">
        <v>174</v>
      </c>
      <c r="D83" s="1" t="s">
        <v>322</v>
      </c>
      <c r="E83" s="1" t="s">
        <v>605</v>
      </c>
      <c r="F83" s="1" t="s">
        <v>606</v>
      </c>
      <c r="G83" s="1" t="s">
        <v>174</v>
      </c>
      <c r="H83" s="1">
        <v>2015</v>
      </c>
      <c r="I83" s="1">
        <v>72927</v>
      </c>
    </row>
    <row r="84" spans="1:10">
      <c r="A84" s="1" t="s">
        <v>169</v>
      </c>
      <c r="B84" s="1" t="s">
        <v>170</v>
      </c>
      <c r="C84" s="1" t="s">
        <v>174</v>
      </c>
      <c r="D84" s="1" t="s">
        <v>322</v>
      </c>
      <c r="E84" s="1" t="s">
        <v>605</v>
      </c>
      <c r="F84" s="1" t="s">
        <v>607</v>
      </c>
      <c r="G84" s="1" t="s">
        <v>174</v>
      </c>
      <c r="H84" s="1">
        <v>2015</v>
      </c>
      <c r="I84" s="1">
        <v>9337</v>
      </c>
    </row>
    <row r="85" spans="1:10">
      <c r="A85" s="1" t="s">
        <v>169</v>
      </c>
      <c r="B85" s="1" t="s">
        <v>170</v>
      </c>
      <c r="C85" s="1" t="s">
        <v>174</v>
      </c>
      <c r="D85" s="1" t="s">
        <v>322</v>
      </c>
      <c r="E85" s="1" t="s">
        <v>605</v>
      </c>
      <c r="F85" s="1" t="s">
        <v>608</v>
      </c>
      <c r="G85" s="1" t="s">
        <v>174</v>
      </c>
      <c r="H85" s="1">
        <v>2015</v>
      </c>
      <c r="I85" s="1">
        <v>101</v>
      </c>
    </row>
    <row r="86" spans="1:10">
      <c r="A86" s="1" t="s">
        <v>169</v>
      </c>
      <c r="B86" s="1" t="s">
        <v>170</v>
      </c>
      <c r="C86" s="1" t="s">
        <v>174</v>
      </c>
      <c r="D86" s="1" t="s">
        <v>322</v>
      </c>
      <c r="E86" s="1" t="s">
        <v>605</v>
      </c>
      <c r="F86" s="1" t="s">
        <v>609</v>
      </c>
      <c r="G86" s="1" t="s">
        <v>174</v>
      </c>
      <c r="H86" s="1">
        <v>2015</v>
      </c>
      <c r="I86" s="1">
        <v>20</v>
      </c>
    </row>
    <row r="87" spans="1:10">
      <c r="A87" s="1" t="s">
        <v>169</v>
      </c>
      <c r="B87" s="1" t="s">
        <v>170</v>
      </c>
      <c r="C87" s="1" t="s">
        <v>174</v>
      </c>
      <c r="D87" s="1" t="s">
        <v>322</v>
      </c>
      <c r="E87" s="1" t="s">
        <v>605</v>
      </c>
      <c r="F87" s="1" t="s">
        <v>616</v>
      </c>
      <c r="G87" s="1" t="s">
        <v>174</v>
      </c>
      <c r="H87" s="1">
        <v>2015</v>
      </c>
      <c r="I87" s="1">
        <v>564</v>
      </c>
    </row>
    <row r="88" spans="1:10">
      <c r="A88" s="1" t="s">
        <v>169</v>
      </c>
      <c r="B88" s="1" t="s">
        <v>170</v>
      </c>
      <c r="C88" s="1">
        <v>2017</v>
      </c>
      <c r="D88" s="1" t="s">
        <v>322</v>
      </c>
      <c r="E88" s="1" t="s">
        <v>605</v>
      </c>
      <c r="F88" s="1" t="s">
        <v>606</v>
      </c>
      <c r="G88" s="1" t="s">
        <v>174</v>
      </c>
      <c r="H88" s="1">
        <v>2016</v>
      </c>
      <c r="I88" s="1">
        <v>71029</v>
      </c>
    </row>
    <row r="89" spans="1:10">
      <c r="A89" s="1" t="s">
        <v>169</v>
      </c>
      <c r="B89" s="1" t="s">
        <v>170</v>
      </c>
      <c r="C89" s="1">
        <v>2017</v>
      </c>
      <c r="D89" s="1" t="s">
        <v>322</v>
      </c>
      <c r="E89" s="1" t="s">
        <v>605</v>
      </c>
      <c r="F89" s="1" t="s">
        <v>607</v>
      </c>
      <c r="G89" s="1" t="s">
        <v>174</v>
      </c>
      <c r="H89" s="1">
        <v>2016</v>
      </c>
      <c r="I89" s="1">
        <v>7546</v>
      </c>
    </row>
    <row r="90" spans="1:10">
      <c r="A90" s="1" t="s">
        <v>169</v>
      </c>
      <c r="B90" s="1" t="s">
        <v>170</v>
      </c>
      <c r="C90" s="1">
        <v>2017</v>
      </c>
      <c r="D90" s="1" t="s">
        <v>322</v>
      </c>
      <c r="E90" s="1" t="s">
        <v>605</v>
      </c>
      <c r="F90" s="1" t="s">
        <v>608</v>
      </c>
      <c r="G90" s="1" t="s">
        <v>174</v>
      </c>
      <c r="H90" s="1">
        <v>2016</v>
      </c>
      <c r="I90" s="1">
        <v>101</v>
      </c>
    </row>
    <row r="91" spans="1:10">
      <c r="A91" s="1" t="s">
        <v>169</v>
      </c>
      <c r="B91" s="1" t="s">
        <v>170</v>
      </c>
      <c r="C91" s="1">
        <v>2017</v>
      </c>
      <c r="D91" s="1" t="s">
        <v>322</v>
      </c>
      <c r="E91" s="1" t="s">
        <v>605</v>
      </c>
      <c r="F91" s="1" t="s">
        <v>609</v>
      </c>
      <c r="G91" s="1" t="s">
        <v>174</v>
      </c>
      <c r="H91" s="1">
        <v>2016</v>
      </c>
      <c r="I91" s="1">
        <v>19</v>
      </c>
    </row>
    <row r="92" spans="1:10">
      <c r="A92" s="1" t="s">
        <v>169</v>
      </c>
      <c r="B92" s="1" t="s">
        <v>170</v>
      </c>
      <c r="C92" s="1">
        <v>2017</v>
      </c>
      <c r="D92" s="1" t="s">
        <v>322</v>
      </c>
      <c r="E92" s="1" t="s">
        <v>605</v>
      </c>
      <c r="F92" s="1" t="s">
        <v>616</v>
      </c>
      <c r="G92" s="1" t="s">
        <v>174</v>
      </c>
      <c r="H92" s="1">
        <v>2016</v>
      </c>
      <c r="I92" s="1">
        <v>570</v>
      </c>
      <c r="J92" s="1" t="s">
        <v>617</v>
      </c>
    </row>
    <row r="93" spans="1:10">
      <c r="A93" s="1" t="s">
        <v>169</v>
      </c>
      <c r="B93" s="1" t="s">
        <v>170</v>
      </c>
      <c r="C93" s="1">
        <v>2017</v>
      </c>
      <c r="D93" s="1" t="s">
        <v>322</v>
      </c>
      <c r="E93" s="1" t="s">
        <v>605</v>
      </c>
      <c r="F93" s="1" t="s">
        <v>274</v>
      </c>
      <c r="G93" s="1" t="s">
        <v>174</v>
      </c>
      <c r="H93" s="1">
        <v>2016</v>
      </c>
      <c r="I93" s="1">
        <f>1910-570</f>
        <v>1340</v>
      </c>
    </row>
    <row r="94" spans="1:10">
      <c r="A94" s="1" t="s">
        <v>169</v>
      </c>
      <c r="B94" s="1" t="s">
        <v>170</v>
      </c>
      <c r="C94" s="1">
        <v>2017</v>
      </c>
      <c r="D94" s="1" t="s">
        <v>322</v>
      </c>
      <c r="E94" s="1" t="s">
        <v>603</v>
      </c>
      <c r="F94" s="1" t="s">
        <v>603</v>
      </c>
      <c r="G94" s="1" t="s">
        <v>174</v>
      </c>
      <c r="H94" s="1">
        <v>2016</v>
      </c>
      <c r="I94" s="1">
        <v>80605</v>
      </c>
    </row>
    <row r="95" spans="1:10">
      <c r="A95" s="1" t="s">
        <v>169</v>
      </c>
      <c r="B95" s="1" t="s">
        <v>170</v>
      </c>
      <c r="C95" s="1" t="s">
        <v>174</v>
      </c>
      <c r="D95" s="1" t="s">
        <v>322</v>
      </c>
      <c r="E95" s="1" t="s">
        <v>605</v>
      </c>
      <c r="F95" s="1" t="s">
        <v>606</v>
      </c>
      <c r="G95" s="1" t="s">
        <v>174</v>
      </c>
      <c r="H95" s="1">
        <v>2017</v>
      </c>
      <c r="I95" s="1">
        <v>71416</v>
      </c>
    </row>
    <row r="96" spans="1:10">
      <c r="A96" s="1" t="s">
        <v>169</v>
      </c>
      <c r="B96" s="1" t="s">
        <v>170</v>
      </c>
      <c r="C96" s="1" t="s">
        <v>174</v>
      </c>
      <c r="D96" s="1" t="s">
        <v>322</v>
      </c>
      <c r="E96" s="1" t="s">
        <v>605</v>
      </c>
      <c r="F96" s="1" t="s">
        <v>607</v>
      </c>
      <c r="G96" s="1" t="s">
        <v>174</v>
      </c>
      <c r="H96" s="1">
        <v>2017</v>
      </c>
      <c r="I96" s="1">
        <v>6838</v>
      </c>
    </row>
    <row r="97" spans="1:10">
      <c r="A97" s="1" t="s">
        <v>169</v>
      </c>
      <c r="B97" s="1" t="s">
        <v>170</v>
      </c>
      <c r="C97" s="1" t="s">
        <v>174</v>
      </c>
      <c r="D97" s="1" t="s">
        <v>322</v>
      </c>
      <c r="E97" s="1" t="s">
        <v>605</v>
      </c>
      <c r="F97" s="1" t="s">
        <v>608</v>
      </c>
      <c r="G97" s="1" t="s">
        <v>174</v>
      </c>
      <c r="H97" s="1">
        <v>2017</v>
      </c>
      <c r="I97" s="1">
        <v>98</v>
      </c>
    </row>
    <row r="98" spans="1:10">
      <c r="A98" s="1" t="s">
        <v>169</v>
      </c>
      <c r="B98" s="1" t="s">
        <v>170</v>
      </c>
      <c r="C98" s="1" t="s">
        <v>174</v>
      </c>
      <c r="D98" s="1" t="s">
        <v>322</v>
      </c>
      <c r="E98" s="1" t="s">
        <v>605</v>
      </c>
      <c r="F98" s="1" t="s">
        <v>609</v>
      </c>
      <c r="G98" s="1" t="s">
        <v>174</v>
      </c>
      <c r="H98" s="1">
        <v>2017</v>
      </c>
      <c r="I98" s="1">
        <v>15</v>
      </c>
    </row>
    <row r="99" spans="1:10">
      <c r="A99" s="1" t="s">
        <v>169</v>
      </c>
      <c r="B99" s="1" t="s">
        <v>170</v>
      </c>
      <c r="C99" s="1" t="s">
        <v>174</v>
      </c>
      <c r="D99" s="1" t="s">
        <v>322</v>
      </c>
      <c r="E99" s="1" t="s">
        <v>605</v>
      </c>
      <c r="F99" s="1" t="s">
        <v>274</v>
      </c>
      <c r="G99" s="1" t="s">
        <v>174</v>
      </c>
      <c r="H99" s="1">
        <v>2017</v>
      </c>
      <c r="I99" s="1">
        <v>3528</v>
      </c>
    </row>
    <row r="100" spans="1:10">
      <c r="A100" s="1" t="s">
        <v>169</v>
      </c>
      <c r="B100" s="1" t="s">
        <v>170</v>
      </c>
      <c r="C100" s="1" t="s">
        <v>174</v>
      </c>
      <c r="D100" s="1" t="s">
        <v>322</v>
      </c>
      <c r="E100" s="1" t="s">
        <v>605</v>
      </c>
      <c r="F100" s="1" t="s">
        <v>603</v>
      </c>
      <c r="G100" s="1" t="s">
        <v>174</v>
      </c>
      <c r="H100" s="1">
        <v>2017</v>
      </c>
      <c r="I100" s="1">
        <v>81895</v>
      </c>
    </row>
    <row r="101" spans="1:10">
      <c r="A101" s="1" t="s">
        <v>169</v>
      </c>
      <c r="B101" s="1" t="s">
        <v>170</v>
      </c>
      <c r="C101" s="1">
        <v>2019</v>
      </c>
      <c r="D101" s="1" t="s">
        <v>322</v>
      </c>
      <c r="E101" s="1" t="s">
        <v>605</v>
      </c>
      <c r="F101" s="1" t="s">
        <v>606</v>
      </c>
      <c r="G101" s="1" t="s">
        <v>174</v>
      </c>
      <c r="H101" s="1">
        <v>2018</v>
      </c>
      <c r="I101" s="1">
        <v>71776</v>
      </c>
    </row>
    <row r="102" spans="1:10">
      <c r="A102" s="1" t="s">
        <v>169</v>
      </c>
      <c r="B102" s="1" t="s">
        <v>170</v>
      </c>
      <c r="C102" s="1">
        <v>2019</v>
      </c>
      <c r="D102" s="1" t="s">
        <v>322</v>
      </c>
      <c r="E102" s="1" t="s">
        <v>605</v>
      </c>
      <c r="F102" s="1" t="s">
        <v>607</v>
      </c>
      <c r="G102" s="1" t="s">
        <v>174</v>
      </c>
      <c r="H102" s="1">
        <v>2018</v>
      </c>
      <c r="I102" s="1">
        <v>6902</v>
      </c>
    </row>
    <row r="103" spans="1:10">
      <c r="A103" s="1" t="s">
        <v>169</v>
      </c>
      <c r="B103" s="1" t="s">
        <v>170</v>
      </c>
      <c r="C103" s="1">
        <v>2019</v>
      </c>
      <c r="D103" s="1" t="s">
        <v>322</v>
      </c>
      <c r="E103" s="1" t="s">
        <v>605</v>
      </c>
      <c r="F103" s="1" t="s">
        <v>608</v>
      </c>
      <c r="G103" s="1" t="s">
        <v>174</v>
      </c>
      <c r="H103" s="1">
        <v>2018</v>
      </c>
      <c r="I103" s="1">
        <v>97</v>
      </c>
    </row>
    <row r="104" spans="1:10">
      <c r="A104" s="1" t="s">
        <v>169</v>
      </c>
      <c r="B104" s="1" t="s">
        <v>170</v>
      </c>
      <c r="C104" s="1">
        <v>2019</v>
      </c>
      <c r="D104" s="1" t="s">
        <v>322</v>
      </c>
      <c r="E104" s="1" t="s">
        <v>605</v>
      </c>
      <c r="F104" s="1" t="s">
        <v>609</v>
      </c>
      <c r="G104" s="1" t="s">
        <v>174</v>
      </c>
      <c r="H104" s="1">
        <v>2018</v>
      </c>
      <c r="I104" s="1">
        <v>16</v>
      </c>
    </row>
    <row r="105" spans="1:10">
      <c r="A105" s="1" t="s">
        <v>169</v>
      </c>
      <c r="B105" s="1" t="s">
        <v>170</v>
      </c>
      <c r="C105" s="1">
        <v>2019</v>
      </c>
      <c r="D105" s="1" t="s">
        <v>322</v>
      </c>
      <c r="E105" s="1" t="s">
        <v>605</v>
      </c>
      <c r="F105" s="1" t="s">
        <v>274</v>
      </c>
      <c r="G105" s="1" t="s">
        <v>174</v>
      </c>
      <c r="H105" s="1">
        <v>2018</v>
      </c>
      <c r="I105" s="1">
        <f>3946-I106</f>
        <v>3376</v>
      </c>
    </row>
    <row r="106" spans="1:10">
      <c r="A106" s="1" t="s">
        <v>169</v>
      </c>
      <c r="B106" s="1" t="s">
        <v>170</v>
      </c>
      <c r="C106" s="1">
        <v>2019</v>
      </c>
      <c r="D106" s="1" t="s">
        <v>322</v>
      </c>
      <c r="E106" s="1" t="s">
        <v>605</v>
      </c>
      <c r="F106" s="1" t="s">
        <v>616</v>
      </c>
      <c r="G106" s="1" t="s">
        <v>174</v>
      </c>
      <c r="H106" s="1">
        <v>2018</v>
      </c>
      <c r="I106" s="1">
        <v>570</v>
      </c>
      <c r="J106" s="1" t="s">
        <v>617</v>
      </c>
    </row>
    <row r="107" spans="1:10">
      <c r="A107" s="1" t="s">
        <v>169</v>
      </c>
      <c r="B107" s="1" t="s">
        <v>170</v>
      </c>
      <c r="C107" s="1">
        <v>2019</v>
      </c>
      <c r="D107" s="1" t="s">
        <v>322</v>
      </c>
      <c r="E107" s="1" t="s">
        <v>605</v>
      </c>
      <c r="F107" s="1" t="s">
        <v>603</v>
      </c>
      <c r="G107" s="1" t="s">
        <v>174</v>
      </c>
      <c r="H107" s="1">
        <v>2018</v>
      </c>
      <c r="I107" s="1">
        <v>82737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64"/>
  <sheetViews>
    <sheetView workbookViewId="0">
      <pane ySplit="1" topLeftCell="A132" activePane="bottomLeft" state="frozen"/>
      <selection pane="bottomLeft" activeCell="G153" sqref="G153"/>
    </sheetView>
  </sheetViews>
  <sheetFormatPr defaultColWidth="8.85546875" defaultRowHeight="14.45"/>
  <cols>
    <col min="1" max="1" width="10.140625" style="1" bestFit="1" customWidth="1"/>
    <col min="2" max="3" width="8.85546875" style="1"/>
    <col min="4" max="4" width="11.28515625" style="1" bestFit="1" customWidth="1"/>
    <col min="5" max="8" width="8.85546875" style="1"/>
    <col min="9" max="9" width="12.5703125" style="21" bestFit="1" customWidth="1"/>
    <col min="10" max="10" width="10.28515625" style="21" bestFit="1" customWidth="1"/>
    <col min="11" max="11" width="8.85546875" style="21"/>
    <col min="12" max="12" width="8.85546875" style="27"/>
    <col min="13" max="13" width="12.28515625" style="1" customWidth="1"/>
    <col min="14" max="16384" width="8.85546875" style="1"/>
  </cols>
  <sheetData>
    <row r="1" spans="1:13">
      <c r="A1" s="2" t="s">
        <v>149</v>
      </c>
      <c r="B1" s="2" t="s">
        <v>150</v>
      </c>
      <c r="C1" s="2" t="s">
        <v>151</v>
      </c>
      <c r="D1" s="2" t="s">
        <v>152</v>
      </c>
      <c r="E1" s="2" t="s">
        <v>599</v>
      </c>
      <c r="F1" s="2" t="s">
        <v>618</v>
      </c>
      <c r="G1" s="2" t="s">
        <v>600</v>
      </c>
      <c r="H1" s="2" t="s">
        <v>395</v>
      </c>
      <c r="I1" s="2" t="s">
        <v>619</v>
      </c>
      <c r="J1" s="2" t="s">
        <v>620</v>
      </c>
      <c r="K1" s="2" t="s">
        <v>621</v>
      </c>
      <c r="L1" s="37" t="s">
        <v>622</v>
      </c>
      <c r="M1" s="4" t="s">
        <v>168</v>
      </c>
    </row>
    <row r="2" spans="1:13">
      <c r="A2" s="1" t="s">
        <v>169</v>
      </c>
      <c r="B2" s="1" t="s">
        <v>170</v>
      </c>
      <c r="C2" s="1">
        <v>1991</v>
      </c>
      <c r="D2" s="1" t="s">
        <v>322</v>
      </c>
      <c r="E2" s="1" t="s">
        <v>623</v>
      </c>
      <c r="F2" s="1" t="s">
        <v>174</v>
      </c>
      <c r="G2" s="1" t="s">
        <v>603</v>
      </c>
      <c r="H2" s="1">
        <v>1989</v>
      </c>
      <c r="I2" s="21">
        <v>100</v>
      </c>
      <c r="J2" s="21" t="s">
        <v>174</v>
      </c>
      <c r="K2" s="21" t="s">
        <v>174</v>
      </c>
      <c r="L2" s="27" t="s">
        <v>174</v>
      </c>
      <c r="M2" s="1" t="s">
        <v>624</v>
      </c>
    </row>
    <row r="3" spans="1:13">
      <c r="A3" s="1" t="s">
        <v>169</v>
      </c>
      <c r="B3" s="1" t="s">
        <v>170</v>
      </c>
      <c r="C3" s="1">
        <v>1991</v>
      </c>
      <c r="D3" s="1" t="s">
        <v>322</v>
      </c>
      <c r="E3" s="1" t="s">
        <v>623</v>
      </c>
      <c r="F3" s="1" t="s">
        <v>174</v>
      </c>
      <c r="G3" s="1" t="s">
        <v>603</v>
      </c>
      <c r="H3" s="1">
        <v>1990</v>
      </c>
      <c r="I3" s="21">
        <v>100</v>
      </c>
      <c r="J3" s="21" t="s">
        <v>174</v>
      </c>
      <c r="K3" s="21" t="s">
        <v>174</v>
      </c>
      <c r="L3" s="27" t="s">
        <v>174</v>
      </c>
      <c r="M3" s="1" t="s">
        <v>624</v>
      </c>
    </row>
    <row r="4" spans="1:13">
      <c r="A4" s="1" t="s">
        <v>169</v>
      </c>
      <c r="B4" s="1" t="s">
        <v>170</v>
      </c>
      <c r="C4" s="1">
        <v>1991</v>
      </c>
      <c r="D4" s="1" t="s">
        <v>322</v>
      </c>
      <c r="E4" s="1" t="s">
        <v>623</v>
      </c>
      <c r="F4" s="1" t="s">
        <v>174</v>
      </c>
      <c r="G4" s="1" t="s">
        <v>603</v>
      </c>
      <c r="H4" s="1">
        <v>1991</v>
      </c>
      <c r="I4" s="21">
        <v>100</v>
      </c>
      <c r="J4" s="21" t="s">
        <v>174</v>
      </c>
      <c r="K4" s="21" t="s">
        <v>174</v>
      </c>
      <c r="L4" s="27" t="s">
        <v>174</v>
      </c>
      <c r="M4" s="1" t="s">
        <v>624</v>
      </c>
    </row>
    <row r="5" spans="1:13">
      <c r="A5" s="1" t="s">
        <v>169</v>
      </c>
      <c r="B5" s="1" t="s">
        <v>170</v>
      </c>
      <c r="C5" s="1">
        <v>1991</v>
      </c>
      <c r="D5" s="1" t="s">
        <v>322</v>
      </c>
      <c r="E5" s="1" t="s">
        <v>625</v>
      </c>
      <c r="F5" s="1" t="s">
        <v>174</v>
      </c>
      <c r="G5" s="1" t="s">
        <v>603</v>
      </c>
      <c r="H5" s="1">
        <v>1990</v>
      </c>
      <c r="I5" s="21">
        <v>65</v>
      </c>
      <c r="J5" s="21">
        <v>90</v>
      </c>
      <c r="K5" s="21">
        <f>24*1000</f>
        <v>24000</v>
      </c>
      <c r="L5" s="27" t="s">
        <v>174</v>
      </c>
      <c r="M5" s="1" t="s">
        <v>626</v>
      </c>
    </row>
    <row r="6" spans="1:13">
      <c r="A6" s="1" t="s">
        <v>169</v>
      </c>
      <c r="B6" s="1" t="s">
        <v>170</v>
      </c>
      <c r="C6" s="1">
        <v>1991</v>
      </c>
      <c r="D6" s="1" t="s">
        <v>322</v>
      </c>
      <c r="E6" s="1" t="s">
        <v>627</v>
      </c>
      <c r="F6" s="1" t="s">
        <v>174</v>
      </c>
      <c r="G6" s="1" t="s">
        <v>610</v>
      </c>
      <c r="H6" s="1">
        <v>1990</v>
      </c>
      <c r="I6" s="21">
        <v>4</v>
      </c>
      <c r="J6" s="21" t="s">
        <v>174</v>
      </c>
      <c r="K6" s="21">
        <f>2000</f>
        <v>2000</v>
      </c>
      <c r="L6" s="27" t="s">
        <v>174</v>
      </c>
      <c r="M6" s="1" t="s">
        <v>628</v>
      </c>
    </row>
    <row r="7" spans="1:13">
      <c r="A7" s="1" t="s">
        <v>169</v>
      </c>
      <c r="B7" s="1" t="s">
        <v>170</v>
      </c>
      <c r="C7" s="1">
        <v>1991</v>
      </c>
      <c r="D7" s="1" t="s">
        <v>322</v>
      </c>
      <c r="E7" s="1" t="s">
        <v>627</v>
      </c>
      <c r="F7" s="1" t="s">
        <v>174</v>
      </c>
      <c r="G7" s="1" t="s">
        <v>606</v>
      </c>
      <c r="H7" s="1">
        <v>1990</v>
      </c>
      <c r="I7" s="21">
        <v>20.5</v>
      </c>
      <c r="J7" s="21" t="s">
        <v>174</v>
      </c>
      <c r="K7" s="21" t="s">
        <v>174</v>
      </c>
      <c r="L7" s="27">
        <v>41</v>
      </c>
      <c r="M7" s="1" t="s">
        <v>629</v>
      </c>
    </row>
    <row r="8" spans="1:13">
      <c r="A8" s="1" t="s">
        <v>169</v>
      </c>
      <c r="B8" s="1" t="s">
        <v>170</v>
      </c>
      <c r="C8" s="1">
        <v>1991</v>
      </c>
      <c r="D8" s="1" t="s">
        <v>322</v>
      </c>
      <c r="E8" s="1" t="s">
        <v>627</v>
      </c>
      <c r="F8" s="1" t="s">
        <v>174</v>
      </c>
      <c r="G8" s="1" t="s">
        <v>607</v>
      </c>
      <c r="H8" s="1">
        <v>1990</v>
      </c>
      <c r="I8" s="21">
        <v>24.5</v>
      </c>
      <c r="J8" s="21" t="s">
        <v>174</v>
      </c>
      <c r="K8" s="21" t="s">
        <v>174</v>
      </c>
      <c r="L8" s="27">
        <v>49</v>
      </c>
      <c r="M8" s="1" t="s">
        <v>629</v>
      </c>
    </row>
    <row r="9" spans="1:13">
      <c r="A9" s="1" t="s">
        <v>169</v>
      </c>
      <c r="B9" s="1" t="s">
        <v>170</v>
      </c>
      <c r="C9" s="1">
        <v>1991</v>
      </c>
      <c r="D9" s="1" t="s">
        <v>322</v>
      </c>
      <c r="E9" s="1" t="s">
        <v>627</v>
      </c>
      <c r="F9" s="1" t="s">
        <v>174</v>
      </c>
      <c r="G9" s="1" t="s">
        <v>608</v>
      </c>
      <c r="H9" s="1">
        <v>1990</v>
      </c>
      <c r="I9" s="21">
        <v>1</v>
      </c>
      <c r="J9" s="21" t="s">
        <v>174</v>
      </c>
      <c r="K9" s="21" t="s">
        <v>174</v>
      </c>
      <c r="L9" s="27">
        <v>2</v>
      </c>
      <c r="M9" s="1" t="s">
        <v>629</v>
      </c>
    </row>
    <row r="10" spans="1:13">
      <c r="A10" s="1" t="s">
        <v>169</v>
      </c>
      <c r="B10" s="1" t="s">
        <v>170</v>
      </c>
      <c r="C10" s="1">
        <v>1991</v>
      </c>
      <c r="D10" s="1" t="s">
        <v>322</v>
      </c>
      <c r="E10" s="1" t="s">
        <v>627</v>
      </c>
      <c r="F10" s="1" t="s">
        <v>174</v>
      </c>
      <c r="G10" s="1" t="s">
        <v>609</v>
      </c>
      <c r="H10" s="1">
        <v>1990</v>
      </c>
      <c r="I10" s="21">
        <v>4</v>
      </c>
      <c r="J10" s="21" t="s">
        <v>174</v>
      </c>
      <c r="K10" s="21" t="s">
        <v>174</v>
      </c>
      <c r="L10" s="27">
        <v>8</v>
      </c>
      <c r="M10" s="1" t="s">
        <v>629</v>
      </c>
    </row>
    <row r="11" spans="1:13">
      <c r="A11" s="1" t="s">
        <v>169</v>
      </c>
      <c r="B11" s="1" t="s">
        <v>170</v>
      </c>
      <c r="C11" s="1">
        <v>1991</v>
      </c>
      <c r="D11" s="1" t="s">
        <v>322</v>
      </c>
      <c r="E11" s="1" t="s">
        <v>627</v>
      </c>
      <c r="F11" s="1" t="s">
        <v>174</v>
      </c>
      <c r="G11" s="1" t="s">
        <v>630</v>
      </c>
      <c r="H11" s="1">
        <v>1990</v>
      </c>
      <c r="I11" s="21">
        <f>I5-SUM(I6:I10)</f>
        <v>11</v>
      </c>
      <c r="J11" s="21" t="s">
        <v>174</v>
      </c>
      <c r="K11" s="21" t="s">
        <v>174</v>
      </c>
      <c r="L11" s="27">
        <v>8</v>
      </c>
      <c r="M11" s="1" t="s">
        <v>631</v>
      </c>
    </row>
    <row r="12" spans="1:13">
      <c r="A12" s="1" t="s">
        <v>169</v>
      </c>
      <c r="B12" s="1" t="s">
        <v>170</v>
      </c>
      <c r="C12" s="1">
        <v>1991</v>
      </c>
      <c r="D12" s="1" t="s">
        <v>322</v>
      </c>
      <c r="E12" s="1" t="s">
        <v>627</v>
      </c>
      <c r="F12" s="1" t="s">
        <v>174</v>
      </c>
      <c r="G12" s="1" t="s">
        <v>603</v>
      </c>
      <c r="H12" s="1">
        <v>1990</v>
      </c>
      <c r="I12" s="21">
        <f>SUM(I6:I10)</f>
        <v>54</v>
      </c>
      <c r="J12" s="21" t="s">
        <v>174</v>
      </c>
      <c r="K12" s="21" t="s">
        <v>174</v>
      </c>
      <c r="L12" s="27" t="s">
        <v>174</v>
      </c>
      <c r="M12" s="1" t="s">
        <v>632</v>
      </c>
    </row>
    <row r="13" spans="1:13">
      <c r="A13" s="1" t="s">
        <v>169</v>
      </c>
      <c r="B13" s="1" t="s">
        <v>170</v>
      </c>
      <c r="C13" s="1">
        <v>1993</v>
      </c>
      <c r="D13" s="1" t="s">
        <v>322</v>
      </c>
      <c r="E13" s="1" t="s">
        <v>623</v>
      </c>
      <c r="F13" s="1" t="s">
        <v>174</v>
      </c>
      <c r="G13" s="1" t="s">
        <v>603</v>
      </c>
      <c r="H13" s="1">
        <v>1992</v>
      </c>
      <c r="I13" s="21">
        <v>100</v>
      </c>
      <c r="J13" s="21" t="s">
        <v>174</v>
      </c>
      <c r="K13" s="21" t="s">
        <v>174</v>
      </c>
      <c r="L13" s="27" t="s">
        <v>174</v>
      </c>
      <c r="M13" s="1" t="s">
        <v>624</v>
      </c>
    </row>
    <row r="14" spans="1:13">
      <c r="A14" s="1" t="s">
        <v>169</v>
      </c>
      <c r="B14" s="1" t="s">
        <v>170</v>
      </c>
      <c r="C14" s="1">
        <v>1993</v>
      </c>
      <c r="D14" s="1" t="s">
        <v>322</v>
      </c>
      <c r="E14" s="1" t="s">
        <v>625</v>
      </c>
      <c r="F14" s="1" t="s">
        <v>174</v>
      </c>
      <c r="G14" s="1" t="s">
        <v>603</v>
      </c>
      <c r="H14" s="1">
        <v>1992</v>
      </c>
      <c r="I14" s="21">
        <v>65</v>
      </c>
      <c r="J14" s="21">
        <v>90</v>
      </c>
      <c r="K14" s="21">
        <v>24000</v>
      </c>
      <c r="L14" s="27" t="s">
        <v>174</v>
      </c>
    </row>
    <row r="15" spans="1:13">
      <c r="A15" s="1" t="s">
        <v>169</v>
      </c>
      <c r="B15" s="1" t="s">
        <v>170</v>
      </c>
      <c r="C15" s="1">
        <v>1993</v>
      </c>
      <c r="D15" s="1" t="s">
        <v>322</v>
      </c>
      <c r="E15" s="1" t="s">
        <v>627</v>
      </c>
      <c r="F15" s="1" t="s">
        <v>174</v>
      </c>
      <c r="G15" s="1" t="s">
        <v>610</v>
      </c>
      <c r="H15" s="1">
        <v>1992</v>
      </c>
      <c r="I15" s="21">
        <v>4</v>
      </c>
      <c r="J15" s="21" t="s">
        <v>174</v>
      </c>
      <c r="K15" s="21">
        <f>2000</f>
        <v>2000</v>
      </c>
      <c r="L15" s="27">
        <v>8</v>
      </c>
      <c r="M15" s="1" t="s">
        <v>633</v>
      </c>
    </row>
    <row r="16" spans="1:13">
      <c r="A16" s="1" t="s">
        <v>169</v>
      </c>
      <c r="B16" s="1" t="s">
        <v>170</v>
      </c>
      <c r="C16" s="1">
        <v>1993</v>
      </c>
      <c r="D16" s="1" t="s">
        <v>322</v>
      </c>
      <c r="E16" s="1" t="s">
        <v>627</v>
      </c>
      <c r="F16" s="1" t="s">
        <v>174</v>
      </c>
      <c r="G16" s="1" t="s">
        <v>606</v>
      </c>
      <c r="H16" s="1">
        <v>1992</v>
      </c>
      <c r="I16" s="21">
        <v>25.5</v>
      </c>
      <c r="J16" s="21" t="s">
        <v>174</v>
      </c>
      <c r="K16" s="21" t="s">
        <v>174</v>
      </c>
      <c r="L16" s="27">
        <v>51</v>
      </c>
      <c r="M16" s="1" t="s">
        <v>629</v>
      </c>
    </row>
    <row r="17" spans="1:13">
      <c r="A17" s="1" t="s">
        <v>169</v>
      </c>
      <c r="B17" s="1" t="s">
        <v>170</v>
      </c>
      <c r="C17" s="1">
        <v>1993</v>
      </c>
      <c r="D17" s="1" t="s">
        <v>322</v>
      </c>
      <c r="E17" s="1" t="s">
        <v>627</v>
      </c>
      <c r="F17" s="1" t="s">
        <v>174</v>
      </c>
      <c r="G17" s="1" t="s">
        <v>607</v>
      </c>
      <c r="H17" s="1">
        <v>1992</v>
      </c>
      <c r="I17" s="21">
        <v>12</v>
      </c>
      <c r="J17" s="21" t="s">
        <v>174</v>
      </c>
      <c r="K17" s="21" t="s">
        <v>174</v>
      </c>
      <c r="L17" s="27">
        <v>24</v>
      </c>
      <c r="M17" s="1" t="s">
        <v>629</v>
      </c>
    </row>
    <row r="18" spans="1:13">
      <c r="A18" s="1" t="s">
        <v>169</v>
      </c>
      <c r="B18" s="1" t="s">
        <v>170</v>
      </c>
      <c r="C18" s="1">
        <v>1993</v>
      </c>
      <c r="D18" s="1" t="s">
        <v>322</v>
      </c>
      <c r="E18" s="1" t="s">
        <v>627</v>
      </c>
      <c r="F18" s="1" t="s">
        <v>174</v>
      </c>
      <c r="G18" s="1" t="s">
        <v>608</v>
      </c>
      <c r="H18" s="1">
        <v>1992</v>
      </c>
      <c r="I18" s="21">
        <v>2.5</v>
      </c>
      <c r="J18" s="21" t="s">
        <v>174</v>
      </c>
      <c r="K18" s="21" t="s">
        <v>174</v>
      </c>
      <c r="L18" s="27">
        <v>5</v>
      </c>
      <c r="M18" s="1" t="s">
        <v>629</v>
      </c>
    </row>
    <row r="19" spans="1:13">
      <c r="A19" s="1" t="s">
        <v>169</v>
      </c>
      <c r="B19" s="1" t="s">
        <v>170</v>
      </c>
      <c r="C19" s="1">
        <v>1993</v>
      </c>
      <c r="D19" s="1" t="s">
        <v>322</v>
      </c>
      <c r="E19" s="1" t="s">
        <v>627</v>
      </c>
      <c r="F19" s="1" t="s">
        <v>174</v>
      </c>
      <c r="G19" s="1" t="s">
        <v>609</v>
      </c>
      <c r="H19" s="1">
        <v>1992</v>
      </c>
      <c r="I19" s="21">
        <v>6</v>
      </c>
      <c r="J19" s="21" t="s">
        <v>174</v>
      </c>
      <c r="K19" s="21" t="s">
        <v>174</v>
      </c>
      <c r="L19" s="27">
        <v>12</v>
      </c>
      <c r="M19" s="1" t="s">
        <v>629</v>
      </c>
    </row>
    <row r="20" spans="1:13">
      <c r="A20" s="1" t="s">
        <v>169</v>
      </c>
      <c r="B20" s="1" t="s">
        <v>170</v>
      </c>
      <c r="C20" s="1">
        <v>1993</v>
      </c>
      <c r="D20" s="1" t="s">
        <v>322</v>
      </c>
      <c r="E20" s="1" t="s">
        <v>627</v>
      </c>
      <c r="F20" s="1" t="s">
        <v>174</v>
      </c>
      <c r="G20" s="1" t="s">
        <v>630</v>
      </c>
      <c r="H20" s="1">
        <v>1992</v>
      </c>
      <c r="I20" s="28">
        <f>65-SUM(I15:I19)</f>
        <v>15</v>
      </c>
      <c r="J20" s="21" t="s">
        <v>174</v>
      </c>
      <c r="K20" s="21" t="s">
        <v>174</v>
      </c>
      <c r="L20" s="27" t="s">
        <v>174</v>
      </c>
      <c r="M20" s="1" t="s">
        <v>631</v>
      </c>
    </row>
    <row r="21" spans="1:13">
      <c r="A21" s="1" t="s">
        <v>169</v>
      </c>
      <c r="B21" s="1" t="s">
        <v>170</v>
      </c>
      <c r="C21" s="1">
        <v>1993</v>
      </c>
      <c r="D21" s="1" t="s">
        <v>322</v>
      </c>
      <c r="E21" s="1" t="s">
        <v>627</v>
      </c>
      <c r="F21" s="1" t="s">
        <v>174</v>
      </c>
      <c r="G21" s="1" t="s">
        <v>603</v>
      </c>
      <c r="H21" s="1">
        <v>1992</v>
      </c>
      <c r="I21" s="21">
        <f>SUM(I15:I19)</f>
        <v>50</v>
      </c>
      <c r="J21" s="21" t="s">
        <v>174</v>
      </c>
      <c r="K21" s="21" t="s">
        <v>174</v>
      </c>
      <c r="L21" s="27" t="s">
        <v>174</v>
      </c>
      <c r="M21" s="1" t="s">
        <v>632</v>
      </c>
    </row>
    <row r="22" spans="1:13">
      <c r="A22" s="1" t="s">
        <v>169</v>
      </c>
      <c r="B22" s="1" t="s">
        <v>170</v>
      </c>
      <c r="C22" s="1">
        <v>1995</v>
      </c>
      <c r="D22" s="1" t="s">
        <v>322</v>
      </c>
      <c r="E22" s="1" t="s">
        <v>623</v>
      </c>
      <c r="F22" s="1" t="s">
        <v>174</v>
      </c>
      <c r="G22" s="1" t="s">
        <v>603</v>
      </c>
      <c r="H22" s="1">
        <v>1994</v>
      </c>
      <c r="I22" s="21">
        <v>100</v>
      </c>
      <c r="J22" s="21" t="s">
        <v>174</v>
      </c>
      <c r="K22" s="21" t="s">
        <v>174</v>
      </c>
      <c r="L22" s="27" t="s">
        <v>174</v>
      </c>
      <c r="M22" s="1" t="s">
        <v>624</v>
      </c>
    </row>
    <row r="23" spans="1:13">
      <c r="A23" s="1" t="s">
        <v>169</v>
      </c>
      <c r="B23" s="1" t="s">
        <v>170</v>
      </c>
      <c r="C23" s="1">
        <v>1995</v>
      </c>
      <c r="D23" s="1" t="s">
        <v>322</v>
      </c>
      <c r="E23" s="1" t="s">
        <v>625</v>
      </c>
      <c r="F23" s="1" t="s">
        <v>174</v>
      </c>
      <c r="G23" s="1" t="s">
        <v>603</v>
      </c>
      <c r="H23" s="1">
        <v>1994</v>
      </c>
      <c r="I23" s="21">
        <v>65</v>
      </c>
      <c r="J23" s="21">
        <v>90</v>
      </c>
      <c r="K23" s="21">
        <v>24000</v>
      </c>
      <c r="L23" s="27" t="s">
        <v>174</v>
      </c>
    </row>
    <row r="24" spans="1:13">
      <c r="A24" s="1" t="s">
        <v>169</v>
      </c>
      <c r="B24" s="1" t="s">
        <v>170</v>
      </c>
      <c r="C24" s="1">
        <v>1995</v>
      </c>
      <c r="D24" s="1" t="s">
        <v>322</v>
      </c>
      <c r="E24" s="1" t="s">
        <v>627</v>
      </c>
      <c r="F24" s="1" t="s">
        <v>174</v>
      </c>
      <c r="G24" s="1" t="s">
        <v>610</v>
      </c>
      <c r="H24" s="1">
        <v>1994</v>
      </c>
      <c r="I24" s="21">
        <v>4</v>
      </c>
      <c r="J24" s="21" t="s">
        <v>174</v>
      </c>
      <c r="K24" s="21">
        <v>2000</v>
      </c>
      <c r="L24" s="27">
        <v>7.8</v>
      </c>
      <c r="M24" s="1" t="s">
        <v>634</v>
      </c>
    </row>
    <row r="25" spans="1:13">
      <c r="A25" s="1" t="s">
        <v>169</v>
      </c>
      <c r="B25" s="1" t="s">
        <v>170</v>
      </c>
      <c r="C25" s="1">
        <v>1995</v>
      </c>
      <c r="D25" s="1" t="s">
        <v>322</v>
      </c>
      <c r="E25" s="1" t="s">
        <v>627</v>
      </c>
      <c r="F25" s="1" t="s">
        <v>174</v>
      </c>
      <c r="G25" s="1" t="s">
        <v>606</v>
      </c>
      <c r="H25" s="1">
        <v>1994</v>
      </c>
      <c r="I25" s="21">
        <f>ROUND(L25*$I$24/$L$24,1)</f>
        <v>24.6</v>
      </c>
      <c r="J25" s="21" t="s">
        <v>174</v>
      </c>
      <c r="K25" s="21" t="s">
        <v>174</v>
      </c>
      <c r="L25" s="27">
        <v>48</v>
      </c>
      <c r="M25" s="1" t="s">
        <v>629</v>
      </c>
    </row>
    <row r="26" spans="1:13">
      <c r="A26" s="1" t="s">
        <v>169</v>
      </c>
      <c r="B26" s="1" t="s">
        <v>170</v>
      </c>
      <c r="C26" s="1">
        <v>1995</v>
      </c>
      <c r="D26" s="1" t="s">
        <v>322</v>
      </c>
      <c r="E26" s="1" t="s">
        <v>627</v>
      </c>
      <c r="F26" s="1" t="s">
        <v>174</v>
      </c>
      <c r="G26" s="1" t="s">
        <v>607</v>
      </c>
      <c r="H26" s="1">
        <v>1994</v>
      </c>
      <c r="I26" s="21">
        <f>ROUND(L26*$I$24/$L$24,1)</f>
        <v>13.3</v>
      </c>
      <c r="J26" s="21" t="s">
        <v>174</v>
      </c>
      <c r="K26" s="21" t="s">
        <v>174</v>
      </c>
      <c r="L26" s="27">
        <v>26</v>
      </c>
      <c r="M26" s="1" t="s">
        <v>629</v>
      </c>
    </row>
    <row r="27" spans="1:13">
      <c r="A27" s="1" t="s">
        <v>169</v>
      </c>
      <c r="B27" s="1" t="s">
        <v>170</v>
      </c>
      <c r="C27" s="1">
        <v>1995</v>
      </c>
      <c r="D27" s="1" t="s">
        <v>322</v>
      </c>
      <c r="E27" s="1" t="s">
        <v>627</v>
      </c>
      <c r="F27" s="1" t="s">
        <v>174</v>
      </c>
      <c r="G27" s="1" t="s">
        <v>608</v>
      </c>
      <c r="H27" s="1">
        <v>1994</v>
      </c>
      <c r="I27" s="21">
        <f>ROUND(L27*$I$24/$L$24,1)</f>
        <v>5.0999999999999996</v>
      </c>
      <c r="J27" s="21" t="s">
        <v>174</v>
      </c>
      <c r="K27" s="21" t="s">
        <v>174</v>
      </c>
      <c r="L27" s="27">
        <v>10</v>
      </c>
      <c r="M27" s="1" t="s">
        <v>629</v>
      </c>
    </row>
    <row r="28" spans="1:13">
      <c r="A28" s="1" t="s">
        <v>169</v>
      </c>
      <c r="B28" s="1" t="s">
        <v>170</v>
      </c>
      <c r="C28" s="1">
        <v>1995</v>
      </c>
      <c r="D28" s="1" t="s">
        <v>322</v>
      </c>
      <c r="E28" s="1" t="s">
        <v>627</v>
      </c>
      <c r="F28" s="1" t="s">
        <v>174</v>
      </c>
      <c r="G28" s="1" t="s">
        <v>609</v>
      </c>
      <c r="H28" s="1">
        <v>1994</v>
      </c>
      <c r="I28" s="21">
        <f>ROUND(L28*$I$24/$L$24,1)</f>
        <v>4.2</v>
      </c>
      <c r="J28" s="21" t="s">
        <v>174</v>
      </c>
      <c r="K28" s="21" t="s">
        <v>174</v>
      </c>
      <c r="L28" s="27">
        <v>8.1999999999999993</v>
      </c>
      <c r="M28" s="1" t="s">
        <v>635</v>
      </c>
    </row>
    <row r="29" spans="1:13">
      <c r="A29" s="1" t="s">
        <v>169</v>
      </c>
      <c r="B29" s="1" t="s">
        <v>170</v>
      </c>
      <c r="C29" s="1">
        <v>1995</v>
      </c>
      <c r="D29" s="1" t="s">
        <v>322</v>
      </c>
      <c r="E29" s="1" t="s">
        <v>627</v>
      </c>
      <c r="F29" s="1" t="s">
        <v>174</v>
      </c>
      <c r="G29" s="1" t="s">
        <v>603</v>
      </c>
      <c r="H29" s="1">
        <v>1994</v>
      </c>
      <c r="I29" s="21">
        <f>SUM(I24:I28)</f>
        <v>51.20000000000001</v>
      </c>
      <c r="J29" s="21" t="s">
        <v>174</v>
      </c>
      <c r="K29" s="21" t="s">
        <v>174</v>
      </c>
      <c r="L29" s="27" t="s">
        <v>174</v>
      </c>
      <c r="M29" s="1" t="s">
        <v>632</v>
      </c>
    </row>
    <row r="30" spans="1:13">
      <c r="A30" s="1" t="s">
        <v>169</v>
      </c>
      <c r="B30" s="1" t="s">
        <v>170</v>
      </c>
      <c r="C30" s="1">
        <v>1995</v>
      </c>
      <c r="D30" s="1" t="s">
        <v>322</v>
      </c>
      <c r="E30" s="1" t="s">
        <v>627</v>
      </c>
      <c r="F30" s="1" t="s">
        <v>174</v>
      </c>
      <c r="G30" s="1" t="s">
        <v>630</v>
      </c>
      <c r="H30" s="1">
        <v>1994</v>
      </c>
      <c r="I30" s="28">
        <f>I23-I29</f>
        <v>13.79999999999999</v>
      </c>
      <c r="J30" s="21" t="s">
        <v>174</v>
      </c>
      <c r="K30" s="21" t="s">
        <v>174</v>
      </c>
      <c r="L30" s="27" t="s">
        <v>174</v>
      </c>
      <c r="M30" s="1" t="s">
        <v>631</v>
      </c>
    </row>
    <row r="31" spans="1:13">
      <c r="A31" s="1" t="s">
        <v>169</v>
      </c>
      <c r="B31" s="1" t="s">
        <v>170</v>
      </c>
      <c r="C31" s="1">
        <v>1998</v>
      </c>
      <c r="D31" s="1" t="s">
        <v>322</v>
      </c>
      <c r="E31" s="1" t="s">
        <v>623</v>
      </c>
      <c r="F31" s="1" t="s">
        <v>174</v>
      </c>
      <c r="G31" s="1" t="s">
        <v>603</v>
      </c>
      <c r="H31" s="1">
        <v>1996</v>
      </c>
      <c r="I31" s="21">
        <v>100</v>
      </c>
      <c r="J31" s="21" t="s">
        <v>174</v>
      </c>
      <c r="K31" s="21" t="s">
        <v>174</v>
      </c>
      <c r="L31" s="27" t="s">
        <v>174</v>
      </c>
      <c r="M31" s="1" t="s">
        <v>624</v>
      </c>
    </row>
    <row r="32" spans="1:13">
      <c r="A32" s="1" t="s">
        <v>169</v>
      </c>
      <c r="B32" s="1" t="s">
        <v>170</v>
      </c>
      <c r="C32" s="1">
        <v>1998</v>
      </c>
      <c r="D32" s="1" t="s">
        <v>322</v>
      </c>
      <c r="E32" s="1" t="s">
        <v>625</v>
      </c>
      <c r="F32" s="1" t="s">
        <v>174</v>
      </c>
      <c r="G32" s="1" t="s">
        <v>603</v>
      </c>
      <c r="H32" s="1">
        <v>1996</v>
      </c>
      <c r="I32" s="21">
        <v>65</v>
      </c>
      <c r="J32" s="21">
        <v>90</v>
      </c>
      <c r="K32" s="21">
        <v>24000</v>
      </c>
      <c r="L32" s="27" t="s">
        <v>174</v>
      </c>
      <c r="M32" s="1" t="s">
        <v>636</v>
      </c>
    </row>
    <row r="33" spans="1:13">
      <c r="A33" s="1" t="s">
        <v>169</v>
      </c>
      <c r="B33" s="1" t="s">
        <v>170</v>
      </c>
      <c r="C33" s="1">
        <v>1998</v>
      </c>
      <c r="D33" s="1" t="s">
        <v>322</v>
      </c>
      <c r="E33" s="1" t="s">
        <v>627</v>
      </c>
      <c r="F33" s="1" t="s">
        <v>174</v>
      </c>
      <c r="G33" s="1" t="s">
        <v>610</v>
      </c>
      <c r="H33" s="1">
        <v>1996</v>
      </c>
      <c r="I33" s="21">
        <v>4</v>
      </c>
      <c r="J33" s="21" t="s">
        <v>174</v>
      </c>
      <c r="K33" s="21" t="s">
        <v>174</v>
      </c>
      <c r="L33" s="27">
        <v>7.6</v>
      </c>
      <c r="M33" s="1" t="s">
        <v>637</v>
      </c>
    </row>
    <row r="34" spans="1:13">
      <c r="A34" s="1" t="s">
        <v>169</v>
      </c>
      <c r="B34" s="1" t="s">
        <v>170</v>
      </c>
      <c r="C34" s="1">
        <v>1998</v>
      </c>
      <c r="D34" s="1" t="s">
        <v>322</v>
      </c>
      <c r="E34" s="1" t="s">
        <v>627</v>
      </c>
      <c r="F34" s="1" t="s">
        <v>174</v>
      </c>
      <c r="G34" s="1" t="s">
        <v>606</v>
      </c>
      <c r="H34" s="1">
        <v>1996</v>
      </c>
      <c r="I34" s="21">
        <f>ROUND(L34*$I$33/$L$33,1)</f>
        <v>25.7</v>
      </c>
      <c r="J34" s="21" t="s">
        <v>174</v>
      </c>
      <c r="K34" s="21" t="s">
        <v>174</v>
      </c>
      <c r="L34" s="27">
        <v>48.8</v>
      </c>
    </row>
    <row r="35" spans="1:13">
      <c r="A35" s="1" t="s">
        <v>169</v>
      </c>
      <c r="B35" s="1" t="s">
        <v>170</v>
      </c>
      <c r="C35" s="1">
        <v>1998</v>
      </c>
      <c r="D35" s="1" t="s">
        <v>322</v>
      </c>
      <c r="E35" s="1" t="s">
        <v>627</v>
      </c>
      <c r="F35" s="1" t="s">
        <v>174</v>
      </c>
      <c r="G35" s="1" t="s">
        <v>607</v>
      </c>
      <c r="H35" s="1">
        <v>1996</v>
      </c>
      <c r="I35" s="21">
        <f>ROUND(L35*$I$33/$L$33,1)</f>
        <v>12.3</v>
      </c>
      <c r="J35" s="21" t="s">
        <v>174</v>
      </c>
      <c r="K35" s="21" t="s">
        <v>174</v>
      </c>
      <c r="L35" s="27">
        <v>23.3</v>
      </c>
    </row>
    <row r="36" spans="1:13">
      <c r="A36" s="1" t="s">
        <v>169</v>
      </c>
      <c r="B36" s="1" t="s">
        <v>170</v>
      </c>
      <c r="C36" s="1">
        <v>1998</v>
      </c>
      <c r="D36" s="1" t="s">
        <v>322</v>
      </c>
      <c r="E36" s="1" t="s">
        <v>627</v>
      </c>
      <c r="F36" s="1" t="s">
        <v>174</v>
      </c>
      <c r="G36" s="1" t="s">
        <v>608</v>
      </c>
      <c r="H36" s="1">
        <v>1996</v>
      </c>
      <c r="I36" s="21">
        <f>ROUND(L36*$I$33/$L$33,1)</f>
        <v>5.0999999999999996</v>
      </c>
      <c r="J36" s="21" t="s">
        <v>174</v>
      </c>
      <c r="K36" s="21" t="s">
        <v>174</v>
      </c>
      <c r="L36" s="27">
        <v>9.6999999999999993</v>
      </c>
    </row>
    <row r="37" spans="1:13">
      <c r="A37" s="1" t="s">
        <v>169</v>
      </c>
      <c r="B37" s="1" t="s">
        <v>170</v>
      </c>
      <c r="C37" s="1">
        <v>1998</v>
      </c>
      <c r="D37" s="1" t="s">
        <v>322</v>
      </c>
      <c r="E37" s="1" t="s">
        <v>627</v>
      </c>
      <c r="F37" s="1" t="s">
        <v>174</v>
      </c>
      <c r="G37" s="1" t="s">
        <v>609</v>
      </c>
      <c r="H37" s="1">
        <v>1996</v>
      </c>
      <c r="I37" s="21">
        <f>ROUND(L37*$I$33/$L$33,1)</f>
        <v>5.6</v>
      </c>
      <c r="J37" s="21" t="s">
        <v>174</v>
      </c>
      <c r="K37" s="21" t="s">
        <v>174</v>
      </c>
      <c r="L37" s="27">
        <v>10.6</v>
      </c>
    </row>
    <row r="38" spans="1:13">
      <c r="A38" s="1" t="s">
        <v>169</v>
      </c>
      <c r="B38" s="1" t="s">
        <v>170</v>
      </c>
      <c r="C38" s="1">
        <v>1998</v>
      </c>
      <c r="D38" s="1" t="s">
        <v>322</v>
      </c>
      <c r="E38" s="1" t="s">
        <v>627</v>
      </c>
      <c r="F38" s="1" t="s">
        <v>174</v>
      </c>
      <c r="G38" s="1" t="s">
        <v>603</v>
      </c>
      <c r="H38" s="1">
        <v>1996</v>
      </c>
      <c r="I38" s="21">
        <f>SUM(I33:I37)</f>
        <v>52.7</v>
      </c>
      <c r="J38" s="21" t="s">
        <v>174</v>
      </c>
      <c r="K38" s="21" t="s">
        <v>174</v>
      </c>
      <c r="L38" s="27" t="s">
        <v>174</v>
      </c>
    </row>
    <row r="39" spans="1:13">
      <c r="A39" s="1" t="s">
        <v>169</v>
      </c>
      <c r="B39" s="1" t="s">
        <v>170</v>
      </c>
      <c r="C39" s="1">
        <v>1998</v>
      </c>
      <c r="D39" s="1" t="s">
        <v>322</v>
      </c>
      <c r="E39" s="1" t="s">
        <v>627</v>
      </c>
      <c r="F39" s="1" t="s">
        <v>174</v>
      </c>
      <c r="G39" s="1" t="s">
        <v>630</v>
      </c>
      <c r="H39" s="1">
        <v>1996</v>
      </c>
      <c r="I39" s="21">
        <f>I32-I38</f>
        <v>12.299999999999997</v>
      </c>
      <c r="J39" s="21" t="s">
        <v>174</v>
      </c>
      <c r="K39" s="21" t="s">
        <v>174</v>
      </c>
      <c r="L39" s="27" t="s">
        <v>174</v>
      </c>
    </row>
    <row r="40" spans="1:13">
      <c r="A40" s="1" t="s">
        <v>169</v>
      </c>
      <c r="B40" s="1" t="s">
        <v>170</v>
      </c>
      <c r="C40" s="1">
        <v>2002</v>
      </c>
      <c r="D40" s="1" t="s">
        <v>322</v>
      </c>
      <c r="E40" s="1" t="s">
        <v>623</v>
      </c>
      <c r="F40" s="1" t="s">
        <v>174</v>
      </c>
      <c r="G40" s="1" t="s">
        <v>603</v>
      </c>
      <c r="H40" s="1">
        <v>2001</v>
      </c>
      <c r="I40" s="21">
        <v>100</v>
      </c>
      <c r="J40" s="21" t="s">
        <v>174</v>
      </c>
      <c r="K40" s="21" t="s">
        <v>174</v>
      </c>
      <c r="L40" s="27" t="s">
        <v>174</v>
      </c>
    </row>
    <row r="41" spans="1:13">
      <c r="A41" s="1" t="s">
        <v>169</v>
      </c>
      <c r="B41" s="1" t="s">
        <v>170</v>
      </c>
      <c r="C41" s="1">
        <v>2002</v>
      </c>
      <c r="D41" s="1" t="s">
        <v>322</v>
      </c>
      <c r="E41" s="1" t="s">
        <v>625</v>
      </c>
      <c r="F41" s="1" t="s">
        <v>174</v>
      </c>
      <c r="G41" s="1" t="s">
        <v>603</v>
      </c>
      <c r="H41" s="1">
        <v>2001</v>
      </c>
      <c r="I41" s="21">
        <f>ROUND(K41/365,1)</f>
        <v>68.5</v>
      </c>
      <c r="J41" s="21">
        <v>90</v>
      </c>
      <c r="K41" s="21">
        <v>25000</v>
      </c>
      <c r="L41" s="27" t="s">
        <v>174</v>
      </c>
      <c r="M41" s="1" t="s">
        <v>638</v>
      </c>
    </row>
    <row r="42" spans="1:13">
      <c r="A42" s="1" t="s">
        <v>169</v>
      </c>
      <c r="B42" s="1" t="s">
        <v>170</v>
      </c>
      <c r="C42" s="1">
        <v>2002</v>
      </c>
      <c r="D42" s="1" t="s">
        <v>322</v>
      </c>
      <c r="E42" s="1" t="s">
        <v>627</v>
      </c>
      <c r="F42" s="1" t="s">
        <v>174</v>
      </c>
      <c r="G42" s="1" t="s">
        <v>610</v>
      </c>
      <c r="H42" s="1">
        <v>2001</v>
      </c>
      <c r="I42" s="21">
        <f>ROUND(K42/365,1)</f>
        <v>2.7</v>
      </c>
      <c r="J42" s="21" t="s">
        <v>174</v>
      </c>
      <c r="K42" s="21">
        <v>1000</v>
      </c>
      <c r="L42" s="27">
        <v>5.03</v>
      </c>
    </row>
    <row r="43" spans="1:13">
      <c r="A43" s="1" t="s">
        <v>169</v>
      </c>
      <c r="B43" s="1" t="s">
        <v>170</v>
      </c>
      <c r="C43" s="1">
        <v>2002</v>
      </c>
      <c r="D43" s="1" t="s">
        <v>322</v>
      </c>
      <c r="E43" s="1" t="s">
        <v>627</v>
      </c>
      <c r="F43" s="1" t="s">
        <v>174</v>
      </c>
      <c r="G43" s="1" t="s">
        <v>606</v>
      </c>
      <c r="H43" s="1">
        <v>2001</v>
      </c>
      <c r="I43" s="21">
        <f>ROUND(L43*$I$42/$L$42,1)</f>
        <v>27.1</v>
      </c>
      <c r="J43" s="21" t="s">
        <v>174</v>
      </c>
      <c r="K43" s="21" t="s">
        <v>174</v>
      </c>
      <c r="L43" s="27">
        <v>50.5</v>
      </c>
    </row>
    <row r="44" spans="1:13">
      <c r="A44" s="1" t="s">
        <v>169</v>
      </c>
      <c r="B44" s="1" t="s">
        <v>170</v>
      </c>
      <c r="C44" s="1">
        <v>2002</v>
      </c>
      <c r="D44" s="1" t="s">
        <v>322</v>
      </c>
      <c r="E44" s="1" t="s">
        <v>627</v>
      </c>
      <c r="F44" s="1" t="s">
        <v>174</v>
      </c>
      <c r="G44" s="1" t="s">
        <v>607</v>
      </c>
      <c r="H44" s="1">
        <v>2001</v>
      </c>
      <c r="I44" s="21">
        <f t="shared" ref="I44:I46" si="0">ROUND(L44*$I$42/$L$42,1)</f>
        <v>16.600000000000001</v>
      </c>
      <c r="J44" s="21" t="s">
        <v>174</v>
      </c>
      <c r="K44" s="21" t="s">
        <v>174</v>
      </c>
      <c r="L44" s="27">
        <v>30.9</v>
      </c>
      <c r="M44" s="1" t="s">
        <v>639</v>
      </c>
    </row>
    <row r="45" spans="1:13">
      <c r="A45" s="1" t="s">
        <v>169</v>
      </c>
      <c r="B45" s="1" t="s">
        <v>170</v>
      </c>
      <c r="C45" s="1">
        <v>2002</v>
      </c>
      <c r="D45" s="1" t="s">
        <v>322</v>
      </c>
      <c r="E45" s="1" t="s">
        <v>627</v>
      </c>
      <c r="F45" s="1" t="s">
        <v>174</v>
      </c>
      <c r="G45" s="1" t="s">
        <v>608</v>
      </c>
      <c r="H45" s="1">
        <v>2001</v>
      </c>
      <c r="I45" s="21">
        <f t="shared" si="0"/>
        <v>4.7</v>
      </c>
      <c r="J45" s="21" t="s">
        <v>174</v>
      </c>
      <c r="K45" s="21" t="s">
        <v>174</v>
      </c>
      <c r="L45" s="27">
        <v>8.6999999999999993</v>
      </c>
    </row>
    <row r="46" spans="1:13">
      <c r="A46" s="1" t="s">
        <v>169</v>
      </c>
      <c r="B46" s="1" t="s">
        <v>170</v>
      </c>
      <c r="C46" s="1">
        <v>2002</v>
      </c>
      <c r="D46" s="1" t="s">
        <v>322</v>
      </c>
      <c r="E46" s="1" t="s">
        <v>627</v>
      </c>
      <c r="F46" s="1" t="s">
        <v>174</v>
      </c>
      <c r="G46" s="1" t="s">
        <v>609</v>
      </c>
      <c r="H46" s="1">
        <v>2001</v>
      </c>
      <c r="I46" s="21">
        <f t="shared" si="0"/>
        <v>2.6</v>
      </c>
      <c r="J46" s="21" t="s">
        <v>174</v>
      </c>
      <c r="K46" s="21" t="s">
        <v>174</v>
      </c>
      <c r="L46" s="27">
        <f>9.9-5.03</f>
        <v>4.87</v>
      </c>
      <c r="M46" s="1" t="s">
        <v>640</v>
      </c>
    </row>
    <row r="47" spans="1:13">
      <c r="A47" s="1" t="s">
        <v>169</v>
      </c>
      <c r="B47" s="1" t="s">
        <v>170</v>
      </c>
      <c r="C47" s="1">
        <v>2002</v>
      </c>
      <c r="D47" s="1" t="s">
        <v>322</v>
      </c>
      <c r="E47" s="1" t="s">
        <v>627</v>
      </c>
      <c r="F47" s="1" t="s">
        <v>174</v>
      </c>
      <c r="G47" s="1" t="s">
        <v>603</v>
      </c>
      <c r="H47" s="1">
        <v>2001</v>
      </c>
      <c r="I47" s="21">
        <f>SUM(I42:I46)</f>
        <v>53.70000000000001</v>
      </c>
      <c r="J47" s="21" t="s">
        <v>174</v>
      </c>
      <c r="K47" s="21" t="s">
        <v>174</v>
      </c>
      <c r="L47" s="27">
        <v>100</v>
      </c>
    </row>
    <row r="48" spans="1:13">
      <c r="A48" s="1" t="s">
        <v>169</v>
      </c>
      <c r="B48" s="1" t="s">
        <v>170</v>
      </c>
      <c r="C48" s="1">
        <v>2002</v>
      </c>
      <c r="D48" s="1" t="s">
        <v>322</v>
      </c>
      <c r="E48" s="1" t="s">
        <v>627</v>
      </c>
      <c r="F48" s="1" t="s">
        <v>174</v>
      </c>
      <c r="G48" s="1" t="s">
        <v>630</v>
      </c>
      <c r="H48" s="1">
        <v>2001</v>
      </c>
      <c r="I48" s="21">
        <f>I41-I47</f>
        <v>14.79999999999999</v>
      </c>
      <c r="J48" s="21" t="s">
        <v>174</v>
      </c>
      <c r="K48" s="21" t="s">
        <v>174</v>
      </c>
      <c r="L48" s="27" t="s">
        <v>174</v>
      </c>
    </row>
    <row r="49" spans="1:14">
      <c r="A49" s="1" t="s">
        <v>169</v>
      </c>
      <c r="B49" s="1" t="s">
        <v>170</v>
      </c>
      <c r="C49" s="1">
        <v>2003</v>
      </c>
      <c r="D49" s="1" t="s">
        <v>322</v>
      </c>
      <c r="E49" s="1" t="s">
        <v>623</v>
      </c>
      <c r="F49" s="1" t="s">
        <v>174</v>
      </c>
      <c r="G49" s="1" t="s">
        <v>603</v>
      </c>
      <c r="H49" s="1">
        <v>2002</v>
      </c>
      <c r="I49" s="21">
        <v>100</v>
      </c>
      <c r="J49" s="21" t="s">
        <v>174</v>
      </c>
      <c r="K49" s="21" t="s">
        <v>174</v>
      </c>
      <c r="L49" s="27" t="s">
        <v>174</v>
      </c>
      <c r="M49" s="1" t="s">
        <v>641</v>
      </c>
    </row>
    <row r="50" spans="1:14">
      <c r="A50" s="1" t="s">
        <v>169</v>
      </c>
      <c r="B50" s="1" t="s">
        <v>170</v>
      </c>
      <c r="C50" s="1">
        <v>2003</v>
      </c>
      <c r="D50" s="1" t="s">
        <v>322</v>
      </c>
      <c r="E50" s="1" t="s">
        <v>625</v>
      </c>
      <c r="F50" s="1" t="s">
        <v>174</v>
      </c>
      <c r="G50" s="1" t="s">
        <v>603</v>
      </c>
      <c r="H50" s="1">
        <v>2002</v>
      </c>
      <c r="I50" s="21">
        <v>73</v>
      </c>
      <c r="J50" s="21">
        <v>95</v>
      </c>
      <c r="K50" s="21">
        <v>26000</v>
      </c>
      <c r="L50" s="27" t="s">
        <v>174</v>
      </c>
      <c r="M50" s="1" t="s">
        <v>642</v>
      </c>
    </row>
    <row r="51" spans="1:14">
      <c r="A51" s="1" t="s">
        <v>169</v>
      </c>
      <c r="B51" s="1" t="s">
        <v>170</v>
      </c>
      <c r="C51" s="1">
        <v>2003</v>
      </c>
      <c r="D51" s="1" t="s">
        <v>322</v>
      </c>
      <c r="E51" s="1" t="s">
        <v>627</v>
      </c>
      <c r="F51" s="1" t="s">
        <v>174</v>
      </c>
      <c r="G51" s="1" t="s">
        <v>610</v>
      </c>
      <c r="H51" s="1">
        <v>2002</v>
      </c>
      <c r="I51" s="21">
        <f>ROUND(K51/365,1)</f>
        <v>2.7</v>
      </c>
      <c r="J51" s="21" t="s">
        <v>174</v>
      </c>
      <c r="K51" s="21">
        <v>1000</v>
      </c>
      <c r="L51" s="27">
        <v>5</v>
      </c>
      <c r="M51" s="1" t="s">
        <v>643</v>
      </c>
    </row>
    <row r="52" spans="1:14">
      <c r="A52" s="1" t="s">
        <v>169</v>
      </c>
      <c r="B52" s="1" t="s">
        <v>170</v>
      </c>
      <c r="C52" s="1">
        <v>2003</v>
      </c>
      <c r="D52" s="1" t="s">
        <v>322</v>
      </c>
      <c r="E52" s="1" t="s">
        <v>627</v>
      </c>
      <c r="F52" s="1" t="s">
        <v>174</v>
      </c>
      <c r="G52" s="1" t="s">
        <v>606</v>
      </c>
      <c r="H52" s="1">
        <v>2002</v>
      </c>
      <c r="I52" s="21">
        <f>ROUND(L52*$I$51/$L$51,1)</f>
        <v>23</v>
      </c>
      <c r="J52" s="21" t="s">
        <v>174</v>
      </c>
      <c r="K52" s="31" t="s">
        <v>174</v>
      </c>
      <c r="L52" s="27">
        <v>42.6</v>
      </c>
    </row>
    <row r="53" spans="1:14">
      <c r="A53" s="1" t="s">
        <v>169</v>
      </c>
      <c r="B53" s="1" t="s">
        <v>170</v>
      </c>
      <c r="C53" s="1">
        <v>2003</v>
      </c>
      <c r="D53" s="1" t="s">
        <v>322</v>
      </c>
      <c r="E53" s="1" t="s">
        <v>627</v>
      </c>
      <c r="F53" s="1" t="s">
        <v>174</v>
      </c>
      <c r="G53" s="1" t="s">
        <v>607</v>
      </c>
      <c r="H53" s="1">
        <v>2002</v>
      </c>
      <c r="I53" s="21">
        <f t="shared" ref="I53:I55" si="1">ROUND(L53*$I$51/$L$51,1)</f>
        <v>23.8</v>
      </c>
      <c r="J53" s="21" t="s">
        <v>174</v>
      </c>
      <c r="K53" s="31" t="s">
        <v>174</v>
      </c>
      <c r="L53" s="27">
        <v>44</v>
      </c>
      <c r="M53" s="1" t="s">
        <v>639</v>
      </c>
    </row>
    <row r="54" spans="1:14">
      <c r="A54" s="1" t="s">
        <v>169</v>
      </c>
      <c r="B54" s="1" t="s">
        <v>170</v>
      </c>
      <c r="C54" s="1">
        <v>2003</v>
      </c>
      <c r="D54" s="1" t="s">
        <v>322</v>
      </c>
      <c r="E54" s="1" t="s">
        <v>627</v>
      </c>
      <c r="F54" s="1" t="s">
        <v>174</v>
      </c>
      <c r="G54" s="1" t="s">
        <v>608</v>
      </c>
      <c r="H54" s="1">
        <v>2002</v>
      </c>
      <c r="I54" s="21">
        <f t="shared" si="1"/>
        <v>3.3</v>
      </c>
      <c r="J54" s="21" t="s">
        <v>174</v>
      </c>
      <c r="K54" s="31" t="s">
        <v>174</v>
      </c>
      <c r="L54" s="27">
        <v>6.2</v>
      </c>
    </row>
    <row r="55" spans="1:14">
      <c r="A55" s="1" t="s">
        <v>169</v>
      </c>
      <c r="B55" s="1" t="s">
        <v>170</v>
      </c>
      <c r="C55" s="1">
        <v>2003</v>
      </c>
      <c r="D55" s="1" t="s">
        <v>322</v>
      </c>
      <c r="E55" s="1" t="s">
        <v>627</v>
      </c>
      <c r="F55" s="1" t="s">
        <v>174</v>
      </c>
      <c r="G55" s="1" t="s">
        <v>609</v>
      </c>
      <c r="H55" s="1">
        <v>2002</v>
      </c>
      <c r="I55" s="21">
        <f t="shared" si="1"/>
        <v>1.2</v>
      </c>
      <c r="J55" s="21" t="s">
        <v>174</v>
      </c>
      <c r="K55" s="31" t="s">
        <v>174</v>
      </c>
      <c r="L55" s="27">
        <v>2.2000000000000002</v>
      </c>
      <c r="M55" s="1" t="s">
        <v>644</v>
      </c>
    </row>
    <row r="56" spans="1:14">
      <c r="A56" s="1" t="s">
        <v>169</v>
      </c>
      <c r="B56" s="1" t="s">
        <v>170</v>
      </c>
      <c r="C56" s="1">
        <v>2003</v>
      </c>
      <c r="D56" s="1" t="s">
        <v>322</v>
      </c>
      <c r="E56" s="1" t="s">
        <v>627</v>
      </c>
      <c r="F56" s="1" t="s">
        <v>174</v>
      </c>
      <c r="G56" s="1" t="s">
        <v>603</v>
      </c>
      <c r="H56" s="1">
        <v>2002</v>
      </c>
      <c r="I56" s="21">
        <f>SUM(I51:I55)</f>
        <v>54</v>
      </c>
      <c r="J56" s="21" t="s">
        <v>174</v>
      </c>
      <c r="K56" s="31" t="s">
        <v>174</v>
      </c>
      <c r="L56" s="27">
        <v>100</v>
      </c>
      <c r="M56" s="1" t="s">
        <v>645</v>
      </c>
    </row>
    <row r="57" spans="1:14">
      <c r="A57" s="1" t="s">
        <v>169</v>
      </c>
      <c r="B57" s="1" t="s">
        <v>170</v>
      </c>
      <c r="C57" s="1">
        <v>2003</v>
      </c>
      <c r="D57" s="1" t="s">
        <v>322</v>
      </c>
      <c r="E57" s="1" t="s">
        <v>627</v>
      </c>
      <c r="F57" s="1" t="s">
        <v>174</v>
      </c>
      <c r="G57" s="1" t="s">
        <v>630</v>
      </c>
      <c r="H57" s="1">
        <v>2002</v>
      </c>
      <c r="I57" s="21">
        <f>I50-I56</f>
        <v>19</v>
      </c>
      <c r="J57" s="21" t="s">
        <v>174</v>
      </c>
      <c r="K57" s="31" t="s">
        <v>174</v>
      </c>
      <c r="L57" s="27" t="s">
        <v>174</v>
      </c>
    </row>
    <row r="58" spans="1:14">
      <c r="A58" s="1" t="s">
        <v>169</v>
      </c>
      <c r="B58" s="1" t="s">
        <v>170</v>
      </c>
      <c r="C58" s="1">
        <v>2005</v>
      </c>
      <c r="D58" s="1" t="s">
        <v>322</v>
      </c>
      <c r="E58" s="1" t="s">
        <v>623</v>
      </c>
      <c r="F58" s="1" t="s">
        <v>174</v>
      </c>
      <c r="G58" s="1" t="s">
        <v>603</v>
      </c>
      <c r="H58" s="1">
        <v>2004</v>
      </c>
      <c r="I58" s="21">
        <v>100</v>
      </c>
      <c r="J58" s="21" t="s">
        <v>174</v>
      </c>
      <c r="K58" s="21" t="s">
        <v>174</v>
      </c>
      <c r="L58" s="27" t="s">
        <v>174</v>
      </c>
      <c r="M58" s="1" t="s">
        <v>641</v>
      </c>
    </row>
    <row r="59" spans="1:14">
      <c r="A59" s="1" t="s">
        <v>169</v>
      </c>
      <c r="B59" s="1" t="s">
        <v>170</v>
      </c>
      <c r="C59" s="1">
        <v>2005</v>
      </c>
      <c r="D59" s="1" t="s">
        <v>322</v>
      </c>
      <c r="E59" s="1" t="s">
        <v>625</v>
      </c>
      <c r="F59" s="1" t="s">
        <v>174</v>
      </c>
      <c r="G59" s="1" t="s">
        <v>603</v>
      </c>
      <c r="H59" s="1">
        <v>2004</v>
      </c>
      <c r="I59" s="21">
        <v>70.5</v>
      </c>
      <c r="J59" s="21">
        <v>99</v>
      </c>
      <c r="K59" s="21">
        <v>26000</v>
      </c>
      <c r="L59" s="27" t="s">
        <v>174</v>
      </c>
      <c r="M59" s="1" t="s">
        <v>646</v>
      </c>
    </row>
    <row r="60" spans="1:14">
      <c r="A60" s="1" t="s">
        <v>169</v>
      </c>
      <c r="B60" s="1" t="s">
        <v>170</v>
      </c>
      <c r="C60" s="1">
        <v>2005</v>
      </c>
      <c r="D60" s="1" t="s">
        <v>322</v>
      </c>
      <c r="E60" s="1" t="s">
        <v>627</v>
      </c>
      <c r="F60" s="1" t="s">
        <v>174</v>
      </c>
      <c r="G60" s="1" t="s">
        <v>610</v>
      </c>
      <c r="H60" s="1">
        <v>2004</v>
      </c>
      <c r="I60" s="21">
        <f>ROUND(K60/365,1)</f>
        <v>3.3</v>
      </c>
      <c r="J60" s="21" t="s">
        <v>174</v>
      </c>
      <c r="K60" s="21">
        <v>1200</v>
      </c>
      <c r="L60" s="27">
        <v>6</v>
      </c>
      <c r="M60" s="1" t="s">
        <v>647</v>
      </c>
    </row>
    <row r="61" spans="1:14">
      <c r="A61" s="1" t="s">
        <v>169</v>
      </c>
      <c r="B61" s="1" t="s">
        <v>170</v>
      </c>
      <c r="C61" s="1">
        <v>2005</v>
      </c>
      <c r="D61" s="1" t="s">
        <v>322</v>
      </c>
      <c r="E61" s="1" t="s">
        <v>627</v>
      </c>
      <c r="F61" s="1" t="s">
        <v>174</v>
      </c>
      <c r="G61" s="1" t="s">
        <v>606</v>
      </c>
      <c r="H61" s="1">
        <v>2004</v>
      </c>
      <c r="I61" s="21">
        <f>ROUND(L61*$I$60/$L$60,1)</f>
        <v>22.3</v>
      </c>
      <c r="J61" s="21" t="s">
        <v>174</v>
      </c>
      <c r="K61" s="31" t="s">
        <v>174</v>
      </c>
      <c r="L61" s="27">
        <v>40.5</v>
      </c>
      <c r="N61" s="32"/>
    </row>
    <row r="62" spans="1:14">
      <c r="A62" s="1" t="s">
        <v>169</v>
      </c>
      <c r="B62" s="1" t="s">
        <v>170</v>
      </c>
      <c r="C62" s="1">
        <v>2005</v>
      </c>
      <c r="D62" s="1" t="s">
        <v>322</v>
      </c>
      <c r="E62" s="1" t="s">
        <v>627</v>
      </c>
      <c r="F62" s="1" t="s">
        <v>174</v>
      </c>
      <c r="G62" s="1" t="s">
        <v>607</v>
      </c>
      <c r="H62" s="1">
        <v>2004</v>
      </c>
      <c r="I62" s="21">
        <f t="shared" ref="I62:I64" si="2">ROUND(L62*$I$60/$L$60,1)</f>
        <v>24</v>
      </c>
      <c r="J62" s="21" t="s">
        <v>174</v>
      </c>
      <c r="K62" s="31" t="s">
        <v>174</v>
      </c>
      <c r="L62" s="27">
        <v>43.6</v>
      </c>
    </row>
    <row r="63" spans="1:14">
      <c r="A63" s="1" t="s">
        <v>169</v>
      </c>
      <c r="B63" s="1" t="s">
        <v>170</v>
      </c>
      <c r="C63" s="1">
        <v>2005</v>
      </c>
      <c r="D63" s="1" t="s">
        <v>322</v>
      </c>
      <c r="E63" s="1" t="s">
        <v>627</v>
      </c>
      <c r="F63" s="1" t="s">
        <v>174</v>
      </c>
      <c r="G63" s="1" t="s">
        <v>608</v>
      </c>
      <c r="H63" s="1">
        <v>2004</v>
      </c>
      <c r="I63" s="21">
        <f t="shared" si="2"/>
        <v>3.5</v>
      </c>
      <c r="J63" s="21" t="s">
        <v>174</v>
      </c>
      <c r="K63" s="31" t="s">
        <v>174</v>
      </c>
      <c r="L63" s="27">
        <v>6.4</v>
      </c>
    </row>
    <row r="64" spans="1:14">
      <c r="A64" s="1" t="s">
        <v>169</v>
      </c>
      <c r="B64" s="1" t="s">
        <v>170</v>
      </c>
      <c r="C64" s="1">
        <v>2005</v>
      </c>
      <c r="D64" s="1" t="s">
        <v>322</v>
      </c>
      <c r="E64" s="1" t="s">
        <v>627</v>
      </c>
      <c r="F64" s="1" t="s">
        <v>174</v>
      </c>
      <c r="G64" s="1" t="s">
        <v>609</v>
      </c>
      <c r="H64" s="1">
        <v>2004</v>
      </c>
      <c r="I64" s="21">
        <f t="shared" si="2"/>
        <v>1.9</v>
      </c>
      <c r="J64" s="21" t="s">
        <v>174</v>
      </c>
      <c r="K64" s="31" t="s">
        <v>174</v>
      </c>
      <c r="L64" s="27">
        <f>9.5-L60</f>
        <v>3.5</v>
      </c>
      <c r="M64" s="1" t="s">
        <v>648</v>
      </c>
    </row>
    <row r="65" spans="1:13">
      <c r="A65" s="1" t="s">
        <v>169</v>
      </c>
      <c r="B65" s="1" t="s">
        <v>170</v>
      </c>
      <c r="C65" s="1">
        <v>2005</v>
      </c>
      <c r="D65" s="1" t="s">
        <v>322</v>
      </c>
      <c r="E65" s="1" t="s">
        <v>627</v>
      </c>
      <c r="F65" s="1" t="s">
        <v>174</v>
      </c>
      <c r="G65" s="1" t="s">
        <v>603</v>
      </c>
      <c r="H65" s="1">
        <v>2004</v>
      </c>
      <c r="I65" s="21">
        <f>SUM(I60:I64)</f>
        <v>55</v>
      </c>
      <c r="J65" s="21" t="s">
        <v>174</v>
      </c>
      <c r="K65" s="31" t="s">
        <v>174</v>
      </c>
      <c r="L65" s="27">
        <v>100</v>
      </c>
    </row>
    <row r="66" spans="1:13">
      <c r="A66" s="1" t="s">
        <v>169</v>
      </c>
      <c r="B66" s="1" t="s">
        <v>170</v>
      </c>
      <c r="C66" s="1">
        <v>2005</v>
      </c>
      <c r="D66" s="1" t="s">
        <v>322</v>
      </c>
      <c r="E66" s="1" t="s">
        <v>627</v>
      </c>
      <c r="F66" s="1" t="s">
        <v>174</v>
      </c>
      <c r="G66" s="1" t="s">
        <v>630</v>
      </c>
      <c r="H66" s="1">
        <v>2004</v>
      </c>
      <c r="I66" s="21">
        <f>I59-I65</f>
        <v>15.5</v>
      </c>
      <c r="J66" s="21" t="s">
        <v>174</v>
      </c>
      <c r="K66" s="31" t="s">
        <v>174</v>
      </c>
      <c r="L66" s="27" t="s">
        <v>174</v>
      </c>
      <c r="M66" s="1" t="s">
        <v>649</v>
      </c>
    </row>
    <row r="67" spans="1:13">
      <c r="A67" s="1" t="s">
        <v>169</v>
      </c>
      <c r="B67" s="1" t="s">
        <v>170</v>
      </c>
      <c r="C67" s="1">
        <v>2007</v>
      </c>
      <c r="D67" s="1" t="s">
        <v>322</v>
      </c>
      <c r="E67" s="1" t="s">
        <v>623</v>
      </c>
      <c r="F67" s="1" t="s">
        <v>174</v>
      </c>
      <c r="G67" s="1" t="s">
        <v>603</v>
      </c>
      <c r="H67" s="1">
        <v>2005</v>
      </c>
      <c r="I67" s="21">
        <v>100</v>
      </c>
      <c r="J67" s="21" t="s">
        <v>174</v>
      </c>
      <c r="K67" s="21" t="s">
        <v>174</v>
      </c>
      <c r="L67" s="27" t="s">
        <v>174</v>
      </c>
    </row>
    <row r="68" spans="1:13">
      <c r="A68" s="1" t="s">
        <v>169</v>
      </c>
      <c r="B68" s="1" t="s">
        <v>170</v>
      </c>
      <c r="C68" s="1">
        <v>2007</v>
      </c>
      <c r="D68" s="1" t="s">
        <v>322</v>
      </c>
      <c r="E68" s="1" t="s">
        <v>625</v>
      </c>
      <c r="F68" s="1" t="s">
        <v>174</v>
      </c>
      <c r="G68" s="1" t="s">
        <v>603</v>
      </c>
      <c r="H68" s="1">
        <v>2005</v>
      </c>
      <c r="I68" s="21">
        <v>72.8</v>
      </c>
      <c r="J68" s="21">
        <v>99.17</v>
      </c>
      <c r="K68" s="21">
        <v>26000</v>
      </c>
      <c r="L68" s="27" t="s">
        <v>174</v>
      </c>
      <c r="M68" s="1" t="s">
        <v>650</v>
      </c>
    </row>
    <row r="69" spans="1:13">
      <c r="A69" s="1" t="s">
        <v>169</v>
      </c>
      <c r="B69" s="1" t="s">
        <v>170</v>
      </c>
      <c r="C69" s="1">
        <v>2007</v>
      </c>
      <c r="D69" s="1" t="s">
        <v>322</v>
      </c>
      <c r="E69" s="1" t="s">
        <v>627</v>
      </c>
      <c r="F69" s="1" t="s">
        <v>174</v>
      </c>
      <c r="G69" s="1" t="s">
        <v>610</v>
      </c>
      <c r="H69" s="1">
        <v>2005</v>
      </c>
      <c r="I69" s="21">
        <f>ROUND(K69/365,1)</f>
        <v>3.3</v>
      </c>
      <c r="J69" s="21" t="s">
        <v>174</v>
      </c>
      <c r="K69" s="21">
        <v>1200</v>
      </c>
      <c r="L69" s="27" t="s">
        <v>174</v>
      </c>
      <c r="M69" s="1" t="s">
        <v>651</v>
      </c>
    </row>
    <row r="70" spans="1:13">
      <c r="A70" s="1" t="s">
        <v>169</v>
      </c>
      <c r="B70" s="1" t="s">
        <v>170</v>
      </c>
      <c r="C70" s="1">
        <v>2007</v>
      </c>
      <c r="D70" s="1" t="s">
        <v>322</v>
      </c>
      <c r="E70" s="1" t="s">
        <v>627</v>
      </c>
      <c r="F70" s="1" t="s">
        <v>174</v>
      </c>
      <c r="G70" s="1" t="s">
        <v>606</v>
      </c>
      <c r="H70" s="1">
        <v>2005</v>
      </c>
      <c r="I70" s="21" t="s">
        <v>174</v>
      </c>
      <c r="J70" s="21" t="s">
        <v>174</v>
      </c>
      <c r="K70" s="31" t="s">
        <v>174</v>
      </c>
      <c r="L70" s="27">
        <v>39.200000000000003</v>
      </c>
    </row>
    <row r="71" spans="1:13">
      <c r="A71" s="1" t="s">
        <v>169</v>
      </c>
      <c r="B71" s="1" t="s">
        <v>170</v>
      </c>
      <c r="C71" s="1">
        <v>2007</v>
      </c>
      <c r="D71" s="1" t="s">
        <v>322</v>
      </c>
      <c r="E71" s="1" t="s">
        <v>627</v>
      </c>
      <c r="F71" s="1" t="s">
        <v>174</v>
      </c>
      <c r="G71" s="1" t="s">
        <v>607</v>
      </c>
      <c r="H71" s="1">
        <v>2005</v>
      </c>
      <c r="I71" s="21" t="s">
        <v>174</v>
      </c>
      <c r="J71" s="21" t="s">
        <v>174</v>
      </c>
      <c r="K71" s="31" t="s">
        <v>174</v>
      </c>
      <c r="L71" s="27">
        <v>46.2</v>
      </c>
    </row>
    <row r="72" spans="1:13">
      <c r="A72" s="1" t="s">
        <v>169</v>
      </c>
      <c r="B72" s="1" t="s">
        <v>170</v>
      </c>
      <c r="C72" s="1">
        <v>2007</v>
      </c>
      <c r="D72" s="1" t="s">
        <v>322</v>
      </c>
      <c r="E72" s="1" t="s">
        <v>627</v>
      </c>
      <c r="F72" s="1" t="s">
        <v>174</v>
      </c>
      <c r="G72" s="1" t="s">
        <v>608</v>
      </c>
      <c r="H72" s="1">
        <v>2005</v>
      </c>
      <c r="I72" s="21" t="s">
        <v>174</v>
      </c>
      <c r="J72" s="21" t="s">
        <v>174</v>
      </c>
      <c r="K72" s="31" t="s">
        <v>174</v>
      </c>
      <c r="L72" s="27">
        <v>5.9</v>
      </c>
    </row>
    <row r="73" spans="1:13">
      <c r="A73" s="1" t="s">
        <v>169</v>
      </c>
      <c r="B73" s="1" t="s">
        <v>170</v>
      </c>
      <c r="C73" s="1">
        <v>2007</v>
      </c>
      <c r="D73" s="1" t="s">
        <v>322</v>
      </c>
      <c r="E73" s="1" t="s">
        <v>627</v>
      </c>
      <c r="F73" s="1" t="s">
        <v>174</v>
      </c>
      <c r="G73" s="1" t="s">
        <v>609</v>
      </c>
      <c r="H73" s="1">
        <v>2005</v>
      </c>
      <c r="I73" s="21" t="s">
        <v>174</v>
      </c>
      <c r="J73" s="21" t="s">
        <v>174</v>
      </c>
      <c r="K73" s="31" t="s">
        <v>174</v>
      </c>
      <c r="L73" s="27">
        <v>8.6999999999999993</v>
      </c>
    </row>
    <row r="74" spans="1:13">
      <c r="A74" s="1" t="s">
        <v>169</v>
      </c>
      <c r="B74" s="1" t="s">
        <v>170</v>
      </c>
      <c r="C74" s="1">
        <v>2007</v>
      </c>
      <c r="D74" s="1" t="s">
        <v>322</v>
      </c>
      <c r="E74" s="1" t="s">
        <v>627</v>
      </c>
      <c r="F74" s="1" t="s">
        <v>174</v>
      </c>
      <c r="G74" s="1" t="s">
        <v>603</v>
      </c>
      <c r="H74" s="1">
        <v>2005</v>
      </c>
      <c r="I74" s="21" t="s">
        <v>174</v>
      </c>
      <c r="J74" s="21" t="s">
        <v>174</v>
      </c>
      <c r="K74" s="31" t="s">
        <v>174</v>
      </c>
      <c r="L74" s="27">
        <v>100</v>
      </c>
    </row>
    <row r="75" spans="1:13">
      <c r="A75" s="1" t="s">
        <v>169</v>
      </c>
      <c r="B75" s="1" t="s">
        <v>170</v>
      </c>
      <c r="C75" s="1">
        <v>2007</v>
      </c>
      <c r="D75" s="1" t="s">
        <v>322</v>
      </c>
      <c r="E75" s="1" t="s">
        <v>627</v>
      </c>
      <c r="F75" s="1" t="s">
        <v>174</v>
      </c>
      <c r="G75" s="1" t="s">
        <v>630</v>
      </c>
      <c r="H75" s="1">
        <v>2005</v>
      </c>
      <c r="I75" s="21" t="s">
        <v>174</v>
      </c>
      <c r="J75" s="21" t="s">
        <v>174</v>
      </c>
      <c r="K75" s="31" t="s">
        <v>174</v>
      </c>
      <c r="L75" s="27" t="s">
        <v>174</v>
      </c>
    </row>
    <row r="76" spans="1:13">
      <c r="A76" s="1" t="s">
        <v>169</v>
      </c>
      <c r="B76" s="1" t="s">
        <v>170</v>
      </c>
      <c r="C76" s="1">
        <v>2008</v>
      </c>
      <c r="D76" s="1" t="s">
        <v>322</v>
      </c>
      <c r="E76" s="1" t="s">
        <v>623</v>
      </c>
      <c r="F76" s="1" t="s">
        <v>174</v>
      </c>
      <c r="G76" s="1" t="s">
        <v>603</v>
      </c>
      <c r="H76" s="1">
        <v>2007</v>
      </c>
      <c r="I76" s="21">
        <v>100</v>
      </c>
      <c r="J76" s="21" t="s">
        <v>174</v>
      </c>
      <c r="K76" s="21" t="s">
        <v>174</v>
      </c>
      <c r="L76" s="27" t="s">
        <v>174</v>
      </c>
    </row>
    <row r="77" spans="1:13">
      <c r="A77" s="1" t="s">
        <v>169</v>
      </c>
      <c r="B77" s="1" t="s">
        <v>170</v>
      </c>
      <c r="C77" s="1">
        <v>2008</v>
      </c>
      <c r="D77" s="1" t="s">
        <v>322</v>
      </c>
      <c r="E77" s="1" t="s">
        <v>625</v>
      </c>
      <c r="F77" s="1" t="s">
        <v>174</v>
      </c>
      <c r="G77" s="1" t="s">
        <v>603</v>
      </c>
      <c r="H77" s="1">
        <v>2007</v>
      </c>
      <c r="I77" s="21">
        <v>76.2</v>
      </c>
      <c r="J77" s="21">
        <v>92.1</v>
      </c>
      <c r="K77" s="21">
        <v>26000</v>
      </c>
      <c r="L77" s="27" t="s">
        <v>174</v>
      </c>
      <c r="M77" s="1" t="s">
        <v>651</v>
      </c>
    </row>
    <row r="78" spans="1:13">
      <c r="A78" s="1" t="s">
        <v>169</v>
      </c>
      <c r="B78" s="1" t="s">
        <v>170</v>
      </c>
      <c r="C78" s="1">
        <v>2008</v>
      </c>
      <c r="D78" s="1" t="s">
        <v>322</v>
      </c>
      <c r="E78" s="1" t="s">
        <v>627</v>
      </c>
      <c r="F78" s="1" t="s">
        <v>174</v>
      </c>
      <c r="G78" s="1" t="s">
        <v>610</v>
      </c>
      <c r="H78" s="1">
        <v>2007</v>
      </c>
      <c r="I78" s="21" t="s">
        <v>174</v>
      </c>
      <c r="J78" s="21" t="s">
        <v>174</v>
      </c>
      <c r="K78" s="21">
        <v>1200</v>
      </c>
      <c r="L78" s="27" t="s">
        <v>174</v>
      </c>
    </row>
    <row r="79" spans="1:13">
      <c r="A79" s="1" t="s">
        <v>169</v>
      </c>
      <c r="B79" s="1" t="s">
        <v>170</v>
      </c>
      <c r="C79" s="1">
        <v>2008</v>
      </c>
      <c r="D79" s="1" t="s">
        <v>322</v>
      </c>
      <c r="E79" s="1" t="s">
        <v>627</v>
      </c>
      <c r="F79" s="1" t="s">
        <v>174</v>
      </c>
      <c r="G79" s="1" t="s">
        <v>606</v>
      </c>
      <c r="H79" s="1">
        <v>2007</v>
      </c>
      <c r="I79" s="21" t="s">
        <v>174</v>
      </c>
      <c r="J79" s="21" t="s">
        <v>174</v>
      </c>
      <c r="K79" s="31" t="s">
        <v>174</v>
      </c>
      <c r="L79" s="27">
        <v>39.049999999999997</v>
      </c>
    </row>
    <row r="80" spans="1:13">
      <c r="A80" s="1" t="s">
        <v>169</v>
      </c>
      <c r="B80" s="1" t="s">
        <v>170</v>
      </c>
      <c r="C80" s="1">
        <v>2008</v>
      </c>
      <c r="D80" s="1" t="s">
        <v>322</v>
      </c>
      <c r="E80" s="1" t="s">
        <v>627</v>
      </c>
      <c r="F80" s="1" t="s">
        <v>174</v>
      </c>
      <c r="G80" s="1" t="s">
        <v>607</v>
      </c>
      <c r="H80" s="1">
        <v>2007</v>
      </c>
      <c r="I80" s="21" t="s">
        <v>174</v>
      </c>
      <c r="J80" s="21" t="s">
        <v>174</v>
      </c>
      <c r="K80" s="31" t="s">
        <v>174</v>
      </c>
      <c r="L80" s="27">
        <v>43.34</v>
      </c>
    </row>
    <row r="81" spans="1:13">
      <c r="A81" s="1" t="s">
        <v>169</v>
      </c>
      <c r="B81" s="1" t="s">
        <v>170</v>
      </c>
      <c r="C81" s="1">
        <v>2008</v>
      </c>
      <c r="D81" s="1" t="s">
        <v>322</v>
      </c>
      <c r="E81" s="1" t="s">
        <v>627</v>
      </c>
      <c r="F81" s="1" t="s">
        <v>174</v>
      </c>
      <c r="G81" s="1" t="s">
        <v>608</v>
      </c>
      <c r="H81" s="1">
        <v>2007</v>
      </c>
      <c r="I81" s="21" t="s">
        <v>174</v>
      </c>
      <c r="J81" s="21" t="s">
        <v>174</v>
      </c>
      <c r="K81" s="31" t="s">
        <v>174</v>
      </c>
      <c r="L81" s="27">
        <v>7.76</v>
      </c>
    </row>
    <row r="82" spans="1:13">
      <c r="A82" s="1" t="s">
        <v>169</v>
      </c>
      <c r="B82" s="1" t="s">
        <v>170</v>
      </c>
      <c r="C82" s="1">
        <v>2008</v>
      </c>
      <c r="D82" s="1" t="s">
        <v>322</v>
      </c>
      <c r="E82" s="1" t="s">
        <v>627</v>
      </c>
      <c r="F82" s="1" t="s">
        <v>174</v>
      </c>
      <c r="G82" s="1" t="s">
        <v>609</v>
      </c>
      <c r="H82" s="1">
        <v>2007</v>
      </c>
      <c r="I82" s="21" t="s">
        <v>174</v>
      </c>
      <c r="J82" s="21" t="s">
        <v>174</v>
      </c>
      <c r="K82" s="31" t="s">
        <v>174</v>
      </c>
      <c r="L82" s="27">
        <v>9.85</v>
      </c>
    </row>
    <row r="83" spans="1:13">
      <c r="A83" s="1" t="s">
        <v>169</v>
      </c>
      <c r="B83" s="1" t="s">
        <v>170</v>
      </c>
      <c r="C83" s="1">
        <v>2008</v>
      </c>
      <c r="D83" s="1" t="s">
        <v>322</v>
      </c>
      <c r="E83" s="1" t="s">
        <v>627</v>
      </c>
      <c r="F83" s="1" t="s">
        <v>174</v>
      </c>
      <c r="G83" s="1" t="s">
        <v>603</v>
      </c>
      <c r="H83" s="1">
        <v>2007</v>
      </c>
      <c r="I83" s="21" t="s">
        <v>174</v>
      </c>
      <c r="J83" s="21" t="s">
        <v>174</v>
      </c>
      <c r="K83" s="31" t="s">
        <v>174</v>
      </c>
      <c r="L83" s="27">
        <v>100</v>
      </c>
    </row>
    <row r="84" spans="1:13">
      <c r="A84" s="1" t="s">
        <v>169</v>
      </c>
      <c r="B84" s="1" t="s">
        <v>170</v>
      </c>
      <c r="C84" s="1">
        <v>2008</v>
      </c>
      <c r="D84" s="1" t="s">
        <v>322</v>
      </c>
      <c r="E84" s="1" t="s">
        <v>627</v>
      </c>
      <c r="F84" s="1" t="s">
        <v>174</v>
      </c>
      <c r="G84" s="1" t="s">
        <v>630</v>
      </c>
      <c r="H84" s="1">
        <v>2007</v>
      </c>
      <c r="I84" s="21" t="s">
        <v>174</v>
      </c>
      <c r="J84" s="21" t="s">
        <v>174</v>
      </c>
      <c r="K84" s="31" t="s">
        <v>174</v>
      </c>
      <c r="L84" s="27" t="s">
        <v>174</v>
      </c>
    </row>
    <row r="85" spans="1:13">
      <c r="A85" s="1" t="s">
        <v>169</v>
      </c>
      <c r="B85" s="1" t="s">
        <v>170</v>
      </c>
      <c r="C85" s="1">
        <v>2008</v>
      </c>
      <c r="D85" s="1" t="s">
        <v>322</v>
      </c>
      <c r="E85" s="1" t="s">
        <v>623</v>
      </c>
      <c r="F85" s="1" t="s">
        <v>174</v>
      </c>
      <c r="G85" s="1" t="s">
        <v>603</v>
      </c>
      <c r="H85" s="1">
        <v>2008</v>
      </c>
      <c r="I85" s="21">
        <v>100</v>
      </c>
      <c r="J85" s="21" t="s">
        <v>174</v>
      </c>
      <c r="K85" s="21" t="s">
        <v>174</v>
      </c>
      <c r="L85" s="27" t="s">
        <v>174</v>
      </c>
    </row>
    <row r="86" spans="1:13">
      <c r="A86" s="1" t="s">
        <v>169</v>
      </c>
      <c r="B86" s="1" t="s">
        <v>170</v>
      </c>
      <c r="C86" s="1">
        <v>2008</v>
      </c>
      <c r="D86" s="1" t="s">
        <v>322</v>
      </c>
      <c r="E86" s="1" t="s">
        <v>625</v>
      </c>
      <c r="F86" s="1" t="s">
        <v>174</v>
      </c>
      <c r="G86" s="1" t="s">
        <v>603</v>
      </c>
      <c r="H86" s="1">
        <v>2008</v>
      </c>
      <c r="I86" s="21">
        <v>72</v>
      </c>
      <c r="J86" s="21">
        <v>94.9</v>
      </c>
      <c r="K86" s="21">
        <v>26000</v>
      </c>
      <c r="L86" s="27" t="s">
        <v>174</v>
      </c>
      <c r="M86" s="1" t="s">
        <v>651</v>
      </c>
    </row>
    <row r="87" spans="1:13">
      <c r="A87" s="1" t="s">
        <v>169</v>
      </c>
      <c r="B87" s="1" t="s">
        <v>170</v>
      </c>
      <c r="C87" s="1">
        <v>2008</v>
      </c>
      <c r="D87" s="1" t="s">
        <v>322</v>
      </c>
      <c r="E87" s="1" t="s">
        <v>627</v>
      </c>
      <c r="F87" s="1" t="s">
        <v>174</v>
      </c>
      <c r="G87" s="1" t="s">
        <v>610</v>
      </c>
      <c r="H87" s="1">
        <v>2008</v>
      </c>
      <c r="I87" s="21" t="s">
        <v>174</v>
      </c>
      <c r="J87" s="21" t="s">
        <v>174</v>
      </c>
      <c r="K87" s="21">
        <v>1200</v>
      </c>
      <c r="L87" s="27" t="s">
        <v>174</v>
      </c>
    </row>
    <row r="88" spans="1:13">
      <c r="A88" s="1" t="s">
        <v>169</v>
      </c>
      <c r="B88" s="1" t="s">
        <v>170</v>
      </c>
      <c r="C88" s="1">
        <v>2008</v>
      </c>
      <c r="D88" s="1" t="s">
        <v>322</v>
      </c>
      <c r="E88" s="1" t="s">
        <v>627</v>
      </c>
      <c r="F88" s="1" t="s">
        <v>174</v>
      </c>
      <c r="G88" s="1" t="s">
        <v>606</v>
      </c>
      <c r="H88" s="1">
        <v>2008</v>
      </c>
      <c r="I88" s="21" t="s">
        <v>174</v>
      </c>
      <c r="J88" s="21" t="s">
        <v>174</v>
      </c>
      <c r="K88" s="31" t="s">
        <v>174</v>
      </c>
      <c r="L88" s="27">
        <v>36.97</v>
      </c>
    </row>
    <row r="89" spans="1:13">
      <c r="A89" s="1" t="s">
        <v>169</v>
      </c>
      <c r="B89" s="1" t="s">
        <v>170</v>
      </c>
      <c r="C89" s="1">
        <v>2008</v>
      </c>
      <c r="D89" s="1" t="s">
        <v>322</v>
      </c>
      <c r="E89" s="1" t="s">
        <v>627</v>
      </c>
      <c r="F89" s="1" t="s">
        <v>174</v>
      </c>
      <c r="G89" s="1" t="s">
        <v>607</v>
      </c>
      <c r="H89" s="1">
        <v>2008</v>
      </c>
      <c r="I89" s="21" t="s">
        <v>174</v>
      </c>
      <c r="J89" s="21" t="s">
        <v>174</v>
      </c>
      <c r="K89" s="31" t="s">
        <v>174</v>
      </c>
      <c r="L89" s="27">
        <v>56.73</v>
      </c>
    </row>
    <row r="90" spans="1:13">
      <c r="A90" s="1" t="s">
        <v>169</v>
      </c>
      <c r="B90" s="1" t="s">
        <v>170</v>
      </c>
      <c r="C90" s="1">
        <v>2008</v>
      </c>
      <c r="D90" s="1" t="s">
        <v>322</v>
      </c>
      <c r="E90" s="1" t="s">
        <v>627</v>
      </c>
      <c r="F90" s="1" t="s">
        <v>174</v>
      </c>
      <c r="G90" s="1" t="s">
        <v>608</v>
      </c>
      <c r="H90" s="1">
        <v>2008</v>
      </c>
      <c r="I90" s="21" t="s">
        <v>174</v>
      </c>
      <c r="J90" s="21" t="s">
        <v>174</v>
      </c>
      <c r="K90" s="31" t="s">
        <v>174</v>
      </c>
      <c r="L90" s="27">
        <v>2.4500000000000002</v>
      </c>
    </row>
    <row r="91" spans="1:13">
      <c r="A91" s="1" t="s">
        <v>169</v>
      </c>
      <c r="B91" s="1" t="s">
        <v>170</v>
      </c>
      <c r="C91" s="1">
        <v>2008</v>
      </c>
      <c r="D91" s="1" t="s">
        <v>322</v>
      </c>
      <c r="E91" s="1" t="s">
        <v>627</v>
      </c>
      <c r="F91" s="1" t="s">
        <v>174</v>
      </c>
      <c r="G91" s="1" t="s">
        <v>609</v>
      </c>
      <c r="H91" s="1">
        <v>2008</v>
      </c>
      <c r="I91" s="21" t="s">
        <v>174</v>
      </c>
      <c r="J91" s="21" t="s">
        <v>174</v>
      </c>
      <c r="K91" s="31" t="s">
        <v>174</v>
      </c>
      <c r="L91" s="27">
        <v>3.85</v>
      </c>
    </row>
    <row r="92" spans="1:13">
      <c r="A92" s="1" t="s">
        <v>169</v>
      </c>
      <c r="B92" s="1" t="s">
        <v>170</v>
      </c>
      <c r="C92" s="1">
        <v>2008</v>
      </c>
      <c r="D92" s="1" t="s">
        <v>322</v>
      </c>
      <c r="E92" s="1" t="s">
        <v>627</v>
      </c>
      <c r="F92" s="1" t="s">
        <v>174</v>
      </c>
      <c r="G92" s="1" t="s">
        <v>603</v>
      </c>
      <c r="H92" s="1">
        <v>2008</v>
      </c>
      <c r="I92" s="21" t="s">
        <v>174</v>
      </c>
      <c r="J92" s="21" t="s">
        <v>174</v>
      </c>
      <c r="K92" s="31" t="s">
        <v>174</v>
      </c>
      <c r="L92" s="27">
        <v>100</v>
      </c>
    </row>
    <row r="93" spans="1:13">
      <c r="A93" s="1" t="s">
        <v>169</v>
      </c>
      <c r="B93" s="1" t="s">
        <v>170</v>
      </c>
      <c r="C93" s="1">
        <v>2008</v>
      </c>
      <c r="D93" s="1" t="s">
        <v>322</v>
      </c>
      <c r="E93" s="1" t="s">
        <v>627</v>
      </c>
      <c r="F93" s="1" t="s">
        <v>174</v>
      </c>
      <c r="G93" s="1" t="s">
        <v>630</v>
      </c>
      <c r="H93" s="1">
        <v>2008</v>
      </c>
      <c r="I93" s="21" t="s">
        <v>174</v>
      </c>
      <c r="J93" s="21" t="s">
        <v>174</v>
      </c>
      <c r="K93" s="31" t="s">
        <v>174</v>
      </c>
      <c r="L93" s="27" t="s">
        <v>174</v>
      </c>
    </row>
    <row r="94" spans="1:13">
      <c r="A94" s="1" t="s">
        <v>169</v>
      </c>
      <c r="B94" s="1" t="s">
        <v>170</v>
      </c>
      <c r="C94" s="1">
        <v>2010</v>
      </c>
      <c r="D94" s="1" t="s">
        <v>322</v>
      </c>
      <c r="E94" s="1" t="s">
        <v>623</v>
      </c>
      <c r="F94" s="1" t="s">
        <v>174</v>
      </c>
      <c r="G94" s="1" t="s">
        <v>603</v>
      </c>
      <c r="H94" s="1">
        <v>2008</v>
      </c>
      <c r="I94" s="21">
        <v>100</v>
      </c>
      <c r="J94" s="21" t="s">
        <v>174</v>
      </c>
      <c r="K94" s="21" t="s">
        <v>174</v>
      </c>
      <c r="L94" s="27" t="s">
        <v>174</v>
      </c>
    </row>
    <row r="95" spans="1:13">
      <c r="A95" s="1" t="s">
        <v>169</v>
      </c>
      <c r="B95" s="1" t="s">
        <v>170</v>
      </c>
      <c r="C95" s="1">
        <v>2010</v>
      </c>
      <c r="D95" s="1" t="s">
        <v>322</v>
      </c>
      <c r="E95" s="1" t="s">
        <v>625</v>
      </c>
      <c r="F95" s="1" t="s">
        <v>174</v>
      </c>
      <c r="G95" s="1" t="s">
        <v>603</v>
      </c>
      <c r="H95" s="1">
        <v>2008</v>
      </c>
      <c r="I95" s="21">
        <v>70.099999999999994</v>
      </c>
      <c r="J95" s="21">
        <v>91</v>
      </c>
      <c r="K95" s="21">
        <v>26000</v>
      </c>
      <c r="L95" s="27" t="s">
        <v>174</v>
      </c>
    </row>
    <row r="96" spans="1:13">
      <c r="A96" s="1" t="s">
        <v>169</v>
      </c>
      <c r="B96" s="1" t="s">
        <v>170</v>
      </c>
      <c r="C96" s="1">
        <v>2010</v>
      </c>
      <c r="D96" s="1" t="s">
        <v>322</v>
      </c>
      <c r="E96" s="1" t="s">
        <v>627</v>
      </c>
      <c r="F96" s="1" t="s">
        <v>174</v>
      </c>
      <c r="G96" s="1" t="s">
        <v>610</v>
      </c>
      <c r="H96" s="1">
        <v>2008</v>
      </c>
      <c r="I96" s="21" t="s">
        <v>174</v>
      </c>
      <c r="J96" s="21" t="s">
        <v>174</v>
      </c>
      <c r="K96" s="21">
        <v>1200</v>
      </c>
      <c r="L96" s="27" t="s">
        <v>174</v>
      </c>
    </row>
    <row r="97" spans="1:12">
      <c r="A97" s="1" t="s">
        <v>169</v>
      </c>
      <c r="B97" s="1" t="s">
        <v>170</v>
      </c>
      <c r="C97" s="1">
        <v>2010</v>
      </c>
      <c r="D97" s="1" t="s">
        <v>322</v>
      </c>
      <c r="E97" s="1" t="s">
        <v>627</v>
      </c>
      <c r="F97" s="1" t="s">
        <v>174</v>
      </c>
      <c r="G97" s="1" t="s">
        <v>606</v>
      </c>
      <c r="H97" s="1">
        <v>2008</v>
      </c>
      <c r="I97" s="21" t="s">
        <v>174</v>
      </c>
      <c r="J97" s="21" t="s">
        <v>174</v>
      </c>
      <c r="K97" s="31" t="s">
        <v>174</v>
      </c>
      <c r="L97" s="27">
        <v>36.97</v>
      </c>
    </row>
    <row r="98" spans="1:12">
      <c r="A98" s="1" t="s">
        <v>169</v>
      </c>
      <c r="B98" s="1" t="s">
        <v>170</v>
      </c>
      <c r="C98" s="1">
        <v>2010</v>
      </c>
      <c r="D98" s="1" t="s">
        <v>322</v>
      </c>
      <c r="E98" s="1" t="s">
        <v>627</v>
      </c>
      <c r="F98" s="1" t="s">
        <v>174</v>
      </c>
      <c r="G98" s="1" t="s">
        <v>607</v>
      </c>
      <c r="H98" s="1">
        <v>2008</v>
      </c>
      <c r="I98" s="21" t="s">
        <v>174</v>
      </c>
      <c r="J98" s="21" t="s">
        <v>174</v>
      </c>
      <c r="K98" s="31" t="s">
        <v>174</v>
      </c>
      <c r="L98" s="27">
        <v>47.81</v>
      </c>
    </row>
    <row r="99" spans="1:12">
      <c r="A99" s="1" t="s">
        <v>169</v>
      </c>
      <c r="B99" s="1" t="s">
        <v>170</v>
      </c>
      <c r="C99" s="1">
        <v>2010</v>
      </c>
      <c r="D99" s="1" t="s">
        <v>322</v>
      </c>
      <c r="E99" s="1" t="s">
        <v>627</v>
      </c>
      <c r="F99" s="1" t="s">
        <v>174</v>
      </c>
      <c r="G99" s="1" t="s">
        <v>608</v>
      </c>
      <c r="H99" s="1">
        <v>2008</v>
      </c>
      <c r="I99" s="21" t="s">
        <v>174</v>
      </c>
      <c r="J99" s="21" t="s">
        <v>174</v>
      </c>
      <c r="K99" s="31" t="s">
        <v>174</v>
      </c>
      <c r="L99" s="27">
        <v>6.03</v>
      </c>
    </row>
    <row r="100" spans="1:12">
      <c r="A100" s="1" t="s">
        <v>169</v>
      </c>
      <c r="B100" s="1" t="s">
        <v>170</v>
      </c>
      <c r="C100" s="1">
        <v>2010</v>
      </c>
      <c r="D100" s="1" t="s">
        <v>322</v>
      </c>
      <c r="E100" s="1" t="s">
        <v>627</v>
      </c>
      <c r="F100" s="1" t="s">
        <v>174</v>
      </c>
      <c r="G100" s="1" t="s">
        <v>609</v>
      </c>
      <c r="H100" s="1">
        <v>2008</v>
      </c>
      <c r="I100" s="21" t="s">
        <v>174</v>
      </c>
      <c r="J100" s="21" t="s">
        <v>174</v>
      </c>
      <c r="K100" s="31" t="s">
        <v>174</v>
      </c>
      <c r="L100" s="27">
        <v>9.4</v>
      </c>
    </row>
    <row r="101" spans="1:12">
      <c r="A101" s="1" t="s">
        <v>169</v>
      </c>
      <c r="B101" s="1" t="s">
        <v>170</v>
      </c>
      <c r="C101" s="1">
        <v>2010</v>
      </c>
      <c r="D101" s="1" t="s">
        <v>322</v>
      </c>
      <c r="E101" s="1" t="s">
        <v>627</v>
      </c>
      <c r="F101" s="1" t="s">
        <v>174</v>
      </c>
      <c r="G101" s="1" t="s">
        <v>603</v>
      </c>
      <c r="H101" s="1">
        <v>2008</v>
      </c>
      <c r="I101" s="21" t="s">
        <v>174</v>
      </c>
      <c r="J101" s="21" t="s">
        <v>174</v>
      </c>
      <c r="K101" s="31" t="s">
        <v>174</v>
      </c>
      <c r="L101" s="27">
        <v>100</v>
      </c>
    </row>
    <row r="102" spans="1:12">
      <c r="A102" s="1" t="s">
        <v>169</v>
      </c>
      <c r="B102" s="1" t="s">
        <v>170</v>
      </c>
      <c r="C102" s="1">
        <v>2010</v>
      </c>
      <c r="D102" s="1" t="s">
        <v>322</v>
      </c>
      <c r="E102" s="1" t="s">
        <v>627</v>
      </c>
      <c r="F102" s="1" t="s">
        <v>174</v>
      </c>
      <c r="G102" s="1" t="s">
        <v>630</v>
      </c>
      <c r="H102" s="1">
        <v>2008</v>
      </c>
      <c r="I102" s="21" t="s">
        <v>174</v>
      </c>
      <c r="J102" s="21" t="s">
        <v>174</v>
      </c>
      <c r="K102" s="31" t="s">
        <v>174</v>
      </c>
      <c r="L102" s="27" t="s">
        <v>174</v>
      </c>
    </row>
    <row r="103" spans="1:12">
      <c r="A103" s="1" t="s">
        <v>169</v>
      </c>
      <c r="B103" s="1" t="s">
        <v>170</v>
      </c>
      <c r="C103" s="1">
        <v>2012</v>
      </c>
      <c r="D103" s="1" t="s">
        <v>322</v>
      </c>
      <c r="E103" s="1" t="s">
        <v>623</v>
      </c>
      <c r="F103" s="1" t="s">
        <v>174</v>
      </c>
      <c r="G103" s="1" t="s">
        <v>603</v>
      </c>
      <c r="H103" s="1">
        <v>2011</v>
      </c>
      <c r="I103" s="21">
        <v>100</v>
      </c>
      <c r="J103" s="21" t="s">
        <v>174</v>
      </c>
      <c r="K103" s="21" t="s">
        <v>174</v>
      </c>
      <c r="L103" s="27" t="s">
        <v>174</v>
      </c>
    </row>
    <row r="104" spans="1:12">
      <c r="A104" s="1" t="s">
        <v>169</v>
      </c>
      <c r="B104" s="1" t="s">
        <v>170</v>
      </c>
      <c r="C104" s="1">
        <v>2012</v>
      </c>
      <c r="D104" s="1" t="s">
        <v>322</v>
      </c>
      <c r="E104" s="1" t="s">
        <v>625</v>
      </c>
      <c r="F104" s="1" t="s">
        <v>174</v>
      </c>
      <c r="G104" s="1" t="s">
        <v>603</v>
      </c>
      <c r="H104" s="1">
        <v>2011</v>
      </c>
      <c r="I104" s="21">
        <v>72.900000000000006</v>
      </c>
      <c r="J104" s="21">
        <v>99.3</v>
      </c>
      <c r="K104" s="21">
        <v>26000</v>
      </c>
      <c r="L104" s="27" t="s">
        <v>174</v>
      </c>
    </row>
    <row r="105" spans="1:12">
      <c r="A105" s="1" t="s">
        <v>169</v>
      </c>
      <c r="B105" s="1" t="s">
        <v>170</v>
      </c>
      <c r="C105" s="1">
        <v>2012</v>
      </c>
      <c r="D105" s="1" t="s">
        <v>322</v>
      </c>
      <c r="E105" s="1" t="s">
        <v>627</v>
      </c>
      <c r="F105" s="1" t="s">
        <v>174</v>
      </c>
      <c r="G105" s="1" t="s">
        <v>610</v>
      </c>
      <c r="H105" s="1">
        <v>2011</v>
      </c>
      <c r="I105" s="21" t="s">
        <v>174</v>
      </c>
      <c r="J105" s="21" t="s">
        <v>174</v>
      </c>
      <c r="K105" s="21">
        <v>1200</v>
      </c>
      <c r="L105" s="27" t="s">
        <v>174</v>
      </c>
    </row>
    <row r="106" spans="1:12">
      <c r="A106" s="1" t="s">
        <v>169</v>
      </c>
      <c r="B106" s="1" t="s">
        <v>170</v>
      </c>
      <c r="C106" s="1">
        <v>2012</v>
      </c>
      <c r="D106" s="1" t="s">
        <v>322</v>
      </c>
      <c r="E106" s="1" t="s">
        <v>627</v>
      </c>
      <c r="F106" s="1" t="s">
        <v>174</v>
      </c>
      <c r="G106" s="1" t="s">
        <v>606</v>
      </c>
      <c r="H106" s="1">
        <v>2011</v>
      </c>
      <c r="I106" s="21" t="s">
        <v>174</v>
      </c>
      <c r="J106" s="21" t="s">
        <v>174</v>
      </c>
      <c r="K106" s="31" t="s">
        <v>174</v>
      </c>
      <c r="L106" s="27">
        <v>53.37</v>
      </c>
    </row>
    <row r="107" spans="1:12">
      <c r="A107" s="1" t="s">
        <v>169</v>
      </c>
      <c r="B107" s="1" t="s">
        <v>170</v>
      </c>
      <c r="C107" s="1">
        <v>2012</v>
      </c>
      <c r="D107" s="1" t="s">
        <v>322</v>
      </c>
      <c r="E107" s="1" t="s">
        <v>627</v>
      </c>
      <c r="F107" s="1" t="s">
        <v>174</v>
      </c>
      <c r="G107" s="1" t="s">
        <v>607</v>
      </c>
      <c r="H107" s="1">
        <v>2011</v>
      </c>
      <c r="I107" s="21" t="s">
        <v>174</v>
      </c>
      <c r="J107" s="21" t="s">
        <v>174</v>
      </c>
      <c r="K107" s="31" t="s">
        <v>174</v>
      </c>
      <c r="L107" s="27">
        <v>31.31</v>
      </c>
    </row>
    <row r="108" spans="1:12">
      <c r="A108" s="1" t="s">
        <v>169</v>
      </c>
      <c r="B108" s="1" t="s">
        <v>170</v>
      </c>
      <c r="C108" s="1">
        <v>2012</v>
      </c>
      <c r="D108" s="1" t="s">
        <v>322</v>
      </c>
      <c r="E108" s="1" t="s">
        <v>627</v>
      </c>
      <c r="F108" s="1" t="s">
        <v>174</v>
      </c>
      <c r="G108" s="1" t="s">
        <v>608</v>
      </c>
      <c r="H108" s="1">
        <v>2011</v>
      </c>
      <c r="I108" s="21" t="s">
        <v>174</v>
      </c>
      <c r="J108" s="21" t="s">
        <v>174</v>
      </c>
      <c r="K108" s="31" t="s">
        <v>174</v>
      </c>
      <c r="L108" s="27">
        <v>7.66</v>
      </c>
    </row>
    <row r="109" spans="1:12">
      <c r="A109" s="1" t="s">
        <v>169</v>
      </c>
      <c r="B109" s="1" t="s">
        <v>170</v>
      </c>
      <c r="C109" s="1">
        <v>2012</v>
      </c>
      <c r="D109" s="1" t="s">
        <v>322</v>
      </c>
      <c r="E109" s="1" t="s">
        <v>627</v>
      </c>
      <c r="F109" s="1" t="s">
        <v>174</v>
      </c>
      <c r="G109" s="1" t="s">
        <v>609</v>
      </c>
      <c r="H109" s="1">
        <v>2011</v>
      </c>
      <c r="I109" s="21" t="s">
        <v>174</v>
      </c>
      <c r="J109" s="21" t="s">
        <v>174</v>
      </c>
      <c r="K109" s="31" t="s">
        <v>174</v>
      </c>
      <c r="L109" s="27">
        <v>7.66</v>
      </c>
    </row>
    <row r="110" spans="1:12">
      <c r="A110" s="1" t="s">
        <v>169</v>
      </c>
      <c r="B110" s="1" t="s">
        <v>170</v>
      </c>
      <c r="C110" s="1">
        <v>2012</v>
      </c>
      <c r="D110" s="1" t="s">
        <v>322</v>
      </c>
      <c r="E110" s="1" t="s">
        <v>627</v>
      </c>
      <c r="F110" s="1" t="s">
        <v>174</v>
      </c>
      <c r="G110" s="1" t="s">
        <v>603</v>
      </c>
      <c r="H110" s="1">
        <v>2011</v>
      </c>
      <c r="I110" s="21" t="s">
        <v>174</v>
      </c>
      <c r="J110" s="21" t="s">
        <v>174</v>
      </c>
      <c r="K110" s="31" t="s">
        <v>174</v>
      </c>
      <c r="L110" s="27">
        <v>100</v>
      </c>
    </row>
    <row r="111" spans="1:12">
      <c r="A111" s="1" t="s">
        <v>169</v>
      </c>
      <c r="B111" s="1" t="s">
        <v>170</v>
      </c>
      <c r="C111" s="1">
        <v>2012</v>
      </c>
      <c r="D111" s="1" t="s">
        <v>322</v>
      </c>
      <c r="E111" s="1" t="s">
        <v>627</v>
      </c>
      <c r="F111" s="1" t="s">
        <v>174</v>
      </c>
      <c r="G111" s="1" t="s">
        <v>630</v>
      </c>
      <c r="H111" s="1">
        <v>2011</v>
      </c>
      <c r="I111" s="21" t="s">
        <v>174</v>
      </c>
      <c r="J111" s="21" t="s">
        <v>174</v>
      </c>
      <c r="K111" s="31" t="s">
        <v>174</v>
      </c>
      <c r="L111" s="27" t="s">
        <v>174</v>
      </c>
    </row>
    <row r="112" spans="1:12">
      <c r="A112" s="1" t="s">
        <v>169</v>
      </c>
      <c r="B112" s="1" t="s">
        <v>170</v>
      </c>
      <c r="C112" s="1">
        <v>2013</v>
      </c>
      <c r="D112" s="1" t="s">
        <v>322</v>
      </c>
      <c r="E112" s="1" t="s">
        <v>623</v>
      </c>
      <c r="F112" s="1" t="s">
        <v>174</v>
      </c>
      <c r="G112" s="1" t="s">
        <v>603</v>
      </c>
      <c r="H112" s="1">
        <v>2012</v>
      </c>
      <c r="I112" s="21">
        <v>100</v>
      </c>
      <c r="J112" s="21" t="s">
        <v>174</v>
      </c>
      <c r="K112" s="21" t="s">
        <v>174</v>
      </c>
      <c r="L112" s="27" t="s">
        <v>174</v>
      </c>
    </row>
    <row r="113" spans="1:13">
      <c r="A113" s="1" t="s">
        <v>169</v>
      </c>
      <c r="B113" s="1" t="s">
        <v>170</v>
      </c>
      <c r="C113" s="1">
        <v>2013</v>
      </c>
      <c r="D113" s="1" t="s">
        <v>322</v>
      </c>
      <c r="E113" s="1" t="s">
        <v>625</v>
      </c>
      <c r="F113" s="1" t="s">
        <v>174</v>
      </c>
      <c r="G113" s="1" t="s">
        <v>603</v>
      </c>
      <c r="H113" s="1">
        <v>2012</v>
      </c>
      <c r="I113" s="21">
        <v>70.5</v>
      </c>
      <c r="J113" s="21" t="s">
        <v>174</v>
      </c>
      <c r="K113" s="21" t="s">
        <v>174</v>
      </c>
      <c r="L113" s="27" t="s">
        <v>174</v>
      </c>
      <c r="M113" s="1" t="s">
        <v>652</v>
      </c>
    </row>
    <row r="114" spans="1:13">
      <c r="A114" s="1" t="s">
        <v>169</v>
      </c>
      <c r="B114" s="1" t="s">
        <v>170</v>
      </c>
      <c r="C114" s="1">
        <v>2013</v>
      </c>
      <c r="D114" s="1" t="s">
        <v>322</v>
      </c>
      <c r="E114" s="1" t="s">
        <v>627</v>
      </c>
      <c r="F114" s="1" t="s">
        <v>174</v>
      </c>
      <c r="G114" s="1" t="s">
        <v>610</v>
      </c>
      <c r="H114" s="1">
        <v>2012</v>
      </c>
      <c r="I114" s="21">
        <v>2.87</v>
      </c>
      <c r="J114" s="21" t="s">
        <v>174</v>
      </c>
      <c r="K114" s="21" t="s">
        <v>174</v>
      </c>
      <c r="L114" s="27" t="s">
        <v>174</v>
      </c>
      <c r="M114" s="1" t="s">
        <v>653</v>
      </c>
    </row>
    <row r="115" spans="1:13">
      <c r="A115" s="1" t="s">
        <v>169</v>
      </c>
      <c r="B115" s="1" t="s">
        <v>170</v>
      </c>
      <c r="C115" s="1">
        <v>2013</v>
      </c>
      <c r="D115" s="1" t="s">
        <v>322</v>
      </c>
      <c r="E115" s="1" t="s">
        <v>627</v>
      </c>
      <c r="F115" s="1" t="s">
        <v>174</v>
      </c>
      <c r="G115" s="1" t="s">
        <v>606</v>
      </c>
      <c r="H115" s="1">
        <v>2012</v>
      </c>
      <c r="I115" s="21">
        <f>ROUND((I$119-I$114)*L115/100,2)</f>
        <v>12.02</v>
      </c>
      <c r="J115" s="21" t="s">
        <v>174</v>
      </c>
      <c r="K115" s="21" t="s">
        <v>174</v>
      </c>
      <c r="L115" s="27">
        <v>22.37</v>
      </c>
    </row>
    <row r="116" spans="1:13">
      <c r="A116" s="1" t="s">
        <v>169</v>
      </c>
      <c r="B116" s="1" t="s">
        <v>170</v>
      </c>
      <c r="C116" s="1">
        <v>2013</v>
      </c>
      <c r="D116" s="1" t="s">
        <v>322</v>
      </c>
      <c r="E116" s="1" t="s">
        <v>627</v>
      </c>
      <c r="F116" s="1" t="s">
        <v>174</v>
      </c>
      <c r="G116" s="1" t="s">
        <v>607</v>
      </c>
      <c r="H116" s="1">
        <v>2012</v>
      </c>
      <c r="I116" s="21">
        <f t="shared" ref="I116:I118" si="3">ROUND((I$119-I$114)*L116/100,2)</f>
        <v>34.729999999999997</v>
      </c>
      <c r="J116" s="21" t="s">
        <v>174</v>
      </c>
      <c r="K116" s="21" t="s">
        <v>174</v>
      </c>
      <c r="L116" s="27">
        <v>64.64</v>
      </c>
      <c r="M116" s="33" t="s">
        <v>654</v>
      </c>
    </row>
    <row r="117" spans="1:13">
      <c r="A117" s="1" t="s">
        <v>169</v>
      </c>
      <c r="B117" s="1" t="s">
        <v>170</v>
      </c>
      <c r="C117" s="1">
        <v>2013</v>
      </c>
      <c r="D117" s="1" t="s">
        <v>322</v>
      </c>
      <c r="E117" s="1" t="s">
        <v>627</v>
      </c>
      <c r="F117" s="1" t="s">
        <v>174</v>
      </c>
      <c r="G117" s="1" t="s">
        <v>608</v>
      </c>
      <c r="H117" s="1">
        <v>2012</v>
      </c>
      <c r="I117" s="21">
        <f t="shared" si="3"/>
        <v>1.92</v>
      </c>
      <c r="J117" s="21" t="s">
        <v>174</v>
      </c>
      <c r="K117" s="21" t="s">
        <v>174</v>
      </c>
      <c r="L117" s="27">
        <v>3.58</v>
      </c>
    </row>
    <row r="118" spans="1:13">
      <c r="A118" s="1" t="s">
        <v>169</v>
      </c>
      <c r="B118" s="1" t="s">
        <v>170</v>
      </c>
      <c r="C118" s="1">
        <v>2013</v>
      </c>
      <c r="D118" s="1" t="s">
        <v>322</v>
      </c>
      <c r="E118" s="1" t="s">
        <v>627</v>
      </c>
      <c r="F118" s="1" t="s">
        <v>174</v>
      </c>
      <c r="G118" s="1" t="s">
        <v>609</v>
      </c>
      <c r="H118" s="1">
        <v>2012</v>
      </c>
      <c r="I118" s="21">
        <f t="shared" si="3"/>
        <v>5.0599999999999996</v>
      </c>
      <c r="J118" s="21" t="s">
        <v>174</v>
      </c>
      <c r="K118" s="21">
        <f>27.6+7.6+116.594+21.512+14.63+783.066+10.76+66.589</f>
        <v>1048.3509999999999</v>
      </c>
      <c r="L118" s="27">
        <v>9.41</v>
      </c>
    </row>
    <row r="119" spans="1:13">
      <c r="A119" s="1" t="s">
        <v>169</v>
      </c>
      <c r="B119" s="1" t="s">
        <v>170</v>
      </c>
      <c r="C119" s="1">
        <v>2013</v>
      </c>
      <c r="D119" s="1" t="s">
        <v>322</v>
      </c>
      <c r="E119" s="1" t="s">
        <v>627</v>
      </c>
      <c r="F119" s="1" t="s">
        <v>174</v>
      </c>
      <c r="G119" s="1" t="s">
        <v>603</v>
      </c>
      <c r="H119" s="1">
        <v>2012</v>
      </c>
      <c r="I119" s="21">
        <v>56.6</v>
      </c>
      <c r="J119" s="21">
        <v>74.8</v>
      </c>
      <c r="K119" s="21">
        <v>20660</v>
      </c>
      <c r="L119" s="27" t="s">
        <v>174</v>
      </c>
      <c r="M119" s="1" t="s">
        <v>655</v>
      </c>
    </row>
    <row r="120" spans="1:13">
      <c r="A120" s="1" t="s">
        <v>169</v>
      </c>
      <c r="B120" s="1" t="s">
        <v>170</v>
      </c>
      <c r="C120" s="1">
        <v>2013</v>
      </c>
      <c r="D120" s="1" t="s">
        <v>322</v>
      </c>
      <c r="E120" s="1" t="s">
        <v>627</v>
      </c>
      <c r="F120" s="1" t="s">
        <v>174</v>
      </c>
      <c r="G120" s="1" t="s">
        <v>630</v>
      </c>
      <c r="H120" s="1">
        <v>2012</v>
      </c>
      <c r="I120" s="21">
        <f>I113-I119</f>
        <v>13.899999999999999</v>
      </c>
      <c r="J120" s="21" t="s">
        <v>174</v>
      </c>
      <c r="K120" s="21" t="s">
        <v>174</v>
      </c>
      <c r="L120" s="27" t="s">
        <v>174</v>
      </c>
    </row>
    <row r="121" spans="1:13">
      <c r="A121" s="1" t="s">
        <v>169</v>
      </c>
      <c r="B121" s="1" t="s">
        <v>170</v>
      </c>
      <c r="C121" s="1" t="s">
        <v>174</v>
      </c>
      <c r="D121" s="1" t="s">
        <v>322</v>
      </c>
      <c r="E121" s="1" t="s">
        <v>627</v>
      </c>
      <c r="F121" s="1" t="s">
        <v>174</v>
      </c>
      <c r="G121" s="1" t="s">
        <v>606</v>
      </c>
      <c r="H121" s="1">
        <v>2013</v>
      </c>
      <c r="I121" s="21" t="s">
        <v>174</v>
      </c>
      <c r="J121" s="21" t="s">
        <v>174</v>
      </c>
      <c r="K121" s="21" t="s">
        <v>174</v>
      </c>
      <c r="L121" s="27">
        <v>27.46</v>
      </c>
    </row>
    <row r="122" spans="1:13">
      <c r="A122" s="1" t="s">
        <v>169</v>
      </c>
      <c r="B122" s="1" t="s">
        <v>170</v>
      </c>
      <c r="C122" s="1" t="s">
        <v>174</v>
      </c>
      <c r="D122" s="1" t="s">
        <v>322</v>
      </c>
      <c r="E122" s="1" t="s">
        <v>627</v>
      </c>
      <c r="F122" s="1" t="s">
        <v>174</v>
      </c>
      <c r="G122" s="1" t="s">
        <v>607</v>
      </c>
      <c r="H122" s="1">
        <v>2013</v>
      </c>
      <c r="I122" s="21" t="s">
        <v>174</v>
      </c>
      <c r="J122" s="21" t="s">
        <v>174</v>
      </c>
      <c r="K122" s="21" t="s">
        <v>174</v>
      </c>
      <c r="L122" s="27">
        <v>60.19</v>
      </c>
    </row>
    <row r="123" spans="1:13">
      <c r="A123" s="1" t="s">
        <v>169</v>
      </c>
      <c r="B123" s="1" t="s">
        <v>170</v>
      </c>
      <c r="C123" s="1" t="s">
        <v>174</v>
      </c>
      <c r="D123" s="1" t="s">
        <v>322</v>
      </c>
      <c r="E123" s="1" t="s">
        <v>627</v>
      </c>
      <c r="F123" s="1" t="s">
        <v>174</v>
      </c>
      <c r="G123" s="1" t="s">
        <v>608</v>
      </c>
      <c r="H123" s="1">
        <v>2013</v>
      </c>
      <c r="I123" s="21" t="s">
        <v>174</v>
      </c>
      <c r="J123" s="21" t="s">
        <v>174</v>
      </c>
      <c r="K123" s="21" t="s">
        <v>174</v>
      </c>
      <c r="L123" s="27">
        <v>4.9000000000000004</v>
      </c>
    </row>
    <row r="124" spans="1:13">
      <c r="A124" s="1" t="s">
        <v>169</v>
      </c>
      <c r="B124" s="1" t="s">
        <v>170</v>
      </c>
      <c r="C124" s="1" t="s">
        <v>174</v>
      </c>
      <c r="D124" s="1" t="s">
        <v>322</v>
      </c>
      <c r="E124" s="1" t="s">
        <v>627</v>
      </c>
      <c r="F124" s="1" t="s">
        <v>174</v>
      </c>
      <c r="G124" s="1" t="s">
        <v>609</v>
      </c>
      <c r="H124" s="1">
        <v>2013</v>
      </c>
      <c r="I124" s="21" t="s">
        <v>174</v>
      </c>
      <c r="J124" s="21" t="s">
        <v>174</v>
      </c>
      <c r="K124" s="21" t="s">
        <v>174</v>
      </c>
      <c r="L124" s="27">
        <v>7.45</v>
      </c>
    </row>
    <row r="125" spans="1:13">
      <c r="A125" s="1" t="s">
        <v>169</v>
      </c>
      <c r="B125" s="1" t="s">
        <v>170</v>
      </c>
      <c r="C125" s="1" t="s">
        <v>174</v>
      </c>
      <c r="D125" s="1" t="s">
        <v>322</v>
      </c>
      <c r="E125" s="1" t="s">
        <v>627</v>
      </c>
      <c r="F125" s="1" t="s">
        <v>174</v>
      </c>
      <c r="G125" s="1" t="s">
        <v>606</v>
      </c>
      <c r="H125" s="1">
        <v>2014</v>
      </c>
      <c r="I125" s="21" t="s">
        <v>174</v>
      </c>
      <c r="J125" s="21" t="s">
        <v>174</v>
      </c>
      <c r="K125" s="21" t="s">
        <v>174</v>
      </c>
      <c r="L125" s="27">
        <v>41</v>
      </c>
    </row>
    <row r="126" spans="1:13">
      <c r="A126" s="1" t="s">
        <v>169</v>
      </c>
      <c r="B126" s="1" t="s">
        <v>170</v>
      </c>
      <c r="C126" s="1" t="s">
        <v>174</v>
      </c>
      <c r="D126" s="1" t="s">
        <v>322</v>
      </c>
      <c r="E126" s="1" t="s">
        <v>627</v>
      </c>
      <c r="F126" s="1" t="s">
        <v>174</v>
      </c>
      <c r="G126" s="1" t="s">
        <v>607</v>
      </c>
      <c r="H126" s="1">
        <v>2014</v>
      </c>
      <c r="I126" s="21" t="s">
        <v>174</v>
      </c>
      <c r="J126" s="21" t="s">
        <v>174</v>
      </c>
      <c r="K126" s="21" t="s">
        <v>174</v>
      </c>
      <c r="L126" s="27">
        <v>43</v>
      </c>
    </row>
    <row r="127" spans="1:13">
      <c r="A127" s="1" t="s">
        <v>169</v>
      </c>
      <c r="B127" s="1" t="s">
        <v>170</v>
      </c>
      <c r="C127" s="1" t="s">
        <v>174</v>
      </c>
      <c r="D127" s="1" t="s">
        <v>322</v>
      </c>
      <c r="E127" s="1" t="s">
        <v>627</v>
      </c>
      <c r="F127" s="1" t="s">
        <v>174</v>
      </c>
      <c r="G127" s="1" t="s">
        <v>608</v>
      </c>
      <c r="H127" s="1">
        <v>2014</v>
      </c>
      <c r="I127" s="21" t="s">
        <v>174</v>
      </c>
      <c r="J127" s="21" t="s">
        <v>174</v>
      </c>
      <c r="K127" s="21" t="s">
        <v>174</v>
      </c>
      <c r="L127" s="27">
        <v>2</v>
      </c>
    </row>
    <row r="128" spans="1:13">
      <c r="A128" s="1" t="s">
        <v>169</v>
      </c>
      <c r="B128" s="1" t="s">
        <v>170</v>
      </c>
      <c r="C128" s="1" t="s">
        <v>174</v>
      </c>
      <c r="D128" s="1" t="s">
        <v>322</v>
      </c>
      <c r="E128" s="1" t="s">
        <v>627</v>
      </c>
      <c r="F128" s="1" t="s">
        <v>174</v>
      </c>
      <c r="G128" s="1" t="s">
        <v>609</v>
      </c>
      <c r="H128" s="1">
        <v>2014</v>
      </c>
      <c r="I128" s="21" t="s">
        <v>174</v>
      </c>
      <c r="J128" s="21" t="s">
        <v>174</v>
      </c>
      <c r="K128" s="21" t="s">
        <v>174</v>
      </c>
      <c r="L128" s="27">
        <v>9</v>
      </c>
    </row>
    <row r="129" spans="1:13">
      <c r="A129" s="1" t="s">
        <v>169</v>
      </c>
      <c r="B129" s="1" t="s">
        <v>170</v>
      </c>
      <c r="C129" s="1" t="s">
        <v>174</v>
      </c>
      <c r="D129" s="1" t="s">
        <v>322</v>
      </c>
      <c r="E129" s="1" t="s">
        <v>627</v>
      </c>
      <c r="F129" s="1" t="s">
        <v>174</v>
      </c>
      <c r="G129" s="1" t="s">
        <v>616</v>
      </c>
      <c r="H129" s="1">
        <v>2014</v>
      </c>
      <c r="I129" s="21" t="s">
        <v>174</v>
      </c>
      <c r="J129" s="21" t="s">
        <v>174</v>
      </c>
      <c r="K129" s="21" t="s">
        <v>174</v>
      </c>
      <c r="L129" s="27">
        <v>5</v>
      </c>
    </row>
    <row r="130" spans="1:13">
      <c r="A130" s="1" t="s">
        <v>169</v>
      </c>
      <c r="B130" s="1" t="s">
        <v>170</v>
      </c>
      <c r="C130" s="1" t="s">
        <v>174</v>
      </c>
      <c r="D130" s="1" t="s">
        <v>322</v>
      </c>
      <c r="E130" s="1" t="s">
        <v>627</v>
      </c>
      <c r="F130" s="1" t="s">
        <v>174</v>
      </c>
      <c r="G130" s="1" t="s">
        <v>606</v>
      </c>
      <c r="H130" s="1">
        <v>2015</v>
      </c>
      <c r="I130" s="21" t="s">
        <v>174</v>
      </c>
      <c r="J130" s="21" t="s">
        <v>174</v>
      </c>
      <c r="K130" s="21" t="s">
        <v>174</v>
      </c>
      <c r="L130" s="27">
        <v>31.72</v>
      </c>
    </row>
    <row r="131" spans="1:13">
      <c r="A131" s="1" t="s">
        <v>169</v>
      </c>
      <c r="B131" s="1" t="s">
        <v>170</v>
      </c>
      <c r="C131" s="1" t="s">
        <v>174</v>
      </c>
      <c r="D131" s="1" t="s">
        <v>322</v>
      </c>
      <c r="E131" s="1" t="s">
        <v>627</v>
      </c>
      <c r="F131" s="1" t="s">
        <v>174</v>
      </c>
      <c r="G131" s="1" t="s">
        <v>607</v>
      </c>
      <c r="H131" s="1">
        <v>2015</v>
      </c>
      <c r="I131" s="21" t="s">
        <v>174</v>
      </c>
      <c r="J131" s="21" t="s">
        <v>174</v>
      </c>
      <c r="K131" s="21" t="s">
        <v>174</v>
      </c>
      <c r="L131" s="27">
        <v>49.48</v>
      </c>
    </row>
    <row r="132" spans="1:13">
      <c r="A132" s="1" t="s">
        <v>169</v>
      </c>
      <c r="B132" s="1" t="s">
        <v>170</v>
      </c>
      <c r="C132" s="1" t="s">
        <v>174</v>
      </c>
      <c r="D132" s="1" t="s">
        <v>322</v>
      </c>
      <c r="E132" s="1" t="s">
        <v>627</v>
      </c>
      <c r="F132" s="1" t="s">
        <v>174</v>
      </c>
      <c r="G132" s="1" t="s">
        <v>608</v>
      </c>
      <c r="H132" s="1">
        <v>2015</v>
      </c>
      <c r="I132" s="21" t="s">
        <v>174</v>
      </c>
      <c r="J132" s="21" t="s">
        <v>174</v>
      </c>
      <c r="K132" s="21" t="s">
        <v>174</v>
      </c>
      <c r="L132" s="27">
        <v>3.29</v>
      </c>
    </row>
    <row r="133" spans="1:13">
      <c r="A133" s="1" t="s">
        <v>169</v>
      </c>
      <c r="B133" s="1" t="s">
        <v>170</v>
      </c>
      <c r="C133" s="1" t="s">
        <v>174</v>
      </c>
      <c r="D133" s="1" t="s">
        <v>322</v>
      </c>
      <c r="E133" s="1" t="s">
        <v>627</v>
      </c>
      <c r="F133" s="1" t="s">
        <v>174</v>
      </c>
      <c r="G133" s="1" t="s">
        <v>609</v>
      </c>
      <c r="H133" s="1">
        <v>2015</v>
      </c>
      <c r="I133" s="21" t="s">
        <v>174</v>
      </c>
      <c r="J133" s="21" t="s">
        <v>174</v>
      </c>
      <c r="K133" s="21" t="s">
        <v>174</v>
      </c>
      <c r="L133" s="27">
        <v>8.69</v>
      </c>
    </row>
    <row r="134" spans="1:13">
      <c r="A134" s="1" t="s">
        <v>169</v>
      </c>
      <c r="B134" s="1" t="s">
        <v>170</v>
      </c>
      <c r="C134" s="1" t="s">
        <v>174</v>
      </c>
      <c r="D134" s="1" t="s">
        <v>322</v>
      </c>
      <c r="E134" s="1" t="s">
        <v>627</v>
      </c>
      <c r="F134" s="1" t="s">
        <v>174</v>
      </c>
      <c r="G134" s="1" t="s">
        <v>616</v>
      </c>
      <c r="H134" s="1">
        <v>2015</v>
      </c>
      <c r="I134" s="21" t="s">
        <v>174</v>
      </c>
      <c r="J134" s="21" t="s">
        <v>174</v>
      </c>
      <c r="K134" s="21" t="s">
        <v>174</v>
      </c>
      <c r="L134" s="27">
        <v>6.82</v>
      </c>
    </row>
    <row r="135" spans="1:13">
      <c r="A135" s="1" t="s">
        <v>169</v>
      </c>
      <c r="B135" s="1" t="s">
        <v>170</v>
      </c>
      <c r="C135" s="1">
        <v>2017</v>
      </c>
      <c r="D135" s="1" t="s">
        <v>322</v>
      </c>
      <c r="E135" s="1" t="s">
        <v>623</v>
      </c>
      <c r="F135" s="1" t="s">
        <v>174</v>
      </c>
      <c r="G135" s="1" t="s">
        <v>603</v>
      </c>
      <c r="H135" s="1">
        <v>2016</v>
      </c>
      <c r="I135" s="21">
        <v>100</v>
      </c>
      <c r="J135" s="21" t="s">
        <v>174</v>
      </c>
      <c r="K135" s="21" t="s">
        <v>174</v>
      </c>
      <c r="L135" s="27" t="s">
        <v>174</v>
      </c>
    </row>
    <row r="136" spans="1:13">
      <c r="A136" s="1" t="s">
        <v>169</v>
      </c>
      <c r="B136" s="1" t="s">
        <v>170</v>
      </c>
      <c r="C136" s="1">
        <v>2017</v>
      </c>
      <c r="D136" s="1" t="s">
        <v>322</v>
      </c>
      <c r="E136" s="1" t="s">
        <v>625</v>
      </c>
      <c r="F136" s="1" t="s">
        <v>174</v>
      </c>
      <c r="G136" s="1" t="s">
        <v>603</v>
      </c>
      <c r="H136" s="1">
        <v>2016</v>
      </c>
      <c r="I136" s="21">
        <f>ROUND(J136/365,2)</f>
        <v>67.95</v>
      </c>
      <c r="J136" s="21">
        <v>24800</v>
      </c>
      <c r="K136" s="21" t="s">
        <v>174</v>
      </c>
      <c r="L136" s="27" t="s">
        <v>174</v>
      </c>
    </row>
    <row r="137" spans="1:13">
      <c r="A137" s="1" t="s">
        <v>169</v>
      </c>
      <c r="B137" s="1" t="s">
        <v>170</v>
      </c>
      <c r="C137" s="1">
        <v>2017</v>
      </c>
      <c r="D137" s="1" t="s">
        <v>322</v>
      </c>
      <c r="E137" s="1" t="s">
        <v>627</v>
      </c>
      <c r="F137" s="1" t="s">
        <v>174</v>
      </c>
      <c r="G137" s="1" t="s">
        <v>610</v>
      </c>
      <c r="H137" s="1">
        <v>2016</v>
      </c>
      <c r="I137" s="21" t="s">
        <v>174</v>
      </c>
      <c r="J137" s="21" t="s">
        <v>174</v>
      </c>
      <c r="K137" s="21" t="s">
        <v>174</v>
      </c>
      <c r="L137" s="27" t="s">
        <v>174</v>
      </c>
    </row>
    <row r="138" spans="1:13">
      <c r="A138" s="1" t="s">
        <v>169</v>
      </c>
      <c r="B138" s="1" t="s">
        <v>170</v>
      </c>
      <c r="C138" s="1">
        <v>2017</v>
      </c>
      <c r="D138" s="1" t="s">
        <v>322</v>
      </c>
      <c r="E138" s="1" t="s">
        <v>627</v>
      </c>
      <c r="F138" s="1" t="s">
        <v>174</v>
      </c>
      <c r="G138" s="1" t="s">
        <v>606</v>
      </c>
      <c r="H138" s="1">
        <v>2016</v>
      </c>
      <c r="I138" s="21" t="s">
        <v>174</v>
      </c>
      <c r="J138" s="21" t="s">
        <v>174</v>
      </c>
      <c r="K138" s="21" t="s">
        <v>174</v>
      </c>
      <c r="L138" s="27">
        <v>30.32</v>
      </c>
    </row>
    <row r="139" spans="1:13">
      <c r="A139" s="1" t="s">
        <v>169</v>
      </c>
      <c r="B139" s="1" t="s">
        <v>170</v>
      </c>
      <c r="C139" s="1">
        <v>2017</v>
      </c>
      <c r="D139" s="1" t="s">
        <v>322</v>
      </c>
      <c r="E139" s="1" t="s">
        <v>627</v>
      </c>
      <c r="F139" s="1" t="s">
        <v>174</v>
      </c>
      <c r="G139" s="1" t="s">
        <v>607</v>
      </c>
      <c r="H139" s="1">
        <v>2016</v>
      </c>
      <c r="I139" s="21" t="s">
        <v>174</v>
      </c>
      <c r="J139" s="21" t="s">
        <v>174</v>
      </c>
      <c r="K139" s="21" t="s">
        <v>174</v>
      </c>
      <c r="L139" s="27">
        <v>36.47</v>
      </c>
    </row>
    <row r="140" spans="1:13">
      <c r="A140" s="1" t="s">
        <v>169</v>
      </c>
      <c r="B140" s="1" t="s">
        <v>170</v>
      </c>
      <c r="C140" s="1">
        <v>2017</v>
      </c>
      <c r="D140" s="1" t="s">
        <v>322</v>
      </c>
      <c r="E140" s="1" t="s">
        <v>627</v>
      </c>
      <c r="F140" s="1" t="s">
        <v>174</v>
      </c>
      <c r="G140" s="1" t="s">
        <v>608</v>
      </c>
      <c r="H140" s="1">
        <v>2016</v>
      </c>
      <c r="I140" s="21" t="s">
        <v>174</v>
      </c>
      <c r="J140" s="21" t="s">
        <v>174</v>
      </c>
      <c r="K140" s="21" t="s">
        <v>174</v>
      </c>
      <c r="L140" s="27">
        <v>8.83</v>
      </c>
    </row>
    <row r="141" spans="1:13">
      <c r="A141" s="1" t="s">
        <v>169</v>
      </c>
      <c r="B141" s="1" t="s">
        <v>170</v>
      </c>
      <c r="C141" s="1">
        <v>2017</v>
      </c>
      <c r="D141" s="1" t="s">
        <v>322</v>
      </c>
      <c r="E141" s="1" t="s">
        <v>627</v>
      </c>
      <c r="F141" s="1" t="s">
        <v>174</v>
      </c>
      <c r="G141" s="1" t="s">
        <v>609</v>
      </c>
      <c r="H141" s="1">
        <v>2016</v>
      </c>
      <c r="I141" s="21" t="s">
        <v>174</v>
      </c>
      <c r="J141" s="21" t="s">
        <v>174</v>
      </c>
      <c r="K141" s="21" t="s">
        <v>174</v>
      </c>
      <c r="L141" s="27">
        <v>7.81</v>
      </c>
    </row>
    <row r="142" spans="1:13">
      <c r="A142" s="1" t="s">
        <v>169</v>
      </c>
      <c r="B142" s="1" t="s">
        <v>170</v>
      </c>
      <c r="C142" s="1">
        <v>2017</v>
      </c>
      <c r="D142" s="1" t="s">
        <v>322</v>
      </c>
      <c r="E142" s="1" t="s">
        <v>627</v>
      </c>
      <c r="F142" s="1" t="s">
        <v>174</v>
      </c>
      <c r="G142" s="1" t="s">
        <v>656</v>
      </c>
      <c r="H142" s="1">
        <v>2016</v>
      </c>
      <c r="I142" s="21" t="s">
        <v>174</v>
      </c>
      <c r="J142" s="21" t="s">
        <v>174</v>
      </c>
      <c r="K142" s="21" t="s">
        <v>174</v>
      </c>
      <c r="L142" s="27">
        <v>16.579999999999998</v>
      </c>
      <c r="M142" s="1" t="s">
        <v>657</v>
      </c>
    </row>
    <row r="143" spans="1:13">
      <c r="A143" s="1" t="s">
        <v>169</v>
      </c>
      <c r="B143" s="1" t="s">
        <v>170</v>
      </c>
      <c r="C143" s="1">
        <v>2017</v>
      </c>
      <c r="D143" s="1" t="s">
        <v>322</v>
      </c>
      <c r="E143" s="1" t="s">
        <v>627</v>
      </c>
      <c r="F143" s="1" t="s">
        <v>174</v>
      </c>
      <c r="G143" s="1" t="s">
        <v>603</v>
      </c>
      <c r="H143" s="1">
        <v>2016</v>
      </c>
      <c r="I143" s="21" t="s">
        <v>174</v>
      </c>
      <c r="J143" s="21" t="s">
        <v>174</v>
      </c>
      <c r="K143" s="21" t="s">
        <v>174</v>
      </c>
      <c r="L143" s="27">
        <v>100</v>
      </c>
    </row>
    <row r="144" spans="1:13">
      <c r="A144" s="1" t="s">
        <v>169</v>
      </c>
      <c r="B144" s="1" t="s">
        <v>170</v>
      </c>
      <c r="C144" s="1">
        <v>2017</v>
      </c>
      <c r="D144" s="1" t="s">
        <v>322</v>
      </c>
      <c r="E144" s="1" t="s">
        <v>627</v>
      </c>
      <c r="F144" s="1" t="s">
        <v>174</v>
      </c>
      <c r="G144" s="1" t="s">
        <v>630</v>
      </c>
      <c r="H144" s="1">
        <v>2016</v>
      </c>
      <c r="I144" s="21" t="s">
        <v>174</v>
      </c>
      <c r="J144" s="21" t="s">
        <v>174</v>
      </c>
      <c r="K144" s="21" t="s">
        <v>174</v>
      </c>
      <c r="L144" s="27" t="s">
        <v>174</v>
      </c>
    </row>
    <row r="145" spans="1:14">
      <c r="A145" s="1" t="s">
        <v>169</v>
      </c>
      <c r="B145" s="1" t="s">
        <v>170</v>
      </c>
      <c r="C145" s="1">
        <v>2017</v>
      </c>
      <c r="D145" s="1" t="s">
        <v>322</v>
      </c>
      <c r="E145" s="1" t="s">
        <v>623</v>
      </c>
      <c r="F145" s="1" t="s">
        <v>174</v>
      </c>
      <c r="G145" s="1" t="s">
        <v>603</v>
      </c>
      <c r="H145" s="1">
        <v>2017</v>
      </c>
      <c r="I145" s="21">
        <v>100</v>
      </c>
      <c r="J145" s="21" t="s">
        <v>174</v>
      </c>
      <c r="K145" s="21" t="s">
        <v>174</v>
      </c>
      <c r="L145" s="27" t="s">
        <v>174</v>
      </c>
    </row>
    <row r="146" spans="1:14">
      <c r="A146" s="1" t="s">
        <v>169</v>
      </c>
      <c r="B146" s="1" t="s">
        <v>170</v>
      </c>
      <c r="C146" s="1">
        <v>2017</v>
      </c>
      <c r="D146" s="1" t="s">
        <v>322</v>
      </c>
      <c r="E146" s="1" t="s">
        <v>625</v>
      </c>
      <c r="F146" s="1" t="s">
        <v>174</v>
      </c>
      <c r="G146" s="1" t="s">
        <v>603</v>
      </c>
      <c r="H146" s="1">
        <v>2017</v>
      </c>
      <c r="I146" s="21">
        <v>71.41</v>
      </c>
      <c r="J146" s="21">
        <v>99.39</v>
      </c>
      <c r="K146" s="21" t="s">
        <v>174</v>
      </c>
      <c r="L146" s="27" t="s">
        <v>174</v>
      </c>
    </row>
    <row r="147" spans="1:14">
      <c r="A147" s="1" t="s">
        <v>169</v>
      </c>
      <c r="B147" s="1" t="s">
        <v>170</v>
      </c>
      <c r="C147" s="1" t="s">
        <v>174</v>
      </c>
      <c r="D147" s="1" t="s">
        <v>322</v>
      </c>
      <c r="E147" s="1" t="s">
        <v>627</v>
      </c>
      <c r="F147" s="1" t="s">
        <v>174</v>
      </c>
      <c r="G147" s="1" t="s">
        <v>610</v>
      </c>
      <c r="H147" s="1">
        <v>2017</v>
      </c>
      <c r="I147" s="21" t="s">
        <v>174</v>
      </c>
      <c r="J147" s="21" t="s">
        <v>174</v>
      </c>
      <c r="K147" s="21" t="s">
        <v>174</v>
      </c>
      <c r="L147" s="27" t="s">
        <v>174</v>
      </c>
    </row>
    <row r="148" spans="1:14">
      <c r="A148" s="1" t="s">
        <v>169</v>
      </c>
      <c r="B148" s="1" t="s">
        <v>170</v>
      </c>
      <c r="C148" s="1" t="s">
        <v>174</v>
      </c>
      <c r="D148" s="1" t="s">
        <v>322</v>
      </c>
      <c r="E148" s="1" t="s">
        <v>627</v>
      </c>
      <c r="F148" s="1" t="s">
        <v>174</v>
      </c>
      <c r="G148" s="1" t="s">
        <v>606</v>
      </c>
      <c r="H148" s="1">
        <v>2017</v>
      </c>
      <c r="I148" s="21">
        <v>7.75</v>
      </c>
      <c r="J148" s="21" t="s">
        <v>174</v>
      </c>
      <c r="K148" s="21" t="s">
        <v>174</v>
      </c>
      <c r="L148" s="27">
        <v>27</v>
      </c>
      <c r="N148" s="1">
        <v>35</v>
      </c>
    </row>
    <row r="149" spans="1:14">
      <c r="A149" s="1" t="s">
        <v>169</v>
      </c>
      <c r="B149" s="1" t="s">
        <v>170</v>
      </c>
      <c r="C149" s="1" t="s">
        <v>174</v>
      </c>
      <c r="D149" s="1" t="s">
        <v>322</v>
      </c>
      <c r="E149" s="1" t="s">
        <v>627</v>
      </c>
      <c r="F149" s="1" t="s">
        <v>174</v>
      </c>
      <c r="G149" s="1" t="s">
        <v>607</v>
      </c>
      <c r="H149" s="1">
        <v>2017</v>
      </c>
      <c r="I149" s="21">
        <v>11.48</v>
      </c>
      <c r="J149" s="21" t="s">
        <v>174</v>
      </c>
      <c r="K149" s="21" t="s">
        <v>174</v>
      </c>
      <c r="L149" s="27">
        <v>40</v>
      </c>
      <c r="M149" s="1">
        <v>1225433000</v>
      </c>
      <c r="N149" s="1">
        <v>15.3</v>
      </c>
    </row>
    <row r="150" spans="1:14">
      <c r="A150" s="1" t="s">
        <v>169</v>
      </c>
      <c r="B150" s="1" t="s">
        <v>170</v>
      </c>
      <c r="C150" s="1" t="s">
        <v>174</v>
      </c>
      <c r="D150" s="1" t="s">
        <v>322</v>
      </c>
      <c r="E150" s="1" t="s">
        <v>627</v>
      </c>
      <c r="F150" s="1" t="s">
        <v>174</v>
      </c>
      <c r="G150" s="1" t="s">
        <v>608</v>
      </c>
      <c r="H150" s="1">
        <v>2017</v>
      </c>
      <c r="I150" s="21">
        <v>0.56999999999999995</v>
      </c>
      <c r="J150" s="21" t="s">
        <v>174</v>
      </c>
      <c r="K150" s="21" t="s">
        <v>174</v>
      </c>
      <c r="L150" s="27">
        <v>2</v>
      </c>
    </row>
    <row r="151" spans="1:14">
      <c r="A151" s="1" t="s">
        <v>169</v>
      </c>
      <c r="B151" s="1" t="s">
        <v>170</v>
      </c>
      <c r="C151" s="1" t="s">
        <v>174</v>
      </c>
      <c r="D151" s="1" t="s">
        <v>322</v>
      </c>
      <c r="E151" s="1" t="s">
        <v>627</v>
      </c>
      <c r="F151" s="1" t="s">
        <v>174</v>
      </c>
      <c r="G151" s="1" t="s">
        <v>609</v>
      </c>
      <c r="H151" s="1">
        <v>2017</v>
      </c>
      <c r="I151" s="21">
        <v>3.73</v>
      </c>
      <c r="J151" s="21" t="s">
        <v>174</v>
      </c>
      <c r="K151" s="21" t="s">
        <v>174</v>
      </c>
      <c r="L151" s="27">
        <v>13</v>
      </c>
    </row>
    <row r="152" spans="1:14">
      <c r="A152" s="1" t="s">
        <v>169</v>
      </c>
      <c r="B152" s="1" t="s">
        <v>170</v>
      </c>
      <c r="C152" s="1" t="s">
        <v>174</v>
      </c>
      <c r="D152" s="1" t="s">
        <v>322</v>
      </c>
      <c r="E152" s="1" t="s">
        <v>627</v>
      </c>
      <c r="F152" s="1" t="s">
        <v>174</v>
      </c>
      <c r="G152" s="1" t="s">
        <v>656</v>
      </c>
      <c r="H152" s="1">
        <v>2017</v>
      </c>
      <c r="I152" s="21">
        <v>5.16</v>
      </c>
      <c r="J152" s="21" t="s">
        <v>174</v>
      </c>
      <c r="K152" s="21" t="s">
        <v>174</v>
      </c>
      <c r="L152" s="27">
        <v>18</v>
      </c>
    </row>
    <row r="153" spans="1:14">
      <c r="A153" s="1" t="s">
        <v>169</v>
      </c>
      <c r="B153" s="1" t="s">
        <v>170</v>
      </c>
      <c r="C153" s="1" t="s">
        <v>174</v>
      </c>
      <c r="D153" s="1" t="s">
        <v>322</v>
      </c>
      <c r="E153" s="1" t="s">
        <v>627</v>
      </c>
      <c r="F153" s="1" t="s">
        <v>174</v>
      </c>
      <c r="G153" s="1" t="s">
        <v>603</v>
      </c>
      <c r="H153" s="1">
        <v>2017</v>
      </c>
      <c r="I153" s="21">
        <v>28.69</v>
      </c>
      <c r="J153" s="21" t="s">
        <v>174</v>
      </c>
      <c r="K153" s="21" t="s">
        <v>174</v>
      </c>
      <c r="L153" s="27">
        <v>100</v>
      </c>
    </row>
    <row r="154" spans="1:14">
      <c r="A154" s="1" t="s">
        <v>169</v>
      </c>
      <c r="B154" s="1" t="s">
        <v>170</v>
      </c>
      <c r="C154" s="1" t="s">
        <v>174</v>
      </c>
      <c r="D154" s="1" t="s">
        <v>322</v>
      </c>
      <c r="E154" s="1" t="s">
        <v>627</v>
      </c>
      <c r="F154" s="1" t="s">
        <v>174</v>
      </c>
      <c r="G154" s="1" t="s">
        <v>630</v>
      </c>
      <c r="H154" s="1">
        <v>2017</v>
      </c>
      <c r="I154" s="21">
        <v>42.72</v>
      </c>
      <c r="J154" s="21" t="s">
        <v>174</v>
      </c>
      <c r="K154" s="21" t="s">
        <v>174</v>
      </c>
      <c r="L154" s="27" t="s">
        <v>174</v>
      </c>
    </row>
    <row r="155" spans="1:14">
      <c r="A155" s="1" t="s">
        <v>169</v>
      </c>
      <c r="B155" s="1" t="s">
        <v>170</v>
      </c>
      <c r="C155" s="1">
        <v>2019</v>
      </c>
      <c r="D155" s="1" t="s">
        <v>322</v>
      </c>
      <c r="E155" s="1" t="s">
        <v>623</v>
      </c>
      <c r="F155" s="1" t="s">
        <v>174</v>
      </c>
      <c r="G155" s="1" t="s">
        <v>603</v>
      </c>
      <c r="H155" s="1">
        <v>2018</v>
      </c>
      <c r="I155" s="21">
        <v>100</v>
      </c>
      <c r="J155" s="21" t="s">
        <v>174</v>
      </c>
      <c r="K155" s="21" t="s">
        <v>174</v>
      </c>
      <c r="L155" s="27" t="s">
        <v>174</v>
      </c>
    </row>
    <row r="156" spans="1:14">
      <c r="A156" s="1" t="s">
        <v>169</v>
      </c>
      <c r="B156" s="1" t="s">
        <v>170</v>
      </c>
      <c r="C156" s="1">
        <v>2019</v>
      </c>
      <c r="D156" s="1" t="s">
        <v>322</v>
      </c>
      <c r="E156" s="1" t="s">
        <v>625</v>
      </c>
      <c r="F156" s="1" t="s">
        <v>174</v>
      </c>
      <c r="G156" s="1" t="s">
        <v>603</v>
      </c>
      <c r="H156" s="1">
        <v>2018</v>
      </c>
      <c r="I156" s="21">
        <v>71.41</v>
      </c>
      <c r="J156" s="21" t="s">
        <v>174</v>
      </c>
      <c r="K156" s="21" t="s">
        <v>174</v>
      </c>
      <c r="L156" s="27" t="s">
        <v>174</v>
      </c>
    </row>
    <row r="157" spans="1:14">
      <c r="A157" s="1" t="s">
        <v>169</v>
      </c>
      <c r="B157" s="1" t="s">
        <v>170</v>
      </c>
      <c r="C157" s="1">
        <v>2019</v>
      </c>
      <c r="D157" s="1" t="s">
        <v>322</v>
      </c>
      <c r="E157" s="1" t="s">
        <v>627</v>
      </c>
      <c r="F157" s="1" t="s">
        <v>174</v>
      </c>
      <c r="G157" s="1" t="s">
        <v>610</v>
      </c>
      <c r="H157" s="1">
        <v>2018</v>
      </c>
      <c r="I157" s="21" t="s">
        <v>174</v>
      </c>
      <c r="J157" s="21" t="s">
        <v>174</v>
      </c>
      <c r="K157" s="21" t="s">
        <v>174</v>
      </c>
      <c r="L157" s="27" t="s">
        <v>174</v>
      </c>
    </row>
    <row r="158" spans="1:14">
      <c r="A158" s="1" t="s">
        <v>169</v>
      </c>
      <c r="B158" s="1" t="s">
        <v>170</v>
      </c>
      <c r="C158" s="1">
        <v>2019</v>
      </c>
      <c r="D158" s="1" t="s">
        <v>322</v>
      </c>
      <c r="E158" s="1" t="s">
        <v>627</v>
      </c>
      <c r="F158" s="1" t="s">
        <v>174</v>
      </c>
      <c r="G158" s="1" t="s">
        <v>606</v>
      </c>
      <c r="H158" s="1">
        <v>2018</v>
      </c>
      <c r="I158" s="21">
        <f>ROUND((M$149*L158/N$149)/1000000/365,2)</f>
        <v>7.68</v>
      </c>
      <c r="J158" s="21" t="s">
        <v>174</v>
      </c>
      <c r="K158" s="21" t="s">
        <v>174</v>
      </c>
      <c r="L158" s="27">
        <v>35</v>
      </c>
    </row>
    <row r="159" spans="1:14">
      <c r="A159" s="1" t="s">
        <v>169</v>
      </c>
      <c r="B159" s="1" t="s">
        <v>170</v>
      </c>
      <c r="C159" s="1">
        <v>2019</v>
      </c>
      <c r="D159" s="1" t="s">
        <v>322</v>
      </c>
      <c r="E159" s="1" t="s">
        <v>627</v>
      </c>
      <c r="F159" s="1" t="s">
        <v>174</v>
      </c>
      <c r="G159" s="1" t="s">
        <v>607</v>
      </c>
      <c r="H159" s="1">
        <v>2018</v>
      </c>
      <c r="I159" s="21">
        <f>ROUND((M$149*L159/N$149)/1000000/365,2)</f>
        <v>7.02</v>
      </c>
      <c r="J159" s="21" t="s">
        <v>174</v>
      </c>
      <c r="K159" s="21" t="s">
        <v>174</v>
      </c>
      <c r="L159" s="27">
        <v>32</v>
      </c>
    </row>
    <row r="160" spans="1:14">
      <c r="A160" s="1" t="s">
        <v>169</v>
      </c>
      <c r="B160" s="1" t="s">
        <v>170</v>
      </c>
      <c r="C160" s="1">
        <v>2019</v>
      </c>
      <c r="D160" s="1" t="s">
        <v>322</v>
      </c>
      <c r="E160" s="1" t="s">
        <v>627</v>
      </c>
      <c r="F160" s="1" t="s">
        <v>174</v>
      </c>
      <c r="G160" s="1" t="s">
        <v>608</v>
      </c>
      <c r="H160" s="1">
        <v>2018</v>
      </c>
      <c r="I160" s="21">
        <f>ROUND((M$149*L160/N$149)/1000000/365,2)</f>
        <v>0.44</v>
      </c>
      <c r="J160" s="21" t="s">
        <v>174</v>
      </c>
      <c r="K160" s="21" t="s">
        <v>174</v>
      </c>
      <c r="L160" s="27">
        <v>2</v>
      </c>
    </row>
    <row r="161" spans="1:12">
      <c r="A161" s="1" t="s">
        <v>169</v>
      </c>
      <c r="B161" s="1" t="s">
        <v>170</v>
      </c>
      <c r="C161" s="1">
        <v>2019</v>
      </c>
      <c r="D161" s="1" t="s">
        <v>322</v>
      </c>
      <c r="E161" s="1" t="s">
        <v>627</v>
      </c>
      <c r="F161" s="1" t="s">
        <v>174</v>
      </c>
      <c r="G161" s="1" t="s">
        <v>609</v>
      </c>
      <c r="H161" s="1">
        <v>2018</v>
      </c>
      <c r="I161" s="21">
        <f>ROUND((M$149*L161/N$149)/1000000/365,2)</f>
        <v>3.29</v>
      </c>
      <c r="J161" s="21" t="s">
        <v>174</v>
      </c>
      <c r="K161" s="21" t="s">
        <v>174</v>
      </c>
      <c r="L161" s="27">
        <v>15</v>
      </c>
    </row>
    <row r="162" spans="1:12">
      <c r="A162" s="1" t="s">
        <v>169</v>
      </c>
      <c r="B162" s="1" t="s">
        <v>170</v>
      </c>
      <c r="C162" s="1">
        <v>2019</v>
      </c>
      <c r="D162" s="1" t="s">
        <v>322</v>
      </c>
      <c r="E162" s="1" t="s">
        <v>627</v>
      </c>
      <c r="F162" s="1" t="s">
        <v>174</v>
      </c>
      <c r="G162" s="1" t="s">
        <v>656</v>
      </c>
      <c r="H162" s="1">
        <v>2018</v>
      </c>
      <c r="I162" s="21">
        <f>ROUND((M$149*L162/N$149)/1000000/365,2)</f>
        <v>3.51</v>
      </c>
      <c r="J162" s="21" t="s">
        <v>174</v>
      </c>
      <c r="K162" s="21" t="s">
        <v>174</v>
      </c>
      <c r="L162" s="27">
        <v>16</v>
      </c>
    </row>
    <row r="163" spans="1:12">
      <c r="A163" s="1" t="s">
        <v>169</v>
      </c>
      <c r="B163" s="1" t="s">
        <v>170</v>
      </c>
      <c r="C163" s="1">
        <v>2019</v>
      </c>
      <c r="D163" s="1" t="s">
        <v>322</v>
      </c>
      <c r="E163" s="1" t="s">
        <v>627</v>
      </c>
      <c r="F163" s="1" t="s">
        <v>174</v>
      </c>
      <c r="G163" s="1" t="s">
        <v>603</v>
      </c>
      <c r="H163" s="1">
        <v>2018</v>
      </c>
      <c r="I163" s="21">
        <f>ROUND((M$149*L163/N$149)/1000000/365,2)</f>
        <v>21.94</v>
      </c>
      <c r="J163" s="21" t="s">
        <v>174</v>
      </c>
      <c r="K163" s="21" t="s">
        <v>174</v>
      </c>
      <c r="L163" s="27">
        <v>100</v>
      </c>
    </row>
    <row r="164" spans="1:12">
      <c r="A164" s="1" t="s">
        <v>169</v>
      </c>
      <c r="B164" s="1" t="s">
        <v>170</v>
      </c>
      <c r="C164" s="1">
        <v>2019</v>
      </c>
      <c r="D164" s="1" t="s">
        <v>322</v>
      </c>
      <c r="E164" s="1" t="s">
        <v>627</v>
      </c>
      <c r="F164" s="1" t="s">
        <v>174</v>
      </c>
      <c r="G164" s="1" t="s">
        <v>630</v>
      </c>
      <c r="H164" s="1">
        <v>2018</v>
      </c>
      <c r="I164" s="21">
        <f>I156-I163</f>
        <v>49.47</v>
      </c>
      <c r="J164" s="21" t="s">
        <v>174</v>
      </c>
      <c r="K164" s="21" t="s">
        <v>174</v>
      </c>
      <c r="L164" s="27" t="s">
        <v>174</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1"/>
  <sheetViews>
    <sheetView workbookViewId="0">
      <selection activeCell="E12" sqref="E12"/>
    </sheetView>
  </sheetViews>
  <sheetFormatPr defaultColWidth="8.85546875" defaultRowHeight="14.45"/>
  <cols>
    <col min="1" max="1" width="10.140625" style="1" bestFit="1" customWidth="1"/>
    <col min="2" max="4" width="8.85546875" style="1"/>
    <col min="5" max="5" width="11.7109375" style="1" bestFit="1" customWidth="1"/>
    <col min="6" max="6" width="14.85546875" style="1" bestFit="1" customWidth="1"/>
    <col min="7" max="16384" width="8.85546875" style="1"/>
  </cols>
  <sheetData>
    <row r="1" spans="1:8">
      <c r="A1" s="2" t="s">
        <v>149</v>
      </c>
      <c r="B1" s="2" t="s">
        <v>150</v>
      </c>
      <c r="C1" s="2" t="s">
        <v>151</v>
      </c>
      <c r="D1" s="2" t="s">
        <v>395</v>
      </c>
      <c r="E1" s="2" t="s">
        <v>658</v>
      </c>
      <c r="F1" s="2" t="s">
        <v>659</v>
      </c>
      <c r="G1" s="2" t="s">
        <v>660</v>
      </c>
      <c r="H1" s="2" t="s">
        <v>168</v>
      </c>
    </row>
    <row r="2" spans="1:8">
      <c r="A2" s="1" t="s">
        <v>169</v>
      </c>
      <c r="B2" s="1" t="s">
        <v>170</v>
      </c>
      <c r="C2" s="1">
        <v>1991</v>
      </c>
      <c r="D2" s="1">
        <v>1990</v>
      </c>
      <c r="E2" s="1">
        <v>14.62</v>
      </c>
      <c r="G2" s="1" t="s">
        <v>661</v>
      </c>
      <c r="H2" s="1" t="s">
        <v>662</v>
      </c>
    </row>
    <row r="3" spans="1:8">
      <c r="A3" s="1" t="s">
        <v>169</v>
      </c>
      <c r="B3" s="1" t="s">
        <v>170</v>
      </c>
      <c r="C3" s="1">
        <v>1993</v>
      </c>
      <c r="D3" s="1">
        <v>1992</v>
      </c>
      <c r="E3" s="1">
        <v>20.77</v>
      </c>
      <c r="G3" s="1" t="s">
        <v>661</v>
      </c>
      <c r="H3" s="1" t="s">
        <v>662</v>
      </c>
    </row>
    <row r="4" spans="1:8">
      <c r="A4" s="1" t="s">
        <v>169</v>
      </c>
      <c r="B4" s="1" t="s">
        <v>170</v>
      </c>
      <c r="C4" s="1">
        <v>1995</v>
      </c>
      <c r="D4" s="1">
        <v>1994</v>
      </c>
      <c r="E4" s="1">
        <v>21.23</v>
      </c>
      <c r="G4" s="1" t="s">
        <v>661</v>
      </c>
      <c r="H4" s="1" t="s">
        <v>662</v>
      </c>
    </row>
    <row r="5" spans="1:8">
      <c r="A5" s="1" t="s">
        <v>169</v>
      </c>
      <c r="B5" s="1" t="s">
        <v>170</v>
      </c>
      <c r="C5" s="1">
        <v>1998</v>
      </c>
      <c r="D5" s="1">
        <v>1996</v>
      </c>
      <c r="E5" s="1">
        <v>18.920000000000002</v>
      </c>
      <c r="G5" s="1" t="s">
        <v>661</v>
      </c>
      <c r="H5" s="1" t="s">
        <v>662</v>
      </c>
    </row>
    <row r="6" spans="1:8">
      <c r="A6" s="1" t="s">
        <v>169</v>
      </c>
      <c r="B6" s="1" t="s">
        <v>170</v>
      </c>
      <c r="C6" s="1">
        <v>2002</v>
      </c>
      <c r="D6" s="1">
        <v>2001</v>
      </c>
      <c r="E6" s="1">
        <f>ROUND(usage!I48/usage!I41*100,2)</f>
        <v>21.61</v>
      </c>
      <c r="G6" s="1" t="s">
        <v>661</v>
      </c>
      <c r="H6" s="1" t="s">
        <v>662</v>
      </c>
    </row>
    <row r="7" spans="1:8">
      <c r="A7" s="1" t="s">
        <v>169</v>
      </c>
      <c r="B7" s="1" t="s">
        <v>170</v>
      </c>
      <c r="C7" s="1">
        <v>2003</v>
      </c>
      <c r="D7" s="1">
        <v>2002</v>
      </c>
      <c r="E7" s="1">
        <f>ROUND(usage!I57/usage!I50*100,2)</f>
        <v>26.03</v>
      </c>
      <c r="G7" s="1" t="s">
        <v>661</v>
      </c>
      <c r="H7" s="1" t="s">
        <v>662</v>
      </c>
    </row>
    <row r="8" spans="1:8">
      <c r="A8" s="1" t="s">
        <v>169</v>
      </c>
      <c r="B8" s="1" t="s">
        <v>170</v>
      </c>
      <c r="C8" s="1">
        <v>2005</v>
      </c>
      <c r="D8" s="1">
        <v>2004</v>
      </c>
      <c r="E8" s="1">
        <f>ROUND(usage!I66/usage!I59*100,2)</f>
        <v>21.99</v>
      </c>
      <c r="G8" s="1" t="s">
        <v>661</v>
      </c>
      <c r="H8" s="1" t="s">
        <v>662</v>
      </c>
    </row>
    <row r="9" spans="1:8">
      <c r="A9" s="1" t="s">
        <v>169</v>
      </c>
      <c r="B9" s="1" t="s">
        <v>170</v>
      </c>
      <c r="C9" s="1">
        <v>2013</v>
      </c>
      <c r="D9" s="1">
        <v>2012</v>
      </c>
      <c r="E9" s="1">
        <f>ROUND(13.9/70.5*100,2)</f>
        <v>19.72</v>
      </c>
      <c r="G9" s="1" t="s">
        <v>663</v>
      </c>
      <c r="H9" s="1" t="s">
        <v>664</v>
      </c>
    </row>
    <row r="10" spans="1:8">
      <c r="A10" s="1" t="s">
        <v>169</v>
      </c>
      <c r="B10" s="1" t="s">
        <v>170</v>
      </c>
      <c r="C10" s="1" t="s">
        <v>174</v>
      </c>
      <c r="D10" s="1">
        <v>2017</v>
      </c>
      <c r="E10" s="20">
        <f>42.7/71.4*100</f>
        <v>59.803921568627452</v>
      </c>
      <c r="G10" s="1" t="s">
        <v>665</v>
      </c>
    </row>
    <row r="11" spans="1:8">
      <c r="A11" s="1" t="s">
        <v>169</v>
      </c>
      <c r="B11" s="1" t="s">
        <v>170</v>
      </c>
      <c r="C11" s="1">
        <v>2019</v>
      </c>
      <c r="D11" s="1">
        <v>2018</v>
      </c>
      <c r="E11" s="1">
        <f>ROUND(usage!I164/usage!I156*100,2)</f>
        <v>69.28</v>
      </c>
      <c r="G11" s="1" t="s">
        <v>665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17"/>
  <sheetViews>
    <sheetView workbookViewId="0">
      <pane ySplit="1" topLeftCell="A180" activePane="bottomLeft" state="frozen"/>
      <selection pane="bottomLeft" activeCell="H217" sqref="H217"/>
    </sheetView>
  </sheetViews>
  <sheetFormatPr defaultColWidth="8.85546875" defaultRowHeight="14.45"/>
  <cols>
    <col min="1" max="1" width="10.140625" style="1" bestFit="1" customWidth="1"/>
    <col min="2" max="4" width="8.85546875" style="1"/>
    <col min="5" max="5" width="19.42578125" style="1" customWidth="1"/>
    <col min="6" max="6" width="15.5703125" style="1" bestFit="1" customWidth="1"/>
    <col min="7" max="7" width="8.85546875" style="1"/>
    <col min="8" max="8" width="11" style="1" bestFit="1" customWidth="1"/>
    <col min="9" max="16384" width="8.85546875" style="1"/>
  </cols>
  <sheetData>
    <row r="1" spans="1:13">
      <c r="A1" s="2" t="s">
        <v>149</v>
      </c>
      <c r="B1" s="2" t="s">
        <v>150</v>
      </c>
      <c r="C1" s="2" t="s">
        <v>151</v>
      </c>
      <c r="D1" s="2" t="s">
        <v>152</v>
      </c>
      <c r="E1" s="2" t="s">
        <v>666</v>
      </c>
      <c r="F1" s="2" t="s">
        <v>281</v>
      </c>
      <c r="G1" s="2" t="s">
        <v>395</v>
      </c>
      <c r="H1" s="5" t="s">
        <v>667</v>
      </c>
      <c r="I1" s="4" t="s">
        <v>668</v>
      </c>
      <c r="J1" s="4" t="s">
        <v>669</v>
      </c>
      <c r="K1" s="2" t="s">
        <v>670</v>
      </c>
      <c r="L1" s="2" t="s">
        <v>671</v>
      </c>
      <c r="M1" s="4" t="s">
        <v>168</v>
      </c>
    </row>
    <row r="2" spans="1:13">
      <c r="A2" s="1" t="s">
        <v>169</v>
      </c>
      <c r="B2" s="1" t="s">
        <v>170</v>
      </c>
      <c r="C2" s="1">
        <v>1991</v>
      </c>
      <c r="D2" s="1" t="s">
        <v>322</v>
      </c>
      <c r="E2" s="1" t="s">
        <v>672</v>
      </c>
      <c r="F2" s="1" t="s">
        <v>673</v>
      </c>
      <c r="G2" s="1">
        <v>1990</v>
      </c>
      <c r="H2" s="1" t="s">
        <v>174</v>
      </c>
      <c r="I2" s="1" t="s">
        <v>174</v>
      </c>
      <c r="J2" s="1" t="s">
        <v>174</v>
      </c>
      <c r="K2" s="1" t="s">
        <v>174</v>
      </c>
      <c r="L2" s="1" t="s">
        <v>174</v>
      </c>
    </row>
    <row r="3" spans="1:13">
      <c r="A3" s="1" t="s">
        <v>169</v>
      </c>
      <c r="B3" s="1" t="s">
        <v>170</v>
      </c>
      <c r="C3" s="1">
        <v>1991</v>
      </c>
      <c r="D3" s="1" t="s">
        <v>322</v>
      </c>
      <c r="E3" s="1" t="s">
        <v>674</v>
      </c>
      <c r="F3" s="1" t="s">
        <v>675</v>
      </c>
      <c r="G3" s="1">
        <v>1990</v>
      </c>
      <c r="H3" s="1" t="s">
        <v>174</v>
      </c>
      <c r="I3" s="1" t="s">
        <v>174</v>
      </c>
      <c r="J3" s="1" t="s">
        <v>174</v>
      </c>
      <c r="K3" s="1" t="s">
        <v>174</v>
      </c>
      <c r="L3" s="1" t="s">
        <v>174</v>
      </c>
    </row>
    <row r="4" spans="1:13">
      <c r="A4" s="1" t="s">
        <v>169</v>
      </c>
      <c r="B4" s="1" t="s">
        <v>170</v>
      </c>
      <c r="C4" s="1">
        <v>1991</v>
      </c>
      <c r="D4" s="1" t="s">
        <v>322</v>
      </c>
      <c r="E4" s="1" t="s">
        <v>676</v>
      </c>
      <c r="F4" s="1" t="s">
        <v>677</v>
      </c>
      <c r="G4" s="1">
        <v>1990</v>
      </c>
      <c r="H4" s="1" t="s">
        <v>174</v>
      </c>
      <c r="I4" s="1" t="s">
        <v>174</v>
      </c>
      <c r="J4" s="1" t="s">
        <v>174</v>
      </c>
      <c r="K4" s="1" t="s">
        <v>174</v>
      </c>
      <c r="L4" s="1" t="s">
        <v>174</v>
      </c>
    </row>
    <row r="5" spans="1:13">
      <c r="A5" s="1" t="s">
        <v>169</v>
      </c>
      <c r="B5" s="1" t="s">
        <v>170</v>
      </c>
      <c r="C5" s="1">
        <v>1991</v>
      </c>
      <c r="D5" s="1" t="s">
        <v>322</v>
      </c>
      <c r="E5" s="1" t="s">
        <v>678</v>
      </c>
      <c r="F5" s="1" t="s">
        <v>679</v>
      </c>
      <c r="G5" s="1">
        <v>1990</v>
      </c>
      <c r="H5" s="1" t="s">
        <v>174</v>
      </c>
      <c r="I5" s="1" t="s">
        <v>174</v>
      </c>
      <c r="J5" s="1" t="s">
        <v>174</v>
      </c>
      <c r="K5" s="1" t="s">
        <v>174</v>
      </c>
      <c r="L5" s="1" t="s">
        <v>174</v>
      </c>
    </row>
    <row r="6" spans="1:13">
      <c r="A6" s="1" t="s">
        <v>169</v>
      </c>
      <c r="B6" s="1" t="s">
        <v>170</v>
      </c>
      <c r="C6" s="1">
        <v>1991</v>
      </c>
      <c r="D6" s="1" t="s">
        <v>322</v>
      </c>
      <c r="E6" s="1" t="s">
        <v>680</v>
      </c>
      <c r="F6" s="1" t="s">
        <v>681</v>
      </c>
      <c r="G6" s="1">
        <v>1990</v>
      </c>
      <c r="H6" s="1" t="s">
        <v>174</v>
      </c>
      <c r="I6" s="1" t="s">
        <v>174</v>
      </c>
      <c r="J6" s="1" t="s">
        <v>174</v>
      </c>
      <c r="K6" s="1" t="s">
        <v>174</v>
      </c>
      <c r="L6" s="1" t="s">
        <v>174</v>
      </c>
    </row>
    <row r="7" spans="1:13">
      <c r="A7" s="1" t="s">
        <v>169</v>
      </c>
      <c r="B7" s="1" t="s">
        <v>170</v>
      </c>
      <c r="C7" s="1">
        <v>1991</v>
      </c>
      <c r="D7" s="1" t="s">
        <v>322</v>
      </c>
      <c r="E7" s="1" t="s">
        <v>682</v>
      </c>
      <c r="F7" s="1" t="s">
        <v>675</v>
      </c>
      <c r="G7" s="1">
        <v>1990</v>
      </c>
      <c r="H7" s="1" t="s">
        <v>174</v>
      </c>
      <c r="I7" s="1" t="s">
        <v>174</v>
      </c>
      <c r="J7" s="1" t="s">
        <v>174</v>
      </c>
      <c r="K7" s="1" t="s">
        <v>174</v>
      </c>
      <c r="L7" s="1" t="s">
        <v>174</v>
      </c>
    </row>
    <row r="8" spans="1:13">
      <c r="A8" s="1" t="s">
        <v>169</v>
      </c>
      <c r="B8" s="1" t="s">
        <v>170</v>
      </c>
      <c r="C8" s="1">
        <v>1991</v>
      </c>
      <c r="D8" s="1" t="s">
        <v>322</v>
      </c>
      <c r="E8" s="1" t="s">
        <v>683</v>
      </c>
      <c r="F8" s="1" t="s">
        <v>684</v>
      </c>
      <c r="G8" s="1">
        <v>1990</v>
      </c>
      <c r="H8" s="1" t="s">
        <v>174</v>
      </c>
      <c r="I8" s="1" t="s">
        <v>174</v>
      </c>
      <c r="J8" s="1" t="s">
        <v>174</v>
      </c>
      <c r="K8" s="1" t="s">
        <v>174</v>
      </c>
      <c r="L8" s="1" t="s">
        <v>174</v>
      </c>
    </row>
    <row r="9" spans="1:13">
      <c r="A9" s="1" t="s">
        <v>169</v>
      </c>
      <c r="B9" s="1" t="s">
        <v>170</v>
      </c>
      <c r="C9" s="1">
        <v>1991</v>
      </c>
      <c r="D9" s="1" t="s">
        <v>322</v>
      </c>
      <c r="E9" s="1" t="s">
        <v>685</v>
      </c>
      <c r="F9" s="1" t="s">
        <v>686</v>
      </c>
      <c r="G9" s="1">
        <v>1990</v>
      </c>
      <c r="H9" s="1" t="s">
        <v>174</v>
      </c>
      <c r="I9" s="1" t="s">
        <v>174</v>
      </c>
      <c r="J9" s="1" t="s">
        <v>174</v>
      </c>
      <c r="K9" s="1" t="s">
        <v>174</v>
      </c>
      <c r="L9" s="1" t="s">
        <v>174</v>
      </c>
    </row>
    <row r="10" spans="1:13">
      <c r="A10" s="1" t="s">
        <v>169</v>
      </c>
      <c r="B10" s="1" t="s">
        <v>170</v>
      </c>
      <c r="C10" s="1">
        <v>1991</v>
      </c>
      <c r="D10" s="1" t="s">
        <v>322</v>
      </c>
      <c r="E10" s="1" t="s">
        <v>687</v>
      </c>
      <c r="F10" s="1" t="s">
        <v>688</v>
      </c>
      <c r="G10" s="1">
        <v>1990</v>
      </c>
      <c r="H10" s="1" t="s">
        <v>174</v>
      </c>
      <c r="I10" s="1" t="s">
        <v>174</v>
      </c>
      <c r="J10" s="1" t="s">
        <v>174</v>
      </c>
      <c r="K10" s="1" t="s">
        <v>174</v>
      </c>
      <c r="L10" s="1" t="s">
        <v>174</v>
      </c>
    </row>
    <row r="11" spans="1:13">
      <c r="A11" s="1" t="s">
        <v>169</v>
      </c>
      <c r="B11" s="1" t="s">
        <v>170</v>
      </c>
      <c r="C11" s="1">
        <v>1991</v>
      </c>
      <c r="D11" s="1" t="s">
        <v>322</v>
      </c>
      <c r="E11" s="1" t="s">
        <v>689</v>
      </c>
      <c r="F11" s="1" t="s">
        <v>690</v>
      </c>
      <c r="G11" s="1">
        <v>1990</v>
      </c>
      <c r="H11" s="1" t="s">
        <v>174</v>
      </c>
      <c r="I11" s="1" t="s">
        <v>174</v>
      </c>
      <c r="J11" s="1" t="s">
        <v>174</v>
      </c>
      <c r="K11" s="1" t="s">
        <v>174</v>
      </c>
      <c r="L11" s="1" t="s">
        <v>174</v>
      </c>
    </row>
    <row r="12" spans="1:13">
      <c r="A12" s="1" t="s">
        <v>169</v>
      </c>
      <c r="B12" s="1" t="s">
        <v>170</v>
      </c>
      <c r="C12" s="1">
        <v>1991</v>
      </c>
      <c r="D12" s="1" t="s">
        <v>322</v>
      </c>
      <c r="E12" s="1" t="s">
        <v>603</v>
      </c>
      <c r="F12" s="1" t="s">
        <v>603</v>
      </c>
      <c r="G12" s="1">
        <v>1990</v>
      </c>
      <c r="H12" s="1" t="s">
        <v>174</v>
      </c>
      <c r="I12" s="1" t="s">
        <v>174</v>
      </c>
      <c r="J12" s="1" t="s">
        <v>174</v>
      </c>
      <c r="K12" s="1" t="s">
        <v>174</v>
      </c>
      <c r="L12" s="1" t="s">
        <v>174</v>
      </c>
    </row>
    <row r="13" spans="1:13">
      <c r="A13" s="1" t="s">
        <v>169</v>
      </c>
      <c r="B13" s="1" t="s">
        <v>170</v>
      </c>
      <c r="C13" s="1">
        <v>1993</v>
      </c>
      <c r="D13" s="1" t="s">
        <v>322</v>
      </c>
      <c r="E13" s="1" t="s">
        <v>672</v>
      </c>
      <c r="F13" s="1" t="s">
        <v>673</v>
      </c>
      <c r="G13" s="1">
        <v>1992</v>
      </c>
      <c r="H13" s="1" t="s">
        <v>174</v>
      </c>
      <c r="I13" s="1" t="s">
        <v>174</v>
      </c>
      <c r="J13" s="1" t="s">
        <v>174</v>
      </c>
      <c r="K13" s="1" t="s">
        <v>174</v>
      </c>
      <c r="L13" s="1" t="s">
        <v>174</v>
      </c>
    </row>
    <row r="14" spans="1:13">
      <c r="A14" s="1" t="s">
        <v>169</v>
      </c>
      <c r="B14" s="1" t="s">
        <v>170</v>
      </c>
      <c r="C14" s="1">
        <v>1993</v>
      </c>
      <c r="D14" s="1" t="s">
        <v>322</v>
      </c>
      <c r="E14" s="1" t="s">
        <v>676</v>
      </c>
      <c r="F14" s="1" t="s">
        <v>677</v>
      </c>
      <c r="G14" s="1">
        <v>1992</v>
      </c>
      <c r="H14" s="1" t="s">
        <v>174</v>
      </c>
      <c r="I14" s="1" t="s">
        <v>174</v>
      </c>
      <c r="J14" s="1" t="s">
        <v>174</v>
      </c>
      <c r="K14" s="1" t="s">
        <v>174</v>
      </c>
      <c r="L14" s="1" t="s">
        <v>174</v>
      </c>
    </row>
    <row r="15" spans="1:13">
      <c r="A15" s="1" t="s">
        <v>169</v>
      </c>
      <c r="B15" s="1" t="s">
        <v>170</v>
      </c>
      <c r="C15" s="1">
        <v>1993</v>
      </c>
      <c r="D15" s="1" t="s">
        <v>322</v>
      </c>
      <c r="E15" s="1" t="s">
        <v>674</v>
      </c>
      <c r="F15" s="1" t="s">
        <v>675</v>
      </c>
      <c r="G15" s="1">
        <v>1992</v>
      </c>
      <c r="H15" s="1" t="s">
        <v>174</v>
      </c>
      <c r="I15" s="1" t="s">
        <v>174</v>
      </c>
      <c r="J15" s="1" t="s">
        <v>174</v>
      </c>
      <c r="K15" s="1" t="s">
        <v>174</v>
      </c>
      <c r="L15" s="1" t="s">
        <v>174</v>
      </c>
    </row>
    <row r="16" spans="1:13">
      <c r="A16" s="1" t="s">
        <v>169</v>
      </c>
      <c r="B16" s="1" t="s">
        <v>170</v>
      </c>
      <c r="C16" s="1">
        <v>1993</v>
      </c>
      <c r="D16" s="1" t="s">
        <v>322</v>
      </c>
      <c r="E16" s="1" t="s">
        <v>678</v>
      </c>
      <c r="F16" s="1" t="s">
        <v>679</v>
      </c>
      <c r="G16" s="1">
        <v>1992</v>
      </c>
      <c r="H16" s="1" t="s">
        <v>174</v>
      </c>
      <c r="I16" s="1" t="s">
        <v>174</v>
      </c>
      <c r="J16" s="1" t="s">
        <v>174</v>
      </c>
      <c r="K16" s="1" t="s">
        <v>174</v>
      </c>
      <c r="L16" s="1" t="s">
        <v>174</v>
      </c>
    </row>
    <row r="17" spans="1:12">
      <c r="A17" s="1" t="s">
        <v>169</v>
      </c>
      <c r="B17" s="1" t="s">
        <v>170</v>
      </c>
      <c r="C17" s="1">
        <v>1993</v>
      </c>
      <c r="D17" s="1" t="s">
        <v>322</v>
      </c>
      <c r="E17" s="1" t="s">
        <v>682</v>
      </c>
      <c r="F17" s="1" t="s">
        <v>675</v>
      </c>
      <c r="G17" s="1">
        <v>1992</v>
      </c>
      <c r="H17" s="1" t="s">
        <v>174</v>
      </c>
      <c r="I17" s="1" t="s">
        <v>174</v>
      </c>
      <c r="J17" s="1" t="s">
        <v>174</v>
      </c>
      <c r="K17" s="1" t="s">
        <v>174</v>
      </c>
      <c r="L17" s="1" t="s">
        <v>174</v>
      </c>
    </row>
    <row r="18" spans="1:12">
      <c r="A18" s="1" t="s">
        <v>169</v>
      </c>
      <c r="B18" s="1" t="s">
        <v>170</v>
      </c>
      <c r="C18" s="1">
        <v>1993</v>
      </c>
      <c r="D18" s="1" t="s">
        <v>322</v>
      </c>
      <c r="E18" s="1" t="s">
        <v>680</v>
      </c>
      <c r="F18" s="1" t="s">
        <v>681</v>
      </c>
      <c r="G18" s="1">
        <v>1992</v>
      </c>
      <c r="H18" s="1" t="s">
        <v>174</v>
      </c>
      <c r="I18" s="1" t="s">
        <v>174</v>
      </c>
      <c r="J18" s="1" t="s">
        <v>174</v>
      </c>
      <c r="K18" s="1" t="s">
        <v>174</v>
      </c>
      <c r="L18" s="1" t="s">
        <v>174</v>
      </c>
    </row>
    <row r="19" spans="1:12">
      <c r="A19" s="1" t="s">
        <v>169</v>
      </c>
      <c r="B19" s="1" t="s">
        <v>170</v>
      </c>
      <c r="C19" s="1">
        <v>1993</v>
      </c>
      <c r="D19" s="1" t="s">
        <v>322</v>
      </c>
      <c r="E19" s="1" t="s">
        <v>685</v>
      </c>
      <c r="F19" s="1" t="s">
        <v>686</v>
      </c>
      <c r="G19" s="1">
        <v>1992</v>
      </c>
      <c r="H19" s="1" t="s">
        <v>174</v>
      </c>
      <c r="I19" s="1" t="s">
        <v>174</v>
      </c>
      <c r="J19" s="1" t="s">
        <v>174</v>
      </c>
      <c r="K19" s="1" t="s">
        <v>174</v>
      </c>
      <c r="L19" s="1" t="s">
        <v>174</v>
      </c>
    </row>
    <row r="20" spans="1:12">
      <c r="A20" s="1" t="s">
        <v>169</v>
      </c>
      <c r="B20" s="1" t="s">
        <v>170</v>
      </c>
      <c r="C20" s="1">
        <v>1993</v>
      </c>
      <c r="D20" s="1" t="s">
        <v>322</v>
      </c>
      <c r="E20" s="1" t="s">
        <v>691</v>
      </c>
      <c r="F20" s="1" t="s">
        <v>688</v>
      </c>
      <c r="G20" s="1">
        <v>1992</v>
      </c>
      <c r="H20" s="1" t="s">
        <v>174</v>
      </c>
      <c r="I20" s="1" t="s">
        <v>174</v>
      </c>
      <c r="J20" s="1" t="s">
        <v>174</v>
      </c>
      <c r="K20" s="1" t="s">
        <v>174</v>
      </c>
      <c r="L20" s="1" t="s">
        <v>174</v>
      </c>
    </row>
    <row r="21" spans="1:12">
      <c r="A21" s="1" t="s">
        <v>169</v>
      </c>
      <c r="B21" s="1" t="s">
        <v>170</v>
      </c>
      <c r="C21" s="1">
        <v>1993</v>
      </c>
      <c r="D21" s="1" t="s">
        <v>322</v>
      </c>
      <c r="E21" s="1" t="s">
        <v>687</v>
      </c>
      <c r="F21" s="1" t="s">
        <v>688</v>
      </c>
      <c r="G21" s="1">
        <v>1992</v>
      </c>
      <c r="H21" s="1" t="s">
        <v>174</v>
      </c>
      <c r="I21" s="1" t="s">
        <v>174</v>
      </c>
      <c r="J21" s="1" t="s">
        <v>174</v>
      </c>
      <c r="K21" s="1" t="s">
        <v>174</v>
      </c>
      <c r="L21" s="1" t="s">
        <v>174</v>
      </c>
    </row>
    <row r="22" spans="1:12">
      <c r="A22" s="1" t="s">
        <v>169</v>
      </c>
      <c r="B22" s="1" t="s">
        <v>170</v>
      </c>
      <c r="C22" s="1">
        <v>1993</v>
      </c>
      <c r="D22" s="1" t="s">
        <v>322</v>
      </c>
      <c r="E22" s="1" t="s">
        <v>683</v>
      </c>
      <c r="F22" s="1" t="s">
        <v>684</v>
      </c>
      <c r="G22" s="1">
        <v>1992</v>
      </c>
      <c r="H22" s="1" t="s">
        <v>174</v>
      </c>
      <c r="I22" s="1" t="s">
        <v>174</v>
      </c>
      <c r="J22" s="1" t="s">
        <v>174</v>
      </c>
      <c r="K22" s="1" t="s">
        <v>174</v>
      </c>
      <c r="L22" s="1" t="s">
        <v>174</v>
      </c>
    </row>
    <row r="23" spans="1:12">
      <c r="A23" s="1" t="s">
        <v>169</v>
      </c>
      <c r="B23" s="1" t="s">
        <v>170</v>
      </c>
      <c r="C23" s="1">
        <v>1993</v>
      </c>
      <c r="D23" s="1" t="s">
        <v>322</v>
      </c>
      <c r="E23" s="1" t="s">
        <v>603</v>
      </c>
      <c r="F23" s="1" t="s">
        <v>603</v>
      </c>
      <c r="G23" s="1">
        <v>1992</v>
      </c>
      <c r="H23" s="1" t="s">
        <v>174</v>
      </c>
      <c r="I23" s="1" t="s">
        <v>174</v>
      </c>
      <c r="J23" s="1" t="s">
        <v>174</v>
      </c>
      <c r="K23" s="1" t="s">
        <v>174</v>
      </c>
      <c r="L23" s="1" t="s">
        <v>174</v>
      </c>
    </row>
    <row r="24" spans="1:12">
      <c r="A24" s="1" t="s">
        <v>169</v>
      </c>
      <c r="B24" s="1" t="s">
        <v>170</v>
      </c>
      <c r="C24" s="1">
        <v>1995</v>
      </c>
      <c r="D24" s="1" t="s">
        <v>322</v>
      </c>
      <c r="E24" s="1" t="s">
        <v>672</v>
      </c>
      <c r="F24" s="1" t="s">
        <v>673</v>
      </c>
      <c r="G24" s="1">
        <v>1994</v>
      </c>
      <c r="H24" s="1" t="s">
        <v>174</v>
      </c>
      <c r="I24" s="1" t="s">
        <v>174</v>
      </c>
      <c r="J24" s="1" t="s">
        <v>174</v>
      </c>
      <c r="K24" s="1" t="s">
        <v>174</v>
      </c>
      <c r="L24" s="1" t="s">
        <v>174</v>
      </c>
    </row>
    <row r="25" spans="1:12">
      <c r="A25" s="1" t="s">
        <v>169</v>
      </c>
      <c r="B25" s="1" t="s">
        <v>170</v>
      </c>
      <c r="C25" s="1">
        <v>1995</v>
      </c>
      <c r="D25" s="1" t="s">
        <v>322</v>
      </c>
      <c r="E25" s="1" t="s">
        <v>674</v>
      </c>
      <c r="F25" s="1" t="s">
        <v>675</v>
      </c>
      <c r="G25" s="1">
        <v>1994</v>
      </c>
      <c r="H25" s="1" t="s">
        <v>174</v>
      </c>
      <c r="I25" s="1" t="s">
        <v>174</v>
      </c>
      <c r="J25" s="1" t="s">
        <v>174</v>
      </c>
      <c r="K25" s="1" t="s">
        <v>174</v>
      </c>
      <c r="L25" s="1" t="s">
        <v>174</v>
      </c>
    </row>
    <row r="26" spans="1:12">
      <c r="A26" s="1" t="s">
        <v>169</v>
      </c>
      <c r="B26" s="1" t="s">
        <v>170</v>
      </c>
      <c r="C26" s="1">
        <v>1995</v>
      </c>
      <c r="D26" s="1" t="s">
        <v>322</v>
      </c>
      <c r="E26" s="1" t="s">
        <v>676</v>
      </c>
      <c r="F26" s="1" t="s">
        <v>677</v>
      </c>
      <c r="G26" s="1">
        <v>1994</v>
      </c>
      <c r="H26" s="1" t="s">
        <v>174</v>
      </c>
      <c r="I26" s="1" t="s">
        <v>174</v>
      </c>
      <c r="J26" s="1" t="s">
        <v>174</v>
      </c>
      <c r="K26" s="1" t="s">
        <v>174</v>
      </c>
      <c r="L26" s="1" t="s">
        <v>174</v>
      </c>
    </row>
    <row r="27" spans="1:12">
      <c r="A27" s="1" t="s">
        <v>169</v>
      </c>
      <c r="B27" s="1" t="s">
        <v>170</v>
      </c>
      <c r="C27" s="1">
        <v>1995</v>
      </c>
      <c r="D27" s="1" t="s">
        <v>322</v>
      </c>
      <c r="E27" s="1" t="s">
        <v>678</v>
      </c>
      <c r="F27" s="1" t="s">
        <v>679</v>
      </c>
      <c r="G27" s="1">
        <v>1994</v>
      </c>
      <c r="H27" s="1" t="s">
        <v>174</v>
      </c>
      <c r="I27" s="1" t="s">
        <v>174</v>
      </c>
      <c r="J27" s="1" t="s">
        <v>174</v>
      </c>
      <c r="K27" s="1" t="s">
        <v>174</v>
      </c>
      <c r="L27" s="1" t="s">
        <v>174</v>
      </c>
    </row>
    <row r="28" spans="1:12">
      <c r="A28" s="1" t="s">
        <v>169</v>
      </c>
      <c r="B28" s="1" t="s">
        <v>170</v>
      </c>
      <c r="C28" s="1">
        <v>1995</v>
      </c>
      <c r="D28" s="1" t="s">
        <v>322</v>
      </c>
      <c r="E28" s="1" t="s">
        <v>692</v>
      </c>
      <c r="F28" s="1" t="s">
        <v>693</v>
      </c>
      <c r="G28" s="1">
        <v>1994</v>
      </c>
      <c r="H28" s="1" t="s">
        <v>174</v>
      </c>
      <c r="I28" s="1" t="s">
        <v>174</v>
      </c>
      <c r="J28" s="1" t="s">
        <v>174</v>
      </c>
      <c r="K28" s="1" t="s">
        <v>174</v>
      </c>
      <c r="L28" s="1" t="s">
        <v>174</v>
      </c>
    </row>
    <row r="29" spans="1:12">
      <c r="A29" s="1" t="s">
        <v>169</v>
      </c>
      <c r="B29" s="1" t="s">
        <v>170</v>
      </c>
      <c r="C29" s="1">
        <v>1995</v>
      </c>
      <c r="D29" s="1" t="s">
        <v>322</v>
      </c>
      <c r="E29" s="1" t="s">
        <v>687</v>
      </c>
      <c r="F29" s="1" t="s">
        <v>688</v>
      </c>
      <c r="G29" s="1">
        <v>1994</v>
      </c>
      <c r="H29" s="1" t="s">
        <v>174</v>
      </c>
      <c r="I29" s="1" t="s">
        <v>174</v>
      </c>
      <c r="J29" s="1" t="s">
        <v>174</v>
      </c>
      <c r="K29" s="1" t="s">
        <v>174</v>
      </c>
      <c r="L29" s="1" t="s">
        <v>174</v>
      </c>
    </row>
    <row r="30" spans="1:12">
      <c r="A30" s="1" t="s">
        <v>169</v>
      </c>
      <c r="B30" s="1" t="s">
        <v>170</v>
      </c>
      <c r="C30" s="1">
        <v>1995</v>
      </c>
      <c r="D30" s="1" t="s">
        <v>322</v>
      </c>
      <c r="E30" s="1" t="s">
        <v>685</v>
      </c>
      <c r="F30" s="1" t="s">
        <v>686</v>
      </c>
      <c r="G30" s="1">
        <v>1994</v>
      </c>
      <c r="H30" s="1" t="s">
        <v>174</v>
      </c>
      <c r="I30" s="1" t="s">
        <v>174</v>
      </c>
      <c r="J30" s="1" t="s">
        <v>174</v>
      </c>
      <c r="K30" s="1" t="s">
        <v>174</v>
      </c>
      <c r="L30" s="1" t="s">
        <v>174</v>
      </c>
    </row>
    <row r="31" spans="1:12">
      <c r="A31" s="1" t="s">
        <v>169</v>
      </c>
      <c r="B31" s="1" t="s">
        <v>170</v>
      </c>
      <c r="C31" s="1">
        <v>1995</v>
      </c>
      <c r="D31" s="1" t="s">
        <v>322</v>
      </c>
      <c r="E31" s="1" t="s">
        <v>680</v>
      </c>
      <c r="F31" s="1" t="s">
        <v>681</v>
      </c>
      <c r="G31" s="1">
        <v>1994</v>
      </c>
      <c r="H31" s="1" t="s">
        <v>174</v>
      </c>
      <c r="I31" s="1" t="s">
        <v>174</v>
      </c>
      <c r="J31" s="1" t="s">
        <v>174</v>
      </c>
      <c r="K31" s="1" t="s">
        <v>174</v>
      </c>
      <c r="L31" s="1" t="s">
        <v>174</v>
      </c>
    </row>
    <row r="32" spans="1:12">
      <c r="A32" s="1" t="s">
        <v>169</v>
      </c>
      <c r="B32" s="1" t="s">
        <v>170</v>
      </c>
      <c r="C32" s="1">
        <v>1995</v>
      </c>
      <c r="D32" s="1" t="s">
        <v>322</v>
      </c>
      <c r="E32" s="1" t="s">
        <v>694</v>
      </c>
      <c r="F32" s="1" t="s">
        <v>695</v>
      </c>
      <c r="G32" s="1">
        <v>1994</v>
      </c>
      <c r="H32" s="1" t="s">
        <v>174</v>
      </c>
      <c r="I32" s="1" t="s">
        <v>174</v>
      </c>
      <c r="J32" s="1" t="s">
        <v>174</v>
      </c>
      <c r="K32" s="1" t="s">
        <v>174</v>
      </c>
      <c r="L32" s="1" t="s">
        <v>174</v>
      </c>
    </row>
    <row r="33" spans="1:12">
      <c r="A33" s="1" t="s">
        <v>169</v>
      </c>
      <c r="B33" s="1" t="s">
        <v>170</v>
      </c>
      <c r="C33" s="1">
        <v>1995</v>
      </c>
      <c r="D33" s="1" t="s">
        <v>322</v>
      </c>
      <c r="E33" s="1" t="s">
        <v>691</v>
      </c>
      <c r="F33" s="1" t="s">
        <v>688</v>
      </c>
      <c r="G33" s="1">
        <v>1994</v>
      </c>
      <c r="H33" s="1" t="s">
        <v>174</v>
      </c>
      <c r="I33" s="1" t="s">
        <v>174</v>
      </c>
      <c r="J33" s="1" t="s">
        <v>174</v>
      </c>
      <c r="K33" s="1" t="s">
        <v>174</v>
      </c>
      <c r="L33" s="1" t="s">
        <v>174</v>
      </c>
    </row>
    <row r="34" spans="1:12">
      <c r="A34" s="1" t="s">
        <v>169</v>
      </c>
      <c r="B34" s="1" t="s">
        <v>170</v>
      </c>
      <c r="C34" s="1">
        <v>1995</v>
      </c>
      <c r="D34" s="1" t="s">
        <v>322</v>
      </c>
      <c r="E34" s="1" t="s">
        <v>603</v>
      </c>
      <c r="F34" s="1" t="s">
        <v>603</v>
      </c>
      <c r="G34" s="1">
        <v>1994</v>
      </c>
      <c r="H34" s="1" t="s">
        <v>174</v>
      </c>
      <c r="I34" s="1" t="s">
        <v>174</v>
      </c>
      <c r="J34" s="1" t="s">
        <v>174</v>
      </c>
      <c r="K34" s="1" t="s">
        <v>174</v>
      </c>
      <c r="L34" s="1" t="s">
        <v>174</v>
      </c>
    </row>
    <row r="35" spans="1:12">
      <c r="A35" s="1" t="s">
        <v>169</v>
      </c>
      <c r="B35" s="1" t="s">
        <v>170</v>
      </c>
      <c r="C35" s="1">
        <v>1998</v>
      </c>
      <c r="D35" s="1" t="s">
        <v>322</v>
      </c>
      <c r="E35" s="1" t="s">
        <v>672</v>
      </c>
      <c r="F35" s="1" t="s">
        <v>673</v>
      </c>
      <c r="G35" s="1">
        <v>1996</v>
      </c>
      <c r="H35" s="1" t="s">
        <v>174</v>
      </c>
      <c r="I35" s="1" t="s">
        <v>174</v>
      </c>
      <c r="J35" s="1" t="s">
        <v>174</v>
      </c>
      <c r="K35" s="1" t="s">
        <v>174</v>
      </c>
      <c r="L35" s="1" t="s">
        <v>174</v>
      </c>
    </row>
    <row r="36" spans="1:12">
      <c r="A36" s="1" t="s">
        <v>169</v>
      </c>
      <c r="B36" s="1" t="s">
        <v>170</v>
      </c>
      <c r="C36" s="1">
        <v>1998</v>
      </c>
      <c r="D36" s="1" t="s">
        <v>322</v>
      </c>
      <c r="E36" s="1" t="s">
        <v>674</v>
      </c>
      <c r="F36" s="1" t="s">
        <v>675</v>
      </c>
      <c r="G36" s="1">
        <v>1996</v>
      </c>
      <c r="H36" s="1" t="s">
        <v>174</v>
      </c>
      <c r="I36" s="1" t="s">
        <v>174</v>
      </c>
      <c r="J36" s="1" t="s">
        <v>174</v>
      </c>
      <c r="K36" s="1" t="s">
        <v>174</v>
      </c>
      <c r="L36" s="1" t="s">
        <v>174</v>
      </c>
    </row>
    <row r="37" spans="1:12">
      <c r="A37" s="1" t="s">
        <v>169</v>
      </c>
      <c r="B37" s="1" t="s">
        <v>170</v>
      </c>
      <c r="C37" s="1">
        <v>1998</v>
      </c>
      <c r="D37" s="1" t="s">
        <v>322</v>
      </c>
      <c r="E37" s="1" t="s">
        <v>676</v>
      </c>
      <c r="F37" s="1" t="s">
        <v>677</v>
      </c>
      <c r="G37" s="1">
        <v>1996</v>
      </c>
      <c r="H37" s="1" t="s">
        <v>174</v>
      </c>
      <c r="I37" s="1" t="s">
        <v>174</v>
      </c>
      <c r="J37" s="1" t="s">
        <v>174</v>
      </c>
      <c r="K37" s="1" t="s">
        <v>174</v>
      </c>
      <c r="L37" s="1" t="s">
        <v>174</v>
      </c>
    </row>
    <row r="38" spans="1:12">
      <c r="A38" s="1" t="s">
        <v>169</v>
      </c>
      <c r="B38" s="1" t="s">
        <v>170</v>
      </c>
      <c r="C38" s="1">
        <v>1998</v>
      </c>
      <c r="D38" s="1" t="s">
        <v>322</v>
      </c>
      <c r="E38" s="1" t="s">
        <v>680</v>
      </c>
      <c r="F38" s="1" t="s">
        <v>681</v>
      </c>
      <c r="G38" s="1">
        <v>1996</v>
      </c>
      <c r="H38" s="1" t="s">
        <v>174</v>
      </c>
      <c r="I38" s="1" t="s">
        <v>174</v>
      </c>
      <c r="J38" s="1" t="s">
        <v>174</v>
      </c>
      <c r="K38" s="1" t="s">
        <v>174</v>
      </c>
      <c r="L38" s="1" t="s">
        <v>174</v>
      </c>
    </row>
    <row r="39" spans="1:12">
      <c r="A39" s="1" t="s">
        <v>169</v>
      </c>
      <c r="B39" s="1" t="s">
        <v>170</v>
      </c>
      <c r="C39" s="1">
        <v>1998</v>
      </c>
      <c r="D39" s="1" t="s">
        <v>322</v>
      </c>
      <c r="E39" s="1" t="s">
        <v>678</v>
      </c>
      <c r="F39" s="1" t="s">
        <v>679</v>
      </c>
      <c r="G39" s="1">
        <v>1996</v>
      </c>
      <c r="H39" s="1" t="s">
        <v>174</v>
      </c>
      <c r="I39" s="1" t="s">
        <v>174</v>
      </c>
      <c r="J39" s="1" t="s">
        <v>174</v>
      </c>
      <c r="K39" s="1" t="s">
        <v>174</v>
      </c>
      <c r="L39" s="1" t="s">
        <v>174</v>
      </c>
    </row>
    <row r="40" spans="1:12">
      <c r="A40" s="1" t="s">
        <v>169</v>
      </c>
      <c r="B40" s="1" t="s">
        <v>170</v>
      </c>
      <c r="C40" s="1">
        <v>1998</v>
      </c>
      <c r="D40" s="1" t="s">
        <v>322</v>
      </c>
      <c r="E40" s="1" t="s">
        <v>696</v>
      </c>
      <c r="F40" s="1" t="s">
        <v>690</v>
      </c>
      <c r="G40" s="1">
        <v>1996</v>
      </c>
      <c r="H40" s="1" t="s">
        <v>174</v>
      </c>
      <c r="I40" s="1" t="s">
        <v>174</v>
      </c>
      <c r="J40" s="1" t="s">
        <v>174</v>
      </c>
      <c r="K40" s="1" t="s">
        <v>174</v>
      </c>
      <c r="L40" s="1" t="s">
        <v>174</v>
      </c>
    </row>
    <row r="41" spans="1:12">
      <c r="A41" s="1" t="s">
        <v>169</v>
      </c>
      <c r="B41" s="1" t="s">
        <v>170</v>
      </c>
      <c r="C41" s="1">
        <v>1998</v>
      </c>
      <c r="D41" s="1" t="s">
        <v>322</v>
      </c>
      <c r="E41" s="1" t="s">
        <v>692</v>
      </c>
      <c r="F41" s="1" t="s">
        <v>693</v>
      </c>
      <c r="G41" s="1">
        <v>1996</v>
      </c>
      <c r="H41" s="1" t="s">
        <v>174</v>
      </c>
      <c r="I41" s="1" t="s">
        <v>174</v>
      </c>
      <c r="J41" s="1" t="s">
        <v>174</v>
      </c>
      <c r="K41" s="1" t="s">
        <v>174</v>
      </c>
      <c r="L41" s="1" t="s">
        <v>174</v>
      </c>
    </row>
    <row r="42" spans="1:12">
      <c r="A42" s="1" t="s">
        <v>169</v>
      </c>
      <c r="B42" s="1" t="s">
        <v>170</v>
      </c>
      <c r="C42" s="1">
        <v>1998</v>
      </c>
      <c r="D42" s="1" t="s">
        <v>322</v>
      </c>
      <c r="E42" s="1" t="s">
        <v>687</v>
      </c>
      <c r="F42" s="1" t="s">
        <v>688</v>
      </c>
      <c r="G42" s="1">
        <v>1996</v>
      </c>
      <c r="H42" s="1" t="s">
        <v>174</v>
      </c>
      <c r="I42" s="1" t="s">
        <v>174</v>
      </c>
      <c r="J42" s="1" t="s">
        <v>174</v>
      </c>
      <c r="K42" s="1" t="s">
        <v>174</v>
      </c>
      <c r="L42" s="1" t="s">
        <v>174</v>
      </c>
    </row>
    <row r="43" spans="1:12">
      <c r="A43" s="1" t="s">
        <v>169</v>
      </c>
      <c r="B43" s="1" t="s">
        <v>170</v>
      </c>
      <c r="C43" s="1">
        <v>1998</v>
      </c>
      <c r="D43" s="1" t="s">
        <v>322</v>
      </c>
      <c r="E43" s="1" t="s">
        <v>697</v>
      </c>
      <c r="F43" s="1" t="s">
        <v>684</v>
      </c>
      <c r="G43" s="1">
        <v>1996</v>
      </c>
      <c r="H43" s="1" t="s">
        <v>174</v>
      </c>
      <c r="I43" s="1" t="s">
        <v>174</v>
      </c>
      <c r="J43" s="1" t="s">
        <v>174</v>
      </c>
      <c r="K43" s="1" t="s">
        <v>174</v>
      </c>
      <c r="L43" s="1" t="s">
        <v>174</v>
      </c>
    </row>
    <row r="44" spans="1:12">
      <c r="A44" s="1" t="s">
        <v>169</v>
      </c>
      <c r="B44" s="1" t="s">
        <v>170</v>
      </c>
      <c r="C44" s="1">
        <v>1998</v>
      </c>
      <c r="D44" s="1" t="s">
        <v>322</v>
      </c>
      <c r="E44" s="1" t="s">
        <v>682</v>
      </c>
      <c r="F44" s="1" t="s">
        <v>675</v>
      </c>
      <c r="G44" s="1">
        <v>1996</v>
      </c>
      <c r="H44" s="1" t="s">
        <v>174</v>
      </c>
      <c r="I44" s="1" t="s">
        <v>174</v>
      </c>
      <c r="J44" s="1" t="s">
        <v>174</v>
      </c>
      <c r="K44" s="1" t="s">
        <v>174</v>
      </c>
      <c r="L44" s="1" t="s">
        <v>174</v>
      </c>
    </row>
    <row r="45" spans="1:12">
      <c r="A45" s="1" t="s">
        <v>169</v>
      </c>
      <c r="B45" s="1" t="s">
        <v>170</v>
      </c>
      <c r="C45" s="1">
        <v>1998</v>
      </c>
      <c r="D45" s="1" t="s">
        <v>322</v>
      </c>
      <c r="E45" s="1" t="s">
        <v>603</v>
      </c>
      <c r="F45" s="1" t="s">
        <v>603</v>
      </c>
      <c r="G45" s="1">
        <v>1996</v>
      </c>
      <c r="H45" s="1" t="s">
        <v>174</v>
      </c>
      <c r="I45" s="1" t="s">
        <v>174</v>
      </c>
      <c r="J45" s="1" t="s">
        <v>174</v>
      </c>
      <c r="K45" s="1" t="s">
        <v>174</v>
      </c>
      <c r="L45" s="1" t="s">
        <v>174</v>
      </c>
    </row>
    <row r="46" spans="1:12">
      <c r="A46" s="1" t="s">
        <v>169</v>
      </c>
      <c r="B46" s="1" t="s">
        <v>170</v>
      </c>
      <c r="C46" s="1">
        <v>2002</v>
      </c>
      <c r="D46" s="1" t="s">
        <v>322</v>
      </c>
      <c r="E46" s="1" t="s">
        <v>698</v>
      </c>
      <c r="F46" s="1" t="s">
        <v>699</v>
      </c>
      <c r="G46" s="1">
        <v>2001</v>
      </c>
      <c r="H46" s="1" t="s">
        <v>174</v>
      </c>
      <c r="I46" s="1" t="s">
        <v>174</v>
      </c>
      <c r="J46" s="1" t="s">
        <v>700</v>
      </c>
      <c r="K46" s="1">
        <v>2.5</v>
      </c>
      <c r="L46" s="1" t="s">
        <v>174</v>
      </c>
    </row>
    <row r="47" spans="1:12">
      <c r="A47" s="1" t="s">
        <v>169</v>
      </c>
      <c r="B47" s="1" t="s">
        <v>170</v>
      </c>
      <c r="C47" s="1">
        <v>2002</v>
      </c>
      <c r="D47" s="1" t="s">
        <v>322</v>
      </c>
      <c r="E47" s="1" t="s">
        <v>674</v>
      </c>
      <c r="F47" s="1" t="s">
        <v>675</v>
      </c>
      <c r="G47" s="1">
        <v>2001</v>
      </c>
      <c r="H47" s="1" t="s">
        <v>174</v>
      </c>
      <c r="I47" s="1" t="s">
        <v>174</v>
      </c>
      <c r="J47" s="1" t="s">
        <v>700</v>
      </c>
      <c r="K47" s="1">
        <v>0.9</v>
      </c>
      <c r="L47" s="1" t="s">
        <v>174</v>
      </c>
    </row>
    <row r="48" spans="1:12">
      <c r="A48" s="1" t="s">
        <v>169</v>
      </c>
      <c r="B48" s="1" t="s">
        <v>170</v>
      </c>
      <c r="C48" s="1">
        <v>2002</v>
      </c>
      <c r="D48" s="1" t="s">
        <v>322</v>
      </c>
      <c r="E48" s="1" t="s">
        <v>672</v>
      </c>
      <c r="F48" s="1" t="s">
        <v>673</v>
      </c>
      <c r="G48" s="1">
        <v>2001</v>
      </c>
      <c r="H48" s="1" t="s">
        <v>174</v>
      </c>
      <c r="I48" s="1" t="s">
        <v>174</v>
      </c>
      <c r="J48" s="1" t="s">
        <v>700</v>
      </c>
      <c r="K48" s="1">
        <v>0.5</v>
      </c>
      <c r="L48" s="1" t="s">
        <v>174</v>
      </c>
    </row>
    <row r="49" spans="1:12">
      <c r="A49" s="1" t="s">
        <v>169</v>
      </c>
      <c r="B49" s="1" t="s">
        <v>170</v>
      </c>
      <c r="C49" s="1">
        <v>2002</v>
      </c>
      <c r="D49" s="1" t="s">
        <v>322</v>
      </c>
      <c r="E49" s="1" t="s">
        <v>701</v>
      </c>
      <c r="F49" s="1" t="s">
        <v>688</v>
      </c>
      <c r="G49" s="1">
        <v>2001</v>
      </c>
      <c r="H49" s="1" t="s">
        <v>174</v>
      </c>
      <c r="I49" s="1" t="s">
        <v>174</v>
      </c>
      <c r="J49" s="1" t="s">
        <v>700</v>
      </c>
      <c r="K49" s="1">
        <v>0.4</v>
      </c>
      <c r="L49" s="1" t="s">
        <v>174</v>
      </c>
    </row>
    <row r="50" spans="1:12">
      <c r="A50" s="1" t="s">
        <v>169</v>
      </c>
      <c r="B50" s="1" t="s">
        <v>170</v>
      </c>
      <c r="C50" s="1">
        <v>2002</v>
      </c>
      <c r="D50" s="1" t="s">
        <v>322</v>
      </c>
      <c r="E50" s="1" t="s">
        <v>702</v>
      </c>
      <c r="F50" s="1" t="s">
        <v>675</v>
      </c>
      <c r="G50" s="1">
        <v>2001</v>
      </c>
      <c r="H50" s="1" t="s">
        <v>174</v>
      </c>
      <c r="I50" s="1" t="s">
        <v>174</v>
      </c>
      <c r="J50" s="1" t="s">
        <v>700</v>
      </c>
      <c r="K50" s="1">
        <v>0.2</v>
      </c>
      <c r="L50" s="1" t="s">
        <v>174</v>
      </c>
    </row>
    <row r="51" spans="1:12">
      <c r="A51" s="1" t="s">
        <v>169</v>
      </c>
      <c r="B51" s="1" t="s">
        <v>170</v>
      </c>
      <c r="C51" s="1">
        <v>2002</v>
      </c>
      <c r="D51" s="1" t="s">
        <v>322</v>
      </c>
      <c r="E51" s="1" t="s">
        <v>703</v>
      </c>
      <c r="F51" s="1" t="s">
        <v>675</v>
      </c>
      <c r="G51" s="1">
        <v>2001</v>
      </c>
      <c r="H51" s="1" t="s">
        <v>174</v>
      </c>
      <c r="I51" s="1" t="s">
        <v>174</v>
      </c>
      <c r="J51" s="1" t="s">
        <v>700</v>
      </c>
      <c r="K51" s="1">
        <v>0.2</v>
      </c>
      <c r="L51" s="1" t="s">
        <v>174</v>
      </c>
    </row>
    <row r="52" spans="1:12">
      <c r="A52" s="1" t="s">
        <v>169</v>
      </c>
      <c r="B52" s="1" t="s">
        <v>170</v>
      </c>
      <c r="C52" s="1">
        <v>2002</v>
      </c>
      <c r="D52" s="1" t="s">
        <v>322</v>
      </c>
      <c r="E52" s="1" t="s">
        <v>691</v>
      </c>
      <c r="F52" s="1" t="s">
        <v>688</v>
      </c>
      <c r="G52" s="1">
        <v>2001</v>
      </c>
      <c r="H52" s="1" t="s">
        <v>174</v>
      </c>
      <c r="I52" s="1" t="s">
        <v>174</v>
      </c>
      <c r="J52" s="1" t="s">
        <v>700</v>
      </c>
      <c r="K52" s="1">
        <v>0.2</v>
      </c>
      <c r="L52" s="1" t="s">
        <v>174</v>
      </c>
    </row>
    <row r="53" spans="1:12">
      <c r="A53" s="1" t="s">
        <v>169</v>
      </c>
      <c r="B53" s="1" t="s">
        <v>170</v>
      </c>
      <c r="C53" s="1">
        <v>2002</v>
      </c>
      <c r="D53" s="1" t="s">
        <v>322</v>
      </c>
      <c r="E53" s="1" t="s">
        <v>704</v>
      </c>
      <c r="F53" s="1" t="s">
        <v>684</v>
      </c>
      <c r="G53" s="1">
        <v>2001</v>
      </c>
      <c r="H53" s="1" t="s">
        <v>174</v>
      </c>
      <c r="I53" s="1" t="s">
        <v>174</v>
      </c>
      <c r="J53" s="1" t="s">
        <v>700</v>
      </c>
      <c r="K53" s="1">
        <v>0.1</v>
      </c>
      <c r="L53" s="1" t="s">
        <v>174</v>
      </c>
    </row>
    <row r="54" spans="1:12">
      <c r="A54" s="1" t="s">
        <v>169</v>
      </c>
      <c r="B54" s="1" t="s">
        <v>170</v>
      </c>
      <c r="C54" s="1">
        <v>2002</v>
      </c>
      <c r="D54" s="1" t="s">
        <v>322</v>
      </c>
      <c r="E54" s="1" t="s">
        <v>685</v>
      </c>
      <c r="F54" s="1" t="s">
        <v>686</v>
      </c>
      <c r="G54" s="1">
        <v>2001</v>
      </c>
      <c r="H54" s="1" t="s">
        <v>174</v>
      </c>
      <c r="I54" s="1" t="s">
        <v>174</v>
      </c>
      <c r="J54" s="1" t="s">
        <v>700</v>
      </c>
      <c r="K54" s="1">
        <v>0.1</v>
      </c>
      <c r="L54" s="1" t="s">
        <v>174</v>
      </c>
    </row>
    <row r="55" spans="1:12">
      <c r="A55" s="1" t="s">
        <v>169</v>
      </c>
      <c r="B55" s="1" t="s">
        <v>170</v>
      </c>
      <c r="C55" s="1">
        <v>2002</v>
      </c>
      <c r="D55" s="1" t="s">
        <v>322</v>
      </c>
      <c r="E55" s="1" t="s">
        <v>705</v>
      </c>
      <c r="F55" s="1" t="s">
        <v>706</v>
      </c>
      <c r="G55" s="1">
        <v>2001</v>
      </c>
      <c r="H55" s="1" t="s">
        <v>174</v>
      </c>
      <c r="I55" s="1" t="s">
        <v>174</v>
      </c>
      <c r="J55" s="1" t="s">
        <v>700</v>
      </c>
      <c r="K55" s="1">
        <v>0.1</v>
      </c>
      <c r="L55" s="1" t="s">
        <v>174</v>
      </c>
    </row>
    <row r="56" spans="1:12">
      <c r="A56" s="1" t="s">
        <v>169</v>
      </c>
      <c r="B56" s="1" t="s">
        <v>170</v>
      </c>
      <c r="C56" s="1">
        <v>2002</v>
      </c>
      <c r="D56" s="1" t="s">
        <v>322</v>
      </c>
      <c r="E56" s="1" t="s">
        <v>603</v>
      </c>
      <c r="F56" s="1" t="s">
        <v>603</v>
      </c>
      <c r="G56" s="1">
        <v>2001</v>
      </c>
      <c r="H56" s="1" t="s">
        <v>174</v>
      </c>
      <c r="I56" s="1" t="s">
        <v>174</v>
      </c>
      <c r="J56" s="1" t="s">
        <v>700</v>
      </c>
      <c r="K56" s="1">
        <v>5.2</v>
      </c>
      <c r="L56" s="1" t="s">
        <v>174</v>
      </c>
    </row>
    <row r="57" spans="1:12">
      <c r="A57" s="1" t="s">
        <v>169</v>
      </c>
      <c r="B57" s="1" t="s">
        <v>170</v>
      </c>
      <c r="C57" s="1">
        <v>2003</v>
      </c>
      <c r="D57" s="1" t="s">
        <v>322</v>
      </c>
      <c r="E57" s="1" t="s">
        <v>698</v>
      </c>
      <c r="F57" s="1" t="s">
        <v>699</v>
      </c>
      <c r="G57" s="1">
        <v>2002</v>
      </c>
      <c r="H57" s="1" t="s">
        <v>174</v>
      </c>
      <c r="I57" s="1" t="s">
        <v>174</v>
      </c>
      <c r="J57" s="1" t="s">
        <v>700</v>
      </c>
      <c r="K57" s="1">
        <v>2.2999999999999998</v>
      </c>
      <c r="L57" s="1" t="s">
        <v>174</v>
      </c>
    </row>
    <row r="58" spans="1:12">
      <c r="A58" s="1" t="s">
        <v>169</v>
      </c>
      <c r="B58" s="1" t="s">
        <v>170</v>
      </c>
      <c r="C58" s="1">
        <v>2003</v>
      </c>
      <c r="D58" s="1" t="s">
        <v>322</v>
      </c>
      <c r="E58" s="1" t="s">
        <v>674</v>
      </c>
      <c r="F58" s="1" t="s">
        <v>675</v>
      </c>
      <c r="G58" s="1">
        <v>2002</v>
      </c>
      <c r="H58" s="1" t="s">
        <v>174</v>
      </c>
      <c r="I58" s="1" t="s">
        <v>174</v>
      </c>
      <c r="J58" s="1" t="s">
        <v>700</v>
      </c>
      <c r="K58" s="1">
        <v>1</v>
      </c>
      <c r="L58" s="1" t="s">
        <v>174</v>
      </c>
    </row>
    <row r="59" spans="1:12">
      <c r="A59" s="1" t="s">
        <v>169</v>
      </c>
      <c r="B59" s="1" t="s">
        <v>170</v>
      </c>
      <c r="C59" s="1">
        <v>2003</v>
      </c>
      <c r="D59" s="1" t="s">
        <v>322</v>
      </c>
      <c r="E59" s="1" t="s">
        <v>672</v>
      </c>
      <c r="F59" s="1" t="s">
        <v>673</v>
      </c>
      <c r="G59" s="1">
        <v>2002</v>
      </c>
      <c r="H59" s="1" t="s">
        <v>174</v>
      </c>
      <c r="I59" s="1" t="s">
        <v>174</v>
      </c>
      <c r="J59" s="1" t="s">
        <v>700</v>
      </c>
      <c r="K59" s="1">
        <v>0.5</v>
      </c>
      <c r="L59" s="1" t="s">
        <v>174</v>
      </c>
    </row>
    <row r="60" spans="1:12">
      <c r="A60" s="1" t="s">
        <v>169</v>
      </c>
      <c r="B60" s="1" t="s">
        <v>170</v>
      </c>
      <c r="C60" s="1">
        <v>2003</v>
      </c>
      <c r="D60" s="1" t="s">
        <v>322</v>
      </c>
      <c r="E60" s="1" t="s">
        <v>701</v>
      </c>
      <c r="F60" s="1" t="s">
        <v>688</v>
      </c>
      <c r="G60" s="1">
        <v>2002</v>
      </c>
      <c r="H60" s="1" t="s">
        <v>174</v>
      </c>
      <c r="I60" s="1" t="s">
        <v>174</v>
      </c>
      <c r="J60" s="1" t="s">
        <v>700</v>
      </c>
      <c r="K60" s="1">
        <v>0.5</v>
      </c>
      <c r="L60" s="1" t="s">
        <v>174</v>
      </c>
    </row>
    <row r="61" spans="1:12">
      <c r="A61" s="1" t="s">
        <v>169</v>
      </c>
      <c r="B61" s="1" t="s">
        <v>170</v>
      </c>
      <c r="C61" s="1">
        <v>2003</v>
      </c>
      <c r="D61" s="1" t="s">
        <v>322</v>
      </c>
      <c r="E61" s="1" t="s">
        <v>702</v>
      </c>
      <c r="F61" s="1" t="s">
        <v>675</v>
      </c>
      <c r="G61" s="1">
        <v>2002</v>
      </c>
      <c r="H61" s="1" t="s">
        <v>174</v>
      </c>
      <c r="I61" s="1" t="s">
        <v>174</v>
      </c>
      <c r="J61" s="1" t="s">
        <v>700</v>
      </c>
      <c r="K61" s="1">
        <v>0.2</v>
      </c>
      <c r="L61" s="1" t="s">
        <v>174</v>
      </c>
    </row>
    <row r="62" spans="1:12">
      <c r="A62" s="1" t="s">
        <v>169</v>
      </c>
      <c r="B62" s="1" t="s">
        <v>170</v>
      </c>
      <c r="C62" s="1">
        <v>2003</v>
      </c>
      <c r="D62" s="1" t="s">
        <v>322</v>
      </c>
      <c r="E62" s="1" t="s">
        <v>703</v>
      </c>
      <c r="F62" s="1" t="s">
        <v>675</v>
      </c>
      <c r="G62" s="1">
        <v>2002</v>
      </c>
      <c r="H62" s="1" t="s">
        <v>174</v>
      </c>
      <c r="I62" s="1" t="s">
        <v>174</v>
      </c>
      <c r="J62" s="1" t="s">
        <v>700</v>
      </c>
      <c r="K62" s="1">
        <v>0.2</v>
      </c>
      <c r="L62" s="1" t="s">
        <v>174</v>
      </c>
    </row>
    <row r="63" spans="1:12">
      <c r="A63" s="1" t="s">
        <v>169</v>
      </c>
      <c r="B63" s="1" t="s">
        <v>170</v>
      </c>
      <c r="C63" s="1">
        <v>2003</v>
      </c>
      <c r="D63" s="1" t="s">
        <v>322</v>
      </c>
      <c r="E63" s="1" t="s">
        <v>691</v>
      </c>
      <c r="F63" s="1" t="s">
        <v>688</v>
      </c>
      <c r="G63" s="1">
        <v>2002</v>
      </c>
      <c r="H63" s="1" t="s">
        <v>174</v>
      </c>
      <c r="I63" s="1" t="s">
        <v>174</v>
      </c>
      <c r="J63" s="1" t="s">
        <v>700</v>
      </c>
      <c r="K63" s="1">
        <v>0.1</v>
      </c>
      <c r="L63" s="1" t="s">
        <v>174</v>
      </c>
    </row>
    <row r="64" spans="1:12">
      <c r="A64" s="1" t="s">
        <v>169</v>
      </c>
      <c r="B64" s="1" t="s">
        <v>170</v>
      </c>
      <c r="C64" s="1">
        <v>2003</v>
      </c>
      <c r="D64" s="1" t="s">
        <v>322</v>
      </c>
      <c r="E64" s="1" t="s">
        <v>704</v>
      </c>
      <c r="F64" s="1" t="s">
        <v>684</v>
      </c>
      <c r="G64" s="1">
        <v>2002</v>
      </c>
      <c r="H64" s="1" t="s">
        <v>174</v>
      </c>
      <c r="I64" s="1" t="s">
        <v>174</v>
      </c>
      <c r="J64" s="1" t="s">
        <v>700</v>
      </c>
      <c r="K64" s="1">
        <v>0.1</v>
      </c>
      <c r="L64" s="1" t="s">
        <v>174</v>
      </c>
    </row>
    <row r="65" spans="1:13">
      <c r="A65" s="1" t="s">
        <v>169</v>
      </c>
      <c r="B65" s="1" t="s">
        <v>170</v>
      </c>
      <c r="C65" s="1">
        <v>2003</v>
      </c>
      <c r="D65" s="1" t="s">
        <v>322</v>
      </c>
      <c r="E65" s="1" t="s">
        <v>685</v>
      </c>
      <c r="F65" s="1" t="s">
        <v>686</v>
      </c>
      <c r="G65" s="1">
        <v>2002</v>
      </c>
      <c r="H65" s="1" t="s">
        <v>174</v>
      </c>
      <c r="I65" s="1" t="s">
        <v>174</v>
      </c>
      <c r="J65" s="1" t="s">
        <v>700</v>
      </c>
      <c r="K65" s="1">
        <v>0.1</v>
      </c>
      <c r="L65" s="1" t="s">
        <v>174</v>
      </c>
    </row>
    <row r="66" spans="1:13">
      <c r="A66" s="1" t="s">
        <v>169</v>
      </c>
      <c r="B66" s="1" t="s">
        <v>170</v>
      </c>
      <c r="C66" s="1">
        <v>2003</v>
      </c>
      <c r="D66" s="1" t="s">
        <v>322</v>
      </c>
      <c r="E66" s="1" t="s">
        <v>705</v>
      </c>
      <c r="F66" s="1" t="s">
        <v>706</v>
      </c>
      <c r="G66" s="1">
        <v>2002</v>
      </c>
      <c r="H66" s="1" t="s">
        <v>174</v>
      </c>
      <c r="I66" s="1" t="s">
        <v>174</v>
      </c>
      <c r="J66" s="1" t="s">
        <v>700</v>
      </c>
      <c r="K66" s="1">
        <v>0.1</v>
      </c>
      <c r="L66" s="1" t="s">
        <v>174</v>
      </c>
    </row>
    <row r="67" spans="1:13">
      <c r="A67" s="1" t="s">
        <v>169</v>
      </c>
      <c r="B67" s="1" t="s">
        <v>170</v>
      </c>
      <c r="C67" s="1">
        <v>2003</v>
      </c>
      <c r="D67" s="1" t="s">
        <v>322</v>
      </c>
      <c r="E67" s="1" t="s">
        <v>603</v>
      </c>
      <c r="F67" s="1" t="s">
        <v>603</v>
      </c>
      <c r="G67" s="1">
        <v>2002</v>
      </c>
      <c r="H67" s="1" t="s">
        <v>174</v>
      </c>
      <c r="I67" s="1" t="s">
        <v>174</v>
      </c>
      <c r="J67" s="1" t="s">
        <v>700</v>
      </c>
      <c r="K67" s="1">
        <v>5.0999999999999996</v>
      </c>
      <c r="L67" s="1" t="s">
        <v>174</v>
      </c>
    </row>
    <row r="68" spans="1:13">
      <c r="A68" s="1" t="s">
        <v>169</v>
      </c>
      <c r="B68" s="1" t="s">
        <v>170</v>
      </c>
      <c r="C68" s="1">
        <v>2005</v>
      </c>
      <c r="D68" s="1" t="s">
        <v>322</v>
      </c>
      <c r="E68" s="1" t="s">
        <v>698</v>
      </c>
      <c r="F68" s="1" t="s">
        <v>699</v>
      </c>
      <c r="G68" s="1">
        <v>2004</v>
      </c>
      <c r="H68" s="1" t="s">
        <v>174</v>
      </c>
      <c r="I68" s="1" t="s">
        <v>174</v>
      </c>
      <c r="J68" s="1" t="s">
        <v>700</v>
      </c>
      <c r="K68" s="1">
        <v>5.4</v>
      </c>
      <c r="L68" s="1" t="s">
        <v>174</v>
      </c>
    </row>
    <row r="69" spans="1:13">
      <c r="A69" s="1" t="s">
        <v>169</v>
      </c>
      <c r="B69" s="1" t="s">
        <v>170</v>
      </c>
      <c r="C69" s="1">
        <v>2005</v>
      </c>
      <c r="D69" s="1" t="s">
        <v>322</v>
      </c>
      <c r="E69" s="1" t="s">
        <v>707</v>
      </c>
      <c r="F69" s="1" t="s">
        <v>699</v>
      </c>
      <c r="G69" s="1">
        <v>2004</v>
      </c>
      <c r="H69" s="1" t="s">
        <v>174</v>
      </c>
      <c r="I69" s="1" t="s">
        <v>174</v>
      </c>
      <c r="J69" s="1" t="s">
        <v>700</v>
      </c>
      <c r="K69" s="1">
        <v>2.2000000000000002</v>
      </c>
      <c r="L69" s="1" t="s">
        <v>174</v>
      </c>
      <c r="M69" s="1" t="s">
        <v>708</v>
      </c>
    </row>
    <row r="70" spans="1:13">
      <c r="A70" s="1" t="s">
        <v>169</v>
      </c>
      <c r="B70" s="1" t="s">
        <v>170</v>
      </c>
      <c r="C70" s="1">
        <v>2005</v>
      </c>
      <c r="D70" s="1" t="s">
        <v>322</v>
      </c>
      <c r="E70" s="1" t="s">
        <v>709</v>
      </c>
      <c r="F70" s="1" t="s">
        <v>679</v>
      </c>
      <c r="G70" s="1">
        <v>2004</v>
      </c>
      <c r="H70" s="1" t="s">
        <v>174</v>
      </c>
      <c r="I70" s="1" t="s">
        <v>174</v>
      </c>
      <c r="J70" s="1" t="s">
        <v>700</v>
      </c>
      <c r="K70" s="1">
        <v>2.1</v>
      </c>
      <c r="L70" s="1" t="s">
        <v>174</v>
      </c>
    </row>
    <row r="71" spans="1:13">
      <c r="A71" s="1" t="s">
        <v>169</v>
      </c>
      <c r="B71" s="1" t="s">
        <v>170</v>
      </c>
      <c r="C71" s="1">
        <v>2005</v>
      </c>
      <c r="D71" s="1" t="s">
        <v>322</v>
      </c>
      <c r="E71" s="1" t="s">
        <v>710</v>
      </c>
      <c r="F71" s="1" t="s">
        <v>688</v>
      </c>
      <c r="G71" s="1">
        <v>2004</v>
      </c>
      <c r="H71" s="1" t="s">
        <v>174</v>
      </c>
      <c r="I71" s="1" t="s">
        <v>174</v>
      </c>
      <c r="J71" s="1" t="s">
        <v>700</v>
      </c>
      <c r="K71" s="1">
        <v>1.7</v>
      </c>
      <c r="L71" s="1" t="s">
        <v>174</v>
      </c>
    </row>
    <row r="72" spans="1:13">
      <c r="A72" s="1" t="s">
        <v>169</v>
      </c>
      <c r="B72" s="1" t="s">
        <v>170</v>
      </c>
      <c r="C72" s="1">
        <v>2005</v>
      </c>
      <c r="D72" s="1" t="s">
        <v>322</v>
      </c>
      <c r="E72" s="1" t="s">
        <v>674</v>
      </c>
      <c r="F72" s="1" t="s">
        <v>675</v>
      </c>
      <c r="G72" s="1">
        <v>2004</v>
      </c>
      <c r="H72" s="1" t="s">
        <v>174</v>
      </c>
      <c r="I72" s="1" t="s">
        <v>174</v>
      </c>
      <c r="J72" s="1" t="s">
        <v>700</v>
      </c>
      <c r="K72" s="1">
        <v>1.6</v>
      </c>
      <c r="L72" s="1" t="s">
        <v>174</v>
      </c>
    </row>
    <row r="73" spans="1:13">
      <c r="A73" s="1" t="s">
        <v>169</v>
      </c>
      <c r="B73" s="1" t="s">
        <v>170</v>
      </c>
      <c r="C73" s="1">
        <v>2005</v>
      </c>
      <c r="D73" s="1" t="s">
        <v>322</v>
      </c>
      <c r="E73" s="1" t="s">
        <v>701</v>
      </c>
      <c r="F73" s="1" t="s">
        <v>688</v>
      </c>
      <c r="G73" s="1">
        <v>2004</v>
      </c>
      <c r="H73" s="1" t="s">
        <v>174</v>
      </c>
      <c r="I73" s="1" t="s">
        <v>174</v>
      </c>
      <c r="J73" s="1" t="s">
        <v>700</v>
      </c>
      <c r="K73" s="1">
        <v>1.6</v>
      </c>
      <c r="L73" s="1" t="s">
        <v>174</v>
      </c>
    </row>
    <row r="74" spans="1:13">
      <c r="A74" s="1" t="s">
        <v>169</v>
      </c>
      <c r="B74" s="1" t="s">
        <v>170</v>
      </c>
      <c r="C74" s="1">
        <v>2005</v>
      </c>
      <c r="D74" s="1" t="s">
        <v>322</v>
      </c>
      <c r="E74" s="1" t="s">
        <v>550</v>
      </c>
      <c r="F74" s="1" t="s">
        <v>699</v>
      </c>
      <c r="G74" s="1">
        <v>2004</v>
      </c>
      <c r="H74" s="1" t="s">
        <v>174</v>
      </c>
      <c r="I74" s="1" t="s">
        <v>174</v>
      </c>
      <c r="J74" s="1" t="s">
        <v>700</v>
      </c>
      <c r="K74" s="1">
        <v>1.1000000000000001</v>
      </c>
      <c r="L74" s="1" t="s">
        <v>174</v>
      </c>
    </row>
    <row r="75" spans="1:13">
      <c r="A75" s="1" t="s">
        <v>169</v>
      </c>
      <c r="B75" s="1" t="s">
        <v>170</v>
      </c>
      <c r="C75" s="1">
        <v>2005</v>
      </c>
      <c r="D75" s="1" t="s">
        <v>322</v>
      </c>
      <c r="E75" s="1" t="s">
        <v>685</v>
      </c>
      <c r="F75" s="1" t="s">
        <v>686</v>
      </c>
      <c r="G75" s="1">
        <v>2004</v>
      </c>
      <c r="H75" s="1" t="s">
        <v>174</v>
      </c>
      <c r="I75" s="1" t="s">
        <v>174</v>
      </c>
      <c r="J75" s="1" t="s">
        <v>700</v>
      </c>
      <c r="K75" s="1">
        <v>1</v>
      </c>
      <c r="L75" s="1" t="s">
        <v>174</v>
      </c>
    </row>
    <row r="76" spans="1:13">
      <c r="A76" s="1" t="s">
        <v>169</v>
      </c>
      <c r="B76" s="1" t="s">
        <v>170</v>
      </c>
      <c r="C76" s="1">
        <v>2005</v>
      </c>
      <c r="D76" s="1" t="s">
        <v>322</v>
      </c>
      <c r="E76" s="1" t="s">
        <v>711</v>
      </c>
      <c r="F76" s="1" t="s">
        <v>712</v>
      </c>
      <c r="G76" s="1">
        <v>2004</v>
      </c>
      <c r="H76" s="1" t="s">
        <v>174</v>
      </c>
      <c r="I76" s="1" t="s">
        <v>174</v>
      </c>
      <c r="J76" s="1" t="s">
        <v>700</v>
      </c>
      <c r="K76" s="1">
        <v>0.9</v>
      </c>
      <c r="L76" s="1" t="s">
        <v>174</v>
      </c>
    </row>
    <row r="77" spans="1:13">
      <c r="A77" s="1" t="s">
        <v>169</v>
      </c>
      <c r="B77" s="1" t="s">
        <v>170</v>
      </c>
      <c r="C77" s="1">
        <v>2005</v>
      </c>
      <c r="D77" s="1" t="s">
        <v>322</v>
      </c>
      <c r="E77" s="1" t="s">
        <v>713</v>
      </c>
      <c r="F77" s="1" t="s">
        <v>699</v>
      </c>
      <c r="G77" s="1">
        <v>2004</v>
      </c>
      <c r="H77" s="1" t="s">
        <v>174</v>
      </c>
      <c r="I77" s="1" t="s">
        <v>174</v>
      </c>
      <c r="J77" s="1" t="s">
        <v>700</v>
      </c>
      <c r="K77" s="1">
        <v>0.8</v>
      </c>
      <c r="L77" s="1" t="s">
        <v>174</v>
      </c>
    </row>
    <row r="78" spans="1:13">
      <c r="A78" s="1" t="s">
        <v>169</v>
      </c>
      <c r="B78" s="1" t="s">
        <v>170</v>
      </c>
      <c r="C78" s="1">
        <v>2005</v>
      </c>
      <c r="D78" s="1" t="s">
        <v>322</v>
      </c>
      <c r="E78" s="1" t="s">
        <v>603</v>
      </c>
      <c r="F78" s="1" t="s">
        <v>603</v>
      </c>
      <c r="G78" s="1">
        <v>2004</v>
      </c>
      <c r="H78" s="1" t="s">
        <v>174</v>
      </c>
      <c r="I78" s="1" t="s">
        <v>174</v>
      </c>
      <c r="J78" s="1" t="s">
        <v>700</v>
      </c>
      <c r="K78" s="1">
        <v>18.399999999999999</v>
      </c>
      <c r="L78" s="1" t="s">
        <v>174</v>
      </c>
    </row>
    <row r="79" spans="1:13">
      <c r="A79" s="1" t="s">
        <v>169</v>
      </c>
      <c r="B79" s="1" t="s">
        <v>170</v>
      </c>
      <c r="C79" s="1">
        <v>2007</v>
      </c>
      <c r="D79" s="1" t="s">
        <v>322</v>
      </c>
      <c r="E79" s="1" t="s">
        <v>698</v>
      </c>
      <c r="F79" s="1" t="s">
        <v>699</v>
      </c>
      <c r="G79" s="1">
        <v>2005</v>
      </c>
      <c r="H79" s="1" t="s">
        <v>174</v>
      </c>
      <c r="I79" s="1" t="s">
        <v>174</v>
      </c>
      <c r="J79" s="1" t="s">
        <v>700</v>
      </c>
      <c r="K79" s="1">
        <v>5.5</v>
      </c>
      <c r="L79" s="1" t="s">
        <v>174</v>
      </c>
    </row>
    <row r="80" spans="1:13">
      <c r="A80" s="1" t="s">
        <v>169</v>
      </c>
      <c r="B80" s="1" t="s">
        <v>170</v>
      </c>
      <c r="C80" s="1">
        <v>2007</v>
      </c>
      <c r="D80" s="1" t="s">
        <v>322</v>
      </c>
      <c r="E80" s="1" t="s">
        <v>709</v>
      </c>
      <c r="F80" s="1" t="s">
        <v>679</v>
      </c>
      <c r="G80" s="1">
        <v>2005</v>
      </c>
      <c r="H80" s="1" t="s">
        <v>174</v>
      </c>
      <c r="I80" s="1" t="s">
        <v>174</v>
      </c>
      <c r="J80" s="1" t="s">
        <v>700</v>
      </c>
      <c r="K80" s="1">
        <v>1.9</v>
      </c>
      <c r="L80" s="1" t="s">
        <v>174</v>
      </c>
    </row>
    <row r="81" spans="1:12">
      <c r="A81" s="1" t="s">
        <v>169</v>
      </c>
      <c r="B81" s="1" t="s">
        <v>170</v>
      </c>
      <c r="C81" s="1">
        <v>2007</v>
      </c>
      <c r="D81" s="1" t="s">
        <v>322</v>
      </c>
      <c r="E81" s="1" t="s">
        <v>550</v>
      </c>
      <c r="F81" s="1" t="s">
        <v>699</v>
      </c>
      <c r="G81" s="1">
        <v>2005</v>
      </c>
      <c r="H81" s="1" t="s">
        <v>174</v>
      </c>
      <c r="I81" s="1" t="s">
        <v>174</v>
      </c>
      <c r="J81" s="1" t="s">
        <v>700</v>
      </c>
      <c r="K81" s="1">
        <v>1.1000000000000001</v>
      </c>
      <c r="L81" s="1" t="s">
        <v>174</v>
      </c>
    </row>
    <row r="82" spans="1:12">
      <c r="A82" s="1" t="s">
        <v>169</v>
      </c>
      <c r="B82" s="1" t="s">
        <v>170</v>
      </c>
      <c r="C82" s="1">
        <v>2007</v>
      </c>
      <c r="D82" s="1" t="s">
        <v>322</v>
      </c>
      <c r="E82" s="1" t="s">
        <v>711</v>
      </c>
      <c r="F82" s="1" t="s">
        <v>712</v>
      </c>
      <c r="G82" s="1">
        <v>2005</v>
      </c>
      <c r="H82" s="1" t="s">
        <v>174</v>
      </c>
      <c r="I82" s="1" t="s">
        <v>174</v>
      </c>
      <c r="J82" s="1" t="s">
        <v>700</v>
      </c>
      <c r="K82" s="1">
        <v>0.7</v>
      </c>
      <c r="L82" s="1" t="s">
        <v>174</v>
      </c>
    </row>
    <row r="83" spans="1:12">
      <c r="A83" s="1" t="s">
        <v>169</v>
      </c>
      <c r="B83" s="1" t="s">
        <v>170</v>
      </c>
      <c r="C83" s="1">
        <v>2007</v>
      </c>
      <c r="D83" s="1" t="s">
        <v>322</v>
      </c>
      <c r="E83" s="1" t="s">
        <v>710</v>
      </c>
      <c r="F83" s="1" t="s">
        <v>673</v>
      </c>
      <c r="G83" s="1">
        <v>2005</v>
      </c>
      <c r="H83" s="1" t="s">
        <v>174</v>
      </c>
      <c r="I83" s="1" t="s">
        <v>174</v>
      </c>
      <c r="J83" s="1" t="s">
        <v>700</v>
      </c>
      <c r="K83" s="1">
        <v>0.6</v>
      </c>
      <c r="L83" s="1" t="s">
        <v>174</v>
      </c>
    </row>
    <row r="84" spans="1:12">
      <c r="A84" s="1" t="s">
        <v>169</v>
      </c>
      <c r="B84" s="1" t="s">
        <v>170</v>
      </c>
      <c r="C84" s="1">
        <v>2007</v>
      </c>
      <c r="D84" s="1" t="s">
        <v>322</v>
      </c>
      <c r="E84" s="1" t="s">
        <v>713</v>
      </c>
      <c r="F84" s="1" t="s">
        <v>699</v>
      </c>
      <c r="G84" s="1">
        <v>2005</v>
      </c>
      <c r="H84" s="1" t="s">
        <v>174</v>
      </c>
      <c r="I84" s="1" t="s">
        <v>174</v>
      </c>
      <c r="J84" s="1" t="s">
        <v>700</v>
      </c>
      <c r="K84" s="1">
        <v>0.6</v>
      </c>
      <c r="L84" s="1" t="s">
        <v>174</v>
      </c>
    </row>
    <row r="85" spans="1:12">
      <c r="A85" s="1" t="s">
        <v>169</v>
      </c>
      <c r="B85" s="1" t="s">
        <v>170</v>
      </c>
      <c r="C85" s="1">
        <v>2007</v>
      </c>
      <c r="D85" s="1" t="s">
        <v>322</v>
      </c>
      <c r="E85" s="1" t="s">
        <v>714</v>
      </c>
      <c r="F85" s="1" t="s">
        <v>681</v>
      </c>
      <c r="G85" s="1">
        <v>2005</v>
      </c>
      <c r="H85" s="1" t="s">
        <v>174</v>
      </c>
      <c r="I85" s="1" t="s">
        <v>174</v>
      </c>
      <c r="J85" s="1" t="s">
        <v>700</v>
      </c>
      <c r="K85" s="1">
        <v>0.4</v>
      </c>
      <c r="L85" s="1" t="s">
        <v>174</v>
      </c>
    </row>
    <row r="86" spans="1:12">
      <c r="A86" s="1" t="s">
        <v>169</v>
      </c>
      <c r="B86" s="1" t="s">
        <v>170</v>
      </c>
      <c r="C86" s="1">
        <v>2007</v>
      </c>
      <c r="D86" s="1" t="s">
        <v>322</v>
      </c>
      <c r="E86" s="1" t="s">
        <v>715</v>
      </c>
      <c r="F86" s="1" t="s">
        <v>688</v>
      </c>
      <c r="G86" s="1">
        <v>2005</v>
      </c>
      <c r="H86" s="1" t="s">
        <v>174</v>
      </c>
      <c r="I86" s="1" t="s">
        <v>174</v>
      </c>
      <c r="J86" s="1" t="s">
        <v>700</v>
      </c>
      <c r="K86" s="1">
        <v>0.3</v>
      </c>
      <c r="L86" s="1" t="s">
        <v>174</v>
      </c>
    </row>
    <row r="87" spans="1:12">
      <c r="A87" s="1" t="s">
        <v>169</v>
      </c>
      <c r="B87" s="1" t="s">
        <v>170</v>
      </c>
      <c r="C87" s="1">
        <v>2007</v>
      </c>
      <c r="D87" s="1" t="s">
        <v>322</v>
      </c>
      <c r="E87" s="1" t="s">
        <v>701</v>
      </c>
      <c r="F87" s="1" t="s">
        <v>688</v>
      </c>
      <c r="G87" s="1">
        <v>2005</v>
      </c>
      <c r="H87" s="1" t="s">
        <v>174</v>
      </c>
      <c r="I87" s="1" t="s">
        <v>174</v>
      </c>
      <c r="J87" s="1" t="s">
        <v>700</v>
      </c>
      <c r="K87" s="1">
        <v>0.3</v>
      </c>
      <c r="L87" s="1" t="s">
        <v>174</v>
      </c>
    </row>
    <row r="88" spans="1:12">
      <c r="A88" s="1" t="s">
        <v>169</v>
      </c>
      <c r="B88" s="1" t="s">
        <v>170</v>
      </c>
      <c r="C88" s="1">
        <v>2007</v>
      </c>
      <c r="D88" s="1" t="s">
        <v>322</v>
      </c>
      <c r="E88" s="1" t="s">
        <v>674</v>
      </c>
      <c r="F88" s="1" t="s">
        <v>675</v>
      </c>
      <c r="G88" s="1">
        <v>2005</v>
      </c>
      <c r="H88" s="1" t="s">
        <v>174</v>
      </c>
      <c r="I88" s="1" t="s">
        <v>174</v>
      </c>
      <c r="J88" s="1" t="s">
        <v>700</v>
      </c>
      <c r="K88" s="1">
        <v>0.3</v>
      </c>
      <c r="L88" s="1" t="s">
        <v>174</v>
      </c>
    </row>
    <row r="89" spans="1:12">
      <c r="A89" s="1" t="s">
        <v>169</v>
      </c>
      <c r="B89" s="1" t="s">
        <v>170</v>
      </c>
      <c r="C89" s="1">
        <v>2007</v>
      </c>
      <c r="D89" s="1" t="s">
        <v>322</v>
      </c>
      <c r="E89" s="1" t="s">
        <v>603</v>
      </c>
      <c r="F89" s="1" t="s">
        <v>603</v>
      </c>
      <c r="G89" s="1">
        <v>2005</v>
      </c>
      <c r="H89" s="1" t="s">
        <v>174</v>
      </c>
      <c r="I89" s="1" t="s">
        <v>174</v>
      </c>
      <c r="J89" s="1" t="s">
        <v>700</v>
      </c>
      <c r="K89" s="1">
        <v>11.7</v>
      </c>
      <c r="L89" s="1" t="s">
        <v>174</v>
      </c>
    </row>
    <row r="90" spans="1:12">
      <c r="A90" s="1" t="s">
        <v>169</v>
      </c>
      <c r="B90" s="1" t="s">
        <v>170</v>
      </c>
      <c r="C90" s="1">
        <v>2008</v>
      </c>
      <c r="D90" s="1" t="s">
        <v>322</v>
      </c>
      <c r="E90" s="1" t="s">
        <v>558</v>
      </c>
      <c r="F90" s="1" t="s">
        <v>699</v>
      </c>
      <c r="G90" s="1">
        <v>2007</v>
      </c>
      <c r="H90" s="1" t="s">
        <v>174</v>
      </c>
      <c r="I90" s="1" t="s">
        <v>174</v>
      </c>
      <c r="J90" s="1" t="s">
        <v>700</v>
      </c>
      <c r="K90" s="1">
        <v>6.36</v>
      </c>
      <c r="L90" s="1" t="s">
        <v>174</v>
      </c>
    </row>
    <row r="91" spans="1:12">
      <c r="A91" s="1" t="s">
        <v>169</v>
      </c>
      <c r="B91" s="1" t="s">
        <v>170</v>
      </c>
      <c r="C91" s="1">
        <v>2008</v>
      </c>
      <c r="D91" s="1" t="s">
        <v>322</v>
      </c>
      <c r="E91" s="1" t="s">
        <v>716</v>
      </c>
      <c r="F91" s="1" t="s">
        <v>679</v>
      </c>
      <c r="G91" s="1">
        <v>2007</v>
      </c>
      <c r="H91" s="1" t="s">
        <v>174</v>
      </c>
      <c r="I91" s="1" t="s">
        <v>174</v>
      </c>
      <c r="J91" s="1" t="s">
        <v>700</v>
      </c>
      <c r="K91" s="1">
        <v>4.04</v>
      </c>
      <c r="L91" s="1" t="s">
        <v>174</v>
      </c>
    </row>
    <row r="92" spans="1:12">
      <c r="A92" s="1" t="s">
        <v>169</v>
      </c>
      <c r="B92" s="1" t="s">
        <v>170</v>
      </c>
      <c r="C92" s="1">
        <v>2008</v>
      </c>
      <c r="D92" s="1" t="s">
        <v>322</v>
      </c>
      <c r="E92" s="1" t="s">
        <v>674</v>
      </c>
      <c r="F92" s="1" t="s">
        <v>675</v>
      </c>
      <c r="G92" s="1">
        <v>2007</v>
      </c>
      <c r="H92" s="1" t="s">
        <v>174</v>
      </c>
      <c r="I92" s="1" t="s">
        <v>174</v>
      </c>
      <c r="J92" s="1" t="s">
        <v>700</v>
      </c>
      <c r="K92" s="1">
        <v>2.2999999999999998</v>
      </c>
      <c r="L92" s="1" t="s">
        <v>174</v>
      </c>
    </row>
    <row r="93" spans="1:12">
      <c r="A93" s="1" t="s">
        <v>169</v>
      </c>
      <c r="B93" s="1" t="s">
        <v>170</v>
      </c>
      <c r="C93" s="1">
        <v>2008</v>
      </c>
      <c r="D93" s="1" t="s">
        <v>322</v>
      </c>
      <c r="E93" s="1" t="s">
        <v>701</v>
      </c>
      <c r="F93" s="1" t="s">
        <v>688</v>
      </c>
      <c r="G93" s="1">
        <v>2007</v>
      </c>
      <c r="H93" s="1" t="s">
        <v>174</v>
      </c>
      <c r="I93" s="1" t="s">
        <v>174</v>
      </c>
      <c r="J93" s="1" t="s">
        <v>700</v>
      </c>
      <c r="K93" s="1">
        <v>2.16</v>
      </c>
      <c r="L93" s="1" t="s">
        <v>174</v>
      </c>
    </row>
    <row r="94" spans="1:12">
      <c r="A94" s="1" t="s">
        <v>169</v>
      </c>
      <c r="B94" s="1" t="s">
        <v>170</v>
      </c>
      <c r="C94" s="1">
        <v>2008</v>
      </c>
      <c r="D94" s="1" t="s">
        <v>322</v>
      </c>
      <c r="E94" s="1" t="s">
        <v>710</v>
      </c>
      <c r="F94" s="1" t="s">
        <v>673</v>
      </c>
      <c r="G94" s="1">
        <v>2007</v>
      </c>
      <c r="H94" s="1" t="s">
        <v>174</v>
      </c>
      <c r="I94" s="1" t="s">
        <v>174</v>
      </c>
      <c r="J94" s="1" t="s">
        <v>700</v>
      </c>
      <c r="K94" s="1">
        <v>1.98</v>
      </c>
      <c r="L94" s="1" t="s">
        <v>174</v>
      </c>
    </row>
    <row r="95" spans="1:12">
      <c r="A95" s="1" t="s">
        <v>169</v>
      </c>
      <c r="B95" s="1" t="s">
        <v>170</v>
      </c>
      <c r="C95" s="1">
        <v>2008</v>
      </c>
      <c r="D95" s="1" t="s">
        <v>322</v>
      </c>
      <c r="E95" s="1" t="s">
        <v>685</v>
      </c>
      <c r="F95" s="1" t="s">
        <v>686</v>
      </c>
      <c r="G95" s="1">
        <v>2007</v>
      </c>
      <c r="H95" s="1" t="s">
        <v>174</v>
      </c>
      <c r="I95" s="1" t="s">
        <v>174</v>
      </c>
      <c r="J95" s="1" t="s">
        <v>700</v>
      </c>
      <c r="K95" s="1">
        <v>1.6</v>
      </c>
      <c r="L95" s="1" t="s">
        <v>174</v>
      </c>
    </row>
    <row r="96" spans="1:12">
      <c r="A96" s="1" t="s">
        <v>169</v>
      </c>
      <c r="B96" s="1" t="s">
        <v>170</v>
      </c>
      <c r="C96" s="1">
        <v>2008</v>
      </c>
      <c r="D96" s="1" t="s">
        <v>322</v>
      </c>
      <c r="E96" s="1" t="s">
        <v>696</v>
      </c>
      <c r="F96" s="1" t="s">
        <v>690</v>
      </c>
      <c r="G96" s="1">
        <v>2007</v>
      </c>
      <c r="H96" s="1" t="s">
        <v>174</v>
      </c>
      <c r="I96" s="1" t="s">
        <v>174</v>
      </c>
      <c r="J96" s="1" t="s">
        <v>700</v>
      </c>
      <c r="K96" s="1">
        <v>1.37</v>
      </c>
      <c r="L96" s="1" t="s">
        <v>174</v>
      </c>
    </row>
    <row r="97" spans="1:12">
      <c r="A97" s="1" t="s">
        <v>169</v>
      </c>
      <c r="B97" s="1" t="s">
        <v>170</v>
      </c>
      <c r="C97" s="1">
        <v>2008</v>
      </c>
      <c r="D97" s="1" t="s">
        <v>322</v>
      </c>
      <c r="E97" s="1" t="s">
        <v>550</v>
      </c>
      <c r="F97" s="1" t="s">
        <v>699</v>
      </c>
      <c r="G97" s="1">
        <v>2007</v>
      </c>
      <c r="H97" s="1" t="s">
        <v>174</v>
      </c>
      <c r="I97" s="1" t="s">
        <v>174</v>
      </c>
      <c r="J97" s="1" t="s">
        <v>700</v>
      </c>
      <c r="K97" s="1">
        <v>1.1100000000000001</v>
      </c>
      <c r="L97" s="1" t="s">
        <v>174</v>
      </c>
    </row>
    <row r="98" spans="1:12">
      <c r="A98" s="1" t="s">
        <v>169</v>
      </c>
      <c r="B98" s="1" t="s">
        <v>170</v>
      </c>
      <c r="C98" s="1">
        <v>2008</v>
      </c>
      <c r="D98" s="1" t="s">
        <v>322</v>
      </c>
      <c r="E98" s="1" t="s">
        <v>713</v>
      </c>
      <c r="F98" s="1" t="s">
        <v>699</v>
      </c>
      <c r="G98" s="1">
        <v>2007</v>
      </c>
      <c r="H98" s="1" t="s">
        <v>174</v>
      </c>
      <c r="I98" s="1" t="s">
        <v>174</v>
      </c>
      <c r="J98" s="1" t="s">
        <v>700</v>
      </c>
      <c r="K98" s="1">
        <v>0.86</v>
      </c>
      <c r="L98" s="1" t="s">
        <v>174</v>
      </c>
    </row>
    <row r="99" spans="1:12">
      <c r="A99" s="1" t="s">
        <v>169</v>
      </c>
      <c r="B99" s="1" t="s">
        <v>170</v>
      </c>
      <c r="C99" s="1">
        <v>2008</v>
      </c>
      <c r="D99" s="1" t="s">
        <v>322</v>
      </c>
      <c r="E99" s="1" t="s">
        <v>703</v>
      </c>
      <c r="F99" s="1" t="s">
        <v>675</v>
      </c>
      <c r="G99" s="1">
        <v>2007</v>
      </c>
      <c r="H99" s="1" t="s">
        <v>174</v>
      </c>
      <c r="I99" s="1" t="s">
        <v>174</v>
      </c>
      <c r="J99" s="1" t="s">
        <v>700</v>
      </c>
      <c r="K99" s="1">
        <v>0.83</v>
      </c>
      <c r="L99" s="1" t="s">
        <v>174</v>
      </c>
    </row>
    <row r="100" spans="1:12">
      <c r="A100" s="1" t="s">
        <v>169</v>
      </c>
      <c r="B100" s="1" t="s">
        <v>170</v>
      </c>
      <c r="C100" s="1">
        <v>2008</v>
      </c>
      <c r="D100" s="1" t="s">
        <v>322</v>
      </c>
      <c r="E100" s="1" t="s">
        <v>603</v>
      </c>
      <c r="F100" s="1" t="s">
        <v>603</v>
      </c>
      <c r="G100" s="1">
        <v>2007</v>
      </c>
      <c r="H100" s="1" t="s">
        <v>174</v>
      </c>
      <c r="I100" s="1" t="s">
        <v>174</v>
      </c>
      <c r="J100" s="1" t="s">
        <v>700</v>
      </c>
      <c r="K100" s="1">
        <v>22.61</v>
      </c>
      <c r="L100" s="1" t="s">
        <v>174</v>
      </c>
    </row>
    <row r="101" spans="1:12">
      <c r="A101" s="1" t="s">
        <v>169</v>
      </c>
      <c r="B101" s="1" t="s">
        <v>170</v>
      </c>
      <c r="C101" s="1">
        <v>2008</v>
      </c>
      <c r="D101" s="1" t="s">
        <v>322</v>
      </c>
      <c r="E101" s="1" t="s">
        <v>558</v>
      </c>
      <c r="F101" s="1" t="s">
        <v>699</v>
      </c>
      <c r="G101" s="1">
        <v>2008</v>
      </c>
      <c r="H101" s="1" t="s">
        <v>174</v>
      </c>
      <c r="I101" s="1" t="s">
        <v>174</v>
      </c>
      <c r="J101" s="1" t="s">
        <v>700</v>
      </c>
      <c r="K101" s="1">
        <v>3.27</v>
      </c>
      <c r="L101" s="1" t="s">
        <v>174</v>
      </c>
    </row>
    <row r="102" spans="1:12">
      <c r="A102" s="1" t="s">
        <v>169</v>
      </c>
      <c r="B102" s="1" t="s">
        <v>170</v>
      </c>
      <c r="C102" s="1">
        <v>2008</v>
      </c>
      <c r="D102" s="1" t="s">
        <v>322</v>
      </c>
      <c r="E102" s="1" t="s">
        <v>674</v>
      </c>
      <c r="F102" s="1" t="s">
        <v>675</v>
      </c>
      <c r="G102" s="1">
        <v>2008</v>
      </c>
      <c r="H102" s="1" t="s">
        <v>174</v>
      </c>
      <c r="I102" s="1" t="s">
        <v>174</v>
      </c>
      <c r="J102" s="1" t="s">
        <v>700</v>
      </c>
      <c r="K102" s="1">
        <v>1.82</v>
      </c>
      <c r="L102" s="1" t="s">
        <v>174</v>
      </c>
    </row>
    <row r="103" spans="1:12">
      <c r="A103" s="1" t="s">
        <v>169</v>
      </c>
      <c r="B103" s="1" t="s">
        <v>170</v>
      </c>
      <c r="C103" s="1">
        <v>2008</v>
      </c>
      <c r="D103" s="1" t="s">
        <v>322</v>
      </c>
      <c r="E103" s="1" t="s">
        <v>701</v>
      </c>
      <c r="F103" s="1" t="s">
        <v>688</v>
      </c>
      <c r="G103" s="1">
        <v>2008</v>
      </c>
      <c r="H103" s="1" t="s">
        <v>174</v>
      </c>
      <c r="I103" s="1" t="s">
        <v>174</v>
      </c>
      <c r="J103" s="1" t="s">
        <v>700</v>
      </c>
      <c r="K103" s="1">
        <v>1.68</v>
      </c>
      <c r="L103" s="1" t="s">
        <v>174</v>
      </c>
    </row>
    <row r="104" spans="1:12">
      <c r="A104" s="1" t="s">
        <v>169</v>
      </c>
      <c r="B104" s="1" t="s">
        <v>170</v>
      </c>
      <c r="C104" s="1">
        <v>2008</v>
      </c>
      <c r="D104" s="1" t="s">
        <v>322</v>
      </c>
      <c r="E104" s="1" t="s">
        <v>716</v>
      </c>
      <c r="F104" s="1" t="s">
        <v>679</v>
      </c>
      <c r="G104" s="1">
        <v>2008</v>
      </c>
      <c r="H104" s="1" t="s">
        <v>174</v>
      </c>
      <c r="I104" s="1" t="s">
        <v>174</v>
      </c>
      <c r="J104" s="1" t="s">
        <v>700</v>
      </c>
      <c r="K104" s="1">
        <v>1.44</v>
      </c>
      <c r="L104" s="1" t="s">
        <v>174</v>
      </c>
    </row>
    <row r="105" spans="1:12">
      <c r="A105" s="1" t="s">
        <v>169</v>
      </c>
      <c r="B105" s="1" t="s">
        <v>170</v>
      </c>
      <c r="C105" s="1">
        <v>2008</v>
      </c>
      <c r="D105" s="1" t="s">
        <v>322</v>
      </c>
      <c r="E105" s="1" t="s">
        <v>710</v>
      </c>
      <c r="F105" s="1" t="s">
        <v>673</v>
      </c>
      <c r="G105" s="1">
        <v>2008</v>
      </c>
      <c r="H105" s="1" t="s">
        <v>174</v>
      </c>
      <c r="I105" s="1" t="s">
        <v>174</v>
      </c>
      <c r="J105" s="1" t="s">
        <v>700</v>
      </c>
      <c r="K105" s="1">
        <v>1.03</v>
      </c>
      <c r="L105" s="1" t="s">
        <v>174</v>
      </c>
    </row>
    <row r="106" spans="1:12">
      <c r="A106" s="1" t="s">
        <v>169</v>
      </c>
      <c r="B106" s="1" t="s">
        <v>170</v>
      </c>
      <c r="C106" s="1">
        <v>2008</v>
      </c>
      <c r="D106" s="1" t="s">
        <v>322</v>
      </c>
      <c r="E106" s="1" t="s">
        <v>696</v>
      </c>
      <c r="F106" s="1" t="s">
        <v>690</v>
      </c>
      <c r="G106" s="1">
        <v>2008</v>
      </c>
      <c r="H106" s="1" t="s">
        <v>174</v>
      </c>
      <c r="I106" s="1" t="s">
        <v>174</v>
      </c>
      <c r="J106" s="1" t="s">
        <v>700</v>
      </c>
      <c r="K106" s="1">
        <v>0.84</v>
      </c>
      <c r="L106" s="1" t="s">
        <v>174</v>
      </c>
    </row>
    <row r="107" spans="1:12">
      <c r="A107" s="1" t="s">
        <v>169</v>
      </c>
      <c r="B107" s="1" t="s">
        <v>170</v>
      </c>
      <c r="C107" s="1">
        <v>2008</v>
      </c>
      <c r="D107" s="1" t="s">
        <v>322</v>
      </c>
      <c r="E107" s="1" t="s">
        <v>685</v>
      </c>
      <c r="F107" s="1" t="s">
        <v>686</v>
      </c>
      <c r="G107" s="1">
        <v>2008</v>
      </c>
      <c r="H107" s="1" t="s">
        <v>174</v>
      </c>
      <c r="I107" s="1" t="s">
        <v>174</v>
      </c>
      <c r="J107" s="1" t="s">
        <v>700</v>
      </c>
      <c r="K107" s="1">
        <v>0.73</v>
      </c>
      <c r="L107" s="1" t="s">
        <v>174</v>
      </c>
    </row>
    <row r="108" spans="1:12">
      <c r="A108" s="1" t="s">
        <v>169</v>
      </c>
      <c r="B108" s="1" t="s">
        <v>170</v>
      </c>
      <c r="C108" s="1">
        <v>2008</v>
      </c>
      <c r="D108" s="1" t="s">
        <v>322</v>
      </c>
      <c r="E108" s="1" t="s">
        <v>717</v>
      </c>
      <c r="F108" s="1" t="s">
        <v>688</v>
      </c>
      <c r="G108" s="1">
        <v>2008</v>
      </c>
      <c r="H108" s="1" t="s">
        <v>174</v>
      </c>
      <c r="I108" s="1" t="s">
        <v>174</v>
      </c>
      <c r="J108" s="1" t="s">
        <v>700</v>
      </c>
      <c r="K108" s="1">
        <v>0.7</v>
      </c>
      <c r="L108" s="1" t="s">
        <v>174</v>
      </c>
    </row>
    <row r="109" spans="1:12">
      <c r="A109" s="1" t="s">
        <v>169</v>
      </c>
      <c r="B109" s="1" t="s">
        <v>170</v>
      </c>
      <c r="C109" s="1">
        <v>2008</v>
      </c>
      <c r="D109" s="1" t="s">
        <v>322</v>
      </c>
      <c r="E109" s="1" t="s">
        <v>703</v>
      </c>
      <c r="F109" s="1" t="s">
        <v>675</v>
      </c>
      <c r="G109" s="1">
        <v>2008</v>
      </c>
      <c r="H109" s="1" t="s">
        <v>174</v>
      </c>
      <c r="I109" s="1" t="s">
        <v>174</v>
      </c>
      <c r="J109" s="1" t="s">
        <v>700</v>
      </c>
      <c r="K109" s="1">
        <v>0.7</v>
      </c>
      <c r="L109" s="1" t="s">
        <v>174</v>
      </c>
    </row>
    <row r="110" spans="1:12">
      <c r="A110" s="1" t="s">
        <v>169</v>
      </c>
      <c r="B110" s="1" t="s">
        <v>170</v>
      </c>
      <c r="C110" s="1">
        <v>2008</v>
      </c>
      <c r="D110" s="1" t="s">
        <v>322</v>
      </c>
      <c r="E110" s="1" t="s">
        <v>550</v>
      </c>
      <c r="F110" s="1" t="s">
        <v>699</v>
      </c>
      <c r="G110" s="1">
        <v>2008</v>
      </c>
      <c r="H110" s="1" t="s">
        <v>174</v>
      </c>
      <c r="I110" s="1" t="s">
        <v>174</v>
      </c>
      <c r="J110" s="1" t="s">
        <v>700</v>
      </c>
      <c r="K110" s="1">
        <v>0.61</v>
      </c>
      <c r="L110" s="1" t="s">
        <v>174</v>
      </c>
    </row>
    <row r="111" spans="1:12">
      <c r="A111" s="1" t="s">
        <v>169</v>
      </c>
      <c r="B111" s="1" t="s">
        <v>170</v>
      </c>
      <c r="C111" s="1">
        <v>2008</v>
      </c>
      <c r="D111" s="1" t="s">
        <v>322</v>
      </c>
      <c r="E111" s="1" t="s">
        <v>603</v>
      </c>
      <c r="F111" s="1" t="s">
        <v>603</v>
      </c>
      <c r="G111" s="1">
        <v>2008</v>
      </c>
      <c r="H111" s="1" t="s">
        <v>174</v>
      </c>
      <c r="I111" s="1" t="s">
        <v>174</v>
      </c>
      <c r="J111" s="1" t="s">
        <v>700</v>
      </c>
      <c r="K111" s="1">
        <v>12.82</v>
      </c>
      <c r="L111" s="1" t="s">
        <v>174</v>
      </c>
    </row>
    <row r="112" spans="1:12">
      <c r="A112" s="1" t="s">
        <v>169</v>
      </c>
      <c r="B112" s="1" t="s">
        <v>170</v>
      </c>
      <c r="C112" s="1">
        <v>2010</v>
      </c>
      <c r="D112" s="1" t="s">
        <v>322</v>
      </c>
      <c r="E112" s="1" t="s">
        <v>558</v>
      </c>
      <c r="F112" s="1" t="s">
        <v>699</v>
      </c>
      <c r="G112" s="1">
        <v>2009</v>
      </c>
      <c r="H112" s="1" t="s">
        <v>174</v>
      </c>
      <c r="I112" s="1" t="s">
        <v>174</v>
      </c>
      <c r="J112" s="1" t="s">
        <v>700</v>
      </c>
      <c r="K112" s="1">
        <v>6.48</v>
      </c>
      <c r="L112" s="1" t="s">
        <v>174</v>
      </c>
    </row>
    <row r="113" spans="1:12">
      <c r="A113" s="1" t="s">
        <v>169</v>
      </c>
      <c r="B113" s="1" t="s">
        <v>170</v>
      </c>
      <c r="C113" s="1">
        <v>2010</v>
      </c>
      <c r="D113" s="1" t="s">
        <v>322</v>
      </c>
      <c r="E113" s="1" t="s">
        <v>674</v>
      </c>
      <c r="F113" s="1" t="s">
        <v>675</v>
      </c>
      <c r="G113" s="1">
        <v>2009</v>
      </c>
      <c r="H113" s="1" t="s">
        <v>174</v>
      </c>
      <c r="I113" s="1" t="s">
        <v>174</v>
      </c>
      <c r="J113" s="1" t="s">
        <v>700</v>
      </c>
      <c r="K113" s="1">
        <v>3.9</v>
      </c>
      <c r="L113" s="1" t="s">
        <v>174</v>
      </c>
    </row>
    <row r="114" spans="1:12">
      <c r="A114" s="1" t="s">
        <v>169</v>
      </c>
      <c r="B114" s="1" t="s">
        <v>170</v>
      </c>
      <c r="C114" s="1">
        <v>2010</v>
      </c>
      <c r="D114" s="1" t="s">
        <v>322</v>
      </c>
      <c r="E114" s="1" t="s">
        <v>701</v>
      </c>
      <c r="F114" s="1" t="s">
        <v>688</v>
      </c>
      <c r="G114" s="1">
        <v>2009</v>
      </c>
      <c r="H114" s="1" t="s">
        <v>174</v>
      </c>
      <c r="I114" s="1" t="s">
        <v>174</v>
      </c>
      <c r="J114" s="1" t="s">
        <v>700</v>
      </c>
      <c r="K114" s="1">
        <v>3.16</v>
      </c>
      <c r="L114" s="1" t="s">
        <v>174</v>
      </c>
    </row>
    <row r="115" spans="1:12">
      <c r="A115" s="1" t="s">
        <v>169</v>
      </c>
      <c r="B115" s="1" t="s">
        <v>170</v>
      </c>
      <c r="C115" s="1">
        <v>2010</v>
      </c>
      <c r="D115" s="1" t="s">
        <v>322</v>
      </c>
      <c r="E115" s="1" t="s">
        <v>716</v>
      </c>
      <c r="F115" s="1" t="s">
        <v>679</v>
      </c>
      <c r="G115" s="1">
        <v>2009</v>
      </c>
      <c r="H115" s="1" t="s">
        <v>174</v>
      </c>
      <c r="I115" s="1" t="s">
        <v>174</v>
      </c>
      <c r="J115" s="1" t="s">
        <v>700</v>
      </c>
      <c r="K115" s="1">
        <v>3.07</v>
      </c>
      <c r="L115" s="1" t="s">
        <v>174</v>
      </c>
    </row>
    <row r="116" spans="1:12">
      <c r="A116" s="1" t="s">
        <v>169</v>
      </c>
      <c r="B116" s="1" t="s">
        <v>170</v>
      </c>
      <c r="C116" s="1">
        <v>2010</v>
      </c>
      <c r="D116" s="1" t="s">
        <v>322</v>
      </c>
      <c r="E116" s="1" t="s">
        <v>710</v>
      </c>
      <c r="F116" s="1" t="s">
        <v>673</v>
      </c>
      <c r="G116" s="1">
        <v>2009</v>
      </c>
      <c r="H116" s="1" t="s">
        <v>174</v>
      </c>
      <c r="I116" s="1" t="s">
        <v>174</v>
      </c>
      <c r="J116" s="1" t="s">
        <v>700</v>
      </c>
      <c r="K116" s="1">
        <v>1.93</v>
      </c>
      <c r="L116" s="1" t="s">
        <v>174</v>
      </c>
    </row>
    <row r="117" spans="1:12">
      <c r="A117" s="1" t="s">
        <v>169</v>
      </c>
      <c r="B117" s="1" t="s">
        <v>170</v>
      </c>
      <c r="C117" s="1">
        <v>2010</v>
      </c>
      <c r="D117" s="1" t="s">
        <v>322</v>
      </c>
      <c r="E117" s="1" t="s">
        <v>696</v>
      </c>
      <c r="F117" s="1" t="s">
        <v>690</v>
      </c>
      <c r="G117" s="1">
        <v>2009</v>
      </c>
      <c r="H117" s="1" t="s">
        <v>174</v>
      </c>
      <c r="I117" s="1" t="s">
        <v>174</v>
      </c>
      <c r="J117" s="1" t="s">
        <v>700</v>
      </c>
      <c r="K117" s="1">
        <v>1.65</v>
      </c>
      <c r="L117" s="1" t="s">
        <v>174</v>
      </c>
    </row>
    <row r="118" spans="1:12">
      <c r="A118" s="1" t="s">
        <v>169</v>
      </c>
      <c r="B118" s="1" t="s">
        <v>170</v>
      </c>
      <c r="C118" s="1">
        <v>2010</v>
      </c>
      <c r="D118" s="1" t="s">
        <v>322</v>
      </c>
      <c r="E118" s="1" t="s">
        <v>685</v>
      </c>
      <c r="F118" s="1" t="s">
        <v>686</v>
      </c>
      <c r="G118" s="1">
        <v>2009</v>
      </c>
      <c r="H118" s="1" t="s">
        <v>174</v>
      </c>
      <c r="I118" s="1" t="s">
        <v>174</v>
      </c>
      <c r="J118" s="1" t="s">
        <v>700</v>
      </c>
      <c r="K118" s="1">
        <v>1.22</v>
      </c>
      <c r="L118" s="1" t="s">
        <v>174</v>
      </c>
    </row>
    <row r="119" spans="1:12">
      <c r="A119" s="1" t="s">
        <v>169</v>
      </c>
      <c r="B119" s="1" t="s">
        <v>170</v>
      </c>
      <c r="C119" s="1">
        <v>2010</v>
      </c>
      <c r="D119" s="1" t="s">
        <v>322</v>
      </c>
      <c r="E119" s="1" t="s">
        <v>717</v>
      </c>
      <c r="F119" s="1" t="s">
        <v>688</v>
      </c>
      <c r="G119" s="1">
        <v>2009</v>
      </c>
      <c r="H119" s="1" t="s">
        <v>174</v>
      </c>
      <c r="I119" s="1" t="s">
        <v>174</v>
      </c>
      <c r="J119" s="1" t="s">
        <v>700</v>
      </c>
      <c r="K119" s="1">
        <v>1.06</v>
      </c>
      <c r="L119" s="1" t="s">
        <v>174</v>
      </c>
    </row>
    <row r="120" spans="1:12">
      <c r="A120" s="1" t="s">
        <v>169</v>
      </c>
      <c r="B120" s="1" t="s">
        <v>170</v>
      </c>
      <c r="C120" s="1">
        <v>2010</v>
      </c>
      <c r="D120" s="1" t="s">
        <v>322</v>
      </c>
      <c r="E120" s="1" t="s">
        <v>703</v>
      </c>
      <c r="F120" s="1" t="s">
        <v>675</v>
      </c>
      <c r="G120" s="1">
        <v>2009</v>
      </c>
      <c r="H120" s="1" t="s">
        <v>174</v>
      </c>
      <c r="I120" s="1" t="s">
        <v>174</v>
      </c>
      <c r="J120" s="1" t="s">
        <v>700</v>
      </c>
      <c r="K120" s="1">
        <v>0.92</v>
      </c>
      <c r="L120" s="1" t="s">
        <v>174</v>
      </c>
    </row>
    <row r="121" spans="1:12">
      <c r="A121" s="1" t="s">
        <v>169</v>
      </c>
      <c r="B121" s="1" t="s">
        <v>170</v>
      </c>
      <c r="C121" s="1">
        <v>2010</v>
      </c>
      <c r="D121" s="1" t="s">
        <v>322</v>
      </c>
      <c r="E121" s="1" t="s">
        <v>550</v>
      </c>
      <c r="F121" s="1" t="s">
        <v>699</v>
      </c>
      <c r="G121" s="1">
        <v>2009</v>
      </c>
      <c r="H121" s="1" t="s">
        <v>174</v>
      </c>
      <c r="I121" s="1" t="s">
        <v>174</v>
      </c>
      <c r="J121" s="1" t="s">
        <v>700</v>
      </c>
      <c r="K121" s="1">
        <v>0.84</v>
      </c>
      <c r="L121" s="1" t="s">
        <v>174</v>
      </c>
    </row>
    <row r="122" spans="1:12">
      <c r="A122" s="1" t="s">
        <v>169</v>
      </c>
      <c r="B122" s="1" t="s">
        <v>170</v>
      </c>
      <c r="C122" s="1">
        <v>2010</v>
      </c>
      <c r="D122" s="1" t="s">
        <v>322</v>
      </c>
      <c r="E122" s="1" t="s">
        <v>603</v>
      </c>
      <c r="F122" s="1" t="s">
        <v>603</v>
      </c>
      <c r="G122" s="1">
        <v>2009</v>
      </c>
      <c r="H122" s="1" t="s">
        <v>174</v>
      </c>
      <c r="I122" s="1" t="s">
        <v>174</v>
      </c>
      <c r="J122" s="1" t="s">
        <v>700</v>
      </c>
      <c r="K122" s="1">
        <v>24.23</v>
      </c>
      <c r="L122" s="1" t="s">
        <v>174</v>
      </c>
    </row>
    <row r="123" spans="1:12">
      <c r="A123" s="1" t="s">
        <v>169</v>
      </c>
      <c r="B123" s="1" t="s">
        <v>170</v>
      </c>
      <c r="C123" s="1">
        <v>2012</v>
      </c>
      <c r="D123" s="1" t="s">
        <v>322</v>
      </c>
      <c r="E123" s="1" t="s">
        <v>716</v>
      </c>
      <c r="F123" s="1" t="s">
        <v>679</v>
      </c>
      <c r="G123" s="1">
        <v>2011</v>
      </c>
      <c r="H123" s="1" t="s">
        <v>174</v>
      </c>
      <c r="I123" s="1">
        <f>350000*12</f>
        <v>4200000</v>
      </c>
      <c r="J123" s="1" t="s">
        <v>700</v>
      </c>
      <c r="K123" s="1">
        <v>3.89</v>
      </c>
      <c r="L123" s="1" t="s">
        <v>174</v>
      </c>
    </row>
    <row r="124" spans="1:12">
      <c r="A124" s="1" t="s">
        <v>169</v>
      </c>
      <c r="B124" s="1" t="s">
        <v>170</v>
      </c>
      <c r="C124" s="1">
        <v>2012</v>
      </c>
      <c r="D124" s="1" t="s">
        <v>322</v>
      </c>
      <c r="E124" s="1" t="s">
        <v>674</v>
      </c>
      <c r="F124" s="1" t="s">
        <v>675</v>
      </c>
      <c r="G124" s="1">
        <v>2011</v>
      </c>
      <c r="H124" s="1" t="s">
        <v>174</v>
      </c>
      <c r="I124" s="1" t="s">
        <v>174</v>
      </c>
      <c r="J124" s="1" t="s">
        <v>700</v>
      </c>
      <c r="K124" s="1">
        <v>1.92</v>
      </c>
      <c r="L124" s="1" t="s">
        <v>174</v>
      </c>
    </row>
    <row r="125" spans="1:12">
      <c r="A125" s="1" t="s">
        <v>169</v>
      </c>
      <c r="B125" s="1" t="s">
        <v>170</v>
      </c>
      <c r="C125" s="1">
        <v>2012</v>
      </c>
      <c r="D125" s="1" t="s">
        <v>322</v>
      </c>
      <c r="E125" s="1" t="s">
        <v>685</v>
      </c>
      <c r="F125" s="1" t="s">
        <v>686</v>
      </c>
      <c r="G125" s="1">
        <v>2011</v>
      </c>
      <c r="H125" s="1" t="s">
        <v>174</v>
      </c>
      <c r="I125" s="1" t="s">
        <v>174</v>
      </c>
      <c r="J125" s="1" t="s">
        <v>700</v>
      </c>
      <c r="K125" s="1">
        <v>1.66</v>
      </c>
      <c r="L125" s="1" t="s">
        <v>174</v>
      </c>
    </row>
    <row r="126" spans="1:12">
      <c r="A126" s="1" t="s">
        <v>169</v>
      </c>
      <c r="B126" s="1" t="s">
        <v>170</v>
      </c>
      <c r="C126" s="1">
        <v>2012</v>
      </c>
      <c r="D126" s="1" t="s">
        <v>322</v>
      </c>
      <c r="E126" s="1" t="s">
        <v>696</v>
      </c>
      <c r="F126" s="1" t="s">
        <v>690</v>
      </c>
      <c r="G126" s="1">
        <v>2011</v>
      </c>
      <c r="H126" s="1" t="s">
        <v>174</v>
      </c>
      <c r="I126" s="1" t="s">
        <v>174</v>
      </c>
      <c r="J126" s="1" t="s">
        <v>700</v>
      </c>
      <c r="K126" s="1">
        <v>1.36</v>
      </c>
      <c r="L126" s="1" t="s">
        <v>174</v>
      </c>
    </row>
    <row r="127" spans="1:12">
      <c r="A127" s="1" t="s">
        <v>169</v>
      </c>
      <c r="B127" s="1" t="s">
        <v>170</v>
      </c>
      <c r="C127" s="1">
        <v>2012</v>
      </c>
      <c r="D127" s="1" t="s">
        <v>322</v>
      </c>
      <c r="E127" s="1" t="s">
        <v>718</v>
      </c>
      <c r="F127" s="1" t="s">
        <v>690</v>
      </c>
      <c r="G127" s="1">
        <v>2011</v>
      </c>
      <c r="H127" s="1" t="s">
        <v>174</v>
      </c>
      <c r="I127" s="1" t="s">
        <v>174</v>
      </c>
      <c r="J127" s="1" t="s">
        <v>700</v>
      </c>
      <c r="K127" s="1">
        <v>1.18</v>
      </c>
      <c r="L127" s="1" t="s">
        <v>174</v>
      </c>
    </row>
    <row r="128" spans="1:12">
      <c r="A128" s="1" t="s">
        <v>169</v>
      </c>
      <c r="B128" s="1" t="s">
        <v>170</v>
      </c>
      <c r="C128" s="1">
        <v>2012</v>
      </c>
      <c r="D128" s="1" t="s">
        <v>322</v>
      </c>
      <c r="E128" s="1" t="s">
        <v>701</v>
      </c>
      <c r="F128" s="1" t="s">
        <v>688</v>
      </c>
      <c r="G128" s="1">
        <v>2011</v>
      </c>
      <c r="H128" s="1" t="s">
        <v>174</v>
      </c>
      <c r="I128" s="1" t="s">
        <v>174</v>
      </c>
      <c r="J128" s="1" t="s">
        <v>700</v>
      </c>
      <c r="K128" s="1">
        <v>1.08</v>
      </c>
      <c r="L128" s="1" t="s">
        <v>174</v>
      </c>
    </row>
    <row r="129" spans="1:13">
      <c r="A129" s="1" t="s">
        <v>169</v>
      </c>
      <c r="B129" s="1" t="s">
        <v>170</v>
      </c>
      <c r="C129" s="1">
        <v>2012</v>
      </c>
      <c r="D129" s="1" t="s">
        <v>322</v>
      </c>
      <c r="E129" s="1" t="s">
        <v>703</v>
      </c>
      <c r="F129" s="1" t="s">
        <v>675</v>
      </c>
      <c r="G129" s="1">
        <v>2011</v>
      </c>
      <c r="H129" s="1" t="s">
        <v>174</v>
      </c>
      <c r="I129" s="1" t="s">
        <v>174</v>
      </c>
      <c r="J129" s="1" t="s">
        <v>700</v>
      </c>
      <c r="K129" s="1">
        <v>1.06</v>
      </c>
      <c r="L129" s="1" t="s">
        <v>174</v>
      </c>
    </row>
    <row r="130" spans="1:13">
      <c r="A130" s="1" t="s">
        <v>169</v>
      </c>
      <c r="B130" s="1" t="s">
        <v>170</v>
      </c>
      <c r="C130" s="1">
        <v>2012</v>
      </c>
      <c r="D130" s="1" t="s">
        <v>322</v>
      </c>
      <c r="E130" s="1" t="s">
        <v>717</v>
      </c>
      <c r="F130" s="1" t="s">
        <v>688</v>
      </c>
      <c r="G130" s="1">
        <v>2011</v>
      </c>
      <c r="H130" s="1" t="s">
        <v>174</v>
      </c>
      <c r="I130" s="1" t="s">
        <v>174</v>
      </c>
      <c r="J130" s="1" t="s">
        <v>700</v>
      </c>
      <c r="K130" s="1">
        <v>0.62</v>
      </c>
      <c r="L130" s="1" t="s">
        <v>174</v>
      </c>
    </row>
    <row r="131" spans="1:13">
      <c r="A131" s="1" t="s">
        <v>169</v>
      </c>
      <c r="B131" s="1" t="s">
        <v>170</v>
      </c>
      <c r="C131" s="1">
        <v>2012</v>
      </c>
      <c r="D131" s="1" t="s">
        <v>322</v>
      </c>
      <c r="E131" s="1" t="s">
        <v>719</v>
      </c>
      <c r="F131" s="1" t="s">
        <v>720</v>
      </c>
      <c r="G131" s="1">
        <v>2011</v>
      </c>
      <c r="H131" s="1" t="s">
        <v>174</v>
      </c>
      <c r="I131" s="1" t="s">
        <v>174</v>
      </c>
      <c r="J131" s="1" t="s">
        <v>700</v>
      </c>
      <c r="K131" s="1">
        <v>0.55000000000000004</v>
      </c>
      <c r="L131" s="1" t="s">
        <v>174</v>
      </c>
    </row>
    <row r="132" spans="1:13">
      <c r="A132" s="1" t="s">
        <v>169</v>
      </c>
      <c r="B132" s="1" t="s">
        <v>170</v>
      </c>
      <c r="C132" s="1">
        <v>2012</v>
      </c>
      <c r="D132" s="1" t="s">
        <v>322</v>
      </c>
      <c r="E132" s="1" t="s">
        <v>672</v>
      </c>
      <c r="F132" s="1" t="s">
        <v>673</v>
      </c>
      <c r="G132" s="1">
        <v>2011</v>
      </c>
      <c r="H132" s="1" t="s">
        <v>174</v>
      </c>
      <c r="I132" s="1" t="s">
        <v>174</v>
      </c>
      <c r="J132" s="1" t="s">
        <v>700</v>
      </c>
      <c r="K132" s="1">
        <v>0.51</v>
      </c>
      <c r="L132" s="1" t="s">
        <v>174</v>
      </c>
    </row>
    <row r="133" spans="1:13">
      <c r="A133" s="1" t="s">
        <v>169</v>
      </c>
      <c r="B133" s="1" t="s">
        <v>170</v>
      </c>
      <c r="C133" s="1">
        <v>2012</v>
      </c>
      <c r="D133" s="1" t="s">
        <v>322</v>
      </c>
      <c r="E133" s="1" t="s">
        <v>603</v>
      </c>
      <c r="F133" s="1" t="s">
        <v>603</v>
      </c>
      <c r="G133" s="1">
        <v>2011</v>
      </c>
      <c r="H133" s="1" t="s">
        <v>174</v>
      </c>
      <c r="I133" s="1" t="s">
        <v>174</v>
      </c>
      <c r="J133" s="1" t="s">
        <v>700</v>
      </c>
      <c r="K133" s="1">
        <v>13.83</v>
      </c>
      <c r="L133" s="1" t="s">
        <v>174</v>
      </c>
      <c r="M133" s="1" t="s">
        <v>721</v>
      </c>
    </row>
    <row r="134" spans="1:13">
      <c r="A134" s="1" t="s">
        <v>169</v>
      </c>
      <c r="B134" s="1" t="s">
        <v>170</v>
      </c>
      <c r="C134" s="1">
        <v>2013</v>
      </c>
      <c r="D134" s="1" t="s">
        <v>322</v>
      </c>
      <c r="E134" s="1" t="s">
        <v>722</v>
      </c>
      <c r="F134" s="1" t="s">
        <v>675</v>
      </c>
      <c r="G134" s="1">
        <v>2012</v>
      </c>
      <c r="H134" s="1" t="s">
        <v>174</v>
      </c>
      <c r="I134" s="1" t="s">
        <v>174</v>
      </c>
      <c r="J134" s="1" t="s">
        <v>700</v>
      </c>
      <c r="K134" s="1">
        <v>9.64</v>
      </c>
      <c r="L134" s="1" t="s">
        <v>174</v>
      </c>
      <c r="M134" s="1" t="s">
        <v>723</v>
      </c>
    </row>
    <row r="135" spans="1:13">
      <c r="A135" s="1" t="s">
        <v>169</v>
      </c>
      <c r="B135" s="1" t="s">
        <v>170</v>
      </c>
      <c r="C135" s="1">
        <v>2013</v>
      </c>
      <c r="D135" s="1" t="s">
        <v>322</v>
      </c>
      <c r="E135" s="1" t="s">
        <v>701</v>
      </c>
      <c r="F135" s="1" t="s">
        <v>688</v>
      </c>
      <c r="G135" s="1">
        <v>2012</v>
      </c>
      <c r="H135" s="1" t="s">
        <v>174</v>
      </c>
      <c r="I135" s="1" t="s">
        <v>174</v>
      </c>
      <c r="J135" s="1" t="s">
        <v>700</v>
      </c>
      <c r="K135" s="1">
        <v>4.6100000000000003</v>
      </c>
      <c r="L135" s="1" t="s">
        <v>174</v>
      </c>
    </row>
    <row r="136" spans="1:13">
      <c r="A136" s="1" t="s">
        <v>169</v>
      </c>
      <c r="B136" s="1" t="s">
        <v>170</v>
      </c>
      <c r="C136" s="1">
        <v>2013</v>
      </c>
      <c r="D136" s="1" t="s">
        <v>322</v>
      </c>
      <c r="E136" s="1" t="s">
        <v>703</v>
      </c>
      <c r="F136" s="1" t="s">
        <v>675</v>
      </c>
      <c r="G136" s="1">
        <v>2012</v>
      </c>
      <c r="H136" s="1" t="s">
        <v>174</v>
      </c>
      <c r="I136" s="1" t="s">
        <v>174</v>
      </c>
      <c r="J136" s="1" t="s">
        <v>700</v>
      </c>
      <c r="K136" s="1">
        <v>2.04</v>
      </c>
      <c r="L136" s="1" t="s">
        <v>174</v>
      </c>
    </row>
    <row r="137" spans="1:13">
      <c r="A137" s="1" t="s">
        <v>169</v>
      </c>
      <c r="B137" s="1" t="s">
        <v>170</v>
      </c>
      <c r="C137" s="1">
        <v>2013</v>
      </c>
      <c r="D137" s="1" t="s">
        <v>322</v>
      </c>
      <c r="E137" s="1" t="s">
        <v>672</v>
      </c>
      <c r="F137" s="1" t="s">
        <v>673</v>
      </c>
      <c r="G137" s="1">
        <v>2012</v>
      </c>
      <c r="H137" s="1" t="s">
        <v>174</v>
      </c>
      <c r="I137" s="1" t="s">
        <v>174</v>
      </c>
      <c r="J137" s="1" t="s">
        <v>700</v>
      </c>
      <c r="K137" s="1">
        <v>1.62</v>
      </c>
      <c r="L137" s="1" t="s">
        <v>174</v>
      </c>
    </row>
    <row r="138" spans="1:13">
      <c r="A138" s="1" t="s">
        <v>169</v>
      </c>
      <c r="B138" s="1" t="s">
        <v>170</v>
      </c>
      <c r="C138" s="1">
        <v>2013</v>
      </c>
      <c r="D138" s="1" t="s">
        <v>322</v>
      </c>
      <c r="E138" s="1" t="s">
        <v>718</v>
      </c>
      <c r="F138" s="1" t="s">
        <v>690</v>
      </c>
      <c r="G138" s="1">
        <v>2012</v>
      </c>
      <c r="H138" s="1" t="s">
        <v>174</v>
      </c>
      <c r="I138" s="1" t="s">
        <v>174</v>
      </c>
      <c r="J138" s="1" t="s">
        <v>700</v>
      </c>
      <c r="K138" s="1">
        <v>1.41</v>
      </c>
      <c r="L138" s="1" t="s">
        <v>174</v>
      </c>
    </row>
    <row r="139" spans="1:13">
      <c r="A139" s="1" t="s">
        <v>169</v>
      </c>
      <c r="B139" s="1" t="s">
        <v>170</v>
      </c>
      <c r="C139" s="1">
        <v>2013</v>
      </c>
      <c r="D139" s="1" t="s">
        <v>322</v>
      </c>
      <c r="E139" s="1" t="s">
        <v>696</v>
      </c>
      <c r="F139" s="1" t="s">
        <v>690</v>
      </c>
      <c r="G139" s="1">
        <v>2012</v>
      </c>
      <c r="H139" s="1" t="s">
        <v>174</v>
      </c>
      <c r="I139" s="1" t="s">
        <v>174</v>
      </c>
      <c r="J139" s="1" t="s">
        <v>700</v>
      </c>
      <c r="K139" s="1">
        <v>1.29</v>
      </c>
      <c r="L139" s="1" t="s">
        <v>174</v>
      </c>
    </row>
    <row r="140" spans="1:13">
      <c r="A140" s="1" t="s">
        <v>169</v>
      </c>
      <c r="B140" s="1" t="s">
        <v>170</v>
      </c>
      <c r="C140" s="1">
        <v>2013</v>
      </c>
      <c r="D140" s="1" t="s">
        <v>322</v>
      </c>
      <c r="E140" s="1" t="s">
        <v>724</v>
      </c>
      <c r="F140" s="1" t="s">
        <v>608</v>
      </c>
      <c r="G140" s="1">
        <v>2012</v>
      </c>
      <c r="H140" s="1" t="s">
        <v>174</v>
      </c>
      <c r="I140" s="1" t="s">
        <v>174</v>
      </c>
      <c r="J140" s="1" t="s">
        <v>700</v>
      </c>
      <c r="K140" s="1">
        <v>1.1499999999999999</v>
      </c>
      <c r="L140" s="1" t="s">
        <v>174</v>
      </c>
    </row>
    <row r="141" spans="1:13">
      <c r="A141" s="1" t="s">
        <v>169</v>
      </c>
      <c r="B141" s="1" t="s">
        <v>170</v>
      </c>
      <c r="C141" s="1">
        <v>2013</v>
      </c>
      <c r="D141" s="1" t="s">
        <v>322</v>
      </c>
      <c r="E141" s="1" t="s">
        <v>685</v>
      </c>
      <c r="F141" s="1" t="s">
        <v>686</v>
      </c>
      <c r="G141" s="1">
        <v>2012</v>
      </c>
      <c r="H141" s="1" t="s">
        <v>174</v>
      </c>
      <c r="I141" s="1" t="s">
        <v>174</v>
      </c>
      <c r="J141" s="1" t="s">
        <v>700</v>
      </c>
      <c r="K141" s="1">
        <v>1.1399999999999999</v>
      </c>
      <c r="L141" s="1" t="s">
        <v>174</v>
      </c>
    </row>
    <row r="142" spans="1:13">
      <c r="A142" s="1" t="s">
        <v>169</v>
      </c>
      <c r="B142" s="1" t="s">
        <v>170</v>
      </c>
      <c r="C142" s="1">
        <v>2013</v>
      </c>
      <c r="D142" s="1" t="s">
        <v>322</v>
      </c>
      <c r="E142" s="1" t="s">
        <v>717</v>
      </c>
      <c r="F142" s="1" t="s">
        <v>688</v>
      </c>
      <c r="G142" s="1">
        <v>2012</v>
      </c>
      <c r="H142" s="1" t="s">
        <v>174</v>
      </c>
      <c r="I142" s="1" t="s">
        <v>174</v>
      </c>
      <c r="J142" s="1" t="s">
        <v>700</v>
      </c>
      <c r="K142" s="1">
        <v>0.7</v>
      </c>
      <c r="L142" s="1" t="s">
        <v>174</v>
      </c>
    </row>
    <row r="143" spans="1:13">
      <c r="A143" s="1" t="s">
        <v>169</v>
      </c>
      <c r="B143" s="1" t="s">
        <v>170</v>
      </c>
      <c r="C143" s="1">
        <v>2013</v>
      </c>
      <c r="D143" s="1" t="s">
        <v>322</v>
      </c>
      <c r="E143" s="1" t="s">
        <v>725</v>
      </c>
      <c r="F143" s="1" t="s">
        <v>688</v>
      </c>
      <c r="G143" s="1">
        <v>2012</v>
      </c>
      <c r="H143" s="1" t="s">
        <v>174</v>
      </c>
      <c r="I143" s="1" t="s">
        <v>174</v>
      </c>
      <c r="J143" s="1" t="s">
        <v>700</v>
      </c>
      <c r="K143" s="1">
        <v>0.48</v>
      </c>
      <c r="L143" s="1" t="s">
        <v>174</v>
      </c>
    </row>
    <row r="144" spans="1:13">
      <c r="A144" s="1" t="s">
        <v>169</v>
      </c>
      <c r="B144" s="1" t="s">
        <v>170</v>
      </c>
      <c r="C144" s="1">
        <v>2013</v>
      </c>
      <c r="D144" s="1" t="s">
        <v>322</v>
      </c>
      <c r="E144" s="1" t="s">
        <v>603</v>
      </c>
      <c r="F144" s="1" t="s">
        <v>603</v>
      </c>
      <c r="G144" s="1">
        <v>2012</v>
      </c>
      <c r="H144" s="1" t="s">
        <v>174</v>
      </c>
      <c r="I144" s="1" t="s">
        <v>174</v>
      </c>
      <c r="J144" s="1" t="s">
        <v>700</v>
      </c>
      <c r="K144" s="1">
        <v>24.08</v>
      </c>
      <c r="L144" s="1" t="s">
        <v>174</v>
      </c>
    </row>
    <row r="145" spans="1:12">
      <c r="A145" s="1" t="s">
        <v>169</v>
      </c>
      <c r="B145" s="1" t="s">
        <v>170</v>
      </c>
      <c r="C145" s="1" t="s">
        <v>174</v>
      </c>
      <c r="D145" s="1" t="s">
        <v>322</v>
      </c>
      <c r="E145" s="1" t="s">
        <v>716</v>
      </c>
      <c r="F145" s="1" t="s">
        <v>679</v>
      </c>
      <c r="G145" s="1">
        <v>2013</v>
      </c>
      <c r="H145" s="1" t="s">
        <v>174</v>
      </c>
      <c r="I145" s="1" t="s">
        <v>174</v>
      </c>
      <c r="J145" s="1" t="s">
        <v>700</v>
      </c>
      <c r="K145" s="1">
        <v>2.85</v>
      </c>
      <c r="L145" s="1" t="s">
        <v>174</v>
      </c>
    </row>
    <row r="146" spans="1:12">
      <c r="A146" s="1" t="s">
        <v>169</v>
      </c>
      <c r="B146" s="1" t="s">
        <v>170</v>
      </c>
      <c r="C146" s="1" t="s">
        <v>174</v>
      </c>
      <c r="D146" s="1" t="s">
        <v>322</v>
      </c>
      <c r="E146" s="1" t="s">
        <v>718</v>
      </c>
      <c r="F146" s="1" t="s">
        <v>690</v>
      </c>
      <c r="G146" s="1">
        <v>2012</v>
      </c>
      <c r="H146" s="1" t="s">
        <v>174</v>
      </c>
      <c r="I146" s="1" t="s">
        <v>174</v>
      </c>
      <c r="J146" s="1" t="s">
        <v>700</v>
      </c>
      <c r="K146" s="1">
        <v>1.87</v>
      </c>
      <c r="L146" s="1" t="s">
        <v>174</v>
      </c>
    </row>
    <row r="147" spans="1:12">
      <c r="A147" s="1" t="s">
        <v>169</v>
      </c>
      <c r="B147" s="1" t="s">
        <v>170</v>
      </c>
      <c r="C147" s="1" t="s">
        <v>174</v>
      </c>
      <c r="D147" s="1" t="s">
        <v>322</v>
      </c>
      <c r="E147" s="1" t="s">
        <v>696</v>
      </c>
      <c r="F147" s="1" t="s">
        <v>690</v>
      </c>
      <c r="G147" s="1">
        <v>2012</v>
      </c>
      <c r="H147" s="1" t="s">
        <v>174</v>
      </c>
      <c r="I147" s="1" t="s">
        <v>174</v>
      </c>
      <c r="J147" s="1" t="s">
        <v>700</v>
      </c>
      <c r="K147" s="1">
        <v>1.1499999999999999</v>
      </c>
      <c r="L147" s="1" t="s">
        <v>174</v>
      </c>
    </row>
    <row r="148" spans="1:12">
      <c r="A148" s="1" t="s">
        <v>169</v>
      </c>
      <c r="B148" s="1" t="s">
        <v>170</v>
      </c>
      <c r="C148" s="1" t="s">
        <v>174</v>
      </c>
      <c r="D148" s="1" t="s">
        <v>322</v>
      </c>
      <c r="E148" s="1" t="s">
        <v>703</v>
      </c>
      <c r="F148" s="1" t="s">
        <v>675</v>
      </c>
      <c r="G148" s="1">
        <v>2012</v>
      </c>
      <c r="H148" s="1" t="s">
        <v>174</v>
      </c>
      <c r="I148" s="1" t="s">
        <v>174</v>
      </c>
      <c r="J148" s="1" t="s">
        <v>700</v>
      </c>
      <c r="K148" s="1">
        <v>1.03</v>
      </c>
      <c r="L148" s="1" t="s">
        <v>174</v>
      </c>
    </row>
    <row r="149" spans="1:12">
      <c r="A149" s="1" t="s">
        <v>169</v>
      </c>
      <c r="B149" s="1" t="s">
        <v>170</v>
      </c>
      <c r="C149" s="1" t="s">
        <v>174</v>
      </c>
      <c r="D149" s="1" t="s">
        <v>322</v>
      </c>
      <c r="E149" s="1" t="s">
        <v>722</v>
      </c>
      <c r="F149" s="1" t="s">
        <v>675</v>
      </c>
      <c r="G149" s="1">
        <v>2012</v>
      </c>
      <c r="H149" s="1" t="s">
        <v>174</v>
      </c>
      <c r="I149" s="1" t="s">
        <v>174</v>
      </c>
      <c r="J149" s="1" t="s">
        <v>700</v>
      </c>
      <c r="K149" s="1">
        <v>1.03</v>
      </c>
      <c r="L149" s="1" t="s">
        <v>174</v>
      </c>
    </row>
    <row r="150" spans="1:12">
      <c r="A150" s="1" t="s">
        <v>169</v>
      </c>
      <c r="B150" s="1" t="s">
        <v>170</v>
      </c>
      <c r="C150" s="1" t="s">
        <v>174</v>
      </c>
      <c r="D150" s="1" t="s">
        <v>322</v>
      </c>
      <c r="E150" s="1" t="s">
        <v>717</v>
      </c>
      <c r="F150" s="1" t="s">
        <v>688</v>
      </c>
      <c r="G150" s="1">
        <v>2012</v>
      </c>
      <c r="H150" s="1" t="s">
        <v>174</v>
      </c>
      <c r="I150" s="1" t="s">
        <v>174</v>
      </c>
      <c r="J150" s="1" t="s">
        <v>700</v>
      </c>
      <c r="K150" s="1">
        <v>0.75</v>
      </c>
      <c r="L150" s="1" t="s">
        <v>174</v>
      </c>
    </row>
    <row r="151" spans="1:12">
      <c r="A151" s="1" t="s">
        <v>169</v>
      </c>
      <c r="B151" s="1" t="s">
        <v>170</v>
      </c>
      <c r="C151" s="1" t="s">
        <v>174</v>
      </c>
      <c r="D151" s="1" t="s">
        <v>322</v>
      </c>
      <c r="E151" s="1" t="s">
        <v>726</v>
      </c>
      <c r="F151" s="1" t="s">
        <v>688</v>
      </c>
      <c r="G151" s="1">
        <v>2012</v>
      </c>
      <c r="H151" s="1" t="s">
        <v>174</v>
      </c>
      <c r="I151" s="1" t="s">
        <v>174</v>
      </c>
      <c r="J151" s="1" t="s">
        <v>700</v>
      </c>
      <c r="K151" s="1">
        <v>0.71</v>
      </c>
      <c r="L151" s="1" t="s">
        <v>174</v>
      </c>
    </row>
    <row r="152" spans="1:12">
      <c r="A152" s="1" t="s">
        <v>169</v>
      </c>
      <c r="B152" s="1" t="s">
        <v>170</v>
      </c>
      <c r="C152" s="1" t="s">
        <v>174</v>
      </c>
      <c r="D152" s="1" t="s">
        <v>322</v>
      </c>
      <c r="E152" s="1" t="s">
        <v>685</v>
      </c>
      <c r="F152" s="1" t="s">
        <v>686</v>
      </c>
      <c r="G152" s="1">
        <v>2012</v>
      </c>
      <c r="H152" s="1" t="s">
        <v>174</v>
      </c>
      <c r="I152" s="1" t="s">
        <v>174</v>
      </c>
      <c r="J152" s="1" t="s">
        <v>700</v>
      </c>
      <c r="K152" s="1">
        <v>0.66</v>
      </c>
      <c r="L152" s="1" t="s">
        <v>174</v>
      </c>
    </row>
    <row r="153" spans="1:12">
      <c r="A153" s="1" t="s">
        <v>169</v>
      </c>
      <c r="B153" s="1" t="s">
        <v>170</v>
      </c>
      <c r="C153" s="1" t="s">
        <v>174</v>
      </c>
      <c r="D153" s="1" t="s">
        <v>322</v>
      </c>
      <c r="E153" s="1" t="s">
        <v>685</v>
      </c>
      <c r="F153" s="1" t="s">
        <v>686</v>
      </c>
      <c r="G153" s="1">
        <v>2012</v>
      </c>
      <c r="H153" s="1" t="s">
        <v>174</v>
      </c>
      <c r="I153" s="1" t="s">
        <v>174</v>
      </c>
      <c r="J153" s="1" t="s">
        <v>700</v>
      </c>
      <c r="K153" s="1">
        <v>0.59</v>
      </c>
      <c r="L153" s="1" t="s">
        <v>174</v>
      </c>
    </row>
    <row r="154" spans="1:12">
      <c r="A154" s="1" t="s">
        <v>169</v>
      </c>
      <c r="B154" s="1" t="s">
        <v>170</v>
      </c>
      <c r="C154" s="1" t="s">
        <v>174</v>
      </c>
      <c r="D154" s="1" t="s">
        <v>322</v>
      </c>
      <c r="E154" s="1" t="s">
        <v>674</v>
      </c>
      <c r="F154" s="1" t="s">
        <v>675</v>
      </c>
      <c r="G154" s="1">
        <v>2012</v>
      </c>
      <c r="H154" s="1" t="s">
        <v>174</v>
      </c>
      <c r="I154" s="1" t="s">
        <v>174</v>
      </c>
      <c r="J154" s="1" t="s">
        <v>700</v>
      </c>
      <c r="K154" s="1">
        <v>0.53</v>
      </c>
      <c r="L154" s="1" t="s">
        <v>174</v>
      </c>
    </row>
    <row r="155" spans="1:12">
      <c r="A155" s="1" t="s">
        <v>169</v>
      </c>
      <c r="B155" s="1" t="s">
        <v>170</v>
      </c>
      <c r="C155" s="1" t="s">
        <v>174</v>
      </c>
      <c r="D155" s="1" t="s">
        <v>322</v>
      </c>
      <c r="E155" s="1" t="s">
        <v>603</v>
      </c>
      <c r="F155" s="1" t="s">
        <v>603</v>
      </c>
      <c r="G155" s="1">
        <v>2012</v>
      </c>
      <c r="H155" s="1" t="s">
        <v>174</v>
      </c>
      <c r="I155" s="1" t="s">
        <v>174</v>
      </c>
      <c r="J155" s="1" t="s">
        <v>700</v>
      </c>
      <c r="K155" s="1">
        <v>11.17</v>
      </c>
      <c r="L155" s="1" t="s">
        <v>174</v>
      </c>
    </row>
    <row r="156" spans="1:12">
      <c r="A156" s="1" t="s">
        <v>169</v>
      </c>
      <c r="B156" s="1" t="s">
        <v>170</v>
      </c>
      <c r="C156" s="1" t="s">
        <v>174</v>
      </c>
      <c r="D156" s="1" t="s">
        <v>322</v>
      </c>
      <c r="E156" s="1" t="s">
        <v>674</v>
      </c>
      <c r="F156" s="1" t="s">
        <v>675</v>
      </c>
      <c r="G156" s="1">
        <v>2014</v>
      </c>
      <c r="H156" s="1" t="s">
        <v>174</v>
      </c>
      <c r="I156" s="1" t="s">
        <v>174</v>
      </c>
      <c r="J156" s="1" t="s">
        <v>700</v>
      </c>
      <c r="K156" s="1">
        <v>3.95</v>
      </c>
      <c r="L156" s="1" t="s">
        <v>174</v>
      </c>
    </row>
    <row r="157" spans="1:12">
      <c r="A157" s="1" t="s">
        <v>169</v>
      </c>
      <c r="B157" s="1" t="s">
        <v>170</v>
      </c>
      <c r="C157" s="1" t="s">
        <v>174</v>
      </c>
      <c r="D157" s="1" t="s">
        <v>322</v>
      </c>
      <c r="E157" s="1" t="s">
        <v>701</v>
      </c>
      <c r="F157" s="1" t="s">
        <v>688</v>
      </c>
      <c r="G157" s="1">
        <v>2014</v>
      </c>
      <c r="H157" s="1" t="s">
        <v>174</v>
      </c>
      <c r="I157" s="1" t="s">
        <v>174</v>
      </c>
      <c r="J157" s="1" t="s">
        <v>700</v>
      </c>
      <c r="K157" s="1">
        <v>3.95</v>
      </c>
      <c r="L157" s="1" t="s">
        <v>174</v>
      </c>
    </row>
    <row r="158" spans="1:12">
      <c r="A158" s="1" t="s">
        <v>169</v>
      </c>
      <c r="B158" s="1" t="s">
        <v>170</v>
      </c>
      <c r="C158" s="1" t="s">
        <v>174</v>
      </c>
      <c r="D158" s="1" t="s">
        <v>322</v>
      </c>
      <c r="E158" s="1" t="s">
        <v>716</v>
      </c>
      <c r="F158" s="1" t="s">
        <v>679</v>
      </c>
      <c r="G158" s="1">
        <v>2014</v>
      </c>
      <c r="H158" s="1" t="s">
        <v>174</v>
      </c>
      <c r="I158" s="1" t="s">
        <v>174</v>
      </c>
      <c r="J158" s="1" t="s">
        <v>700</v>
      </c>
      <c r="K158" s="1">
        <v>1.74</v>
      </c>
      <c r="L158" s="1" t="s">
        <v>174</v>
      </c>
    </row>
    <row r="159" spans="1:12">
      <c r="A159" s="1" t="s">
        <v>169</v>
      </c>
      <c r="B159" s="1" t="s">
        <v>170</v>
      </c>
      <c r="C159" s="1" t="s">
        <v>174</v>
      </c>
      <c r="D159" s="1" t="s">
        <v>322</v>
      </c>
      <c r="E159" s="1" t="s">
        <v>718</v>
      </c>
      <c r="F159" s="1" t="s">
        <v>690</v>
      </c>
      <c r="G159" s="1">
        <v>2014</v>
      </c>
      <c r="H159" s="1" t="s">
        <v>174</v>
      </c>
      <c r="I159" s="1" t="s">
        <v>174</v>
      </c>
      <c r="J159" s="1" t="s">
        <v>700</v>
      </c>
      <c r="K159" s="1">
        <v>1.37</v>
      </c>
      <c r="L159" s="1" t="s">
        <v>174</v>
      </c>
    </row>
    <row r="160" spans="1:12">
      <c r="A160" s="1" t="s">
        <v>169</v>
      </c>
      <c r="B160" s="1" t="s">
        <v>170</v>
      </c>
      <c r="C160" s="1" t="s">
        <v>174</v>
      </c>
      <c r="D160" s="1" t="s">
        <v>322</v>
      </c>
      <c r="E160" s="1" t="s">
        <v>672</v>
      </c>
      <c r="F160" s="1" t="s">
        <v>673</v>
      </c>
      <c r="G160" s="1">
        <v>2014</v>
      </c>
      <c r="H160" s="1" t="s">
        <v>174</v>
      </c>
      <c r="I160" s="1" t="s">
        <v>174</v>
      </c>
      <c r="J160" s="1" t="s">
        <v>700</v>
      </c>
      <c r="K160" s="1">
        <v>1.26</v>
      </c>
      <c r="L160" s="1" t="s">
        <v>174</v>
      </c>
    </row>
    <row r="161" spans="1:13">
      <c r="A161" s="1" t="s">
        <v>169</v>
      </c>
      <c r="B161" s="1" t="s">
        <v>170</v>
      </c>
      <c r="C161" s="1" t="s">
        <v>174</v>
      </c>
      <c r="D161" s="1" t="s">
        <v>322</v>
      </c>
      <c r="E161" s="1" t="s">
        <v>696</v>
      </c>
      <c r="F161" s="1" t="s">
        <v>690</v>
      </c>
      <c r="G161" s="1">
        <v>2014</v>
      </c>
      <c r="H161" s="1" t="s">
        <v>174</v>
      </c>
      <c r="I161" s="1" t="s">
        <v>174</v>
      </c>
      <c r="J161" s="1" t="s">
        <v>700</v>
      </c>
      <c r="K161" s="1">
        <v>1</v>
      </c>
      <c r="L161" s="1" t="s">
        <v>174</v>
      </c>
    </row>
    <row r="162" spans="1:13">
      <c r="A162" s="1" t="s">
        <v>169</v>
      </c>
      <c r="B162" s="1" t="s">
        <v>170</v>
      </c>
      <c r="C162" s="1" t="s">
        <v>174</v>
      </c>
      <c r="D162" s="1" t="s">
        <v>322</v>
      </c>
      <c r="E162" s="1" t="s">
        <v>703</v>
      </c>
      <c r="F162" s="1" t="s">
        <v>675</v>
      </c>
      <c r="G162" s="1">
        <v>2014</v>
      </c>
      <c r="H162" s="1" t="s">
        <v>174</v>
      </c>
      <c r="I162" s="1" t="s">
        <v>174</v>
      </c>
      <c r="J162" s="1" t="s">
        <v>700</v>
      </c>
      <c r="K162" s="1">
        <v>0.96</v>
      </c>
      <c r="L162" s="1" t="s">
        <v>174</v>
      </c>
    </row>
    <row r="163" spans="1:13">
      <c r="A163" s="1" t="s">
        <v>169</v>
      </c>
      <c r="B163" s="1" t="s">
        <v>170</v>
      </c>
      <c r="C163" s="1" t="s">
        <v>174</v>
      </c>
      <c r="D163" s="1" t="s">
        <v>322</v>
      </c>
      <c r="E163" s="1" t="s">
        <v>702</v>
      </c>
      <c r="F163" s="1" t="s">
        <v>675</v>
      </c>
      <c r="G163" s="1">
        <v>2014</v>
      </c>
      <c r="H163" s="1" t="s">
        <v>174</v>
      </c>
      <c r="I163" s="1" t="s">
        <v>174</v>
      </c>
      <c r="J163" s="1" t="s">
        <v>700</v>
      </c>
      <c r="K163" s="1">
        <v>0.86</v>
      </c>
      <c r="L163" s="1" t="s">
        <v>174</v>
      </c>
    </row>
    <row r="164" spans="1:13">
      <c r="A164" s="1" t="s">
        <v>169</v>
      </c>
      <c r="B164" s="1" t="s">
        <v>170</v>
      </c>
      <c r="C164" s="1" t="s">
        <v>174</v>
      </c>
      <c r="D164" s="1" t="s">
        <v>322</v>
      </c>
      <c r="E164" s="1" t="s">
        <v>719</v>
      </c>
      <c r="F164" s="1" t="s">
        <v>720</v>
      </c>
      <c r="G164" s="1">
        <v>2014</v>
      </c>
      <c r="H164" s="1" t="s">
        <v>174</v>
      </c>
      <c r="I164" s="1" t="s">
        <v>174</v>
      </c>
      <c r="J164" s="1" t="s">
        <v>700</v>
      </c>
      <c r="K164" s="1">
        <v>0.83</v>
      </c>
      <c r="L164" s="1" t="s">
        <v>174</v>
      </c>
    </row>
    <row r="165" spans="1:13">
      <c r="A165" s="1" t="s">
        <v>169</v>
      </c>
      <c r="B165" s="1" t="s">
        <v>170</v>
      </c>
      <c r="C165" s="1" t="s">
        <v>174</v>
      </c>
      <c r="D165" s="1" t="s">
        <v>322</v>
      </c>
      <c r="E165" s="1" t="s">
        <v>726</v>
      </c>
      <c r="F165" s="1" t="s">
        <v>688</v>
      </c>
      <c r="G165" s="1">
        <v>2014</v>
      </c>
      <c r="H165" s="1" t="s">
        <v>174</v>
      </c>
      <c r="I165" s="1" t="s">
        <v>174</v>
      </c>
      <c r="J165" s="1" t="s">
        <v>700</v>
      </c>
      <c r="K165" s="1">
        <v>0.77</v>
      </c>
      <c r="L165" s="1" t="s">
        <v>174</v>
      </c>
    </row>
    <row r="166" spans="1:13">
      <c r="A166" s="1" t="s">
        <v>169</v>
      </c>
      <c r="B166" s="1" t="s">
        <v>170</v>
      </c>
      <c r="C166" s="1" t="s">
        <v>174</v>
      </c>
      <c r="D166" s="1" t="s">
        <v>322</v>
      </c>
      <c r="E166" s="1" t="s">
        <v>603</v>
      </c>
      <c r="F166" s="1" t="s">
        <v>603</v>
      </c>
      <c r="G166" s="1">
        <v>2014</v>
      </c>
      <c r="H166" s="1" t="s">
        <v>174</v>
      </c>
      <c r="I166" s="1" t="s">
        <v>174</v>
      </c>
      <c r="J166" s="1" t="s">
        <v>700</v>
      </c>
      <c r="K166" s="1">
        <v>16.690000000000001</v>
      </c>
      <c r="L166" s="1" t="s">
        <v>174</v>
      </c>
    </row>
    <row r="167" spans="1:13">
      <c r="A167" s="1" t="s">
        <v>169</v>
      </c>
      <c r="B167" s="1" t="s">
        <v>170</v>
      </c>
      <c r="C167" s="1">
        <v>2013</v>
      </c>
      <c r="D167" s="1" t="s">
        <v>322</v>
      </c>
      <c r="E167" s="1" t="s">
        <v>564</v>
      </c>
      <c r="F167" s="1" t="s">
        <v>699</v>
      </c>
      <c r="G167" s="1">
        <v>2012</v>
      </c>
      <c r="H167" s="1">
        <v>27600000</v>
      </c>
      <c r="I167" s="1">
        <v>128340</v>
      </c>
      <c r="J167" s="1" t="s">
        <v>700</v>
      </c>
      <c r="K167" s="1" t="s">
        <v>174</v>
      </c>
      <c r="L167" s="1" t="s">
        <v>174</v>
      </c>
    </row>
    <row r="168" spans="1:13">
      <c r="A168" s="1" t="s">
        <v>169</v>
      </c>
      <c r="B168" s="1" t="s">
        <v>170</v>
      </c>
      <c r="C168" s="1">
        <v>2013</v>
      </c>
      <c r="D168" s="1" t="s">
        <v>322</v>
      </c>
      <c r="E168" s="1" t="s">
        <v>566</v>
      </c>
      <c r="F168" s="1" t="s">
        <v>699</v>
      </c>
      <c r="G168" s="1">
        <v>2012</v>
      </c>
      <c r="H168" s="1">
        <v>7600000</v>
      </c>
      <c r="I168" s="1">
        <v>30493</v>
      </c>
      <c r="J168" s="1" t="s">
        <v>700</v>
      </c>
      <c r="K168" s="1" t="s">
        <v>174</v>
      </c>
      <c r="L168" s="1" t="s">
        <v>174</v>
      </c>
    </row>
    <row r="169" spans="1:13">
      <c r="A169" s="1" t="s">
        <v>169</v>
      </c>
      <c r="B169" s="1" t="s">
        <v>170</v>
      </c>
      <c r="C169" s="1">
        <v>2013</v>
      </c>
      <c r="D169" s="1" t="s">
        <v>322</v>
      </c>
      <c r="E169" s="1" t="s">
        <v>727</v>
      </c>
      <c r="F169" s="1" t="s">
        <v>699</v>
      </c>
      <c r="G169" s="1">
        <v>2012</v>
      </c>
      <c r="H169" s="1">
        <f>116594000+21512000</f>
        <v>138106000</v>
      </c>
      <c r="I169" s="1">
        <f>390605+81514</f>
        <v>472119</v>
      </c>
      <c r="J169" s="1" t="s">
        <v>700</v>
      </c>
      <c r="K169" s="1" t="s">
        <v>174</v>
      </c>
      <c r="L169" s="1" t="s">
        <v>174</v>
      </c>
    </row>
    <row r="170" spans="1:13">
      <c r="A170" s="1" t="s">
        <v>169</v>
      </c>
      <c r="B170" s="1" t="s">
        <v>170</v>
      </c>
      <c r="C170" s="1">
        <v>2013</v>
      </c>
      <c r="D170" s="1" t="s">
        <v>322</v>
      </c>
      <c r="E170" s="1" t="s">
        <v>553</v>
      </c>
      <c r="F170" s="1" t="s">
        <v>699</v>
      </c>
      <c r="G170" s="1">
        <v>2012</v>
      </c>
      <c r="H170" s="1">
        <v>14630000</v>
      </c>
      <c r="I170" s="1">
        <v>73736</v>
      </c>
      <c r="J170" s="1" t="s">
        <v>700</v>
      </c>
      <c r="K170" s="1" t="s">
        <v>174</v>
      </c>
      <c r="L170" s="1" t="s">
        <v>174</v>
      </c>
    </row>
    <row r="171" spans="1:13">
      <c r="A171" s="1" t="s">
        <v>169</v>
      </c>
      <c r="B171" s="1" t="s">
        <v>170</v>
      </c>
      <c r="C171" s="1">
        <v>2013</v>
      </c>
      <c r="D171" s="1" t="s">
        <v>322</v>
      </c>
      <c r="E171" s="1" t="s">
        <v>558</v>
      </c>
      <c r="F171" s="1" t="s">
        <v>699</v>
      </c>
      <c r="G171" s="1">
        <v>2012</v>
      </c>
      <c r="H171" s="1">
        <v>783066000</v>
      </c>
      <c r="I171" s="1">
        <v>1399376</v>
      </c>
      <c r="J171" s="1" t="s">
        <v>700</v>
      </c>
      <c r="K171" s="1" t="s">
        <v>174</v>
      </c>
      <c r="L171" s="1" t="s">
        <v>174</v>
      </c>
    </row>
    <row r="172" spans="1:13">
      <c r="A172" s="1" t="s">
        <v>169</v>
      </c>
      <c r="B172" s="1" t="s">
        <v>170</v>
      </c>
      <c r="C172" s="1">
        <v>2013</v>
      </c>
      <c r="D172" s="1" t="s">
        <v>322</v>
      </c>
      <c r="E172" s="1" t="s">
        <v>542</v>
      </c>
      <c r="F172" s="1" t="s">
        <v>699</v>
      </c>
      <c r="G172" s="1">
        <v>2012</v>
      </c>
      <c r="H172" s="1">
        <v>10760000</v>
      </c>
      <c r="I172" s="1">
        <v>68474000</v>
      </c>
      <c r="J172" s="1" t="s">
        <v>700</v>
      </c>
      <c r="K172" s="1" t="s">
        <v>174</v>
      </c>
      <c r="L172" s="1" t="s">
        <v>174</v>
      </c>
      <c r="M172" s="1" t="s">
        <v>728</v>
      </c>
    </row>
    <row r="173" spans="1:13">
      <c r="A173" s="1" t="s">
        <v>169</v>
      </c>
      <c r="B173" s="1" t="s">
        <v>170</v>
      </c>
      <c r="C173" s="1">
        <v>2013</v>
      </c>
      <c r="D173" s="1" t="s">
        <v>322</v>
      </c>
      <c r="E173" s="1" t="s">
        <v>729</v>
      </c>
      <c r="F173" s="1" t="s">
        <v>699</v>
      </c>
      <c r="G173" s="1">
        <v>2012</v>
      </c>
      <c r="H173" s="1">
        <v>66589000</v>
      </c>
      <c r="I173" s="1">
        <v>207598</v>
      </c>
      <c r="J173" s="1" t="s">
        <v>700</v>
      </c>
      <c r="K173" s="1" t="s">
        <v>174</v>
      </c>
      <c r="L173" s="1" t="s">
        <v>174</v>
      </c>
    </row>
    <row r="174" spans="1:13">
      <c r="A174" s="1" t="s">
        <v>169</v>
      </c>
      <c r="B174" s="1" t="s">
        <v>170</v>
      </c>
      <c r="C174" s="1" t="s">
        <v>174</v>
      </c>
      <c r="D174" s="1" t="s">
        <v>322</v>
      </c>
      <c r="E174" s="1" t="s">
        <v>674</v>
      </c>
      <c r="F174" s="1" t="s">
        <v>675</v>
      </c>
      <c r="G174" s="1">
        <v>2015</v>
      </c>
      <c r="H174" s="1" t="s">
        <v>174</v>
      </c>
      <c r="I174" s="1" t="s">
        <v>174</v>
      </c>
      <c r="J174" s="1" t="s">
        <v>700</v>
      </c>
      <c r="K174" s="1">
        <v>5.23</v>
      </c>
      <c r="L174" s="1" t="s">
        <v>174</v>
      </c>
    </row>
    <row r="175" spans="1:13">
      <c r="A175" s="1" t="s">
        <v>169</v>
      </c>
      <c r="B175" s="1" t="s">
        <v>170</v>
      </c>
      <c r="C175" s="1" t="s">
        <v>174</v>
      </c>
      <c r="D175" s="1" t="s">
        <v>322</v>
      </c>
      <c r="E175" s="1" t="s">
        <v>701</v>
      </c>
      <c r="F175" s="1" t="s">
        <v>688</v>
      </c>
      <c r="G175" s="1">
        <v>2015</v>
      </c>
      <c r="H175" s="1" t="s">
        <v>174</v>
      </c>
      <c r="I175" s="1" t="s">
        <v>174</v>
      </c>
      <c r="J175" s="1" t="s">
        <v>700</v>
      </c>
      <c r="K175" s="1">
        <v>5.12</v>
      </c>
      <c r="L175" s="1" t="s">
        <v>174</v>
      </c>
    </row>
    <row r="176" spans="1:13">
      <c r="A176" s="1" t="s">
        <v>169</v>
      </c>
      <c r="B176" s="1" t="s">
        <v>170</v>
      </c>
      <c r="C176" s="1" t="s">
        <v>174</v>
      </c>
      <c r="D176" s="1" t="s">
        <v>322</v>
      </c>
      <c r="E176" s="1" t="s">
        <v>716</v>
      </c>
      <c r="F176" s="1" t="s">
        <v>679</v>
      </c>
      <c r="G176" s="1">
        <v>2015</v>
      </c>
      <c r="H176" s="1" t="s">
        <v>174</v>
      </c>
      <c r="I176" s="1" t="s">
        <v>174</v>
      </c>
      <c r="J176" s="1" t="s">
        <v>700</v>
      </c>
      <c r="K176" s="1">
        <v>1.67</v>
      </c>
      <c r="L176" s="1" t="s">
        <v>174</v>
      </c>
    </row>
    <row r="177" spans="1:13">
      <c r="A177" s="1" t="s">
        <v>169</v>
      </c>
      <c r="B177" s="1" t="s">
        <v>170</v>
      </c>
      <c r="C177" s="1" t="s">
        <v>174</v>
      </c>
      <c r="D177" s="1" t="s">
        <v>322</v>
      </c>
      <c r="E177" s="1" t="s">
        <v>685</v>
      </c>
      <c r="F177" s="1" t="s">
        <v>686</v>
      </c>
      <c r="G177" s="1">
        <v>2015</v>
      </c>
      <c r="H177" s="1" t="s">
        <v>174</v>
      </c>
      <c r="I177" s="1" t="s">
        <v>174</v>
      </c>
      <c r="J177" s="1" t="s">
        <v>700</v>
      </c>
      <c r="K177" s="1">
        <v>1.49</v>
      </c>
      <c r="L177" s="1" t="s">
        <v>174</v>
      </c>
    </row>
    <row r="178" spans="1:13">
      <c r="A178" s="1" t="s">
        <v>169</v>
      </c>
      <c r="B178" s="1" t="s">
        <v>170</v>
      </c>
      <c r="C178" s="1" t="s">
        <v>174</v>
      </c>
      <c r="D178" s="1" t="s">
        <v>322</v>
      </c>
      <c r="E178" s="1" t="s">
        <v>672</v>
      </c>
      <c r="F178" s="1" t="s">
        <v>673</v>
      </c>
      <c r="G178" s="1">
        <v>2015</v>
      </c>
      <c r="H178" s="1" t="s">
        <v>174</v>
      </c>
      <c r="I178" s="1" t="s">
        <v>174</v>
      </c>
      <c r="J178" s="1" t="s">
        <v>700</v>
      </c>
      <c r="K178" s="1">
        <v>1.25</v>
      </c>
      <c r="L178" s="1" t="s">
        <v>174</v>
      </c>
    </row>
    <row r="179" spans="1:13">
      <c r="A179" s="1" t="s">
        <v>169</v>
      </c>
      <c r="B179" s="1" t="s">
        <v>170</v>
      </c>
      <c r="C179" s="1" t="s">
        <v>174</v>
      </c>
      <c r="D179" s="1" t="s">
        <v>322</v>
      </c>
      <c r="E179" s="1" t="s">
        <v>703</v>
      </c>
      <c r="F179" s="1" t="s">
        <v>675</v>
      </c>
      <c r="G179" s="1">
        <v>2015</v>
      </c>
      <c r="H179" s="1" t="s">
        <v>174</v>
      </c>
      <c r="I179" s="1" t="s">
        <v>174</v>
      </c>
      <c r="J179" s="1" t="s">
        <v>700</v>
      </c>
      <c r="K179" s="1">
        <v>1.51</v>
      </c>
      <c r="L179" s="1" t="s">
        <v>174</v>
      </c>
    </row>
    <row r="180" spans="1:13">
      <c r="A180" s="1" t="s">
        <v>169</v>
      </c>
      <c r="B180" s="1" t="s">
        <v>170</v>
      </c>
      <c r="C180" s="1" t="s">
        <v>174</v>
      </c>
      <c r="D180" s="1" t="s">
        <v>322</v>
      </c>
      <c r="E180" s="1" t="s">
        <v>730</v>
      </c>
      <c r="F180" s="1" t="s">
        <v>690</v>
      </c>
      <c r="G180" s="1">
        <v>2015</v>
      </c>
      <c r="H180" s="1" t="s">
        <v>174</v>
      </c>
      <c r="I180" s="1" t="s">
        <v>174</v>
      </c>
      <c r="J180" s="1" t="s">
        <v>700</v>
      </c>
      <c r="K180" s="1">
        <v>1.6</v>
      </c>
      <c r="L180" s="1" t="s">
        <v>174</v>
      </c>
    </row>
    <row r="181" spans="1:13">
      <c r="A181" s="1" t="s">
        <v>169</v>
      </c>
      <c r="B181" s="1" t="s">
        <v>170</v>
      </c>
      <c r="C181" s="1" t="s">
        <v>174</v>
      </c>
      <c r="D181" s="1" t="s">
        <v>322</v>
      </c>
      <c r="E181" s="1" t="s">
        <v>719</v>
      </c>
      <c r="F181" s="1" t="s">
        <v>720</v>
      </c>
      <c r="G181" s="1">
        <v>2015</v>
      </c>
      <c r="H181" s="1" t="s">
        <v>174</v>
      </c>
      <c r="I181" s="1" t="s">
        <v>174</v>
      </c>
      <c r="J181" s="1" t="s">
        <v>700</v>
      </c>
      <c r="K181" s="1">
        <v>1.28</v>
      </c>
      <c r="L181" s="1" t="s">
        <v>174</v>
      </c>
    </row>
    <row r="182" spans="1:13">
      <c r="A182" s="1" t="s">
        <v>169</v>
      </c>
      <c r="B182" s="1" t="s">
        <v>170</v>
      </c>
      <c r="C182" s="1" t="s">
        <v>174</v>
      </c>
      <c r="D182" s="1" t="s">
        <v>322</v>
      </c>
      <c r="E182" s="1" t="s">
        <v>718</v>
      </c>
      <c r="F182" s="1" t="s">
        <v>690</v>
      </c>
      <c r="G182" s="1">
        <v>2015</v>
      </c>
      <c r="H182" s="1" t="s">
        <v>174</v>
      </c>
      <c r="I182" s="1" t="s">
        <v>174</v>
      </c>
      <c r="J182" s="1" t="s">
        <v>700</v>
      </c>
      <c r="K182" s="1">
        <v>1.25</v>
      </c>
      <c r="L182" s="1" t="s">
        <v>174</v>
      </c>
    </row>
    <row r="183" spans="1:13">
      <c r="A183" s="1" t="s">
        <v>169</v>
      </c>
      <c r="B183" s="1" t="s">
        <v>170</v>
      </c>
      <c r="C183" s="1" t="s">
        <v>174</v>
      </c>
      <c r="D183" s="1" t="s">
        <v>322</v>
      </c>
      <c r="E183" s="1" t="s">
        <v>702</v>
      </c>
      <c r="F183" s="1" t="s">
        <v>675</v>
      </c>
      <c r="G183" s="1">
        <v>2015</v>
      </c>
      <c r="H183" s="1" t="s">
        <v>174</v>
      </c>
      <c r="I183" s="1" t="s">
        <v>174</v>
      </c>
      <c r="J183" s="1" t="s">
        <v>700</v>
      </c>
      <c r="K183" s="1">
        <v>0.93</v>
      </c>
      <c r="L183" s="1" t="s">
        <v>174</v>
      </c>
    </row>
    <row r="184" spans="1:13">
      <c r="A184" s="1" t="s">
        <v>169</v>
      </c>
      <c r="B184" s="1" t="s">
        <v>170</v>
      </c>
      <c r="C184" s="1" t="s">
        <v>174</v>
      </c>
      <c r="D184" s="1" t="s">
        <v>322</v>
      </c>
      <c r="E184" s="1" t="s">
        <v>603</v>
      </c>
      <c r="F184" s="1" t="s">
        <v>603</v>
      </c>
      <c r="G184" s="1">
        <v>2015</v>
      </c>
      <c r="H184" s="1" t="s">
        <v>174</v>
      </c>
      <c r="I184" s="1" t="s">
        <v>174</v>
      </c>
      <c r="J184" s="1" t="s">
        <v>700</v>
      </c>
      <c r="K184" s="1">
        <v>21.33</v>
      </c>
      <c r="L184" s="1" t="s">
        <v>174</v>
      </c>
    </row>
    <row r="185" spans="1:13">
      <c r="A185" s="1" t="s">
        <v>169</v>
      </c>
      <c r="B185" s="1" t="s">
        <v>170</v>
      </c>
      <c r="C185" s="1">
        <v>2017</v>
      </c>
      <c r="D185" s="1" t="s">
        <v>322</v>
      </c>
      <c r="E185" s="1" t="s">
        <v>731</v>
      </c>
      <c r="F185" s="1" t="s">
        <v>732</v>
      </c>
      <c r="G185" s="1">
        <v>2016</v>
      </c>
      <c r="H185" s="1">
        <f>INT(H$186*K185/K$186)</f>
        <v>830859375</v>
      </c>
      <c r="I185" s="1" t="s">
        <v>174</v>
      </c>
      <c r="J185" s="1" t="s">
        <v>700</v>
      </c>
      <c r="K185" s="1">
        <v>6.75</v>
      </c>
      <c r="L185" s="1" t="s">
        <v>174</v>
      </c>
      <c r="M185" s="1" t="s">
        <v>733</v>
      </c>
    </row>
    <row r="186" spans="1:13">
      <c r="A186" s="1" t="s">
        <v>169</v>
      </c>
      <c r="B186" s="1" t="s">
        <v>170</v>
      </c>
      <c r="C186" s="1">
        <v>2017</v>
      </c>
      <c r="D186" s="1" t="s">
        <v>322</v>
      </c>
      <c r="E186" s="1" t="s">
        <v>558</v>
      </c>
      <c r="F186" s="1" t="s">
        <v>699</v>
      </c>
      <c r="G186" s="1">
        <v>2016</v>
      </c>
      <c r="H186" s="1">
        <v>709000000</v>
      </c>
      <c r="I186" s="1" t="s">
        <v>174</v>
      </c>
      <c r="J186" s="1" t="s">
        <v>700</v>
      </c>
      <c r="K186" s="1">
        <v>5.76</v>
      </c>
      <c r="L186" s="1" t="s">
        <v>174</v>
      </c>
    </row>
    <row r="187" spans="1:13">
      <c r="A187" s="1" t="s">
        <v>169</v>
      </c>
      <c r="B187" s="1" t="s">
        <v>170</v>
      </c>
      <c r="C187" s="1">
        <v>2017</v>
      </c>
      <c r="D187" s="1" t="s">
        <v>322</v>
      </c>
      <c r="E187" s="1" t="s">
        <v>701</v>
      </c>
      <c r="F187" s="1" t="s">
        <v>688</v>
      </c>
      <c r="G187" s="1">
        <v>2016</v>
      </c>
      <c r="H187" s="1">
        <f>INT(H$186*K187/K$186)</f>
        <v>638838541</v>
      </c>
      <c r="I187" s="1" t="s">
        <v>174</v>
      </c>
      <c r="J187" s="1" t="s">
        <v>700</v>
      </c>
      <c r="K187" s="1">
        <v>5.19</v>
      </c>
      <c r="L187" s="1" t="s">
        <v>174</v>
      </c>
    </row>
    <row r="188" spans="1:13">
      <c r="A188" s="1" t="s">
        <v>169</v>
      </c>
      <c r="B188" s="1" t="s">
        <v>170</v>
      </c>
      <c r="C188" s="1">
        <v>2017</v>
      </c>
      <c r="D188" s="1" t="s">
        <v>322</v>
      </c>
      <c r="E188" s="1" t="s">
        <v>674</v>
      </c>
      <c r="F188" s="1" t="s">
        <v>675</v>
      </c>
      <c r="G188" s="1">
        <v>2016</v>
      </c>
      <c r="H188" s="1">
        <f>INT(H$186*K188/K$186)</f>
        <v>610527777</v>
      </c>
      <c r="I188" s="1" t="s">
        <v>174</v>
      </c>
      <c r="J188" s="1" t="s">
        <v>700</v>
      </c>
      <c r="K188" s="1">
        <v>4.96</v>
      </c>
      <c r="L188" s="1" t="s">
        <v>174</v>
      </c>
    </row>
    <row r="189" spans="1:13">
      <c r="A189" s="1" t="s">
        <v>169</v>
      </c>
      <c r="B189" s="1" t="s">
        <v>170</v>
      </c>
      <c r="C189" s="1">
        <v>2017</v>
      </c>
      <c r="D189" s="1" t="s">
        <v>322</v>
      </c>
      <c r="E189" s="1" t="s">
        <v>672</v>
      </c>
      <c r="F189" s="1" t="s">
        <v>673</v>
      </c>
      <c r="G189" s="1">
        <v>2016</v>
      </c>
      <c r="H189" s="1">
        <f>INT(H$186*K189/K$186)</f>
        <v>320034722</v>
      </c>
      <c r="I189" s="1" t="s">
        <v>174</v>
      </c>
      <c r="J189" s="1" t="s">
        <v>700</v>
      </c>
      <c r="K189" s="1">
        <v>2.6</v>
      </c>
      <c r="L189" s="1" t="s">
        <v>174</v>
      </c>
    </row>
    <row r="190" spans="1:13">
      <c r="A190" s="1" t="s">
        <v>169</v>
      </c>
      <c r="B190" s="1" t="s">
        <v>170</v>
      </c>
      <c r="C190" s="1">
        <v>2017</v>
      </c>
      <c r="D190" s="1" t="s">
        <v>322</v>
      </c>
      <c r="E190" s="1" t="s">
        <v>734</v>
      </c>
      <c r="F190" s="1" t="s">
        <v>699</v>
      </c>
      <c r="G190" s="1">
        <v>2016</v>
      </c>
      <c r="H190" s="1">
        <f>INT(H$186*K190/K$186)</f>
        <v>235102430</v>
      </c>
      <c r="I190" s="1" t="s">
        <v>174</v>
      </c>
      <c r="J190" s="1" t="s">
        <v>700</v>
      </c>
      <c r="K190" s="1">
        <v>1.91</v>
      </c>
      <c r="L190" s="1" t="s">
        <v>174</v>
      </c>
    </row>
    <row r="191" spans="1:13">
      <c r="A191" s="1" t="s">
        <v>169</v>
      </c>
      <c r="B191" s="1" t="s">
        <v>170</v>
      </c>
      <c r="C191" s="1">
        <v>2017</v>
      </c>
      <c r="D191" s="1" t="s">
        <v>322</v>
      </c>
      <c r="E191" s="1" t="s">
        <v>703</v>
      </c>
      <c r="F191" s="1" t="s">
        <v>675</v>
      </c>
      <c r="G191" s="1">
        <v>2016</v>
      </c>
      <c r="H191" s="1">
        <f>INT(H$186*K191/K$186)</f>
        <v>209253472</v>
      </c>
      <c r="I191" s="1" t="s">
        <v>174</v>
      </c>
      <c r="J191" s="1" t="s">
        <v>700</v>
      </c>
      <c r="K191" s="1">
        <v>1.7</v>
      </c>
      <c r="L191" s="1" t="s">
        <v>174</v>
      </c>
    </row>
    <row r="192" spans="1:13">
      <c r="A192" s="1" t="s">
        <v>169</v>
      </c>
      <c r="B192" s="1" t="s">
        <v>170</v>
      </c>
      <c r="C192" s="1">
        <v>2017</v>
      </c>
      <c r="D192" s="1" t="s">
        <v>322</v>
      </c>
      <c r="E192" s="1" t="s">
        <v>730</v>
      </c>
      <c r="F192" s="1" t="s">
        <v>690</v>
      </c>
      <c r="G192" s="1">
        <v>2016</v>
      </c>
      <c r="H192" s="1">
        <f>INT(H$186*K192/K$186)</f>
        <v>201868055</v>
      </c>
      <c r="I192" s="1" t="s">
        <v>174</v>
      </c>
      <c r="J192" s="1" t="s">
        <v>700</v>
      </c>
      <c r="K192" s="1">
        <v>1.64</v>
      </c>
      <c r="L192" s="1" t="s">
        <v>174</v>
      </c>
    </row>
    <row r="193" spans="1:13">
      <c r="A193" s="1" t="s">
        <v>169</v>
      </c>
      <c r="B193" s="1" t="s">
        <v>170</v>
      </c>
      <c r="C193" s="1">
        <v>2017</v>
      </c>
      <c r="D193" s="1" t="s">
        <v>322</v>
      </c>
      <c r="E193" s="1" t="s">
        <v>735</v>
      </c>
      <c r="F193" s="1" t="s">
        <v>690</v>
      </c>
      <c r="G193" s="1">
        <v>2016</v>
      </c>
      <c r="H193" s="1">
        <f>INT(H$186*K193/K$186)</f>
        <v>156324652</v>
      </c>
      <c r="I193" s="1" t="s">
        <v>174</v>
      </c>
      <c r="J193" s="1" t="s">
        <v>700</v>
      </c>
      <c r="K193" s="1">
        <v>1.27</v>
      </c>
      <c r="L193" s="1" t="s">
        <v>174</v>
      </c>
    </row>
    <row r="194" spans="1:13">
      <c r="A194" s="1" t="s">
        <v>169</v>
      </c>
      <c r="B194" s="1" t="s">
        <v>170</v>
      </c>
      <c r="C194" s="1">
        <v>2017</v>
      </c>
      <c r="D194" s="1" t="s">
        <v>322</v>
      </c>
      <c r="E194" s="1" t="s">
        <v>736</v>
      </c>
      <c r="F194" s="1" t="s">
        <v>737</v>
      </c>
      <c r="G194" s="1">
        <v>2016</v>
      </c>
      <c r="H194" s="1">
        <f>INT(H$186*K194/K$186)</f>
        <v>146477430</v>
      </c>
      <c r="I194" s="1" t="s">
        <v>174</v>
      </c>
      <c r="J194" s="1" t="s">
        <v>700</v>
      </c>
      <c r="K194" s="1">
        <v>1.19</v>
      </c>
      <c r="L194" s="1" t="s">
        <v>174</v>
      </c>
    </row>
    <row r="195" spans="1:13">
      <c r="A195" s="1" t="s">
        <v>169</v>
      </c>
      <c r="B195" s="1" t="s">
        <v>170</v>
      </c>
      <c r="C195" s="1">
        <v>2017</v>
      </c>
      <c r="D195" s="1" t="s">
        <v>322</v>
      </c>
      <c r="E195" s="1" t="s">
        <v>603</v>
      </c>
      <c r="F195" s="1" t="s">
        <v>603</v>
      </c>
      <c r="G195" s="1">
        <v>2016</v>
      </c>
      <c r="H195" s="1">
        <v>4058286454</v>
      </c>
      <c r="I195" s="1" t="s">
        <v>174</v>
      </c>
      <c r="J195" s="1" t="s">
        <v>700</v>
      </c>
      <c r="K195" s="1">
        <v>32.97</v>
      </c>
      <c r="L195" s="1" t="s">
        <v>174</v>
      </c>
    </row>
    <row r="196" spans="1:13">
      <c r="A196" s="1" t="s">
        <v>169</v>
      </c>
      <c r="B196" s="1" t="s">
        <v>170</v>
      </c>
      <c r="C196" s="1" t="s">
        <v>174</v>
      </c>
      <c r="D196" s="1" t="s">
        <v>322</v>
      </c>
      <c r="E196" s="1" t="s">
        <v>558</v>
      </c>
      <c r="F196" s="1" t="s">
        <v>699</v>
      </c>
      <c r="G196" s="1">
        <v>2017</v>
      </c>
      <c r="H196" s="1">
        <v>1170449000</v>
      </c>
      <c r="I196" s="1" t="s">
        <v>174</v>
      </c>
      <c r="J196" s="1" t="s">
        <v>700</v>
      </c>
      <c r="K196" s="1">
        <v>11.2</v>
      </c>
      <c r="L196" s="1" t="s">
        <v>174</v>
      </c>
      <c r="M196" s="1" t="s">
        <v>738</v>
      </c>
    </row>
    <row r="197" spans="1:13">
      <c r="A197" s="1" t="s">
        <v>169</v>
      </c>
      <c r="B197" s="1" t="s">
        <v>170</v>
      </c>
      <c r="C197" s="1" t="s">
        <v>174</v>
      </c>
      <c r="D197" s="1" t="s">
        <v>322</v>
      </c>
      <c r="E197" s="1" t="s">
        <v>674</v>
      </c>
      <c r="F197" s="1" t="s">
        <v>675</v>
      </c>
      <c r="G197" s="1">
        <v>2017</v>
      </c>
      <c r="H197" s="1">
        <v>414995000</v>
      </c>
      <c r="I197" s="1" t="s">
        <v>174</v>
      </c>
      <c r="J197" s="1" t="s">
        <v>700</v>
      </c>
      <c r="K197" s="1">
        <v>4</v>
      </c>
      <c r="L197" s="1" t="s">
        <v>174</v>
      </c>
    </row>
    <row r="198" spans="1:13">
      <c r="A198" s="1" t="s">
        <v>169</v>
      </c>
      <c r="B198" s="1" t="s">
        <v>170</v>
      </c>
      <c r="C198" s="1" t="s">
        <v>174</v>
      </c>
      <c r="D198" s="1" t="s">
        <v>322</v>
      </c>
      <c r="E198" s="1" t="s">
        <v>672</v>
      </c>
      <c r="F198" s="1" t="s">
        <v>673</v>
      </c>
      <c r="G198" s="1">
        <v>2017</v>
      </c>
      <c r="H198" s="1">
        <v>353583000</v>
      </c>
      <c r="I198" s="1" t="s">
        <v>174</v>
      </c>
      <c r="J198" s="1" t="s">
        <v>700</v>
      </c>
      <c r="K198" s="1">
        <v>3.4</v>
      </c>
      <c r="L198" s="1" t="s">
        <v>174</v>
      </c>
    </row>
    <row r="199" spans="1:13">
      <c r="A199" s="1" t="s">
        <v>169</v>
      </c>
      <c r="B199" s="1" t="s">
        <v>170</v>
      </c>
      <c r="C199" s="1" t="s">
        <v>174</v>
      </c>
      <c r="D199" s="1" t="s">
        <v>322</v>
      </c>
      <c r="E199" s="1" t="s">
        <v>730</v>
      </c>
      <c r="F199" s="1" t="s">
        <v>690</v>
      </c>
      <c r="G199" s="1">
        <v>2017</v>
      </c>
      <c r="H199" s="1">
        <v>324040000</v>
      </c>
      <c r="I199" s="1" t="s">
        <v>174</v>
      </c>
      <c r="J199" s="1" t="s">
        <v>700</v>
      </c>
      <c r="K199" s="1">
        <v>3.1</v>
      </c>
      <c r="L199" s="1" t="s">
        <v>174</v>
      </c>
    </row>
    <row r="200" spans="1:13">
      <c r="A200" s="1" t="s">
        <v>169</v>
      </c>
      <c r="B200" s="1" t="s">
        <v>170</v>
      </c>
      <c r="C200" s="1" t="s">
        <v>174</v>
      </c>
      <c r="D200" s="1" t="s">
        <v>322</v>
      </c>
      <c r="E200" s="1" t="s">
        <v>713</v>
      </c>
      <c r="F200" s="1" t="s">
        <v>699</v>
      </c>
      <c r="G200" s="1">
        <v>2017</v>
      </c>
      <c r="H200" s="1">
        <v>118960000</v>
      </c>
      <c r="I200" s="1" t="s">
        <v>174</v>
      </c>
      <c r="J200" s="1" t="s">
        <v>700</v>
      </c>
      <c r="K200" s="1">
        <v>1.1000000000000001</v>
      </c>
      <c r="L200" s="1" t="s">
        <v>174</v>
      </c>
    </row>
    <row r="201" spans="1:13">
      <c r="A201" s="1" t="s">
        <v>169</v>
      </c>
      <c r="B201" s="1" t="s">
        <v>170</v>
      </c>
      <c r="C201" s="1" t="s">
        <v>174</v>
      </c>
      <c r="D201" s="1" t="s">
        <v>322</v>
      </c>
      <c r="E201" s="1" t="s">
        <v>729</v>
      </c>
      <c r="F201" s="1" t="s">
        <v>699</v>
      </c>
      <c r="G201" s="1">
        <v>2017</v>
      </c>
      <c r="H201" s="1">
        <v>106101000</v>
      </c>
      <c r="I201" s="1" t="s">
        <v>174</v>
      </c>
      <c r="J201" s="1" t="s">
        <v>700</v>
      </c>
      <c r="K201" s="1">
        <v>1</v>
      </c>
      <c r="L201" s="1" t="s">
        <v>174</v>
      </c>
    </row>
    <row r="202" spans="1:13">
      <c r="A202" s="1" t="s">
        <v>169</v>
      </c>
      <c r="B202" s="1" t="s">
        <v>170</v>
      </c>
      <c r="C202" s="1" t="s">
        <v>174</v>
      </c>
      <c r="D202" s="1" t="s">
        <v>322</v>
      </c>
      <c r="E202" s="1" t="s">
        <v>734</v>
      </c>
      <c r="F202" s="1" t="s">
        <v>699</v>
      </c>
      <c r="G202" s="1">
        <v>2017</v>
      </c>
      <c r="H202" s="1">
        <v>103749000</v>
      </c>
      <c r="I202" s="1" t="s">
        <v>174</v>
      </c>
      <c r="J202" s="1" t="s">
        <v>700</v>
      </c>
      <c r="K202" s="1">
        <v>1</v>
      </c>
      <c r="L202" s="1" t="s">
        <v>174</v>
      </c>
    </row>
    <row r="203" spans="1:13">
      <c r="A203" s="1" t="s">
        <v>169</v>
      </c>
      <c r="B203" s="1" t="s">
        <v>170</v>
      </c>
      <c r="C203" s="1" t="s">
        <v>174</v>
      </c>
      <c r="D203" s="1" t="s">
        <v>322</v>
      </c>
      <c r="E203" s="1" t="s">
        <v>703</v>
      </c>
      <c r="F203" s="1" t="s">
        <v>675</v>
      </c>
      <c r="G203" s="1">
        <v>2017</v>
      </c>
      <c r="H203" s="1">
        <v>83933000</v>
      </c>
      <c r="I203" s="1" t="s">
        <v>174</v>
      </c>
      <c r="J203" s="1" t="s">
        <v>700</v>
      </c>
      <c r="K203" s="1">
        <v>0.8</v>
      </c>
      <c r="L203" s="1" t="s">
        <v>174</v>
      </c>
    </row>
    <row r="204" spans="1:13">
      <c r="A204" s="1" t="s">
        <v>169</v>
      </c>
      <c r="B204" s="1" t="s">
        <v>170</v>
      </c>
      <c r="C204" s="1" t="s">
        <v>174</v>
      </c>
      <c r="D204" s="1" t="s">
        <v>322</v>
      </c>
      <c r="E204" s="1" t="s">
        <v>702</v>
      </c>
      <c r="F204" s="1" t="s">
        <v>675</v>
      </c>
      <c r="G204" s="1">
        <v>2017</v>
      </c>
      <c r="H204" s="1">
        <v>72732000</v>
      </c>
      <c r="I204" s="1" t="s">
        <v>174</v>
      </c>
      <c r="J204" s="1" t="s">
        <v>700</v>
      </c>
      <c r="K204" s="1">
        <v>0.7</v>
      </c>
      <c r="L204" s="1" t="s">
        <v>174</v>
      </c>
    </row>
    <row r="205" spans="1:13">
      <c r="A205" s="1" t="s">
        <v>169</v>
      </c>
      <c r="B205" s="1" t="s">
        <v>170</v>
      </c>
      <c r="C205" s="1" t="s">
        <v>174</v>
      </c>
      <c r="D205" s="1" t="s">
        <v>322</v>
      </c>
      <c r="E205" s="1" t="s">
        <v>685</v>
      </c>
      <c r="F205" s="1" t="s">
        <v>686</v>
      </c>
      <c r="G205" s="1">
        <v>2017</v>
      </c>
      <c r="H205" s="1">
        <v>68553000</v>
      </c>
      <c r="I205" s="1" t="s">
        <v>174</v>
      </c>
      <c r="J205" s="1" t="s">
        <v>700</v>
      </c>
      <c r="K205" s="1">
        <v>0.6</v>
      </c>
      <c r="L205" s="1" t="s">
        <v>174</v>
      </c>
    </row>
    <row r="206" spans="1:13">
      <c r="A206" s="1" t="s">
        <v>169</v>
      </c>
      <c r="B206" s="1" t="s">
        <v>170</v>
      </c>
      <c r="C206" s="1" t="s">
        <v>174</v>
      </c>
      <c r="D206" s="1" t="s">
        <v>322</v>
      </c>
      <c r="E206" s="1" t="s">
        <v>603</v>
      </c>
      <c r="F206" s="1" t="s">
        <v>603</v>
      </c>
      <c r="G206" s="1">
        <v>2017</v>
      </c>
      <c r="H206" s="1">
        <f>SUM(H196:H205)</f>
        <v>2817095000</v>
      </c>
      <c r="I206" s="1" t="s">
        <v>174</v>
      </c>
      <c r="J206" s="1" t="s">
        <v>700</v>
      </c>
      <c r="K206" s="1">
        <f>SUM(K196:K205)</f>
        <v>26.900000000000002</v>
      </c>
      <c r="L206" s="1" t="s">
        <v>174</v>
      </c>
    </row>
    <row r="207" spans="1:13">
      <c r="A207" s="1" t="s">
        <v>169</v>
      </c>
      <c r="B207" s="1" t="s">
        <v>170</v>
      </c>
      <c r="C207" s="1">
        <v>2019</v>
      </c>
      <c r="D207" s="1" t="s">
        <v>322</v>
      </c>
      <c r="E207" s="1" t="s">
        <v>558</v>
      </c>
      <c r="F207" s="1" t="s">
        <v>699</v>
      </c>
      <c r="G207" s="1">
        <v>2018</v>
      </c>
      <c r="H207" s="1">
        <v>609612000</v>
      </c>
      <c r="I207" s="1" t="s">
        <v>174</v>
      </c>
      <c r="J207" s="1" t="s">
        <v>700</v>
      </c>
      <c r="K207" s="1">
        <v>7.6</v>
      </c>
      <c r="L207" s="1" t="s">
        <v>174</v>
      </c>
    </row>
    <row r="208" spans="1:13">
      <c r="A208" s="1" t="s">
        <v>169</v>
      </c>
      <c r="B208" s="1" t="s">
        <v>170</v>
      </c>
      <c r="C208" s="1">
        <v>2019</v>
      </c>
      <c r="D208" s="1" t="s">
        <v>322</v>
      </c>
      <c r="E208" s="1" t="s">
        <v>730</v>
      </c>
      <c r="F208" s="1" t="s">
        <v>690</v>
      </c>
      <c r="G208" s="1">
        <v>2018</v>
      </c>
      <c r="H208" s="1">
        <v>105660000</v>
      </c>
      <c r="I208" s="1" t="s">
        <v>174</v>
      </c>
      <c r="J208" s="1" t="s">
        <v>700</v>
      </c>
      <c r="K208" s="1">
        <v>1.3</v>
      </c>
      <c r="L208" s="1" t="s">
        <v>174</v>
      </c>
    </row>
    <row r="209" spans="1:13">
      <c r="A209" s="1" t="s">
        <v>169</v>
      </c>
      <c r="B209" s="1" t="s">
        <v>170</v>
      </c>
      <c r="C209" s="1">
        <v>2019</v>
      </c>
      <c r="D209" s="1" t="s">
        <v>322</v>
      </c>
      <c r="E209" s="1" t="s">
        <v>674</v>
      </c>
      <c r="F209" s="1" t="s">
        <v>675</v>
      </c>
      <c r="G209" s="1">
        <v>2018</v>
      </c>
      <c r="H209" s="1">
        <v>94878000</v>
      </c>
      <c r="I209" s="1" t="s">
        <v>174</v>
      </c>
      <c r="J209" s="1" t="s">
        <v>700</v>
      </c>
      <c r="K209" s="1">
        <v>1.2</v>
      </c>
      <c r="L209" s="1" t="s">
        <v>174</v>
      </c>
    </row>
    <row r="210" spans="1:13">
      <c r="A210" s="1" t="s">
        <v>169</v>
      </c>
      <c r="B210" s="1" t="s">
        <v>170</v>
      </c>
      <c r="C210" s="1">
        <v>2019</v>
      </c>
      <c r="D210" s="1" t="s">
        <v>322</v>
      </c>
      <c r="E210" s="1" t="s">
        <v>713</v>
      </c>
      <c r="F210" s="1" t="s">
        <v>699</v>
      </c>
      <c r="G210" s="1">
        <v>2018</v>
      </c>
      <c r="H210" s="1">
        <v>90936000</v>
      </c>
      <c r="I210" s="1" t="s">
        <v>174</v>
      </c>
      <c r="J210" s="1" t="s">
        <v>700</v>
      </c>
      <c r="K210" s="1">
        <v>1.2</v>
      </c>
      <c r="L210" s="1" t="s">
        <v>174</v>
      </c>
    </row>
    <row r="211" spans="1:13">
      <c r="A211" s="1" t="s">
        <v>169</v>
      </c>
      <c r="B211" s="1" t="s">
        <v>170</v>
      </c>
      <c r="C211" s="1">
        <v>2019</v>
      </c>
      <c r="D211" s="1" t="s">
        <v>322</v>
      </c>
      <c r="E211" s="1" t="s">
        <v>729</v>
      </c>
      <c r="F211" s="1" t="s">
        <v>699</v>
      </c>
      <c r="G211" s="1">
        <v>2018</v>
      </c>
      <c r="H211" s="1">
        <v>69750000</v>
      </c>
      <c r="I211" s="1" t="s">
        <v>174</v>
      </c>
      <c r="J211" s="1" t="s">
        <v>700</v>
      </c>
      <c r="K211" s="1">
        <v>0.8</v>
      </c>
      <c r="L211" s="1" t="s">
        <v>174</v>
      </c>
      <c r="M211" s="1" t="s">
        <v>739</v>
      </c>
    </row>
    <row r="212" spans="1:13">
      <c r="A212" s="1" t="s">
        <v>169</v>
      </c>
      <c r="B212" s="1" t="s">
        <v>170</v>
      </c>
      <c r="C212" s="1">
        <v>2019</v>
      </c>
      <c r="D212" s="1" t="s">
        <v>322</v>
      </c>
      <c r="E212" s="1" t="s">
        <v>691</v>
      </c>
      <c r="F212" s="1" t="s">
        <v>688</v>
      </c>
      <c r="G212" s="1">
        <v>2018</v>
      </c>
      <c r="H212" s="1">
        <v>65194000</v>
      </c>
      <c r="I212" s="1" t="s">
        <v>174</v>
      </c>
      <c r="J212" s="1" t="s">
        <v>700</v>
      </c>
      <c r="K212" s="1">
        <v>0.8</v>
      </c>
      <c r="L212" s="1" t="s">
        <v>174</v>
      </c>
      <c r="M212" s="1" t="s">
        <v>739</v>
      </c>
    </row>
    <row r="213" spans="1:13">
      <c r="A213" s="1" t="s">
        <v>169</v>
      </c>
      <c r="B213" s="1" t="s">
        <v>170</v>
      </c>
      <c r="C213" s="1">
        <v>2019</v>
      </c>
      <c r="D213" s="1" t="s">
        <v>322</v>
      </c>
      <c r="E213" s="1" t="s">
        <v>672</v>
      </c>
      <c r="F213" s="1" t="s">
        <v>673</v>
      </c>
      <c r="G213" s="1">
        <v>2018</v>
      </c>
      <c r="H213" s="1">
        <v>54911000</v>
      </c>
      <c r="I213" s="1" t="s">
        <v>174</v>
      </c>
      <c r="J213" s="1" t="s">
        <v>700</v>
      </c>
      <c r="K213" s="1">
        <v>0.7</v>
      </c>
      <c r="L213" s="1" t="s">
        <v>174</v>
      </c>
      <c r="M213" s="1" t="s">
        <v>739</v>
      </c>
    </row>
    <row r="214" spans="1:13">
      <c r="A214" s="1" t="s">
        <v>169</v>
      </c>
      <c r="B214" s="1" t="s">
        <v>170</v>
      </c>
      <c r="C214" s="1">
        <v>2019</v>
      </c>
      <c r="D214" s="1" t="s">
        <v>322</v>
      </c>
      <c r="E214" s="1" t="s">
        <v>717</v>
      </c>
      <c r="F214" s="1" t="s">
        <v>688</v>
      </c>
      <c r="G214" s="1">
        <v>2018</v>
      </c>
      <c r="H214" s="1">
        <v>47224000</v>
      </c>
      <c r="I214" s="1" t="s">
        <v>174</v>
      </c>
      <c r="J214" s="1" t="s">
        <v>700</v>
      </c>
      <c r="K214" s="1">
        <v>0.6</v>
      </c>
      <c r="L214" s="1" t="s">
        <v>174</v>
      </c>
      <c r="M214" s="1" t="s">
        <v>739</v>
      </c>
    </row>
    <row r="215" spans="1:13">
      <c r="A215" s="1" t="s">
        <v>169</v>
      </c>
      <c r="B215" s="1" t="s">
        <v>170</v>
      </c>
      <c r="C215" s="1">
        <v>2019</v>
      </c>
      <c r="D215" s="1" t="s">
        <v>322</v>
      </c>
      <c r="E215" s="1" t="s">
        <v>703</v>
      </c>
      <c r="F215" s="1" t="s">
        <v>675</v>
      </c>
      <c r="G215" s="1">
        <v>2018</v>
      </c>
      <c r="H215" s="1">
        <v>45117000</v>
      </c>
      <c r="I215" s="1" t="s">
        <v>174</v>
      </c>
      <c r="J215" s="1" t="s">
        <v>700</v>
      </c>
      <c r="K215" s="1">
        <v>0.6</v>
      </c>
      <c r="L215" s="1" t="s">
        <v>174</v>
      </c>
      <c r="M215" s="1" t="s">
        <v>739</v>
      </c>
    </row>
    <row r="216" spans="1:13">
      <c r="A216" s="1" t="s">
        <v>169</v>
      </c>
      <c r="B216" s="1" t="s">
        <v>170</v>
      </c>
      <c r="C216" s="1">
        <v>2019</v>
      </c>
      <c r="D216" s="1" t="s">
        <v>322</v>
      </c>
      <c r="E216" s="1" t="s">
        <v>740</v>
      </c>
      <c r="F216" s="1" t="s">
        <v>237</v>
      </c>
      <c r="G216" s="1">
        <v>2018</v>
      </c>
      <c r="H216" s="1">
        <v>42151000</v>
      </c>
      <c r="I216" s="1" t="s">
        <v>174</v>
      </c>
      <c r="J216" s="1" t="s">
        <v>700</v>
      </c>
      <c r="K216" s="1">
        <v>0.5</v>
      </c>
      <c r="L216" s="1" t="s">
        <v>174</v>
      </c>
      <c r="M216" s="1" t="s">
        <v>739</v>
      </c>
    </row>
    <row r="217" spans="1:13">
      <c r="A217" s="1" t="s">
        <v>169</v>
      </c>
      <c r="B217" s="1" t="s">
        <v>170</v>
      </c>
      <c r="C217" s="1">
        <v>2019</v>
      </c>
      <c r="D217" s="1" t="s">
        <v>322</v>
      </c>
      <c r="E217" s="1" t="s">
        <v>603</v>
      </c>
      <c r="F217" s="1" t="s">
        <v>603</v>
      </c>
      <c r="G217" s="1">
        <v>2018</v>
      </c>
      <c r="H217" s="1">
        <f>SUM(H207:H216)</f>
        <v>1225433000</v>
      </c>
      <c r="I217" s="1" t="s">
        <v>174</v>
      </c>
      <c r="J217" s="1" t="s">
        <v>700</v>
      </c>
      <c r="K217" s="1">
        <f>SUM(K207:K216)</f>
        <v>15.299999999999999</v>
      </c>
      <c r="L217" s="1" t="s">
        <v>174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285"/>
  <sheetViews>
    <sheetView workbookViewId="0">
      <pane ySplit="1" topLeftCell="A254" activePane="bottomLeft" state="frozen"/>
      <selection pane="bottomLeft" activeCell="N286" sqref="N286"/>
    </sheetView>
  </sheetViews>
  <sheetFormatPr defaultColWidth="8.85546875" defaultRowHeight="14.45"/>
  <cols>
    <col min="1" max="1" width="10.140625" style="1" bestFit="1" customWidth="1"/>
    <col min="2" max="2" width="8.85546875" style="1"/>
    <col min="3" max="3" width="7" style="1" bestFit="1" customWidth="1"/>
    <col min="4" max="13" width="8.85546875" style="1"/>
    <col min="14" max="14" width="8.5703125" style="20" bestFit="1" customWidth="1"/>
    <col min="15" max="16384" width="8.85546875" style="1"/>
  </cols>
  <sheetData>
    <row r="1" spans="1:16">
      <c r="A1" s="4" t="s">
        <v>149</v>
      </c>
      <c r="B1" s="4" t="s">
        <v>150</v>
      </c>
      <c r="C1" s="4" t="s">
        <v>151</v>
      </c>
      <c r="D1" s="4" t="s">
        <v>741</v>
      </c>
      <c r="E1" s="4" t="s">
        <v>742</v>
      </c>
      <c r="F1" s="4" t="s">
        <v>322</v>
      </c>
      <c r="G1" s="4" t="s">
        <v>743</v>
      </c>
      <c r="H1" s="4" t="s">
        <v>744</v>
      </c>
      <c r="I1" s="4" t="s">
        <v>745</v>
      </c>
      <c r="J1" s="4" t="s">
        <v>600</v>
      </c>
      <c r="K1" s="4" t="s">
        <v>746</v>
      </c>
      <c r="L1" s="4" t="s">
        <v>747</v>
      </c>
      <c r="M1" s="4" t="s">
        <v>748</v>
      </c>
      <c r="N1" s="35" t="s">
        <v>749</v>
      </c>
      <c r="O1" s="4" t="s">
        <v>750</v>
      </c>
      <c r="P1" s="4" t="s">
        <v>168</v>
      </c>
    </row>
    <row r="2" spans="1:16">
      <c r="A2" s="1" t="s">
        <v>169</v>
      </c>
      <c r="B2" s="1" t="s">
        <v>170</v>
      </c>
      <c r="C2" s="1">
        <v>1991</v>
      </c>
      <c r="D2" s="1">
        <v>1985</v>
      </c>
      <c r="E2" s="1">
        <v>1985</v>
      </c>
      <c r="F2" s="1" t="s">
        <v>322</v>
      </c>
      <c r="G2" s="1" t="s">
        <v>751</v>
      </c>
      <c r="H2" s="1" t="s">
        <v>752</v>
      </c>
      <c r="I2" s="1" t="s">
        <v>753</v>
      </c>
      <c r="J2" s="1" t="s">
        <v>606</v>
      </c>
      <c r="K2" s="1" t="s">
        <v>667</v>
      </c>
      <c r="L2" s="1">
        <v>4000</v>
      </c>
      <c r="M2" s="1" t="s">
        <v>174</v>
      </c>
      <c r="N2" s="20">
        <v>1.44</v>
      </c>
      <c r="O2" s="1" t="s">
        <v>754</v>
      </c>
      <c r="P2" s="1" t="s">
        <v>755</v>
      </c>
    </row>
    <row r="3" spans="1:16">
      <c r="A3" s="1" t="s">
        <v>169</v>
      </c>
      <c r="B3" s="1" t="s">
        <v>170</v>
      </c>
      <c r="C3" s="1">
        <v>1991</v>
      </c>
      <c r="D3" s="1">
        <v>1985</v>
      </c>
      <c r="E3" s="1">
        <v>1985</v>
      </c>
      <c r="F3" s="1" t="s">
        <v>322</v>
      </c>
      <c r="G3" s="1" t="s">
        <v>751</v>
      </c>
      <c r="H3" s="1" t="s">
        <v>752</v>
      </c>
      <c r="I3" s="1" t="s">
        <v>753</v>
      </c>
      <c r="J3" s="1" t="s">
        <v>607</v>
      </c>
      <c r="K3" s="1" t="s">
        <v>667</v>
      </c>
      <c r="L3" s="1" t="s">
        <v>174</v>
      </c>
      <c r="M3" s="1" t="s">
        <v>174</v>
      </c>
      <c r="N3" s="20">
        <v>1.42</v>
      </c>
      <c r="O3" s="1" t="s">
        <v>754</v>
      </c>
      <c r="P3" s="1" t="s">
        <v>755</v>
      </c>
    </row>
    <row r="4" spans="1:16">
      <c r="A4" s="1" t="s">
        <v>169</v>
      </c>
      <c r="B4" s="1" t="s">
        <v>170</v>
      </c>
      <c r="C4" s="1">
        <v>1991</v>
      </c>
      <c r="D4" s="1">
        <v>1985</v>
      </c>
      <c r="E4" s="1">
        <v>1985</v>
      </c>
      <c r="F4" s="1" t="s">
        <v>322</v>
      </c>
      <c r="G4" s="1" t="s">
        <v>751</v>
      </c>
      <c r="H4" s="1" t="s">
        <v>752</v>
      </c>
      <c r="I4" s="1" t="s">
        <v>753</v>
      </c>
      <c r="J4" s="1" t="s">
        <v>608</v>
      </c>
      <c r="K4" s="1" t="s">
        <v>667</v>
      </c>
      <c r="L4" s="1" t="s">
        <v>174</v>
      </c>
      <c r="M4" s="1" t="s">
        <v>174</v>
      </c>
      <c r="N4" s="20">
        <v>1.32</v>
      </c>
      <c r="O4" s="1" t="s">
        <v>754</v>
      </c>
      <c r="P4" s="1" t="s">
        <v>755</v>
      </c>
    </row>
    <row r="5" spans="1:16">
      <c r="A5" s="1" t="s">
        <v>169</v>
      </c>
      <c r="B5" s="1" t="s">
        <v>170</v>
      </c>
      <c r="C5" s="1">
        <v>1991</v>
      </c>
      <c r="D5" s="1">
        <v>1985</v>
      </c>
      <c r="E5" s="1">
        <v>1985</v>
      </c>
      <c r="F5" s="1" t="s">
        <v>322</v>
      </c>
      <c r="G5" s="1" t="s">
        <v>751</v>
      </c>
      <c r="H5" s="1" t="s">
        <v>752</v>
      </c>
      <c r="I5" s="1" t="s">
        <v>753</v>
      </c>
      <c r="J5" s="1" t="s">
        <v>756</v>
      </c>
      <c r="K5" s="1" t="s">
        <v>667</v>
      </c>
      <c r="L5" s="1" t="s">
        <v>174</v>
      </c>
      <c r="M5" s="1" t="s">
        <v>174</v>
      </c>
      <c r="N5" s="20">
        <v>1.24</v>
      </c>
      <c r="O5" s="1" t="s">
        <v>754</v>
      </c>
      <c r="P5" s="1" t="s">
        <v>755</v>
      </c>
    </row>
    <row r="6" spans="1:16">
      <c r="A6" s="1" t="s">
        <v>169</v>
      </c>
      <c r="B6" s="1" t="s">
        <v>170</v>
      </c>
      <c r="C6" s="1">
        <v>1991</v>
      </c>
      <c r="D6" s="1">
        <v>1986</v>
      </c>
      <c r="E6" s="1">
        <v>1986</v>
      </c>
      <c r="F6" s="1" t="s">
        <v>322</v>
      </c>
      <c r="G6" s="1" t="s">
        <v>751</v>
      </c>
      <c r="H6" s="1" t="s">
        <v>752</v>
      </c>
      <c r="I6" s="1" t="s">
        <v>753</v>
      </c>
      <c r="J6" s="1" t="s">
        <v>606</v>
      </c>
      <c r="K6" s="1" t="s">
        <v>667</v>
      </c>
      <c r="L6" s="1">
        <v>4000</v>
      </c>
      <c r="M6" s="1" t="s">
        <v>174</v>
      </c>
      <c r="N6" s="20">
        <v>1.95</v>
      </c>
      <c r="O6" s="1" t="s">
        <v>754</v>
      </c>
      <c r="P6" s="1" t="s">
        <v>757</v>
      </c>
    </row>
    <row r="7" spans="1:16">
      <c r="A7" s="1" t="s">
        <v>169</v>
      </c>
      <c r="B7" s="1" t="s">
        <v>170</v>
      </c>
      <c r="C7" s="1">
        <v>1991</v>
      </c>
      <c r="D7" s="1">
        <v>1986</v>
      </c>
      <c r="E7" s="1">
        <v>1986</v>
      </c>
      <c r="F7" s="1" t="s">
        <v>322</v>
      </c>
      <c r="G7" s="1" t="s">
        <v>751</v>
      </c>
      <c r="H7" s="1" t="s">
        <v>752</v>
      </c>
      <c r="I7" s="1" t="s">
        <v>753</v>
      </c>
      <c r="J7" s="1" t="s">
        <v>607</v>
      </c>
      <c r="K7" s="1" t="s">
        <v>667</v>
      </c>
      <c r="L7" s="1" t="s">
        <v>174</v>
      </c>
      <c r="M7" s="1" t="s">
        <v>174</v>
      </c>
      <c r="N7" s="20">
        <v>1.93</v>
      </c>
      <c r="O7" s="1" t="s">
        <v>754</v>
      </c>
      <c r="P7" s="1" t="s">
        <v>757</v>
      </c>
    </row>
    <row r="8" spans="1:16">
      <c r="A8" s="1" t="s">
        <v>169</v>
      </c>
      <c r="B8" s="1" t="s">
        <v>170</v>
      </c>
      <c r="C8" s="1">
        <v>1991</v>
      </c>
      <c r="D8" s="1">
        <v>1986</v>
      </c>
      <c r="E8" s="1">
        <v>1986</v>
      </c>
      <c r="F8" s="1" t="s">
        <v>322</v>
      </c>
      <c r="G8" s="1" t="s">
        <v>751</v>
      </c>
      <c r="H8" s="1" t="s">
        <v>752</v>
      </c>
      <c r="I8" s="1" t="s">
        <v>753</v>
      </c>
      <c r="J8" s="1" t="s">
        <v>608</v>
      </c>
      <c r="K8" s="1" t="s">
        <v>667</v>
      </c>
      <c r="L8" s="1" t="s">
        <v>174</v>
      </c>
      <c r="M8" s="1" t="s">
        <v>174</v>
      </c>
      <c r="N8" s="20">
        <v>1.8</v>
      </c>
      <c r="O8" s="1" t="s">
        <v>754</v>
      </c>
      <c r="P8" s="1" t="s">
        <v>757</v>
      </c>
    </row>
    <row r="9" spans="1:16">
      <c r="A9" s="1" t="s">
        <v>169</v>
      </c>
      <c r="B9" s="1" t="s">
        <v>170</v>
      </c>
      <c r="C9" s="1">
        <v>1991</v>
      </c>
      <c r="D9" s="1">
        <v>1986</v>
      </c>
      <c r="E9" s="1">
        <v>1986</v>
      </c>
      <c r="F9" s="1" t="s">
        <v>322</v>
      </c>
      <c r="G9" s="1" t="s">
        <v>751</v>
      </c>
      <c r="H9" s="1" t="s">
        <v>752</v>
      </c>
      <c r="I9" s="1" t="s">
        <v>753</v>
      </c>
      <c r="J9" s="1" t="s">
        <v>756</v>
      </c>
      <c r="K9" s="1" t="s">
        <v>667</v>
      </c>
      <c r="L9" s="1" t="s">
        <v>174</v>
      </c>
      <c r="M9" s="1" t="s">
        <v>174</v>
      </c>
      <c r="N9" s="20">
        <v>1</v>
      </c>
      <c r="O9" s="1" t="s">
        <v>754</v>
      </c>
      <c r="P9" s="1" t="s">
        <v>758</v>
      </c>
    </row>
    <row r="10" spans="1:16">
      <c r="A10" s="1" t="s">
        <v>169</v>
      </c>
      <c r="B10" s="1" t="s">
        <v>170</v>
      </c>
      <c r="C10" s="1">
        <v>1991</v>
      </c>
      <c r="D10" s="1">
        <v>1987</v>
      </c>
      <c r="E10" s="1">
        <v>1987</v>
      </c>
      <c r="F10" s="1" t="s">
        <v>322</v>
      </c>
      <c r="G10" s="1" t="s">
        <v>751</v>
      </c>
      <c r="H10" s="1" t="s">
        <v>752</v>
      </c>
      <c r="I10" s="1" t="s">
        <v>753</v>
      </c>
      <c r="J10" s="1" t="s">
        <v>606</v>
      </c>
      <c r="K10" s="1" t="s">
        <v>667</v>
      </c>
      <c r="L10" s="1">
        <v>4000</v>
      </c>
      <c r="M10" s="1" t="s">
        <v>174</v>
      </c>
      <c r="N10" s="20">
        <v>2.2999999999999998</v>
      </c>
      <c r="O10" s="1" t="s">
        <v>754</v>
      </c>
      <c r="P10" s="1" t="s">
        <v>759</v>
      </c>
    </row>
    <row r="11" spans="1:16">
      <c r="A11" s="1" t="s">
        <v>169</v>
      </c>
      <c r="B11" s="1" t="s">
        <v>170</v>
      </c>
      <c r="C11" s="1">
        <v>1991</v>
      </c>
      <c r="D11" s="1">
        <v>1987</v>
      </c>
      <c r="E11" s="1">
        <v>1987</v>
      </c>
      <c r="F11" s="1" t="s">
        <v>322</v>
      </c>
      <c r="G11" s="1" t="s">
        <v>751</v>
      </c>
      <c r="H11" s="1" t="s">
        <v>752</v>
      </c>
      <c r="I11" s="1" t="s">
        <v>753</v>
      </c>
      <c r="J11" s="1" t="s">
        <v>607</v>
      </c>
      <c r="K11" s="1" t="s">
        <v>667</v>
      </c>
      <c r="L11" s="1" t="s">
        <v>174</v>
      </c>
      <c r="M11" s="1" t="s">
        <v>174</v>
      </c>
      <c r="N11" s="20">
        <v>2.2799999999999998</v>
      </c>
      <c r="O11" s="1" t="s">
        <v>754</v>
      </c>
      <c r="P11" s="1" t="s">
        <v>759</v>
      </c>
    </row>
    <row r="12" spans="1:16">
      <c r="A12" s="1" t="s">
        <v>169</v>
      </c>
      <c r="B12" s="1" t="s">
        <v>170</v>
      </c>
      <c r="C12" s="1">
        <v>1991</v>
      </c>
      <c r="D12" s="1">
        <v>1987</v>
      </c>
      <c r="E12" s="1">
        <v>1987</v>
      </c>
      <c r="F12" s="1" t="s">
        <v>322</v>
      </c>
      <c r="G12" s="1" t="s">
        <v>751</v>
      </c>
      <c r="H12" s="1" t="s">
        <v>752</v>
      </c>
      <c r="I12" s="1" t="s">
        <v>753</v>
      </c>
      <c r="J12" s="1" t="s">
        <v>608</v>
      </c>
      <c r="K12" s="1" t="s">
        <v>667</v>
      </c>
      <c r="L12" s="1" t="s">
        <v>174</v>
      </c>
      <c r="M12" s="1" t="s">
        <v>174</v>
      </c>
      <c r="N12" s="20">
        <v>2.12</v>
      </c>
      <c r="O12" s="1" t="s">
        <v>754</v>
      </c>
      <c r="P12" s="1" t="s">
        <v>759</v>
      </c>
    </row>
    <row r="13" spans="1:16">
      <c r="A13" s="1" t="s">
        <v>169</v>
      </c>
      <c r="B13" s="1" t="s">
        <v>170</v>
      </c>
      <c r="C13" s="1">
        <v>1991</v>
      </c>
      <c r="D13" s="1">
        <v>1987</v>
      </c>
      <c r="E13" s="1">
        <v>1987</v>
      </c>
      <c r="F13" s="1" t="s">
        <v>322</v>
      </c>
      <c r="G13" s="1" t="s">
        <v>751</v>
      </c>
      <c r="H13" s="1" t="s">
        <v>752</v>
      </c>
      <c r="I13" s="1" t="s">
        <v>753</v>
      </c>
      <c r="J13" s="1" t="s">
        <v>756</v>
      </c>
      <c r="K13" s="1" t="s">
        <v>667</v>
      </c>
      <c r="L13" s="1" t="s">
        <v>174</v>
      </c>
      <c r="M13" s="1" t="s">
        <v>174</v>
      </c>
      <c r="N13" s="20">
        <v>1.99</v>
      </c>
      <c r="O13" s="1" t="s">
        <v>754</v>
      </c>
      <c r="P13" s="1" t="s">
        <v>759</v>
      </c>
    </row>
    <row r="14" spans="1:16">
      <c r="A14" s="1" t="s">
        <v>169</v>
      </c>
      <c r="B14" s="1" t="s">
        <v>170</v>
      </c>
      <c r="C14" s="1">
        <v>1991</v>
      </c>
      <c r="D14" s="1">
        <v>1988</v>
      </c>
      <c r="E14" s="1">
        <v>1988</v>
      </c>
      <c r="F14" s="1" t="s">
        <v>322</v>
      </c>
      <c r="G14" s="1" t="s">
        <v>751</v>
      </c>
      <c r="H14" s="1" t="s">
        <v>752</v>
      </c>
      <c r="I14" s="1" t="s">
        <v>753</v>
      </c>
      <c r="J14" s="1" t="s">
        <v>606</v>
      </c>
      <c r="K14" s="1" t="s">
        <v>667</v>
      </c>
      <c r="L14" s="1">
        <v>4000</v>
      </c>
      <c r="M14" s="1" t="s">
        <v>174</v>
      </c>
      <c r="N14" s="20">
        <v>2.2999999999999998</v>
      </c>
      <c r="O14" s="1" t="s">
        <v>754</v>
      </c>
      <c r="P14" s="1" t="s">
        <v>760</v>
      </c>
    </row>
    <row r="15" spans="1:16">
      <c r="A15" s="1" t="s">
        <v>169</v>
      </c>
      <c r="B15" s="1" t="s">
        <v>170</v>
      </c>
      <c r="C15" s="1">
        <v>1991</v>
      </c>
      <c r="D15" s="1">
        <v>1988</v>
      </c>
      <c r="E15" s="1">
        <v>1988</v>
      </c>
      <c r="F15" s="1" t="s">
        <v>322</v>
      </c>
      <c r="G15" s="1" t="s">
        <v>751</v>
      </c>
      <c r="H15" s="1" t="s">
        <v>752</v>
      </c>
      <c r="I15" s="1" t="s">
        <v>753</v>
      </c>
      <c r="J15" s="1" t="s">
        <v>607</v>
      </c>
      <c r="K15" s="1" t="s">
        <v>667</v>
      </c>
      <c r="L15" s="1" t="s">
        <v>174</v>
      </c>
      <c r="M15" s="1" t="s">
        <v>174</v>
      </c>
      <c r="N15" s="20">
        <v>2.2280000000000002</v>
      </c>
      <c r="O15" s="1" t="s">
        <v>754</v>
      </c>
      <c r="P15" s="1" t="s">
        <v>760</v>
      </c>
    </row>
    <row r="16" spans="1:16">
      <c r="A16" s="1" t="s">
        <v>169</v>
      </c>
      <c r="B16" s="1" t="s">
        <v>170</v>
      </c>
      <c r="C16" s="1">
        <v>1991</v>
      </c>
      <c r="D16" s="1">
        <v>1988</v>
      </c>
      <c r="E16" s="1">
        <v>1988</v>
      </c>
      <c r="F16" s="1" t="s">
        <v>322</v>
      </c>
      <c r="G16" s="1" t="s">
        <v>751</v>
      </c>
      <c r="H16" s="1" t="s">
        <v>752</v>
      </c>
      <c r="I16" s="1" t="s">
        <v>753</v>
      </c>
      <c r="J16" s="1" t="s">
        <v>608</v>
      </c>
      <c r="K16" s="1" t="s">
        <v>667</v>
      </c>
      <c r="L16" s="1" t="s">
        <v>174</v>
      </c>
      <c r="M16" s="1" t="s">
        <v>174</v>
      </c>
      <c r="N16" s="20">
        <v>2.12</v>
      </c>
      <c r="O16" s="1" t="s">
        <v>754</v>
      </c>
      <c r="P16" s="1" t="s">
        <v>760</v>
      </c>
    </row>
    <row r="17" spans="1:16">
      <c r="A17" s="1" t="s">
        <v>169</v>
      </c>
      <c r="B17" s="1" t="s">
        <v>170</v>
      </c>
      <c r="C17" s="1">
        <v>1991</v>
      </c>
      <c r="D17" s="1">
        <v>1988</v>
      </c>
      <c r="E17" s="1">
        <v>1988</v>
      </c>
      <c r="F17" s="1" t="s">
        <v>322</v>
      </c>
      <c r="G17" s="1" t="s">
        <v>751</v>
      </c>
      <c r="H17" s="1" t="s">
        <v>752</v>
      </c>
      <c r="I17" s="1" t="s">
        <v>753</v>
      </c>
      <c r="J17" s="1" t="s">
        <v>756</v>
      </c>
      <c r="K17" s="1" t="s">
        <v>667</v>
      </c>
      <c r="L17" s="1" t="s">
        <v>174</v>
      </c>
      <c r="M17" s="1" t="s">
        <v>174</v>
      </c>
      <c r="N17" s="20">
        <v>1.99</v>
      </c>
      <c r="O17" s="1" t="s">
        <v>754</v>
      </c>
      <c r="P17" s="1" t="s">
        <v>760</v>
      </c>
    </row>
    <row r="18" spans="1:16">
      <c r="A18" s="1" t="s">
        <v>169</v>
      </c>
      <c r="B18" s="1" t="s">
        <v>170</v>
      </c>
      <c r="C18" s="1">
        <v>1991</v>
      </c>
      <c r="D18" s="1">
        <v>1989</v>
      </c>
      <c r="E18" s="1">
        <v>1989</v>
      </c>
      <c r="F18" s="1" t="s">
        <v>322</v>
      </c>
      <c r="G18" s="1" t="s">
        <v>751</v>
      </c>
      <c r="H18" s="1" t="s">
        <v>752</v>
      </c>
      <c r="I18" s="1" t="s">
        <v>753</v>
      </c>
      <c r="J18" s="1" t="s">
        <v>606</v>
      </c>
      <c r="K18" s="1" t="s">
        <v>667</v>
      </c>
      <c r="L18" s="1">
        <v>4000</v>
      </c>
      <c r="M18" s="1" t="s">
        <v>174</v>
      </c>
      <c r="N18" s="20">
        <v>2.42</v>
      </c>
      <c r="O18" s="1" t="s">
        <v>754</v>
      </c>
      <c r="P18" s="1" t="s">
        <v>761</v>
      </c>
    </row>
    <row r="19" spans="1:16">
      <c r="A19" s="1" t="s">
        <v>169</v>
      </c>
      <c r="B19" s="1" t="s">
        <v>170</v>
      </c>
      <c r="C19" s="1">
        <v>1991</v>
      </c>
      <c r="D19" s="1">
        <v>1989</v>
      </c>
      <c r="E19" s="1">
        <v>1989</v>
      </c>
      <c r="F19" s="1" t="s">
        <v>322</v>
      </c>
      <c r="G19" s="1" t="s">
        <v>751</v>
      </c>
      <c r="H19" s="1" t="s">
        <v>752</v>
      </c>
      <c r="I19" s="1" t="s">
        <v>753</v>
      </c>
      <c r="J19" s="1" t="s">
        <v>607</v>
      </c>
      <c r="K19" s="1" t="s">
        <v>667</v>
      </c>
      <c r="L19" s="1" t="s">
        <v>174</v>
      </c>
      <c r="M19" s="1" t="s">
        <v>174</v>
      </c>
      <c r="N19" s="20">
        <v>2.39</v>
      </c>
      <c r="O19" s="1" t="s">
        <v>754</v>
      </c>
      <c r="P19" s="1" t="s">
        <v>761</v>
      </c>
    </row>
    <row r="20" spans="1:16">
      <c r="A20" s="1" t="s">
        <v>169</v>
      </c>
      <c r="B20" s="1" t="s">
        <v>170</v>
      </c>
      <c r="C20" s="1">
        <v>1991</v>
      </c>
      <c r="D20" s="1">
        <v>1989</v>
      </c>
      <c r="E20" s="1">
        <v>1989</v>
      </c>
      <c r="F20" s="1" t="s">
        <v>322</v>
      </c>
      <c r="G20" s="1" t="s">
        <v>751</v>
      </c>
      <c r="H20" s="1" t="s">
        <v>752</v>
      </c>
      <c r="I20" s="1" t="s">
        <v>753</v>
      </c>
      <c r="J20" s="1" t="s">
        <v>608</v>
      </c>
      <c r="K20" s="1" t="s">
        <v>667</v>
      </c>
      <c r="L20" s="1" t="s">
        <v>174</v>
      </c>
      <c r="M20" s="1" t="s">
        <v>174</v>
      </c>
      <c r="N20" s="20">
        <v>2.23</v>
      </c>
      <c r="O20" s="1" t="s">
        <v>754</v>
      </c>
      <c r="P20" s="1" t="s">
        <v>761</v>
      </c>
    </row>
    <row r="21" spans="1:16">
      <c r="A21" s="1" t="s">
        <v>169</v>
      </c>
      <c r="B21" s="1" t="s">
        <v>170</v>
      </c>
      <c r="C21" s="1">
        <v>1991</v>
      </c>
      <c r="D21" s="1">
        <v>1989</v>
      </c>
      <c r="E21" s="1">
        <v>1989</v>
      </c>
      <c r="F21" s="1" t="s">
        <v>322</v>
      </c>
      <c r="G21" s="1" t="s">
        <v>751</v>
      </c>
      <c r="H21" s="1" t="s">
        <v>752</v>
      </c>
      <c r="I21" s="1" t="s">
        <v>753</v>
      </c>
      <c r="J21" s="1" t="s">
        <v>756</v>
      </c>
      <c r="K21" s="1" t="s">
        <v>667</v>
      </c>
      <c r="L21" s="1" t="s">
        <v>174</v>
      </c>
      <c r="M21" s="1" t="s">
        <v>174</v>
      </c>
      <c r="N21" s="20">
        <v>2.09</v>
      </c>
      <c r="O21" s="1" t="s">
        <v>754</v>
      </c>
      <c r="P21" s="1" t="s">
        <v>761</v>
      </c>
    </row>
    <row r="22" spans="1:16">
      <c r="A22" s="1" t="s">
        <v>169</v>
      </c>
      <c r="B22" s="1" t="s">
        <v>170</v>
      </c>
      <c r="C22" s="1">
        <v>1991</v>
      </c>
      <c r="D22" s="1">
        <v>1990</v>
      </c>
      <c r="E22" s="1">
        <v>1990</v>
      </c>
      <c r="F22" s="1" t="s">
        <v>322</v>
      </c>
      <c r="G22" s="1" t="s">
        <v>751</v>
      </c>
      <c r="H22" s="1" t="s">
        <v>752</v>
      </c>
      <c r="I22" s="1" t="s">
        <v>753</v>
      </c>
      <c r="J22" s="1" t="s">
        <v>606</v>
      </c>
      <c r="K22" s="1" t="s">
        <v>667</v>
      </c>
      <c r="L22" s="1">
        <v>4000</v>
      </c>
      <c r="M22" s="1" t="s">
        <v>174</v>
      </c>
      <c r="N22" s="20">
        <v>2.54</v>
      </c>
      <c r="O22" s="1" t="s">
        <v>754</v>
      </c>
      <c r="P22" s="1" t="s">
        <v>761</v>
      </c>
    </row>
    <row r="23" spans="1:16">
      <c r="A23" s="1" t="s">
        <v>169</v>
      </c>
      <c r="B23" s="1" t="s">
        <v>170</v>
      </c>
      <c r="C23" s="1">
        <v>1991</v>
      </c>
      <c r="D23" s="1">
        <v>1990</v>
      </c>
      <c r="E23" s="1">
        <v>1990</v>
      </c>
      <c r="F23" s="1" t="s">
        <v>322</v>
      </c>
      <c r="G23" s="1" t="s">
        <v>751</v>
      </c>
      <c r="H23" s="1" t="s">
        <v>752</v>
      </c>
      <c r="I23" s="1" t="s">
        <v>753</v>
      </c>
      <c r="J23" s="1" t="s">
        <v>607</v>
      </c>
      <c r="K23" s="1" t="s">
        <v>667</v>
      </c>
      <c r="L23" s="1" t="s">
        <v>174</v>
      </c>
      <c r="M23" s="1" t="s">
        <v>174</v>
      </c>
      <c r="N23" s="20">
        <v>2.5099999999999998</v>
      </c>
      <c r="O23" s="1" t="s">
        <v>754</v>
      </c>
      <c r="P23" s="1" t="s">
        <v>761</v>
      </c>
    </row>
    <row r="24" spans="1:16">
      <c r="A24" s="1" t="s">
        <v>169</v>
      </c>
      <c r="B24" s="1" t="s">
        <v>170</v>
      </c>
      <c r="C24" s="1">
        <v>1991</v>
      </c>
      <c r="D24" s="1">
        <v>1990</v>
      </c>
      <c r="E24" s="1">
        <v>1990</v>
      </c>
      <c r="F24" s="1" t="s">
        <v>322</v>
      </c>
      <c r="G24" s="1" t="s">
        <v>751</v>
      </c>
      <c r="H24" s="1" t="s">
        <v>752</v>
      </c>
      <c r="I24" s="1" t="s">
        <v>753</v>
      </c>
      <c r="J24" s="1" t="s">
        <v>608</v>
      </c>
      <c r="K24" s="1" t="s">
        <v>667</v>
      </c>
      <c r="L24" s="1" t="s">
        <v>174</v>
      </c>
      <c r="M24" s="1" t="s">
        <v>174</v>
      </c>
      <c r="N24" s="20">
        <v>2.34</v>
      </c>
      <c r="O24" s="1" t="s">
        <v>754</v>
      </c>
      <c r="P24" s="1" t="s">
        <v>761</v>
      </c>
    </row>
    <row r="25" spans="1:16">
      <c r="A25" s="1" t="s">
        <v>169</v>
      </c>
      <c r="B25" s="1" t="s">
        <v>170</v>
      </c>
      <c r="C25" s="1">
        <v>1991</v>
      </c>
      <c r="D25" s="1">
        <v>1990</v>
      </c>
      <c r="E25" s="1">
        <v>1990</v>
      </c>
      <c r="F25" s="1" t="s">
        <v>322</v>
      </c>
      <c r="G25" s="1" t="s">
        <v>751</v>
      </c>
      <c r="H25" s="1" t="s">
        <v>752</v>
      </c>
      <c r="I25" s="1" t="s">
        <v>753</v>
      </c>
      <c r="J25" s="1" t="s">
        <v>756</v>
      </c>
      <c r="K25" s="1" t="s">
        <v>667</v>
      </c>
      <c r="L25" s="1" t="s">
        <v>174</v>
      </c>
      <c r="M25" s="1" t="s">
        <v>174</v>
      </c>
      <c r="N25" s="20">
        <v>1.71</v>
      </c>
      <c r="O25" s="1" t="s">
        <v>754</v>
      </c>
      <c r="P25" s="1" t="s">
        <v>762</v>
      </c>
    </row>
    <row r="26" spans="1:16">
      <c r="A26" s="1" t="s">
        <v>169</v>
      </c>
      <c r="B26" s="1" t="s">
        <v>170</v>
      </c>
      <c r="C26" s="1">
        <v>1991</v>
      </c>
      <c r="D26" s="1">
        <v>1991</v>
      </c>
      <c r="E26" s="1">
        <v>1991</v>
      </c>
      <c r="F26" s="1" t="s">
        <v>322</v>
      </c>
      <c r="G26" s="1" t="s">
        <v>751</v>
      </c>
      <c r="H26" s="1" t="s">
        <v>763</v>
      </c>
      <c r="I26" s="1" t="s">
        <v>764</v>
      </c>
      <c r="J26" s="1" t="s">
        <v>174</v>
      </c>
      <c r="K26" s="1" t="s">
        <v>174</v>
      </c>
      <c r="L26" s="1">
        <v>4000</v>
      </c>
      <c r="M26" s="1" t="s">
        <v>174</v>
      </c>
      <c r="N26" s="20">
        <v>18.399999999999999</v>
      </c>
      <c r="O26" s="1" t="s">
        <v>765</v>
      </c>
    </row>
    <row r="27" spans="1:16">
      <c r="A27" s="1" t="s">
        <v>169</v>
      </c>
      <c r="B27" s="1" t="s">
        <v>170</v>
      </c>
      <c r="C27" s="1">
        <v>1991</v>
      </c>
      <c r="D27" s="1">
        <v>1991</v>
      </c>
      <c r="E27" s="1">
        <v>1991</v>
      </c>
      <c r="F27" s="1" t="s">
        <v>322</v>
      </c>
      <c r="G27" s="1" t="s">
        <v>751</v>
      </c>
      <c r="H27" s="1" t="s">
        <v>752</v>
      </c>
      <c r="I27" s="1" t="s">
        <v>753</v>
      </c>
      <c r="J27" s="1" t="s">
        <v>606</v>
      </c>
      <c r="K27" s="1" t="s">
        <v>667</v>
      </c>
      <c r="L27" s="1">
        <v>4000</v>
      </c>
      <c r="M27" s="1" t="s">
        <v>174</v>
      </c>
      <c r="N27" s="20">
        <v>2.67</v>
      </c>
      <c r="O27" s="1" t="s">
        <v>754</v>
      </c>
      <c r="P27" s="1" t="s">
        <v>761</v>
      </c>
    </row>
    <row r="28" spans="1:16">
      <c r="A28" s="1" t="s">
        <v>169</v>
      </c>
      <c r="B28" s="1" t="s">
        <v>170</v>
      </c>
      <c r="C28" s="1">
        <v>1991</v>
      </c>
      <c r="D28" s="1">
        <v>1991</v>
      </c>
      <c r="E28" s="1">
        <v>1991</v>
      </c>
      <c r="F28" s="1" t="s">
        <v>322</v>
      </c>
      <c r="G28" s="1" t="s">
        <v>751</v>
      </c>
      <c r="H28" s="1" t="s">
        <v>752</v>
      </c>
      <c r="I28" s="1" t="s">
        <v>753</v>
      </c>
      <c r="J28" s="1" t="s">
        <v>607</v>
      </c>
      <c r="K28" s="1" t="s">
        <v>667</v>
      </c>
      <c r="L28" s="1" t="s">
        <v>174</v>
      </c>
      <c r="M28" s="1" t="s">
        <v>174</v>
      </c>
      <c r="N28" s="20">
        <v>2.64</v>
      </c>
      <c r="O28" s="1" t="s">
        <v>754</v>
      </c>
      <c r="P28" s="1" t="s">
        <v>761</v>
      </c>
    </row>
    <row r="29" spans="1:16">
      <c r="A29" s="1" t="s">
        <v>169</v>
      </c>
      <c r="B29" s="1" t="s">
        <v>170</v>
      </c>
      <c r="C29" s="1">
        <v>1991</v>
      </c>
      <c r="D29" s="1">
        <v>1991</v>
      </c>
      <c r="E29" s="1">
        <v>1991</v>
      </c>
      <c r="F29" s="1" t="s">
        <v>322</v>
      </c>
      <c r="G29" s="1" t="s">
        <v>751</v>
      </c>
      <c r="H29" s="1" t="s">
        <v>752</v>
      </c>
      <c r="I29" s="1" t="s">
        <v>753</v>
      </c>
      <c r="J29" s="1" t="s">
        <v>608</v>
      </c>
      <c r="K29" s="1" t="s">
        <v>667</v>
      </c>
      <c r="L29" s="1" t="s">
        <v>174</v>
      </c>
      <c r="M29" s="1" t="s">
        <v>174</v>
      </c>
      <c r="N29" s="20">
        <v>2.46</v>
      </c>
      <c r="O29" s="1" t="s">
        <v>754</v>
      </c>
      <c r="P29" s="1" t="s">
        <v>761</v>
      </c>
    </row>
    <row r="30" spans="1:16">
      <c r="A30" s="1" t="s">
        <v>169</v>
      </c>
      <c r="B30" s="1" t="s">
        <v>170</v>
      </c>
      <c r="C30" s="1">
        <v>1991</v>
      </c>
      <c r="D30" s="1">
        <v>1991</v>
      </c>
      <c r="E30" s="1">
        <v>1991</v>
      </c>
      <c r="F30" s="1" t="s">
        <v>322</v>
      </c>
      <c r="G30" s="1" t="s">
        <v>751</v>
      </c>
      <c r="H30" s="1" t="s">
        <v>752</v>
      </c>
      <c r="I30" s="1" t="s">
        <v>753</v>
      </c>
      <c r="J30" s="1" t="s">
        <v>756</v>
      </c>
      <c r="K30" s="1" t="s">
        <v>667</v>
      </c>
      <c r="L30" s="1" t="s">
        <v>174</v>
      </c>
      <c r="M30" s="1" t="s">
        <v>174</v>
      </c>
      <c r="N30" s="20">
        <v>1.8</v>
      </c>
      <c r="O30" s="1" t="s">
        <v>754</v>
      </c>
      <c r="P30" s="1" t="s">
        <v>761</v>
      </c>
    </row>
    <row r="31" spans="1:16">
      <c r="A31" s="1" t="s">
        <v>169</v>
      </c>
      <c r="B31" s="1" t="s">
        <v>170</v>
      </c>
      <c r="C31" s="1">
        <v>1993</v>
      </c>
      <c r="D31" s="1">
        <v>1992</v>
      </c>
      <c r="E31" s="1">
        <v>1992</v>
      </c>
      <c r="F31" s="1" t="s">
        <v>322</v>
      </c>
      <c r="G31" s="1" t="s">
        <v>751</v>
      </c>
      <c r="H31" s="1" t="s">
        <v>752</v>
      </c>
      <c r="I31" s="1" t="s">
        <v>753</v>
      </c>
      <c r="J31" s="1" t="s">
        <v>606</v>
      </c>
      <c r="K31" s="1" t="s">
        <v>667</v>
      </c>
      <c r="L31" s="1">
        <v>4000</v>
      </c>
      <c r="M31" s="1" t="s">
        <v>174</v>
      </c>
      <c r="N31" s="20">
        <v>2.9</v>
      </c>
      <c r="O31" s="1" t="s">
        <v>754</v>
      </c>
      <c r="P31" s="1" t="s">
        <v>766</v>
      </c>
    </row>
    <row r="32" spans="1:16">
      <c r="A32" s="1" t="s">
        <v>169</v>
      </c>
      <c r="B32" s="1" t="s">
        <v>170</v>
      </c>
      <c r="C32" s="1">
        <v>1993</v>
      </c>
      <c r="D32" s="1">
        <v>1992</v>
      </c>
      <c r="E32" s="1">
        <v>1992</v>
      </c>
      <c r="F32" s="1" t="s">
        <v>322</v>
      </c>
      <c r="G32" s="1" t="s">
        <v>751</v>
      </c>
      <c r="H32" s="1" t="s">
        <v>752</v>
      </c>
      <c r="I32" s="1" t="s">
        <v>753</v>
      </c>
      <c r="J32" s="1" t="s">
        <v>607</v>
      </c>
      <c r="K32" s="1" t="s">
        <v>667</v>
      </c>
      <c r="L32" s="1" t="s">
        <v>174</v>
      </c>
      <c r="M32" s="1" t="s">
        <v>174</v>
      </c>
      <c r="N32" s="20">
        <v>2.85</v>
      </c>
      <c r="O32" s="1" t="s">
        <v>754</v>
      </c>
      <c r="P32" s="1" t="s">
        <v>766</v>
      </c>
    </row>
    <row r="33" spans="1:16">
      <c r="A33" s="1" t="s">
        <v>169</v>
      </c>
      <c r="B33" s="1" t="s">
        <v>170</v>
      </c>
      <c r="C33" s="1">
        <v>1993</v>
      </c>
      <c r="D33" s="1">
        <v>1992</v>
      </c>
      <c r="E33" s="1">
        <v>1992</v>
      </c>
      <c r="F33" s="1" t="s">
        <v>322</v>
      </c>
      <c r="G33" s="1" t="s">
        <v>751</v>
      </c>
      <c r="H33" s="1" t="s">
        <v>752</v>
      </c>
      <c r="I33" s="1" t="s">
        <v>753</v>
      </c>
      <c r="J33" s="1" t="s">
        <v>608</v>
      </c>
      <c r="K33" s="1" t="s">
        <v>667</v>
      </c>
      <c r="L33" s="1" t="s">
        <v>174</v>
      </c>
      <c r="M33" s="1" t="s">
        <v>174</v>
      </c>
      <c r="N33" s="20">
        <v>2.67</v>
      </c>
      <c r="O33" s="1" t="s">
        <v>754</v>
      </c>
      <c r="P33" s="1" t="s">
        <v>766</v>
      </c>
    </row>
    <row r="34" spans="1:16">
      <c r="A34" s="1" t="s">
        <v>169</v>
      </c>
      <c r="B34" s="1" t="s">
        <v>170</v>
      </c>
      <c r="C34" s="1">
        <v>1993</v>
      </c>
      <c r="D34" s="1">
        <v>1992</v>
      </c>
      <c r="E34" s="1">
        <v>1992</v>
      </c>
      <c r="F34" s="1" t="s">
        <v>322</v>
      </c>
      <c r="G34" s="1" t="s">
        <v>751</v>
      </c>
      <c r="H34" s="1" t="s">
        <v>752</v>
      </c>
      <c r="I34" s="1" t="s">
        <v>753</v>
      </c>
      <c r="J34" s="1" t="s">
        <v>756</v>
      </c>
      <c r="K34" s="1" t="s">
        <v>667</v>
      </c>
      <c r="L34" s="1" t="s">
        <v>174</v>
      </c>
      <c r="M34" s="1" t="s">
        <v>174</v>
      </c>
      <c r="N34" s="20">
        <v>1.95</v>
      </c>
      <c r="O34" s="1" t="s">
        <v>754</v>
      </c>
      <c r="P34" s="1" t="s">
        <v>766</v>
      </c>
    </row>
    <row r="35" spans="1:16">
      <c r="A35" s="1" t="s">
        <v>169</v>
      </c>
      <c r="B35" s="1" t="s">
        <v>170</v>
      </c>
      <c r="C35" s="1">
        <v>1993</v>
      </c>
      <c r="D35" s="1">
        <v>1993</v>
      </c>
      <c r="E35" s="1">
        <v>1993</v>
      </c>
      <c r="F35" s="1" t="s">
        <v>322</v>
      </c>
      <c r="G35" s="1" t="s">
        <v>751</v>
      </c>
      <c r="H35" s="1" t="s">
        <v>763</v>
      </c>
      <c r="I35" s="1" t="s">
        <v>764</v>
      </c>
      <c r="J35" s="1" t="s">
        <v>174</v>
      </c>
      <c r="K35" s="1" t="s">
        <v>174</v>
      </c>
      <c r="L35" s="1">
        <v>4000</v>
      </c>
      <c r="M35" s="1" t="s">
        <v>174</v>
      </c>
      <c r="N35" s="20">
        <v>22.32</v>
      </c>
      <c r="O35" s="1" t="s">
        <v>765</v>
      </c>
    </row>
    <row r="36" spans="1:16">
      <c r="A36" s="1" t="s">
        <v>169</v>
      </c>
      <c r="B36" s="1" t="s">
        <v>170</v>
      </c>
      <c r="C36" s="1">
        <v>1993</v>
      </c>
      <c r="D36" s="1">
        <v>1993</v>
      </c>
      <c r="E36" s="1">
        <v>1993</v>
      </c>
      <c r="F36" s="1" t="s">
        <v>322</v>
      </c>
      <c r="G36" s="1" t="s">
        <v>751</v>
      </c>
      <c r="H36" s="1" t="s">
        <v>752</v>
      </c>
      <c r="I36" s="1" t="s">
        <v>753</v>
      </c>
      <c r="J36" s="1" t="s">
        <v>606</v>
      </c>
      <c r="K36" s="1" t="s">
        <v>667</v>
      </c>
      <c r="L36" s="1">
        <v>4000</v>
      </c>
      <c r="M36" s="1" t="s">
        <v>174</v>
      </c>
      <c r="N36" s="20">
        <v>3</v>
      </c>
      <c r="O36" s="1" t="s">
        <v>754</v>
      </c>
      <c r="P36" s="1" t="s">
        <v>767</v>
      </c>
    </row>
    <row r="37" spans="1:16">
      <c r="A37" s="1" t="s">
        <v>169</v>
      </c>
      <c r="B37" s="1" t="s">
        <v>170</v>
      </c>
      <c r="C37" s="1">
        <v>1993</v>
      </c>
      <c r="D37" s="1">
        <v>1993</v>
      </c>
      <c r="E37" s="1">
        <v>1993</v>
      </c>
      <c r="F37" s="1" t="s">
        <v>322</v>
      </c>
      <c r="G37" s="1" t="s">
        <v>751</v>
      </c>
      <c r="H37" s="1" t="s">
        <v>752</v>
      </c>
      <c r="I37" s="1" t="s">
        <v>753</v>
      </c>
      <c r="J37" s="1" t="s">
        <v>607</v>
      </c>
      <c r="K37" s="1" t="s">
        <v>667</v>
      </c>
      <c r="L37" s="1" t="s">
        <v>174</v>
      </c>
      <c r="M37" s="1" t="s">
        <v>174</v>
      </c>
      <c r="N37" s="20">
        <v>2.96</v>
      </c>
      <c r="O37" s="1" t="s">
        <v>754</v>
      </c>
      <c r="P37" s="1" t="s">
        <v>768</v>
      </c>
    </row>
    <row r="38" spans="1:16">
      <c r="A38" s="1" t="s">
        <v>169</v>
      </c>
      <c r="B38" s="1" t="s">
        <v>170</v>
      </c>
      <c r="C38" s="1">
        <v>1993</v>
      </c>
      <c r="D38" s="1">
        <v>1993</v>
      </c>
      <c r="E38" s="1">
        <v>1993</v>
      </c>
      <c r="F38" s="1" t="s">
        <v>322</v>
      </c>
      <c r="G38" s="1" t="s">
        <v>751</v>
      </c>
      <c r="H38" s="1" t="s">
        <v>752</v>
      </c>
      <c r="I38" s="1" t="s">
        <v>753</v>
      </c>
      <c r="J38" s="1" t="s">
        <v>608</v>
      </c>
      <c r="K38" s="1" t="s">
        <v>667</v>
      </c>
      <c r="L38" s="1" t="s">
        <v>174</v>
      </c>
      <c r="M38" s="1" t="s">
        <v>174</v>
      </c>
      <c r="N38" s="20">
        <v>2.46</v>
      </c>
      <c r="O38" s="1" t="s">
        <v>754</v>
      </c>
      <c r="P38" s="1" t="s">
        <v>768</v>
      </c>
    </row>
    <row r="39" spans="1:16">
      <c r="A39" s="1" t="s">
        <v>169</v>
      </c>
      <c r="B39" s="1" t="s">
        <v>170</v>
      </c>
      <c r="C39" s="1">
        <v>1993</v>
      </c>
      <c r="D39" s="1">
        <v>1993</v>
      </c>
      <c r="E39" s="1">
        <v>1993</v>
      </c>
      <c r="F39" s="1" t="s">
        <v>322</v>
      </c>
      <c r="G39" s="1" t="s">
        <v>751</v>
      </c>
      <c r="H39" s="1" t="s">
        <v>752</v>
      </c>
      <c r="I39" s="1" t="s">
        <v>753</v>
      </c>
      <c r="J39" s="1" t="s">
        <v>756</v>
      </c>
      <c r="K39" s="1" t="s">
        <v>667</v>
      </c>
      <c r="L39" s="1" t="s">
        <v>174</v>
      </c>
      <c r="M39" s="1" t="s">
        <v>174</v>
      </c>
      <c r="N39" s="20">
        <v>2.15</v>
      </c>
      <c r="O39" s="1" t="s">
        <v>754</v>
      </c>
      <c r="P39" s="1" t="s">
        <v>768</v>
      </c>
    </row>
    <row r="40" spans="1:16">
      <c r="A40" s="1" t="s">
        <v>169</v>
      </c>
      <c r="B40" s="1" t="s">
        <v>170</v>
      </c>
      <c r="C40" s="1">
        <v>1995</v>
      </c>
      <c r="D40" s="1">
        <v>1994</v>
      </c>
      <c r="E40" s="1">
        <v>1994</v>
      </c>
      <c r="F40" s="1" t="s">
        <v>322</v>
      </c>
      <c r="G40" s="1" t="s">
        <v>751</v>
      </c>
      <c r="H40" s="1" t="s">
        <v>752</v>
      </c>
      <c r="I40" s="1" t="s">
        <v>753</v>
      </c>
      <c r="J40" s="1" t="s">
        <v>606</v>
      </c>
      <c r="K40" s="1" t="s">
        <v>667</v>
      </c>
      <c r="M40" s="1" t="s">
        <v>174</v>
      </c>
      <c r="N40" s="20">
        <v>3.12</v>
      </c>
      <c r="O40" s="1" t="s">
        <v>754</v>
      </c>
      <c r="P40" s="1" t="s">
        <v>769</v>
      </c>
    </row>
    <row r="41" spans="1:16">
      <c r="A41" s="1" t="s">
        <v>169</v>
      </c>
      <c r="B41" s="1" t="s">
        <v>170</v>
      </c>
      <c r="C41" s="1">
        <v>1995</v>
      </c>
      <c r="D41" s="1">
        <v>1994</v>
      </c>
      <c r="E41" s="1">
        <v>1994</v>
      </c>
      <c r="F41" s="1" t="s">
        <v>322</v>
      </c>
      <c r="G41" s="1" t="s">
        <v>751</v>
      </c>
      <c r="H41" s="1" t="s">
        <v>752</v>
      </c>
      <c r="I41" s="1" t="s">
        <v>753</v>
      </c>
      <c r="J41" s="1" t="s">
        <v>607</v>
      </c>
      <c r="K41" s="1" t="s">
        <v>667</v>
      </c>
      <c r="L41" s="1" t="s">
        <v>174</v>
      </c>
      <c r="M41" s="1" t="s">
        <v>174</v>
      </c>
      <c r="N41" s="20">
        <v>3.08</v>
      </c>
      <c r="O41" s="1" t="s">
        <v>754</v>
      </c>
      <c r="P41" s="1" t="s">
        <v>769</v>
      </c>
    </row>
    <row r="42" spans="1:16">
      <c r="A42" s="1" t="s">
        <v>169</v>
      </c>
      <c r="B42" s="1" t="s">
        <v>170</v>
      </c>
      <c r="C42" s="1">
        <v>1995</v>
      </c>
      <c r="D42" s="1">
        <v>1994</v>
      </c>
      <c r="E42" s="1">
        <v>1994</v>
      </c>
      <c r="F42" s="1" t="s">
        <v>322</v>
      </c>
      <c r="G42" s="1" t="s">
        <v>751</v>
      </c>
      <c r="H42" s="1" t="s">
        <v>752</v>
      </c>
      <c r="I42" s="1" t="s">
        <v>753</v>
      </c>
      <c r="J42" s="1" t="s">
        <v>608</v>
      </c>
      <c r="K42" s="1" t="s">
        <v>667</v>
      </c>
      <c r="L42" s="1" t="s">
        <v>174</v>
      </c>
      <c r="M42" s="1" t="s">
        <v>174</v>
      </c>
      <c r="N42" s="20">
        <v>2.87</v>
      </c>
      <c r="O42" s="1" t="s">
        <v>754</v>
      </c>
      <c r="P42" s="1" t="s">
        <v>769</v>
      </c>
    </row>
    <row r="43" spans="1:16">
      <c r="A43" s="1" t="s">
        <v>169</v>
      </c>
      <c r="B43" s="1" t="s">
        <v>170</v>
      </c>
      <c r="C43" s="1">
        <v>1995</v>
      </c>
      <c r="D43" s="1">
        <v>1994</v>
      </c>
      <c r="E43" s="1">
        <v>1994</v>
      </c>
      <c r="F43" s="1" t="s">
        <v>322</v>
      </c>
      <c r="G43" s="1" t="s">
        <v>751</v>
      </c>
      <c r="H43" s="1" t="s">
        <v>752</v>
      </c>
      <c r="I43" s="1" t="s">
        <v>753</v>
      </c>
      <c r="J43" s="1" t="s">
        <v>756</v>
      </c>
      <c r="K43" s="1" t="s">
        <v>667</v>
      </c>
      <c r="L43" s="1" t="s">
        <v>174</v>
      </c>
      <c r="M43" s="1" t="s">
        <v>174</v>
      </c>
      <c r="N43" s="20">
        <v>2.1</v>
      </c>
      <c r="O43" s="1" t="s">
        <v>754</v>
      </c>
      <c r="P43" s="1" t="s">
        <v>769</v>
      </c>
    </row>
    <row r="44" spans="1:16">
      <c r="A44" s="1" t="s">
        <v>169</v>
      </c>
      <c r="B44" s="1" t="s">
        <v>170</v>
      </c>
      <c r="C44" s="1">
        <v>1995</v>
      </c>
      <c r="D44" s="1">
        <v>1995</v>
      </c>
      <c r="E44" s="1">
        <v>1995</v>
      </c>
      <c r="F44" s="1" t="s">
        <v>322</v>
      </c>
      <c r="G44" s="1" t="s">
        <v>751</v>
      </c>
      <c r="H44" s="1" t="s">
        <v>763</v>
      </c>
      <c r="I44" s="1" t="s">
        <v>764</v>
      </c>
      <c r="J44" s="1" t="s">
        <v>174</v>
      </c>
      <c r="K44" s="1" t="s">
        <v>174</v>
      </c>
      <c r="L44" s="1">
        <v>4000</v>
      </c>
      <c r="M44" s="1" t="s">
        <v>174</v>
      </c>
      <c r="N44" s="20">
        <v>25.41</v>
      </c>
      <c r="O44" s="1" t="s">
        <v>770</v>
      </c>
    </row>
    <row r="45" spans="1:16">
      <c r="A45" s="1" t="s">
        <v>169</v>
      </c>
      <c r="B45" s="1" t="s">
        <v>170</v>
      </c>
      <c r="C45" s="1">
        <v>1995</v>
      </c>
      <c r="D45" s="1">
        <v>1995</v>
      </c>
      <c r="E45" s="1">
        <v>1995</v>
      </c>
      <c r="F45" s="1" t="s">
        <v>322</v>
      </c>
      <c r="G45" s="1" t="s">
        <v>751</v>
      </c>
      <c r="H45" s="1" t="s">
        <v>752</v>
      </c>
      <c r="I45" s="1" t="s">
        <v>753</v>
      </c>
      <c r="J45" s="1" t="s">
        <v>606</v>
      </c>
      <c r="K45" s="1" t="s">
        <v>667</v>
      </c>
      <c r="L45" s="1">
        <v>4000</v>
      </c>
      <c r="M45" s="1" t="s">
        <v>174</v>
      </c>
      <c r="N45" s="20">
        <v>3.76</v>
      </c>
      <c r="O45" s="1" t="s">
        <v>754</v>
      </c>
      <c r="P45" s="1" t="s">
        <v>771</v>
      </c>
    </row>
    <row r="46" spans="1:16">
      <c r="A46" s="1" t="s">
        <v>169</v>
      </c>
      <c r="B46" s="1" t="s">
        <v>170</v>
      </c>
      <c r="C46" s="1">
        <v>1995</v>
      </c>
      <c r="D46" s="1">
        <v>1995</v>
      </c>
      <c r="E46" s="1">
        <v>1995</v>
      </c>
      <c r="F46" s="1" t="s">
        <v>322</v>
      </c>
      <c r="G46" s="1" t="s">
        <v>751</v>
      </c>
      <c r="H46" s="1" t="s">
        <v>752</v>
      </c>
      <c r="I46" s="1" t="s">
        <v>753</v>
      </c>
      <c r="J46" s="1" t="s">
        <v>607</v>
      </c>
      <c r="K46" s="1" t="s">
        <v>667</v>
      </c>
      <c r="L46" s="1" t="s">
        <v>174</v>
      </c>
      <c r="M46" s="1" t="s">
        <v>174</v>
      </c>
      <c r="N46" s="20">
        <v>3.7</v>
      </c>
      <c r="O46" s="1" t="s">
        <v>754</v>
      </c>
      <c r="P46" s="1" t="s">
        <v>771</v>
      </c>
    </row>
    <row r="47" spans="1:16">
      <c r="A47" s="1" t="s">
        <v>169</v>
      </c>
      <c r="B47" s="1" t="s">
        <v>170</v>
      </c>
      <c r="C47" s="1">
        <v>1995</v>
      </c>
      <c r="D47" s="1">
        <v>1995</v>
      </c>
      <c r="E47" s="1">
        <v>1995</v>
      </c>
      <c r="F47" s="1" t="s">
        <v>322</v>
      </c>
      <c r="G47" s="1" t="s">
        <v>751</v>
      </c>
      <c r="H47" s="1" t="s">
        <v>752</v>
      </c>
      <c r="I47" s="1" t="s">
        <v>753</v>
      </c>
      <c r="J47" s="1" t="s">
        <v>608</v>
      </c>
      <c r="K47" s="1" t="s">
        <v>667</v>
      </c>
      <c r="L47" s="1" t="s">
        <v>174</v>
      </c>
      <c r="M47" s="1" t="s">
        <v>174</v>
      </c>
      <c r="N47" s="20">
        <v>3.45</v>
      </c>
      <c r="O47" s="1" t="s">
        <v>754</v>
      </c>
      <c r="P47" s="1" t="s">
        <v>771</v>
      </c>
    </row>
    <row r="48" spans="1:16">
      <c r="A48" s="1" t="s">
        <v>169</v>
      </c>
      <c r="B48" s="1" t="s">
        <v>170</v>
      </c>
      <c r="C48" s="1">
        <v>1995</v>
      </c>
      <c r="D48" s="1">
        <v>1995</v>
      </c>
      <c r="E48" s="1">
        <v>1995</v>
      </c>
      <c r="F48" s="1" t="s">
        <v>322</v>
      </c>
      <c r="G48" s="1" t="s">
        <v>751</v>
      </c>
      <c r="H48" s="1" t="s">
        <v>752</v>
      </c>
      <c r="I48" s="1" t="s">
        <v>753</v>
      </c>
      <c r="J48" s="1" t="s">
        <v>756</v>
      </c>
      <c r="K48" s="1" t="s">
        <v>667</v>
      </c>
      <c r="L48" s="1" t="s">
        <v>174</v>
      </c>
      <c r="M48" s="1" t="s">
        <v>174</v>
      </c>
      <c r="N48" s="20">
        <v>2.5299999999999998</v>
      </c>
      <c r="O48" s="1" t="s">
        <v>754</v>
      </c>
      <c r="P48" s="1" t="s">
        <v>771</v>
      </c>
    </row>
    <row r="49" spans="1:16">
      <c r="A49" s="1" t="s">
        <v>169</v>
      </c>
      <c r="B49" s="1" t="s">
        <v>170</v>
      </c>
      <c r="C49" s="1">
        <v>1998</v>
      </c>
      <c r="D49" s="1">
        <v>1996</v>
      </c>
      <c r="E49" s="1">
        <v>1995</v>
      </c>
      <c r="F49" s="1" t="s">
        <v>322</v>
      </c>
      <c r="G49" s="1" t="s">
        <v>751</v>
      </c>
      <c r="H49" s="1" t="s">
        <v>763</v>
      </c>
      <c r="I49" s="1" t="s">
        <v>764</v>
      </c>
      <c r="J49" s="1" t="s">
        <v>174</v>
      </c>
      <c r="K49" s="1" t="s">
        <v>174</v>
      </c>
      <c r="L49" s="1">
        <v>4000</v>
      </c>
      <c r="M49" s="1" t="s">
        <v>174</v>
      </c>
      <c r="N49" s="20">
        <v>27.93</v>
      </c>
    </row>
    <row r="50" spans="1:16">
      <c r="A50" s="1" t="s">
        <v>169</v>
      </c>
      <c r="B50" s="1" t="s">
        <v>170</v>
      </c>
      <c r="C50" s="1">
        <v>1998</v>
      </c>
      <c r="D50" s="1">
        <v>1996</v>
      </c>
      <c r="E50" s="1">
        <v>1995</v>
      </c>
      <c r="F50" s="1" t="s">
        <v>322</v>
      </c>
      <c r="G50" s="1" t="s">
        <v>751</v>
      </c>
      <c r="H50" s="1" t="s">
        <v>752</v>
      </c>
      <c r="I50" s="1" t="s">
        <v>753</v>
      </c>
      <c r="J50" s="1" t="s">
        <v>606</v>
      </c>
      <c r="K50" s="1" t="s">
        <v>667</v>
      </c>
      <c r="L50" s="1">
        <v>4000</v>
      </c>
      <c r="M50" s="1" t="s">
        <v>174</v>
      </c>
      <c r="N50" s="20">
        <v>3.76</v>
      </c>
      <c r="O50" s="1" t="s">
        <v>754</v>
      </c>
    </row>
    <row r="51" spans="1:16">
      <c r="A51" s="1" t="s">
        <v>169</v>
      </c>
      <c r="B51" s="1" t="s">
        <v>170</v>
      </c>
      <c r="C51" s="1">
        <v>1998</v>
      </c>
      <c r="D51" s="1">
        <v>1996</v>
      </c>
      <c r="E51" s="1">
        <v>1995</v>
      </c>
      <c r="F51" s="1" t="s">
        <v>322</v>
      </c>
      <c r="G51" s="1" t="s">
        <v>751</v>
      </c>
      <c r="H51" s="1" t="s">
        <v>752</v>
      </c>
      <c r="I51" s="1" t="s">
        <v>753</v>
      </c>
      <c r="J51" s="1" t="s">
        <v>607</v>
      </c>
      <c r="K51" s="1" t="s">
        <v>667</v>
      </c>
      <c r="L51" s="1" t="s">
        <v>174</v>
      </c>
      <c r="M51" s="1" t="s">
        <v>174</v>
      </c>
      <c r="N51" s="20">
        <v>3.7</v>
      </c>
      <c r="O51" s="1" t="s">
        <v>754</v>
      </c>
    </row>
    <row r="52" spans="1:16">
      <c r="A52" s="1" t="s">
        <v>169</v>
      </c>
      <c r="B52" s="1" t="s">
        <v>170</v>
      </c>
      <c r="C52" s="1">
        <v>1998</v>
      </c>
      <c r="D52" s="1">
        <v>1996</v>
      </c>
      <c r="E52" s="1">
        <v>1995</v>
      </c>
      <c r="F52" s="1" t="s">
        <v>322</v>
      </c>
      <c r="G52" s="1" t="s">
        <v>751</v>
      </c>
      <c r="H52" s="1" t="s">
        <v>752</v>
      </c>
      <c r="I52" s="1" t="s">
        <v>753</v>
      </c>
      <c r="J52" s="1" t="s">
        <v>608</v>
      </c>
      <c r="K52" s="1" t="s">
        <v>667</v>
      </c>
      <c r="L52" s="1" t="s">
        <v>174</v>
      </c>
      <c r="M52" s="1" t="s">
        <v>174</v>
      </c>
      <c r="N52" s="20">
        <v>3.45</v>
      </c>
      <c r="O52" s="1" t="s">
        <v>754</v>
      </c>
    </row>
    <row r="53" spans="1:16">
      <c r="A53" s="1" t="s">
        <v>169</v>
      </c>
      <c r="B53" s="1" t="s">
        <v>170</v>
      </c>
      <c r="C53" s="1">
        <v>1998</v>
      </c>
      <c r="D53" s="1">
        <v>1996</v>
      </c>
      <c r="E53" s="1">
        <v>1995</v>
      </c>
      <c r="F53" s="1" t="s">
        <v>322</v>
      </c>
      <c r="G53" s="1" t="s">
        <v>751</v>
      </c>
      <c r="H53" s="1" t="s">
        <v>752</v>
      </c>
      <c r="I53" s="1" t="s">
        <v>753</v>
      </c>
      <c r="J53" s="1" t="s">
        <v>756</v>
      </c>
      <c r="K53" s="1" t="s">
        <v>667</v>
      </c>
      <c r="L53" s="1" t="s">
        <v>174</v>
      </c>
      <c r="M53" s="1" t="s">
        <v>174</v>
      </c>
      <c r="N53" s="20">
        <v>2.5299999999999998</v>
      </c>
      <c r="O53" s="1" t="s">
        <v>754</v>
      </c>
    </row>
    <row r="54" spans="1:16">
      <c r="A54" s="1" t="s">
        <v>169</v>
      </c>
      <c r="B54" s="1" t="s">
        <v>170</v>
      </c>
      <c r="C54" s="1">
        <v>1998</v>
      </c>
      <c r="D54" s="1">
        <v>1997</v>
      </c>
      <c r="E54" s="1">
        <v>1995</v>
      </c>
      <c r="F54" s="1" t="s">
        <v>322</v>
      </c>
      <c r="G54" s="1" t="s">
        <v>751</v>
      </c>
      <c r="H54" s="1" t="s">
        <v>763</v>
      </c>
      <c r="I54" s="1" t="s">
        <v>764</v>
      </c>
      <c r="J54" s="1" t="s">
        <v>174</v>
      </c>
      <c r="K54" s="1" t="s">
        <v>174</v>
      </c>
      <c r="L54" s="1">
        <v>4000</v>
      </c>
      <c r="M54" s="1" t="s">
        <v>174</v>
      </c>
      <c r="N54" s="20">
        <v>27.93</v>
      </c>
      <c r="P54" s="1" t="s">
        <v>772</v>
      </c>
    </row>
    <row r="55" spans="1:16">
      <c r="A55" s="1" t="s">
        <v>169</v>
      </c>
      <c r="B55" s="1" t="s">
        <v>170</v>
      </c>
      <c r="C55" s="1">
        <v>1998</v>
      </c>
      <c r="D55" s="1">
        <v>1997</v>
      </c>
      <c r="E55" s="1">
        <v>1995</v>
      </c>
      <c r="F55" s="1" t="s">
        <v>322</v>
      </c>
      <c r="G55" s="1" t="s">
        <v>751</v>
      </c>
      <c r="H55" s="1" t="s">
        <v>752</v>
      </c>
      <c r="I55" s="1" t="s">
        <v>753</v>
      </c>
      <c r="J55" s="1" t="s">
        <v>606</v>
      </c>
      <c r="K55" s="1" t="s">
        <v>667</v>
      </c>
      <c r="M55" s="1" t="s">
        <v>174</v>
      </c>
      <c r="N55" s="20">
        <v>3.76</v>
      </c>
      <c r="O55" s="1" t="s">
        <v>754</v>
      </c>
      <c r="P55" s="1" t="s">
        <v>773</v>
      </c>
    </row>
    <row r="56" spans="1:16">
      <c r="A56" s="1" t="s">
        <v>169</v>
      </c>
      <c r="B56" s="1" t="s">
        <v>170</v>
      </c>
      <c r="C56" s="1">
        <v>1998</v>
      </c>
      <c r="D56" s="1">
        <v>1997</v>
      </c>
      <c r="E56" s="1">
        <v>1995</v>
      </c>
      <c r="F56" s="1" t="s">
        <v>322</v>
      </c>
      <c r="G56" s="1" t="s">
        <v>751</v>
      </c>
      <c r="H56" s="1" t="s">
        <v>752</v>
      </c>
      <c r="I56" s="1" t="s">
        <v>753</v>
      </c>
      <c r="J56" s="1" t="s">
        <v>607</v>
      </c>
      <c r="K56" s="1" t="s">
        <v>667</v>
      </c>
      <c r="L56" s="1" t="s">
        <v>174</v>
      </c>
      <c r="M56" s="1" t="s">
        <v>174</v>
      </c>
      <c r="N56" s="20">
        <v>3.37</v>
      </c>
      <c r="O56" s="1" t="s">
        <v>754</v>
      </c>
    </row>
    <row r="57" spans="1:16">
      <c r="A57" s="1" t="s">
        <v>169</v>
      </c>
      <c r="B57" s="1" t="s">
        <v>170</v>
      </c>
      <c r="C57" s="1">
        <v>1998</v>
      </c>
      <c r="D57" s="1">
        <v>1997</v>
      </c>
      <c r="E57" s="1">
        <v>1995</v>
      </c>
      <c r="F57" s="1" t="s">
        <v>322</v>
      </c>
      <c r="G57" s="1" t="s">
        <v>751</v>
      </c>
      <c r="H57" s="1" t="s">
        <v>752</v>
      </c>
      <c r="I57" s="1" t="s">
        <v>753</v>
      </c>
      <c r="J57" s="1" t="s">
        <v>608</v>
      </c>
      <c r="K57" s="1" t="s">
        <v>667</v>
      </c>
      <c r="L57" s="1" t="s">
        <v>174</v>
      </c>
      <c r="M57" s="1" t="s">
        <v>174</v>
      </c>
      <c r="N57" s="20">
        <v>3.14</v>
      </c>
      <c r="O57" s="1" t="s">
        <v>754</v>
      </c>
    </row>
    <row r="58" spans="1:16">
      <c r="A58" s="1" t="s">
        <v>169</v>
      </c>
      <c r="B58" s="1" t="s">
        <v>170</v>
      </c>
      <c r="C58" s="1">
        <v>1998</v>
      </c>
      <c r="D58" s="1">
        <v>1997</v>
      </c>
      <c r="E58" s="1">
        <v>1995</v>
      </c>
      <c r="F58" s="1" t="s">
        <v>322</v>
      </c>
      <c r="G58" s="1" t="s">
        <v>751</v>
      </c>
      <c r="H58" s="1" t="s">
        <v>752</v>
      </c>
      <c r="I58" s="1" t="s">
        <v>753</v>
      </c>
      <c r="J58" s="1" t="s">
        <v>756</v>
      </c>
      <c r="K58" s="1" t="s">
        <v>667</v>
      </c>
      <c r="L58" s="1" t="s">
        <v>174</v>
      </c>
      <c r="M58" s="1" t="s">
        <v>174</v>
      </c>
      <c r="N58" s="20">
        <v>2.2999999999999998</v>
      </c>
      <c r="O58" s="1" t="s">
        <v>754</v>
      </c>
    </row>
    <row r="59" spans="1:16">
      <c r="A59" s="1" t="s">
        <v>169</v>
      </c>
      <c r="B59" s="1" t="s">
        <v>170</v>
      </c>
      <c r="C59" s="1">
        <v>2002</v>
      </c>
      <c r="D59" s="1">
        <v>1998</v>
      </c>
      <c r="E59" s="1">
        <v>1998</v>
      </c>
      <c r="F59" s="1" t="s">
        <v>322</v>
      </c>
      <c r="G59" s="1" t="s">
        <v>751</v>
      </c>
      <c r="H59" s="1" t="s">
        <v>752</v>
      </c>
      <c r="I59" s="1" t="s">
        <v>753</v>
      </c>
      <c r="J59" s="1" t="s">
        <v>606</v>
      </c>
      <c r="K59" s="1" t="s">
        <v>667</v>
      </c>
      <c r="L59" s="1" t="s">
        <v>174</v>
      </c>
      <c r="M59" s="1" t="s">
        <v>174</v>
      </c>
      <c r="N59" s="20">
        <v>3.85</v>
      </c>
      <c r="O59" s="1" t="s">
        <v>754</v>
      </c>
      <c r="P59" s="1" t="s">
        <v>773</v>
      </c>
    </row>
    <row r="60" spans="1:16">
      <c r="A60" s="1" t="s">
        <v>169</v>
      </c>
      <c r="B60" s="1" t="s">
        <v>170</v>
      </c>
      <c r="C60" s="1">
        <v>2002</v>
      </c>
      <c r="D60" s="1">
        <v>1998</v>
      </c>
      <c r="E60" s="1">
        <v>1998</v>
      </c>
      <c r="F60" s="1" t="s">
        <v>322</v>
      </c>
      <c r="G60" s="1" t="s">
        <v>751</v>
      </c>
      <c r="H60" s="1" t="s">
        <v>752</v>
      </c>
      <c r="I60" s="1" t="s">
        <v>753</v>
      </c>
      <c r="J60" s="1" t="s">
        <v>607</v>
      </c>
      <c r="K60" s="1" t="s">
        <v>667</v>
      </c>
      <c r="L60" s="1" t="s">
        <v>174</v>
      </c>
      <c r="M60" s="1" t="s">
        <v>174</v>
      </c>
      <c r="N60" s="20">
        <v>3.79</v>
      </c>
      <c r="O60" s="1" t="s">
        <v>754</v>
      </c>
    </row>
    <row r="61" spans="1:16">
      <c r="A61" s="1" t="s">
        <v>169</v>
      </c>
      <c r="B61" s="1" t="s">
        <v>170</v>
      </c>
      <c r="C61" s="1">
        <v>2002</v>
      </c>
      <c r="D61" s="1">
        <v>1998</v>
      </c>
      <c r="E61" s="1">
        <v>1998</v>
      </c>
      <c r="F61" s="1" t="s">
        <v>322</v>
      </c>
      <c r="G61" s="1" t="s">
        <v>751</v>
      </c>
      <c r="H61" s="1" t="s">
        <v>752</v>
      </c>
      <c r="I61" s="1" t="s">
        <v>753</v>
      </c>
      <c r="J61" s="1" t="s">
        <v>608</v>
      </c>
      <c r="K61" s="1" t="s">
        <v>667</v>
      </c>
      <c r="L61" s="1" t="s">
        <v>174</v>
      </c>
      <c r="M61" s="1" t="s">
        <v>174</v>
      </c>
      <c r="N61" s="20">
        <v>354</v>
      </c>
      <c r="O61" s="1" t="s">
        <v>754</v>
      </c>
    </row>
    <row r="62" spans="1:16">
      <c r="A62" s="1" t="s">
        <v>169</v>
      </c>
      <c r="B62" s="1" t="s">
        <v>170</v>
      </c>
      <c r="C62" s="1">
        <v>2002</v>
      </c>
      <c r="D62" s="1">
        <v>1998</v>
      </c>
      <c r="E62" s="1">
        <v>1998</v>
      </c>
      <c r="F62" s="1" t="s">
        <v>322</v>
      </c>
      <c r="G62" s="1" t="s">
        <v>751</v>
      </c>
      <c r="H62" s="1" t="s">
        <v>752</v>
      </c>
      <c r="I62" s="1" t="s">
        <v>753</v>
      </c>
      <c r="J62" s="1" t="s">
        <v>756</v>
      </c>
      <c r="K62" s="1" t="s">
        <v>667</v>
      </c>
      <c r="L62" s="1" t="s">
        <v>174</v>
      </c>
      <c r="M62" s="1" t="s">
        <v>174</v>
      </c>
      <c r="N62" s="20">
        <v>2.59</v>
      </c>
      <c r="O62" s="1" t="s">
        <v>754</v>
      </c>
    </row>
    <row r="63" spans="1:16">
      <c r="A63" s="1" t="s">
        <v>169</v>
      </c>
      <c r="B63" s="1" t="s">
        <v>170</v>
      </c>
      <c r="C63" s="1">
        <v>2002</v>
      </c>
      <c r="D63" s="1">
        <v>1999</v>
      </c>
      <c r="E63" s="1">
        <v>1999</v>
      </c>
      <c r="F63" s="1" t="s">
        <v>322</v>
      </c>
      <c r="G63" s="1" t="s">
        <v>751</v>
      </c>
      <c r="H63" s="1" t="s">
        <v>752</v>
      </c>
      <c r="I63" s="1" t="s">
        <v>753</v>
      </c>
      <c r="J63" s="1" t="s">
        <v>606</v>
      </c>
      <c r="K63" s="1" t="s">
        <v>667</v>
      </c>
      <c r="L63" s="1" t="s">
        <v>174</v>
      </c>
      <c r="M63" s="1" t="s">
        <v>174</v>
      </c>
      <c r="N63" s="20">
        <v>3.95</v>
      </c>
      <c r="O63" s="1" t="s">
        <v>754</v>
      </c>
    </row>
    <row r="64" spans="1:16">
      <c r="A64" s="1" t="s">
        <v>169</v>
      </c>
      <c r="B64" s="1" t="s">
        <v>170</v>
      </c>
      <c r="C64" s="1">
        <v>2002</v>
      </c>
      <c r="D64" s="1">
        <v>1999</v>
      </c>
      <c r="E64" s="1">
        <v>1999</v>
      </c>
      <c r="F64" s="1" t="s">
        <v>322</v>
      </c>
      <c r="G64" s="1" t="s">
        <v>751</v>
      </c>
      <c r="H64" s="1" t="s">
        <v>752</v>
      </c>
      <c r="I64" s="1" t="s">
        <v>753</v>
      </c>
      <c r="J64" s="1" t="s">
        <v>607</v>
      </c>
      <c r="K64" s="1" t="s">
        <v>667</v>
      </c>
      <c r="L64" s="1" t="s">
        <v>174</v>
      </c>
      <c r="M64" s="1" t="s">
        <v>174</v>
      </c>
      <c r="N64" s="20">
        <v>3.88</v>
      </c>
      <c r="O64" s="1" t="s">
        <v>754</v>
      </c>
    </row>
    <row r="65" spans="1:15">
      <c r="A65" s="1" t="s">
        <v>169</v>
      </c>
      <c r="B65" s="1" t="s">
        <v>170</v>
      </c>
      <c r="C65" s="1">
        <v>2002</v>
      </c>
      <c r="D65" s="1">
        <v>1999</v>
      </c>
      <c r="E65" s="1">
        <v>1999</v>
      </c>
      <c r="F65" s="1" t="s">
        <v>322</v>
      </c>
      <c r="G65" s="1" t="s">
        <v>751</v>
      </c>
      <c r="H65" s="1" t="s">
        <v>752</v>
      </c>
      <c r="I65" s="1" t="s">
        <v>753</v>
      </c>
      <c r="J65" s="1" t="s">
        <v>608</v>
      </c>
      <c r="K65" s="1" t="s">
        <v>667</v>
      </c>
      <c r="L65" s="1" t="s">
        <v>174</v>
      </c>
      <c r="M65" s="1" t="s">
        <v>174</v>
      </c>
      <c r="N65" s="20">
        <v>3.63</v>
      </c>
      <c r="O65" s="1" t="s">
        <v>754</v>
      </c>
    </row>
    <row r="66" spans="1:15">
      <c r="A66" s="1" t="s">
        <v>169</v>
      </c>
      <c r="B66" s="1" t="s">
        <v>170</v>
      </c>
      <c r="C66" s="1">
        <v>2002</v>
      </c>
      <c r="D66" s="1">
        <v>1999</v>
      </c>
      <c r="E66" s="1">
        <v>1999</v>
      </c>
      <c r="F66" s="1" t="s">
        <v>322</v>
      </c>
      <c r="G66" s="1" t="s">
        <v>751</v>
      </c>
      <c r="H66" s="1" t="s">
        <v>752</v>
      </c>
      <c r="I66" s="1" t="s">
        <v>753</v>
      </c>
      <c r="J66" s="1" t="s">
        <v>756</v>
      </c>
      <c r="K66" s="1" t="s">
        <v>667</v>
      </c>
      <c r="L66" s="1" t="s">
        <v>174</v>
      </c>
      <c r="M66" s="1" t="s">
        <v>174</v>
      </c>
      <c r="N66" s="20">
        <v>2.65</v>
      </c>
      <c r="O66" s="1" t="s">
        <v>754</v>
      </c>
    </row>
    <row r="67" spans="1:15">
      <c r="A67" s="1" t="s">
        <v>169</v>
      </c>
      <c r="B67" s="1" t="s">
        <v>170</v>
      </c>
      <c r="C67" s="1">
        <v>2002</v>
      </c>
      <c r="D67" s="1">
        <v>1999</v>
      </c>
      <c r="E67" s="1">
        <v>1999</v>
      </c>
      <c r="F67" s="1" t="s">
        <v>322</v>
      </c>
      <c r="G67" s="1" t="s">
        <v>751</v>
      </c>
      <c r="H67" s="1" t="s">
        <v>752</v>
      </c>
      <c r="I67" s="1" t="s">
        <v>753</v>
      </c>
      <c r="J67" s="1" t="s">
        <v>774</v>
      </c>
      <c r="K67" s="1" t="s">
        <v>667</v>
      </c>
      <c r="L67" s="1" t="s">
        <v>174</v>
      </c>
      <c r="M67" s="1" t="s">
        <v>174</v>
      </c>
      <c r="N67" s="20">
        <v>5.31</v>
      </c>
      <c r="O67" s="1" t="s">
        <v>754</v>
      </c>
    </row>
    <row r="68" spans="1:15">
      <c r="A68" s="1" t="s">
        <v>169</v>
      </c>
      <c r="B68" s="1" t="s">
        <v>170</v>
      </c>
      <c r="C68" s="1">
        <v>2002</v>
      </c>
      <c r="D68" s="1">
        <v>2000</v>
      </c>
      <c r="E68" s="1">
        <v>1999</v>
      </c>
      <c r="F68" s="1" t="s">
        <v>322</v>
      </c>
      <c r="G68" s="1" t="s">
        <v>751</v>
      </c>
      <c r="H68" s="1" t="s">
        <v>752</v>
      </c>
      <c r="I68" s="1" t="s">
        <v>753</v>
      </c>
      <c r="J68" s="1" t="s">
        <v>606</v>
      </c>
      <c r="K68" s="1" t="s">
        <v>667</v>
      </c>
      <c r="L68" s="1" t="s">
        <v>174</v>
      </c>
      <c r="M68" s="1" t="s">
        <v>174</v>
      </c>
      <c r="N68" s="20">
        <v>3.95</v>
      </c>
      <c r="O68" s="1" t="s">
        <v>754</v>
      </c>
    </row>
    <row r="69" spans="1:15">
      <c r="A69" s="1" t="s">
        <v>169</v>
      </c>
      <c r="B69" s="1" t="s">
        <v>170</v>
      </c>
      <c r="C69" s="1">
        <v>2002</v>
      </c>
      <c r="D69" s="1">
        <v>2000</v>
      </c>
      <c r="E69" s="1">
        <v>1999</v>
      </c>
      <c r="F69" s="1" t="s">
        <v>322</v>
      </c>
      <c r="G69" s="1" t="s">
        <v>751</v>
      </c>
      <c r="H69" s="1" t="s">
        <v>752</v>
      </c>
      <c r="I69" s="1" t="s">
        <v>753</v>
      </c>
      <c r="J69" s="1" t="s">
        <v>607</v>
      </c>
      <c r="K69" s="1" t="s">
        <v>667</v>
      </c>
      <c r="L69" s="1" t="s">
        <v>174</v>
      </c>
      <c r="M69" s="1" t="s">
        <v>174</v>
      </c>
      <c r="N69" s="20">
        <v>3.88</v>
      </c>
      <c r="O69" s="1" t="s">
        <v>754</v>
      </c>
    </row>
    <row r="70" spans="1:15">
      <c r="A70" s="1" t="s">
        <v>169</v>
      </c>
      <c r="B70" s="1" t="s">
        <v>170</v>
      </c>
      <c r="C70" s="1">
        <v>2002</v>
      </c>
      <c r="D70" s="1">
        <v>2000</v>
      </c>
      <c r="E70" s="1">
        <v>1999</v>
      </c>
      <c r="F70" s="1" t="s">
        <v>322</v>
      </c>
      <c r="G70" s="1" t="s">
        <v>751</v>
      </c>
      <c r="H70" s="1" t="s">
        <v>752</v>
      </c>
      <c r="I70" s="1" t="s">
        <v>753</v>
      </c>
      <c r="J70" s="1" t="s">
        <v>608</v>
      </c>
      <c r="K70" s="1" t="s">
        <v>667</v>
      </c>
      <c r="L70" s="1" t="s">
        <v>174</v>
      </c>
      <c r="M70" s="1" t="s">
        <v>174</v>
      </c>
      <c r="N70" s="20">
        <v>3.63</v>
      </c>
      <c r="O70" s="1" t="s">
        <v>754</v>
      </c>
    </row>
    <row r="71" spans="1:15">
      <c r="A71" s="1" t="s">
        <v>169</v>
      </c>
      <c r="B71" s="1" t="s">
        <v>170</v>
      </c>
      <c r="C71" s="1">
        <v>2002</v>
      </c>
      <c r="D71" s="1">
        <v>2000</v>
      </c>
      <c r="E71" s="1">
        <v>1999</v>
      </c>
      <c r="F71" s="1" t="s">
        <v>322</v>
      </c>
      <c r="G71" s="1" t="s">
        <v>751</v>
      </c>
      <c r="H71" s="1" t="s">
        <v>752</v>
      </c>
      <c r="I71" s="1" t="s">
        <v>753</v>
      </c>
      <c r="J71" s="1" t="s">
        <v>756</v>
      </c>
      <c r="K71" s="1" t="s">
        <v>667</v>
      </c>
      <c r="L71" s="1" t="s">
        <v>174</v>
      </c>
      <c r="M71" s="1" t="s">
        <v>174</v>
      </c>
      <c r="N71" s="20">
        <v>2.65</v>
      </c>
      <c r="O71" s="1" t="s">
        <v>754</v>
      </c>
    </row>
    <row r="72" spans="1:15">
      <c r="A72" s="1" t="s">
        <v>169</v>
      </c>
      <c r="B72" s="1" t="s">
        <v>170</v>
      </c>
      <c r="C72" s="1">
        <v>2002</v>
      </c>
      <c r="D72" s="1">
        <v>2000</v>
      </c>
      <c r="E72" s="1">
        <v>1999</v>
      </c>
      <c r="F72" s="1" t="s">
        <v>322</v>
      </c>
      <c r="G72" s="1" t="s">
        <v>751</v>
      </c>
      <c r="H72" s="1" t="s">
        <v>752</v>
      </c>
      <c r="I72" s="1" t="s">
        <v>753</v>
      </c>
      <c r="J72" s="1" t="s">
        <v>774</v>
      </c>
      <c r="K72" s="1" t="s">
        <v>667</v>
      </c>
      <c r="L72" s="1" t="s">
        <v>174</v>
      </c>
      <c r="M72" s="1" t="s">
        <v>174</v>
      </c>
      <c r="N72" s="20">
        <v>5.31</v>
      </c>
      <c r="O72" s="1" t="s">
        <v>754</v>
      </c>
    </row>
    <row r="73" spans="1:15">
      <c r="A73" s="1" t="s">
        <v>169</v>
      </c>
      <c r="B73" s="1" t="s">
        <v>170</v>
      </c>
      <c r="C73" s="1">
        <v>2002</v>
      </c>
      <c r="D73" s="1">
        <v>2001</v>
      </c>
      <c r="E73" s="1">
        <v>1999</v>
      </c>
      <c r="F73" s="1" t="s">
        <v>322</v>
      </c>
      <c r="G73" s="1" t="s">
        <v>751</v>
      </c>
      <c r="H73" s="1" t="s">
        <v>752</v>
      </c>
      <c r="I73" s="1" t="s">
        <v>753</v>
      </c>
      <c r="J73" s="1" t="s">
        <v>606</v>
      </c>
      <c r="K73" s="1" t="s">
        <v>667</v>
      </c>
      <c r="L73" s="1" t="s">
        <v>174</v>
      </c>
      <c r="M73" s="1" t="s">
        <v>174</v>
      </c>
      <c r="N73" s="20">
        <v>3.95</v>
      </c>
      <c r="O73" s="1" t="s">
        <v>754</v>
      </c>
    </row>
    <row r="74" spans="1:15">
      <c r="A74" s="1" t="s">
        <v>169</v>
      </c>
      <c r="B74" s="1" t="s">
        <v>170</v>
      </c>
      <c r="C74" s="1">
        <v>2002</v>
      </c>
      <c r="D74" s="1">
        <v>2001</v>
      </c>
      <c r="E74" s="1">
        <v>1999</v>
      </c>
      <c r="F74" s="1" t="s">
        <v>322</v>
      </c>
      <c r="G74" s="1" t="s">
        <v>751</v>
      </c>
      <c r="H74" s="1" t="s">
        <v>752</v>
      </c>
      <c r="I74" s="1" t="s">
        <v>753</v>
      </c>
      <c r="J74" s="1" t="s">
        <v>607</v>
      </c>
      <c r="K74" s="1" t="s">
        <v>667</v>
      </c>
      <c r="L74" s="1" t="s">
        <v>174</v>
      </c>
      <c r="M74" s="1" t="s">
        <v>174</v>
      </c>
      <c r="N74" s="20">
        <v>3.88</v>
      </c>
      <c r="O74" s="1" t="s">
        <v>754</v>
      </c>
    </row>
    <row r="75" spans="1:15">
      <c r="A75" s="1" t="s">
        <v>169</v>
      </c>
      <c r="B75" s="1" t="s">
        <v>170</v>
      </c>
      <c r="C75" s="1">
        <v>2002</v>
      </c>
      <c r="D75" s="1">
        <v>2001</v>
      </c>
      <c r="E75" s="1">
        <v>1999</v>
      </c>
      <c r="F75" s="1" t="s">
        <v>322</v>
      </c>
      <c r="G75" s="1" t="s">
        <v>751</v>
      </c>
      <c r="H75" s="1" t="s">
        <v>752</v>
      </c>
      <c r="I75" s="1" t="s">
        <v>753</v>
      </c>
      <c r="J75" s="1" t="s">
        <v>608</v>
      </c>
      <c r="K75" s="1" t="s">
        <v>667</v>
      </c>
      <c r="L75" s="1" t="s">
        <v>174</v>
      </c>
      <c r="M75" s="1" t="s">
        <v>174</v>
      </c>
      <c r="N75" s="20">
        <v>3.63</v>
      </c>
      <c r="O75" s="1" t="s">
        <v>754</v>
      </c>
    </row>
    <row r="76" spans="1:15">
      <c r="A76" s="1" t="s">
        <v>169</v>
      </c>
      <c r="B76" s="1" t="s">
        <v>170</v>
      </c>
      <c r="C76" s="1">
        <v>2002</v>
      </c>
      <c r="D76" s="1">
        <v>2001</v>
      </c>
      <c r="E76" s="1">
        <v>1999</v>
      </c>
      <c r="F76" s="1" t="s">
        <v>322</v>
      </c>
      <c r="G76" s="1" t="s">
        <v>751</v>
      </c>
      <c r="H76" s="1" t="s">
        <v>752</v>
      </c>
      <c r="I76" s="1" t="s">
        <v>753</v>
      </c>
      <c r="J76" s="1" t="s">
        <v>756</v>
      </c>
      <c r="K76" s="1" t="s">
        <v>667</v>
      </c>
      <c r="L76" s="1" t="s">
        <v>174</v>
      </c>
      <c r="M76" s="1" t="s">
        <v>174</v>
      </c>
      <c r="N76" s="20">
        <v>2.65</v>
      </c>
      <c r="O76" s="1" t="s">
        <v>754</v>
      </c>
    </row>
    <row r="77" spans="1:15">
      <c r="A77" s="1" t="s">
        <v>169</v>
      </c>
      <c r="B77" s="1" t="s">
        <v>170</v>
      </c>
      <c r="C77" s="1">
        <v>2002</v>
      </c>
      <c r="D77" s="1">
        <v>2001</v>
      </c>
      <c r="E77" s="1">
        <v>1999</v>
      </c>
      <c r="F77" s="1" t="s">
        <v>322</v>
      </c>
      <c r="G77" s="1" t="s">
        <v>751</v>
      </c>
      <c r="H77" s="1" t="s">
        <v>752</v>
      </c>
      <c r="I77" s="1" t="s">
        <v>753</v>
      </c>
      <c r="J77" s="1" t="s">
        <v>774</v>
      </c>
      <c r="K77" s="1" t="s">
        <v>667</v>
      </c>
      <c r="L77" s="1" t="s">
        <v>174</v>
      </c>
      <c r="M77" s="1" t="s">
        <v>174</v>
      </c>
      <c r="N77" s="20">
        <v>5.31</v>
      </c>
      <c r="O77" s="1" t="s">
        <v>754</v>
      </c>
    </row>
    <row r="78" spans="1:15">
      <c r="A78" s="1" t="s">
        <v>169</v>
      </c>
      <c r="B78" s="1" t="s">
        <v>170</v>
      </c>
      <c r="C78" s="1">
        <v>2002</v>
      </c>
      <c r="D78" s="1">
        <v>2002</v>
      </c>
      <c r="E78" s="1">
        <v>2002</v>
      </c>
      <c r="F78" s="1" t="s">
        <v>322</v>
      </c>
      <c r="G78" s="1" t="s">
        <v>191</v>
      </c>
      <c r="H78" s="1" t="s">
        <v>763</v>
      </c>
      <c r="I78" s="1" t="s">
        <v>764</v>
      </c>
      <c r="J78" s="1">
        <v>0.625</v>
      </c>
      <c r="K78" s="1" t="s">
        <v>775</v>
      </c>
      <c r="L78" s="1">
        <v>1000</v>
      </c>
      <c r="M78" s="1" t="s">
        <v>174</v>
      </c>
      <c r="N78" s="20">
        <v>9.32</v>
      </c>
      <c r="O78" s="1" t="s">
        <v>776</v>
      </c>
    </row>
    <row r="79" spans="1:15">
      <c r="A79" s="1" t="s">
        <v>169</v>
      </c>
      <c r="B79" s="1" t="s">
        <v>170</v>
      </c>
      <c r="C79" s="1">
        <v>2002</v>
      </c>
      <c r="D79" s="1">
        <v>2002</v>
      </c>
      <c r="E79" s="1">
        <v>2002</v>
      </c>
      <c r="F79" s="1" t="s">
        <v>322</v>
      </c>
      <c r="G79" s="1" t="s">
        <v>191</v>
      </c>
      <c r="H79" s="1" t="s">
        <v>752</v>
      </c>
      <c r="I79" s="1" t="s">
        <v>753</v>
      </c>
      <c r="J79" s="1" t="s">
        <v>606</v>
      </c>
      <c r="K79" s="1" t="s">
        <v>667</v>
      </c>
      <c r="L79" s="1">
        <v>1000</v>
      </c>
      <c r="M79" s="1" t="s">
        <v>174</v>
      </c>
      <c r="N79" s="20">
        <v>4.34</v>
      </c>
      <c r="O79" s="1" t="s">
        <v>754</v>
      </c>
    </row>
    <row r="80" spans="1:15">
      <c r="A80" s="1" t="s">
        <v>169</v>
      </c>
      <c r="B80" s="1" t="s">
        <v>170</v>
      </c>
      <c r="C80" s="1">
        <v>2002</v>
      </c>
      <c r="D80" s="1">
        <v>2002</v>
      </c>
      <c r="E80" s="1">
        <v>2002</v>
      </c>
      <c r="F80" s="1" t="s">
        <v>322</v>
      </c>
      <c r="G80" s="1" t="s">
        <v>191</v>
      </c>
      <c r="H80" s="1" t="s">
        <v>752</v>
      </c>
      <c r="I80" s="1" t="s">
        <v>753</v>
      </c>
      <c r="J80" s="1" t="s">
        <v>607</v>
      </c>
      <c r="K80" s="1" t="s">
        <v>667</v>
      </c>
      <c r="L80" s="1" t="s">
        <v>174</v>
      </c>
      <c r="M80" s="1" t="s">
        <v>174</v>
      </c>
      <c r="N80" s="20">
        <v>4.26</v>
      </c>
      <c r="O80" s="1" t="s">
        <v>754</v>
      </c>
    </row>
    <row r="81" spans="1:16">
      <c r="A81" s="1" t="s">
        <v>169</v>
      </c>
      <c r="B81" s="1" t="s">
        <v>170</v>
      </c>
      <c r="C81" s="1">
        <v>2002</v>
      </c>
      <c r="D81" s="1">
        <v>2002</v>
      </c>
      <c r="E81" s="1">
        <v>2002</v>
      </c>
      <c r="F81" s="1" t="s">
        <v>322</v>
      </c>
      <c r="G81" s="1" t="s">
        <v>191</v>
      </c>
      <c r="H81" s="1" t="s">
        <v>752</v>
      </c>
      <c r="I81" s="1" t="s">
        <v>753</v>
      </c>
      <c r="J81" s="1" t="s">
        <v>608</v>
      </c>
      <c r="K81" s="1" t="s">
        <v>667</v>
      </c>
      <c r="L81" s="1" t="s">
        <v>174</v>
      </c>
      <c r="M81" s="1" t="s">
        <v>174</v>
      </c>
      <c r="N81" s="20">
        <v>3.99</v>
      </c>
      <c r="O81" s="1" t="s">
        <v>754</v>
      </c>
    </row>
    <row r="82" spans="1:16">
      <c r="A82" s="1" t="s">
        <v>169</v>
      </c>
      <c r="B82" s="1" t="s">
        <v>170</v>
      </c>
      <c r="C82" s="1">
        <v>2002</v>
      </c>
      <c r="D82" s="1">
        <v>2002</v>
      </c>
      <c r="E82" s="1">
        <v>2002</v>
      </c>
      <c r="F82" s="1" t="s">
        <v>322</v>
      </c>
      <c r="G82" s="1" t="s">
        <v>191</v>
      </c>
      <c r="H82" s="1" t="s">
        <v>752</v>
      </c>
      <c r="I82" s="1" t="s">
        <v>753</v>
      </c>
      <c r="J82" s="1" t="s">
        <v>756</v>
      </c>
      <c r="K82" s="1" t="s">
        <v>667</v>
      </c>
      <c r="L82" s="1" t="s">
        <v>174</v>
      </c>
      <c r="M82" s="1" t="s">
        <v>174</v>
      </c>
      <c r="N82" s="20">
        <v>2.91</v>
      </c>
      <c r="O82" s="1" t="s">
        <v>754</v>
      </c>
    </row>
    <row r="83" spans="1:16">
      <c r="A83" s="1" t="s">
        <v>169</v>
      </c>
      <c r="B83" s="1" t="s">
        <v>170</v>
      </c>
      <c r="C83" s="1">
        <v>2002</v>
      </c>
      <c r="D83" s="1">
        <v>2002</v>
      </c>
      <c r="E83" s="1">
        <v>2002</v>
      </c>
      <c r="F83" s="1" t="s">
        <v>322</v>
      </c>
      <c r="G83" s="1" t="s">
        <v>191</v>
      </c>
      <c r="H83" s="1" t="s">
        <v>752</v>
      </c>
      <c r="I83" s="1" t="s">
        <v>753</v>
      </c>
      <c r="J83" s="1" t="s">
        <v>774</v>
      </c>
      <c r="K83" s="1" t="s">
        <v>667</v>
      </c>
      <c r="L83" s="1" t="s">
        <v>174</v>
      </c>
      <c r="M83" s="1" t="s">
        <v>174</v>
      </c>
      <c r="N83" s="20">
        <v>5.83</v>
      </c>
      <c r="O83" s="1" t="s">
        <v>754</v>
      </c>
    </row>
    <row r="84" spans="1:16">
      <c r="A84" s="1" t="s">
        <v>169</v>
      </c>
      <c r="B84" s="1" t="s">
        <v>170</v>
      </c>
      <c r="C84" s="1">
        <v>2002</v>
      </c>
      <c r="D84" s="1">
        <v>2002</v>
      </c>
      <c r="E84" s="1">
        <v>2002</v>
      </c>
      <c r="F84" s="1" t="s">
        <v>314</v>
      </c>
      <c r="G84" s="1" t="s">
        <v>191</v>
      </c>
      <c r="H84" s="1" t="s">
        <v>752</v>
      </c>
      <c r="I84" s="1" t="s">
        <v>753</v>
      </c>
      <c r="J84" s="1" t="s">
        <v>174</v>
      </c>
      <c r="K84" s="1" t="s">
        <v>667</v>
      </c>
      <c r="L84" s="1" t="s">
        <v>174</v>
      </c>
      <c r="M84" s="1" t="s">
        <v>174</v>
      </c>
      <c r="N84" s="20">
        <v>0.59</v>
      </c>
      <c r="O84" s="1" t="s">
        <v>754</v>
      </c>
      <c r="P84" s="1" t="s">
        <v>777</v>
      </c>
    </row>
    <row r="85" spans="1:16">
      <c r="A85" s="1" t="s">
        <v>169</v>
      </c>
      <c r="B85" s="1" t="s">
        <v>170</v>
      </c>
      <c r="C85" s="1">
        <v>2003</v>
      </c>
      <c r="D85" s="1">
        <v>2003</v>
      </c>
      <c r="E85" s="1">
        <v>2003</v>
      </c>
      <c r="F85" s="1" t="s">
        <v>322</v>
      </c>
      <c r="G85" s="1" t="s">
        <v>191</v>
      </c>
      <c r="H85" s="1" t="s">
        <v>763</v>
      </c>
      <c r="I85" s="1" t="s">
        <v>764</v>
      </c>
      <c r="J85" s="1">
        <v>0.625</v>
      </c>
      <c r="K85" s="1" t="s">
        <v>775</v>
      </c>
      <c r="L85" s="1">
        <v>1000</v>
      </c>
      <c r="M85" s="1" t="s">
        <v>174</v>
      </c>
      <c r="N85" s="20">
        <v>9.9700000000000006</v>
      </c>
      <c r="O85" s="1" t="s">
        <v>776</v>
      </c>
    </row>
    <row r="86" spans="1:16">
      <c r="A86" s="1" t="s">
        <v>169</v>
      </c>
      <c r="B86" s="1" t="s">
        <v>170</v>
      </c>
      <c r="C86" s="1">
        <v>2003</v>
      </c>
      <c r="D86" s="1">
        <v>2003</v>
      </c>
      <c r="E86" s="1">
        <v>2003</v>
      </c>
      <c r="F86" s="1" t="s">
        <v>322</v>
      </c>
      <c r="G86" s="1" t="s">
        <v>191</v>
      </c>
      <c r="H86" s="1" t="s">
        <v>752</v>
      </c>
      <c r="I86" s="1" t="s">
        <v>753</v>
      </c>
      <c r="J86" s="1" t="s">
        <v>606</v>
      </c>
      <c r="K86" s="1" t="s">
        <v>667</v>
      </c>
      <c r="L86" s="1">
        <v>1000</v>
      </c>
      <c r="M86" s="1" t="s">
        <v>174</v>
      </c>
      <c r="N86" s="20">
        <v>4.6399999999999997</v>
      </c>
      <c r="O86" s="1" t="s">
        <v>754</v>
      </c>
    </row>
    <row r="87" spans="1:16">
      <c r="A87" s="1" t="s">
        <v>169</v>
      </c>
      <c r="B87" s="1" t="s">
        <v>170</v>
      </c>
      <c r="C87" s="1">
        <v>2003</v>
      </c>
      <c r="D87" s="1">
        <v>2003</v>
      </c>
      <c r="E87" s="1">
        <v>2003</v>
      </c>
      <c r="F87" s="1" t="s">
        <v>322</v>
      </c>
      <c r="G87" s="1" t="s">
        <v>191</v>
      </c>
      <c r="H87" s="1" t="s">
        <v>752</v>
      </c>
      <c r="I87" s="1" t="s">
        <v>753</v>
      </c>
      <c r="J87" s="1" t="s">
        <v>607</v>
      </c>
      <c r="K87" s="1" t="s">
        <v>667</v>
      </c>
      <c r="L87" s="1" t="s">
        <v>174</v>
      </c>
      <c r="M87" s="1" t="s">
        <v>174</v>
      </c>
      <c r="N87" s="20">
        <v>4.5599999999999996</v>
      </c>
      <c r="O87" s="1" t="s">
        <v>754</v>
      </c>
    </row>
    <row r="88" spans="1:16">
      <c r="A88" s="1" t="s">
        <v>169</v>
      </c>
      <c r="B88" s="1" t="s">
        <v>170</v>
      </c>
      <c r="C88" s="1">
        <v>2003</v>
      </c>
      <c r="D88" s="1">
        <v>2003</v>
      </c>
      <c r="E88" s="1">
        <v>2003</v>
      </c>
      <c r="F88" s="1" t="s">
        <v>322</v>
      </c>
      <c r="G88" s="1" t="s">
        <v>191</v>
      </c>
      <c r="H88" s="1" t="s">
        <v>752</v>
      </c>
      <c r="I88" s="1" t="s">
        <v>753</v>
      </c>
      <c r="J88" s="1" t="s">
        <v>608</v>
      </c>
      <c r="K88" s="1" t="s">
        <v>667</v>
      </c>
      <c r="L88" s="1" t="s">
        <v>174</v>
      </c>
      <c r="M88" s="1" t="s">
        <v>174</v>
      </c>
      <c r="N88" s="20">
        <v>4.26</v>
      </c>
      <c r="O88" s="1" t="s">
        <v>754</v>
      </c>
    </row>
    <row r="89" spans="1:16">
      <c r="A89" s="1" t="s">
        <v>169</v>
      </c>
      <c r="B89" s="1" t="s">
        <v>170</v>
      </c>
      <c r="C89" s="1">
        <v>2003</v>
      </c>
      <c r="D89" s="1">
        <v>2003</v>
      </c>
      <c r="E89" s="1">
        <v>2003</v>
      </c>
      <c r="F89" s="1" t="s">
        <v>322</v>
      </c>
      <c r="G89" s="1" t="s">
        <v>191</v>
      </c>
      <c r="H89" s="1" t="s">
        <v>752</v>
      </c>
      <c r="I89" s="1" t="s">
        <v>753</v>
      </c>
      <c r="J89" s="1" t="s">
        <v>756</v>
      </c>
      <c r="K89" s="1" t="s">
        <v>667</v>
      </c>
      <c r="L89" s="1" t="s">
        <v>174</v>
      </c>
      <c r="M89" s="1" t="s">
        <v>174</v>
      </c>
      <c r="N89" s="20">
        <v>3.11</v>
      </c>
      <c r="O89" s="1" t="s">
        <v>754</v>
      </c>
    </row>
    <row r="90" spans="1:16">
      <c r="A90" s="1" t="s">
        <v>169</v>
      </c>
      <c r="B90" s="1" t="s">
        <v>170</v>
      </c>
      <c r="C90" s="1">
        <v>2003</v>
      </c>
      <c r="D90" s="1">
        <v>2003</v>
      </c>
      <c r="E90" s="1">
        <v>2003</v>
      </c>
      <c r="F90" s="1" t="s">
        <v>322</v>
      </c>
      <c r="G90" s="1" t="s">
        <v>191</v>
      </c>
      <c r="H90" s="1" t="s">
        <v>752</v>
      </c>
      <c r="I90" s="1" t="s">
        <v>753</v>
      </c>
      <c r="J90" s="1" t="s">
        <v>774</v>
      </c>
      <c r="K90" s="1" t="s">
        <v>667</v>
      </c>
      <c r="L90" s="1" t="s">
        <v>174</v>
      </c>
      <c r="M90" s="1" t="s">
        <v>174</v>
      </c>
      <c r="N90" s="20">
        <v>6.24</v>
      </c>
      <c r="O90" s="1" t="s">
        <v>754</v>
      </c>
    </row>
    <row r="91" spans="1:16">
      <c r="A91" s="1" t="s">
        <v>169</v>
      </c>
      <c r="B91" s="1" t="s">
        <v>170</v>
      </c>
      <c r="C91" s="1">
        <v>2003</v>
      </c>
      <c r="D91" s="1">
        <v>2003</v>
      </c>
      <c r="E91" s="1">
        <v>2003</v>
      </c>
      <c r="F91" s="1" t="s">
        <v>314</v>
      </c>
      <c r="G91" s="1" t="s">
        <v>191</v>
      </c>
      <c r="H91" s="1" t="s">
        <v>752</v>
      </c>
      <c r="I91" s="1" t="s">
        <v>753</v>
      </c>
      <c r="J91" s="1" t="s">
        <v>174</v>
      </c>
      <c r="K91" s="1" t="s">
        <v>667</v>
      </c>
      <c r="L91" s="1" t="s">
        <v>174</v>
      </c>
      <c r="M91" s="1" t="s">
        <v>174</v>
      </c>
      <c r="N91" s="20">
        <v>0.63</v>
      </c>
      <c r="O91" s="1" t="s">
        <v>754</v>
      </c>
      <c r="P91" s="1" t="s">
        <v>777</v>
      </c>
    </row>
    <row r="92" spans="1:16">
      <c r="A92" s="1" t="s">
        <v>169</v>
      </c>
      <c r="B92" s="1" t="s">
        <v>170</v>
      </c>
      <c r="C92" s="1">
        <v>2005</v>
      </c>
      <c r="D92" s="1">
        <v>2004</v>
      </c>
      <c r="E92" s="1">
        <v>2004</v>
      </c>
      <c r="F92" s="1" t="s">
        <v>322</v>
      </c>
      <c r="G92" s="1" t="s">
        <v>191</v>
      </c>
      <c r="H92" s="1" t="s">
        <v>752</v>
      </c>
      <c r="I92" s="1" t="s">
        <v>753</v>
      </c>
      <c r="J92" s="1" t="s">
        <v>606</v>
      </c>
      <c r="K92" s="1" t="s">
        <v>667</v>
      </c>
      <c r="L92" s="1">
        <v>1000</v>
      </c>
      <c r="M92" s="1" t="s">
        <v>174</v>
      </c>
      <c r="N92" s="20">
        <v>5.52</v>
      </c>
      <c r="O92" s="1" t="s">
        <v>754</v>
      </c>
    </row>
    <row r="93" spans="1:16">
      <c r="A93" s="1" t="s">
        <v>169</v>
      </c>
      <c r="B93" s="1" t="s">
        <v>170</v>
      </c>
      <c r="C93" s="1">
        <v>2005</v>
      </c>
      <c r="D93" s="1">
        <v>2004</v>
      </c>
      <c r="E93" s="1">
        <v>2004</v>
      </c>
      <c r="F93" s="1" t="s">
        <v>322</v>
      </c>
      <c r="G93" s="1" t="s">
        <v>191</v>
      </c>
      <c r="H93" s="1" t="s">
        <v>752</v>
      </c>
      <c r="I93" s="1" t="s">
        <v>753</v>
      </c>
      <c r="J93" s="1" t="s">
        <v>607</v>
      </c>
      <c r="K93" s="1" t="s">
        <v>667</v>
      </c>
      <c r="L93" s="1" t="s">
        <v>174</v>
      </c>
      <c r="M93" s="1" t="s">
        <v>174</v>
      </c>
      <c r="N93" s="20">
        <v>5.43</v>
      </c>
      <c r="O93" s="1" t="s">
        <v>754</v>
      </c>
      <c r="P93" s="1" t="s">
        <v>778</v>
      </c>
    </row>
    <row r="94" spans="1:16">
      <c r="A94" s="1" t="s">
        <v>169</v>
      </c>
      <c r="B94" s="1" t="s">
        <v>170</v>
      </c>
      <c r="C94" s="1">
        <v>2005</v>
      </c>
      <c r="D94" s="1">
        <v>2004</v>
      </c>
      <c r="E94" s="1">
        <v>2004</v>
      </c>
      <c r="F94" s="1" t="s">
        <v>322</v>
      </c>
      <c r="G94" s="1" t="s">
        <v>191</v>
      </c>
      <c r="H94" s="1" t="s">
        <v>752</v>
      </c>
      <c r="I94" s="1" t="s">
        <v>753</v>
      </c>
      <c r="J94" s="1" t="s">
        <v>608</v>
      </c>
      <c r="K94" s="1" t="s">
        <v>667</v>
      </c>
      <c r="L94" s="1" t="s">
        <v>174</v>
      </c>
      <c r="M94" s="1" t="s">
        <v>174</v>
      </c>
      <c r="N94" s="20">
        <v>5.07</v>
      </c>
      <c r="O94" s="1" t="s">
        <v>754</v>
      </c>
      <c r="P94" s="1" t="s">
        <v>778</v>
      </c>
    </row>
    <row r="95" spans="1:16">
      <c r="A95" s="1" t="s">
        <v>169</v>
      </c>
      <c r="B95" s="1" t="s">
        <v>170</v>
      </c>
      <c r="C95" s="1">
        <v>2005</v>
      </c>
      <c r="D95" s="1">
        <v>2004</v>
      </c>
      <c r="E95" s="1">
        <v>2004</v>
      </c>
      <c r="F95" s="1" t="s">
        <v>322</v>
      </c>
      <c r="G95" s="1" t="s">
        <v>191</v>
      </c>
      <c r="H95" s="1" t="s">
        <v>752</v>
      </c>
      <c r="I95" s="1" t="s">
        <v>753</v>
      </c>
      <c r="J95" s="1" t="s">
        <v>756</v>
      </c>
      <c r="K95" s="1" t="s">
        <v>667</v>
      </c>
      <c r="L95" s="1" t="s">
        <v>174</v>
      </c>
      <c r="M95" s="1" t="s">
        <v>779</v>
      </c>
      <c r="N95" s="20">
        <v>3.7</v>
      </c>
      <c r="O95" s="1" t="s">
        <v>754</v>
      </c>
      <c r="P95" s="1" t="s">
        <v>778</v>
      </c>
    </row>
    <row r="96" spans="1:16">
      <c r="A96" s="1" t="s">
        <v>169</v>
      </c>
      <c r="B96" s="1" t="s">
        <v>170</v>
      </c>
      <c r="C96" s="1">
        <v>2007</v>
      </c>
      <c r="D96" s="1">
        <v>2004</v>
      </c>
      <c r="E96" s="1">
        <v>2004</v>
      </c>
      <c r="F96" s="1" t="s">
        <v>322</v>
      </c>
      <c r="G96" s="1" t="s">
        <v>191</v>
      </c>
      <c r="H96" s="1" t="s">
        <v>752</v>
      </c>
      <c r="I96" s="1" t="s">
        <v>753</v>
      </c>
      <c r="J96" s="1" t="s">
        <v>756</v>
      </c>
      <c r="K96" s="1" t="s">
        <v>667</v>
      </c>
      <c r="L96" s="1" t="s">
        <v>174</v>
      </c>
      <c r="M96" s="1" t="s">
        <v>780</v>
      </c>
      <c r="N96" s="20">
        <v>3.65</v>
      </c>
      <c r="O96" s="1" t="s">
        <v>754</v>
      </c>
    </row>
    <row r="97" spans="1:16">
      <c r="A97" s="1" t="s">
        <v>169</v>
      </c>
      <c r="B97" s="1" t="s">
        <v>170</v>
      </c>
      <c r="C97" s="1">
        <v>2005</v>
      </c>
      <c r="D97" s="1">
        <v>2004</v>
      </c>
      <c r="E97" s="1">
        <v>2004</v>
      </c>
      <c r="F97" s="1" t="s">
        <v>322</v>
      </c>
      <c r="G97" s="1" t="s">
        <v>191</v>
      </c>
      <c r="H97" s="1" t="s">
        <v>752</v>
      </c>
      <c r="I97" s="1" t="s">
        <v>753</v>
      </c>
      <c r="J97" s="1" t="s">
        <v>774</v>
      </c>
      <c r="K97" s="1" t="s">
        <v>667</v>
      </c>
      <c r="L97" s="1" t="s">
        <v>174</v>
      </c>
      <c r="M97" s="1" t="s">
        <v>174</v>
      </c>
      <c r="N97" s="20">
        <v>7.43</v>
      </c>
      <c r="O97" s="1" t="s">
        <v>754</v>
      </c>
      <c r="P97" s="1" t="s">
        <v>778</v>
      </c>
    </row>
    <row r="98" spans="1:16">
      <c r="A98" s="1" t="s">
        <v>169</v>
      </c>
      <c r="B98" s="1" t="s">
        <v>170</v>
      </c>
      <c r="C98" s="1">
        <v>2005</v>
      </c>
      <c r="D98" s="1">
        <v>2005</v>
      </c>
      <c r="E98" s="1">
        <v>2005</v>
      </c>
      <c r="F98" s="1" t="s">
        <v>322</v>
      </c>
      <c r="G98" s="1" t="s">
        <v>191</v>
      </c>
      <c r="H98" s="1" t="s">
        <v>763</v>
      </c>
      <c r="I98" s="1" t="s">
        <v>764</v>
      </c>
      <c r="J98" s="1">
        <v>0.625</v>
      </c>
      <c r="K98" s="1" t="s">
        <v>775</v>
      </c>
      <c r="L98" s="1">
        <v>1000</v>
      </c>
      <c r="M98" s="1" t="s">
        <v>174</v>
      </c>
      <c r="N98" s="20">
        <v>12.42</v>
      </c>
      <c r="O98" s="1" t="s">
        <v>776</v>
      </c>
    </row>
    <row r="99" spans="1:16">
      <c r="A99" s="1" t="s">
        <v>169</v>
      </c>
      <c r="B99" s="1" t="s">
        <v>170</v>
      </c>
      <c r="C99" s="1">
        <v>2005</v>
      </c>
      <c r="D99" s="1">
        <v>2005</v>
      </c>
      <c r="E99" s="1">
        <v>2005</v>
      </c>
      <c r="F99" s="1" t="s">
        <v>322</v>
      </c>
      <c r="G99" s="1" t="s">
        <v>191</v>
      </c>
      <c r="H99" s="1" t="s">
        <v>752</v>
      </c>
      <c r="I99" s="1" t="s">
        <v>753</v>
      </c>
      <c r="J99" s="1" t="s">
        <v>606</v>
      </c>
      <c r="K99" s="1" t="s">
        <v>667</v>
      </c>
      <c r="L99" s="1">
        <v>1000</v>
      </c>
      <c r="M99" s="1" t="s">
        <v>174</v>
      </c>
      <c r="N99" s="20">
        <v>6.46</v>
      </c>
      <c r="O99" s="1" t="s">
        <v>754</v>
      </c>
      <c r="P99" s="1" t="s">
        <v>781</v>
      </c>
    </row>
    <row r="100" spans="1:16">
      <c r="A100" s="1" t="s">
        <v>169</v>
      </c>
      <c r="B100" s="1" t="s">
        <v>170</v>
      </c>
      <c r="C100" s="1">
        <v>2005</v>
      </c>
      <c r="D100" s="1">
        <v>2005</v>
      </c>
      <c r="E100" s="1">
        <v>2005</v>
      </c>
      <c r="F100" s="1" t="s">
        <v>322</v>
      </c>
      <c r="G100" s="1" t="s">
        <v>191</v>
      </c>
      <c r="H100" s="1" t="s">
        <v>752</v>
      </c>
      <c r="I100" s="1" t="s">
        <v>753</v>
      </c>
      <c r="J100" s="1" t="s">
        <v>607</v>
      </c>
      <c r="K100" s="1" t="s">
        <v>667</v>
      </c>
      <c r="L100" s="1" t="s">
        <v>174</v>
      </c>
      <c r="M100" s="1" t="s">
        <v>174</v>
      </c>
      <c r="N100" s="20">
        <v>6.35</v>
      </c>
      <c r="O100" s="1" t="s">
        <v>754</v>
      </c>
      <c r="P100" s="1" t="s">
        <v>781</v>
      </c>
    </row>
    <row r="101" spans="1:16">
      <c r="A101" s="1" t="s">
        <v>169</v>
      </c>
      <c r="B101" s="1" t="s">
        <v>170</v>
      </c>
      <c r="C101" s="1">
        <v>2005</v>
      </c>
      <c r="D101" s="1">
        <v>2005</v>
      </c>
      <c r="E101" s="1">
        <v>2005</v>
      </c>
      <c r="F101" s="1" t="s">
        <v>322</v>
      </c>
      <c r="G101" s="1" t="s">
        <v>191</v>
      </c>
      <c r="H101" s="1" t="s">
        <v>752</v>
      </c>
      <c r="I101" s="1" t="s">
        <v>753</v>
      </c>
      <c r="J101" s="1" t="s">
        <v>608</v>
      </c>
      <c r="K101" s="1" t="s">
        <v>667</v>
      </c>
      <c r="L101" s="1" t="s">
        <v>174</v>
      </c>
      <c r="M101" s="1" t="s">
        <v>174</v>
      </c>
      <c r="N101" s="20">
        <v>5.93</v>
      </c>
      <c r="O101" s="1" t="s">
        <v>754</v>
      </c>
      <c r="P101" s="1" t="s">
        <v>781</v>
      </c>
    </row>
    <row r="102" spans="1:16">
      <c r="A102" s="1" t="s">
        <v>169</v>
      </c>
      <c r="B102" s="1" t="s">
        <v>170</v>
      </c>
      <c r="C102" s="1">
        <v>2005</v>
      </c>
      <c r="D102" s="1">
        <v>2005</v>
      </c>
      <c r="E102" s="1">
        <v>2005</v>
      </c>
      <c r="F102" s="1" t="s">
        <v>322</v>
      </c>
      <c r="G102" s="1" t="s">
        <v>191</v>
      </c>
      <c r="H102" s="1" t="s">
        <v>752</v>
      </c>
      <c r="I102" s="1" t="s">
        <v>753</v>
      </c>
      <c r="J102" s="1" t="s">
        <v>756</v>
      </c>
      <c r="K102" s="1" t="s">
        <v>667</v>
      </c>
      <c r="L102" s="1" t="s">
        <v>174</v>
      </c>
      <c r="M102" s="1" t="s">
        <v>779</v>
      </c>
      <c r="N102" s="20">
        <v>4.33</v>
      </c>
      <c r="O102" s="1" t="s">
        <v>754</v>
      </c>
      <c r="P102" s="1" t="s">
        <v>781</v>
      </c>
    </row>
    <row r="103" spans="1:16">
      <c r="A103" s="1" t="s">
        <v>169</v>
      </c>
      <c r="B103" s="1" t="s">
        <v>170</v>
      </c>
      <c r="C103" s="1">
        <v>2007</v>
      </c>
      <c r="D103" s="1">
        <v>2005</v>
      </c>
      <c r="E103" s="1">
        <v>2005</v>
      </c>
      <c r="F103" s="1" t="s">
        <v>322</v>
      </c>
      <c r="G103" s="1" t="s">
        <v>191</v>
      </c>
      <c r="H103" s="1" t="s">
        <v>752</v>
      </c>
      <c r="I103" s="1" t="s">
        <v>753</v>
      </c>
      <c r="J103" s="1" t="s">
        <v>756</v>
      </c>
      <c r="K103" s="1" t="s">
        <v>667</v>
      </c>
      <c r="L103" s="1" t="s">
        <v>174</v>
      </c>
      <c r="M103" s="1" t="s">
        <v>780</v>
      </c>
      <c r="N103" s="20">
        <v>4.2699999999999996</v>
      </c>
      <c r="O103" s="1" t="s">
        <v>754</v>
      </c>
    </row>
    <row r="104" spans="1:16">
      <c r="A104" s="1" t="s">
        <v>169</v>
      </c>
      <c r="B104" s="1" t="s">
        <v>170</v>
      </c>
      <c r="C104" s="1">
        <v>2005</v>
      </c>
      <c r="D104" s="1">
        <v>2005</v>
      </c>
      <c r="E104" s="1">
        <v>2005</v>
      </c>
      <c r="F104" s="1" t="s">
        <v>322</v>
      </c>
      <c r="G104" s="1" t="s">
        <v>191</v>
      </c>
      <c r="H104" s="1" t="s">
        <v>752</v>
      </c>
      <c r="I104" s="1" t="s">
        <v>753</v>
      </c>
      <c r="J104" s="1" t="s">
        <v>774</v>
      </c>
      <c r="K104" s="1" t="s">
        <v>667</v>
      </c>
      <c r="L104" s="1" t="s">
        <v>174</v>
      </c>
      <c r="M104" s="1" t="s">
        <v>174</v>
      </c>
      <c r="N104" s="20">
        <v>8.69</v>
      </c>
      <c r="O104" s="1" t="s">
        <v>754</v>
      </c>
      <c r="P104" s="1" t="s">
        <v>781</v>
      </c>
    </row>
    <row r="105" spans="1:16">
      <c r="A105" s="1" t="s">
        <v>169</v>
      </c>
      <c r="B105" s="1" t="s">
        <v>170</v>
      </c>
      <c r="C105" s="1">
        <v>2005</v>
      </c>
      <c r="D105" s="1">
        <v>2005</v>
      </c>
      <c r="E105" s="1">
        <v>2005</v>
      </c>
      <c r="F105" s="1" t="s">
        <v>314</v>
      </c>
      <c r="G105" s="1" t="s">
        <v>191</v>
      </c>
      <c r="H105" s="1" t="s">
        <v>752</v>
      </c>
      <c r="I105" s="1" t="s">
        <v>753</v>
      </c>
      <c r="J105" s="1" t="s">
        <v>174</v>
      </c>
      <c r="K105" s="1" t="s">
        <v>667</v>
      </c>
      <c r="L105" s="1" t="s">
        <v>174</v>
      </c>
      <c r="M105" s="1" t="s">
        <v>174</v>
      </c>
      <c r="N105" s="20">
        <v>1.46</v>
      </c>
      <c r="O105" s="1" t="s">
        <v>754</v>
      </c>
      <c r="P105" s="1" t="s">
        <v>782</v>
      </c>
    </row>
    <row r="106" spans="1:16">
      <c r="A106" s="1" t="s">
        <v>169</v>
      </c>
      <c r="B106" s="1" t="s">
        <v>170</v>
      </c>
      <c r="C106" s="1">
        <v>2007</v>
      </c>
      <c r="D106" s="1">
        <v>2006</v>
      </c>
      <c r="E106" s="1">
        <v>2006</v>
      </c>
      <c r="F106" s="1" t="s">
        <v>322</v>
      </c>
      <c r="G106" s="1" t="s">
        <v>191</v>
      </c>
      <c r="H106" s="1" t="s">
        <v>752</v>
      </c>
      <c r="I106" s="1" t="s">
        <v>753</v>
      </c>
      <c r="J106" s="1" t="s">
        <v>606</v>
      </c>
      <c r="K106" s="1" t="s">
        <v>667</v>
      </c>
      <c r="L106" s="1">
        <v>1000</v>
      </c>
      <c r="M106" s="1" t="s">
        <v>174</v>
      </c>
      <c r="N106" s="20">
        <v>6.99</v>
      </c>
      <c r="O106" s="1" t="s">
        <v>754</v>
      </c>
    </row>
    <row r="107" spans="1:16">
      <c r="A107" s="1" t="s">
        <v>169</v>
      </c>
      <c r="B107" s="1" t="s">
        <v>170</v>
      </c>
      <c r="C107" s="1">
        <v>2007</v>
      </c>
      <c r="D107" s="1">
        <v>2006</v>
      </c>
      <c r="E107" s="1">
        <v>2006</v>
      </c>
      <c r="F107" s="1" t="s">
        <v>322</v>
      </c>
      <c r="G107" s="1" t="s">
        <v>191</v>
      </c>
      <c r="H107" s="1" t="s">
        <v>752</v>
      </c>
      <c r="I107" s="1" t="s">
        <v>753</v>
      </c>
      <c r="J107" s="1" t="s">
        <v>607</v>
      </c>
      <c r="K107" s="1" t="s">
        <v>667</v>
      </c>
      <c r="L107" s="1" t="s">
        <v>174</v>
      </c>
      <c r="M107" s="1" t="s">
        <v>174</v>
      </c>
      <c r="N107" s="20">
        <v>5.79</v>
      </c>
      <c r="O107" s="1" t="s">
        <v>754</v>
      </c>
    </row>
    <row r="108" spans="1:16">
      <c r="A108" s="1" t="s">
        <v>169</v>
      </c>
      <c r="B108" s="1" t="s">
        <v>170</v>
      </c>
      <c r="C108" s="1">
        <v>2007</v>
      </c>
      <c r="D108" s="1">
        <v>2006</v>
      </c>
      <c r="E108" s="1">
        <v>2006</v>
      </c>
      <c r="F108" s="1" t="s">
        <v>322</v>
      </c>
      <c r="G108" s="1" t="s">
        <v>191</v>
      </c>
      <c r="H108" s="1" t="s">
        <v>752</v>
      </c>
      <c r="I108" s="1" t="s">
        <v>753</v>
      </c>
      <c r="J108" s="1" t="s">
        <v>608</v>
      </c>
      <c r="K108" s="1" t="s">
        <v>667</v>
      </c>
      <c r="L108" s="1" t="s">
        <v>174</v>
      </c>
      <c r="M108" s="1" t="s">
        <v>174</v>
      </c>
      <c r="N108" s="20">
        <v>5.3</v>
      </c>
      <c r="O108" s="1" t="s">
        <v>754</v>
      </c>
    </row>
    <row r="109" spans="1:16">
      <c r="A109" s="1" t="s">
        <v>169</v>
      </c>
      <c r="B109" s="1" t="s">
        <v>170</v>
      </c>
      <c r="C109" s="1">
        <v>2007</v>
      </c>
      <c r="D109" s="1">
        <v>2006</v>
      </c>
      <c r="E109" s="1">
        <v>2006</v>
      </c>
      <c r="F109" s="1" t="s">
        <v>322</v>
      </c>
      <c r="G109" s="1" t="s">
        <v>191</v>
      </c>
      <c r="H109" s="1" t="s">
        <v>752</v>
      </c>
      <c r="I109" s="1" t="s">
        <v>753</v>
      </c>
      <c r="J109" s="1" t="s">
        <v>756</v>
      </c>
      <c r="K109" s="1" t="s">
        <v>667</v>
      </c>
      <c r="L109" s="1" t="s">
        <v>174</v>
      </c>
      <c r="M109" s="1" t="s">
        <v>174</v>
      </c>
      <c r="N109" s="20">
        <v>3.69</v>
      </c>
      <c r="O109" s="1" t="s">
        <v>754</v>
      </c>
    </row>
    <row r="110" spans="1:16" ht="15" customHeight="1">
      <c r="A110" s="1" t="s">
        <v>169</v>
      </c>
      <c r="B110" s="1" t="s">
        <v>170</v>
      </c>
      <c r="C110" s="1">
        <v>2007</v>
      </c>
      <c r="D110" s="1">
        <v>2006</v>
      </c>
      <c r="E110" s="1">
        <v>2006</v>
      </c>
      <c r="F110" s="1" t="s">
        <v>322</v>
      </c>
      <c r="G110" s="1" t="s">
        <v>191</v>
      </c>
      <c r="H110" s="1" t="s">
        <v>752</v>
      </c>
      <c r="I110" s="1" t="s">
        <v>753</v>
      </c>
      <c r="J110" s="1" t="s">
        <v>774</v>
      </c>
      <c r="K110" s="1" t="s">
        <v>667</v>
      </c>
      <c r="L110" s="1" t="s">
        <v>174</v>
      </c>
      <c r="M110" s="1" t="s">
        <v>174</v>
      </c>
      <c r="N110" s="20">
        <v>9.25</v>
      </c>
      <c r="O110" s="1" t="s">
        <v>754</v>
      </c>
    </row>
    <row r="111" spans="1:16">
      <c r="A111" s="1" t="s">
        <v>169</v>
      </c>
      <c r="B111" s="1" t="s">
        <v>170</v>
      </c>
      <c r="C111" s="1">
        <v>2007</v>
      </c>
      <c r="D111" s="1">
        <v>2007</v>
      </c>
      <c r="E111" s="1">
        <v>2007</v>
      </c>
      <c r="F111" s="1" t="s">
        <v>322</v>
      </c>
      <c r="G111" s="1" t="s">
        <v>191</v>
      </c>
      <c r="H111" s="1" t="s">
        <v>752</v>
      </c>
      <c r="I111" s="1" t="s">
        <v>753</v>
      </c>
      <c r="J111" s="1" t="s">
        <v>606</v>
      </c>
      <c r="K111" s="1" t="s">
        <v>667</v>
      </c>
      <c r="L111" s="1">
        <v>1000</v>
      </c>
      <c r="M111" s="1" t="s">
        <v>174</v>
      </c>
      <c r="N111" s="20">
        <v>7.5</v>
      </c>
      <c r="O111" s="1" t="s">
        <v>754</v>
      </c>
    </row>
    <row r="112" spans="1:16">
      <c r="A112" s="1" t="s">
        <v>169</v>
      </c>
      <c r="B112" s="1" t="s">
        <v>170</v>
      </c>
      <c r="C112" s="1">
        <v>2007</v>
      </c>
      <c r="D112" s="1">
        <v>2007</v>
      </c>
      <c r="E112" s="1">
        <v>2007</v>
      </c>
      <c r="F112" s="1" t="s">
        <v>322</v>
      </c>
      <c r="G112" s="1" t="s">
        <v>191</v>
      </c>
      <c r="H112" s="1" t="s">
        <v>752</v>
      </c>
      <c r="I112" s="1" t="s">
        <v>753</v>
      </c>
      <c r="J112" s="1" t="s">
        <v>607</v>
      </c>
      <c r="K112" s="1" t="s">
        <v>667</v>
      </c>
      <c r="L112" s="1" t="s">
        <v>174</v>
      </c>
      <c r="M112" s="1" t="s">
        <v>174</v>
      </c>
      <c r="N112" s="20">
        <v>7.19</v>
      </c>
      <c r="O112" s="1" t="s">
        <v>754</v>
      </c>
    </row>
    <row r="113" spans="1:16">
      <c r="A113" s="1" t="s">
        <v>169</v>
      </c>
      <c r="B113" s="1" t="s">
        <v>170</v>
      </c>
      <c r="C113" s="1">
        <v>2007</v>
      </c>
      <c r="D113" s="1">
        <v>2007</v>
      </c>
      <c r="E113" s="1">
        <v>2007</v>
      </c>
      <c r="F113" s="1" t="s">
        <v>322</v>
      </c>
      <c r="G113" s="1" t="s">
        <v>191</v>
      </c>
      <c r="H113" s="1" t="s">
        <v>752</v>
      </c>
      <c r="I113" s="1" t="s">
        <v>753</v>
      </c>
      <c r="J113" s="1" t="s">
        <v>608</v>
      </c>
      <c r="K113" s="1" t="s">
        <v>667</v>
      </c>
      <c r="L113" s="1" t="s">
        <v>174</v>
      </c>
      <c r="M113" s="1" t="s">
        <v>174</v>
      </c>
      <c r="N113" s="20">
        <v>6.74</v>
      </c>
      <c r="O113" s="1" t="s">
        <v>754</v>
      </c>
    </row>
    <row r="114" spans="1:16">
      <c r="A114" s="1" t="s">
        <v>169</v>
      </c>
      <c r="B114" s="1" t="s">
        <v>170</v>
      </c>
      <c r="C114" s="1">
        <v>2007</v>
      </c>
      <c r="D114" s="1">
        <v>2007</v>
      </c>
      <c r="E114" s="1">
        <v>2005</v>
      </c>
      <c r="F114" s="1" t="s">
        <v>322</v>
      </c>
      <c r="G114" s="1" t="s">
        <v>191</v>
      </c>
      <c r="H114" s="1" t="s">
        <v>752</v>
      </c>
      <c r="I114" s="1" t="s">
        <v>753</v>
      </c>
      <c r="J114" s="1" t="s">
        <v>756</v>
      </c>
      <c r="K114" s="1" t="s">
        <v>667</v>
      </c>
      <c r="L114" s="1" t="s">
        <v>174</v>
      </c>
      <c r="M114" s="1" t="s">
        <v>174</v>
      </c>
      <c r="N114" s="20">
        <v>3.69</v>
      </c>
      <c r="O114" s="1" t="s">
        <v>754</v>
      </c>
      <c r="P114" s="1" t="s">
        <v>783</v>
      </c>
    </row>
    <row r="115" spans="1:16">
      <c r="A115" s="1" t="s">
        <v>169</v>
      </c>
      <c r="B115" s="1" t="s">
        <v>170</v>
      </c>
      <c r="C115" s="1">
        <v>2007</v>
      </c>
      <c r="D115" s="1">
        <v>2007</v>
      </c>
      <c r="E115" s="1">
        <v>2007</v>
      </c>
      <c r="F115" s="1" t="s">
        <v>322</v>
      </c>
      <c r="G115" s="1" t="s">
        <v>191</v>
      </c>
      <c r="H115" s="1" t="s">
        <v>752</v>
      </c>
      <c r="I115" s="1" t="s">
        <v>753</v>
      </c>
      <c r="J115" s="1" t="s">
        <v>774</v>
      </c>
      <c r="K115" s="1" t="s">
        <v>667</v>
      </c>
      <c r="L115" s="1" t="s">
        <v>174</v>
      </c>
      <c r="M115" s="1" t="s">
        <v>174</v>
      </c>
      <c r="N115" s="20">
        <v>9.83</v>
      </c>
      <c r="O115" s="1" t="s">
        <v>754</v>
      </c>
    </row>
    <row r="116" spans="1:16">
      <c r="A116" s="1" t="s">
        <v>169</v>
      </c>
      <c r="B116" s="1" t="s">
        <v>170</v>
      </c>
      <c r="C116" s="1">
        <v>2007</v>
      </c>
      <c r="D116" s="1">
        <v>2004</v>
      </c>
      <c r="E116" s="1">
        <v>2004</v>
      </c>
      <c r="F116" s="1" t="s">
        <v>322</v>
      </c>
      <c r="G116" s="1" t="s">
        <v>191</v>
      </c>
      <c r="H116" s="1" t="s">
        <v>763</v>
      </c>
      <c r="I116" s="1" t="s">
        <v>764</v>
      </c>
      <c r="J116" s="1">
        <v>0.625</v>
      </c>
      <c r="K116" s="1" t="s">
        <v>775</v>
      </c>
      <c r="L116" s="1">
        <v>1000</v>
      </c>
      <c r="M116" s="1" t="s">
        <v>174</v>
      </c>
      <c r="N116" s="20">
        <v>11.86</v>
      </c>
      <c r="O116" s="1" t="s">
        <v>784</v>
      </c>
    </row>
    <row r="117" spans="1:16">
      <c r="A117" s="1" t="s">
        <v>169</v>
      </c>
      <c r="B117" s="1" t="s">
        <v>170</v>
      </c>
      <c r="C117" s="1">
        <v>2007</v>
      </c>
      <c r="D117" s="1">
        <v>2004</v>
      </c>
      <c r="E117" s="1">
        <v>2004</v>
      </c>
      <c r="F117" s="1" t="s">
        <v>322</v>
      </c>
      <c r="G117" s="1" t="s">
        <v>191</v>
      </c>
      <c r="H117" s="1" t="s">
        <v>763</v>
      </c>
      <c r="I117" s="1" t="s">
        <v>764</v>
      </c>
      <c r="J117" s="1">
        <v>0.75</v>
      </c>
      <c r="K117" s="1" t="s">
        <v>775</v>
      </c>
      <c r="L117" s="1">
        <v>2000</v>
      </c>
      <c r="M117" s="1" t="s">
        <v>174</v>
      </c>
      <c r="N117" s="20">
        <v>20.52</v>
      </c>
      <c r="O117" s="1" t="s">
        <v>784</v>
      </c>
    </row>
    <row r="118" spans="1:16">
      <c r="A118" s="1" t="s">
        <v>169</v>
      </c>
      <c r="B118" s="1" t="s">
        <v>170</v>
      </c>
      <c r="C118" s="1">
        <v>2007</v>
      </c>
      <c r="D118" s="1">
        <v>2004</v>
      </c>
      <c r="E118" s="1">
        <v>2004</v>
      </c>
      <c r="F118" s="1" t="s">
        <v>322</v>
      </c>
      <c r="G118" s="1" t="s">
        <v>191</v>
      </c>
      <c r="H118" s="1" t="s">
        <v>763</v>
      </c>
      <c r="I118" s="1" t="s">
        <v>764</v>
      </c>
      <c r="J118" s="1">
        <v>1</v>
      </c>
      <c r="K118" s="1" t="s">
        <v>775</v>
      </c>
      <c r="L118" s="1">
        <v>5000</v>
      </c>
      <c r="M118" s="1" t="s">
        <v>174</v>
      </c>
      <c r="N118" s="20">
        <v>39.28</v>
      </c>
      <c r="O118" s="1" t="s">
        <v>784</v>
      </c>
    </row>
    <row r="119" spans="1:16">
      <c r="A119" s="1" t="s">
        <v>169</v>
      </c>
      <c r="B119" s="1" t="s">
        <v>170</v>
      </c>
      <c r="C119" s="1">
        <v>2007</v>
      </c>
      <c r="D119" s="1">
        <v>2004</v>
      </c>
      <c r="E119" s="1">
        <v>2004</v>
      </c>
      <c r="F119" s="1" t="s">
        <v>322</v>
      </c>
      <c r="G119" s="1" t="s">
        <v>191</v>
      </c>
      <c r="H119" s="1" t="s">
        <v>763</v>
      </c>
      <c r="I119" s="1" t="s">
        <v>764</v>
      </c>
      <c r="J119" s="1">
        <v>1.25</v>
      </c>
      <c r="K119" s="1" t="s">
        <v>775</v>
      </c>
      <c r="L119" s="1">
        <v>7000</v>
      </c>
      <c r="M119" s="1" t="s">
        <v>174</v>
      </c>
      <c r="N119" s="20">
        <v>61.65</v>
      </c>
      <c r="O119" s="1" t="s">
        <v>784</v>
      </c>
    </row>
    <row r="120" spans="1:16">
      <c r="A120" s="1" t="s">
        <v>169</v>
      </c>
      <c r="B120" s="1" t="s">
        <v>170</v>
      </c>
      <c r="C120" s="1">
        <v>2007</v>
      </c>
      <c r="D120" s="1">
        <v>2004</v>
      </c>
      <c r="E120" s="1">
        <v>2004</v>
      </c>
      <c r="F120" s="1" t="s">
        <v>322</v>
      </c>
      <c r="G120" s="1" t="s">
        <v>191</v>
      </c>
      <c r="H120" s="1" t="s">
        <v>763</v>
      </c>
      <c r="I120" s="1" t="s">
        <v>764</v>
      </c>
      <c r="J120" s="1">
        <v>1.5</v>
      </c>
      <c r="K120" s="1" t="s">
        <v>775</v>
      </c>
      <c r="L120" s="1">
        <v>10000</v>
      </c>
      <c r="M120" s="1" t="s">
        <v>174</v>
      </c>
      <c r="N120" s="20">
        <v>76.98</v>
      </c>
      <c r="O120" s="1" t="s">
        <v>784</v>
      </c>
    </row>
    <row r="121" spans="1:16">
      <c r="A121" s="1" t="s">
        <v>169</v>
      </c>
      <c r="B121" s="1" t="s">
        <v>170</v>
      </c>
      <c r="C121" s="1">
        <v>2007</v>
      </c>
      <c r="D121" s="1">
        <v>2004</v>
      </c>
      <c r="E121" s="1">
        <v>2004</v>
      </c>
      <c r="F121" s="1" t="s">
        <v>322</v>
      </c>
      <c r="G121" s="1" t="s">
        <v>191</v>
      </c>
      <c r="H121" s="1" t="s">
        <v>763</v>
      </c>
      <c r="I121" s="1" t="s">
        <v>764</v>
      </c>
      <c r="J121" s="1">
        <v>2</v>
      </c>
      <c r="K121" s="1" t="s">
        <v>775</v>
      </c>
      <c r="L121" s="1">
        <v>17000</v>
      </c>
      <c r="M121" s="1" t="s">
        <v>174</v>
      </c>
      <c r="N121" s="20">
        <v>119.02</v>
      </c>
      <c r="O121" s="1" t="s">
        <v>784</v>
      </c>
    </row>
    <row r="122" spans="1:16">
      <c r="A122" s="1" t="s">
        <v>169</v>
      </c>
      <c r="B122" s="1" t="s">
        <v>170</v>
      </c>
      <c r="C122" s="1">
        <v>2007</v>
      </c>
      <c r="D122" s="1">
        <v>2004</v>
      </c>
      <c r="E122" s="1">
        <v>2004</v>
      </c>
      <c r="F122" s="1" t="s">
        <v>322</v>
      </c>
      <c r="G122" s="1" t="s">
        <v>191</v>
      </c>
      <c r="H122" s="1" t="s">
        <v>763</v>
      </c>
      <c r="I122" s="1" t="s">
        <v>764</v>
      </c>
      <c r="J122" s="1">
        <v>3</v>
      </c>
      <c r="K122" s="1" t="s">
        <v>775</v>
      </c>
      <c r="L122" s="1">
        <v>40000</v>
      </c>
      <c r="M122" s="1" t="s">
        <v>174</v>
      </c>
      <c r="N122" s="20">
        <v>254.04</v>
      </c>
      <c r="O122" s="1" t="s">
        <v>784</v>
      </c>
    </row>
    <row r="123" spans="1:16">
      <c r="A123" s="1" t="s">
        <v>169</v>
      </c>
      <c r="B123" s="1" t="s">
        <v>170</v>
      </c>
      <c r="C123" s="1">
        <v>2007</v>
      </c>
      <c r="D123" s="1">
        <v>2004</v>
      </c>
      <c r="E123" s="1">
        <v>2004</v>
      </c>
      <c r="F123" s="1" t="s">
        <v>322</v>
      </c>
      <c r="G123" s="1" t="s">
        <v>191</v>
      </c>
      <c r="H123" s="1" t="s">
        <v>763</v>
      </c>
      <c r="I123" s="1" t="s">
        <v>764</v>
      </c>
      <c r="J123" s="1">
        <v>4</v>
      </c>
      <c r="K123" s="1" t="s">
        <v>775</v>
      </c>
      <c r="L123" s="1">
        <v>70000</v>
      </c>
      <c r="M123" s="1" t="s">
        <v>174</v>
      </c>
      <c r="N123" s="20">
        <v>452.65</v>
      </c>
      <c r="O123" s="1" t="s">
        <v>784</v>
      </c>
    </row>
    <row r="124" spans="1:16">
      <c r="A124" s="1" t="s">
        <v>169</v>
      </c>
      <c r="B124" s="1" t="s">
        <v>170</v>
      </c>
      <c r="C124" s="1">
        <v>2007</v>
      </c>
      <c r="D124" s="1">
        <v>2004</v>
      </c>
      <c r="E124" s="1">
        <v>2004</v>
      </c>
      <c r="F124" s="1" t="s">
        <v>322</v>
      </c>
      <c r="G124" s="1" t="s">
        <v>191</v>
      </c>
      <c r="H124" s="1" t="s">
        <v>763</v>
      </c>
      <c r="I124" s="1" t="s">
        <v>764</v>
      </c>
      <c r="J124" s="1">
        <v>6</v>
      </c>
      <c r="K124" s="1" t="s">
        <v>775</v>
      </c>
      <c r="L124" s="1">
        <v>175000</v>
      </c>
      <c r="M124" s="1" t="s">
        <v>174</v>
      </c>
      <c r="N124" s="20">
        <v>1087.8699999999999</v>
      </c>
      <c r="O124" s="1" t="s">
        <v>784</v>
      </c>
    </row>
    <row r="125" spans="1:16">
      <c r="A125" s="1" t="s">
        <v>169</v>
      </c>
      <c r="B125" s="1" t="s">
        <v>170</v>
      </c>
      <c r="C125" s="1">
        <v>2007</v>
      </c>
      <c r="D125" s="1">
        <v>2004</v>
      </c>
      <c r="E125" s="1">
        <v>2004</v>
      </c>
      <c r="F125" s="1" t="s">
        <v>322</v>
      </c>
      <c r="G125" s="1" t="s">
        <v>191</v>
      </c>
      <c r="H125" s="1" t="s">
        <v>763</v>
      </c>
      <c r="I125" s="1" t="s">
        <v>764</v>
      </c>
      <c r="J125" s="1">
        <v>8</v>
      </c>
      <c r="K125" s="1" t="s">
        <v>775</v>
      </c>
      <c r="L125" s="1">
        <v>325000</v>
      </c>
      <c r="M125" s="1" t="s">
        <v>174</v>
      </c>
      <c r="N125" s="20">
        <v>1861.85</v>
      </c>
      <c r="O125" s="1" t="s">
        <v>784</v>
      </c>
    </row>
    <row r="126" spans="1:16">
      <c r="A126" s="1" t="s">
        <v>169</v>
      </c>
      <c r="B126" s="1" t="s">
        <v>170</v>
      </c>
      <c r="C126" s="1">
        <v>2007</v>
      </c>
      <c r="D126" s="1">
        <v>2004</v>
      </c>
      <c r="E126" s="1">
        <v>2004</v>
      </c>
      <c r="F126" s="1" t="s">
        <v>322</v>
      </c>
      <c r="G126" s="1" t="s">
        <v>191</v>
      </c>
      <c r="H126" s="1" t="s">
        <v>763</v>
      </c>
      <c r="I126" s="1" t="s">
        <v>764</v>
      </c>
      <c r="J126" s="1">
        <v>10</v>
      </c>
      <c r="K126" s="1" t="s">
        <v>775</v>
      </c>
      <c r="L126" s="1">
        <v>548000</v>
      </c>
      <c r="M126" s="1" t="s">
        <v>174</v>
      </c>
      <c r="N126" s="20">
        <v>3202.06</v>
      </c>
      <c r="O126" s="1" t="s">
        <v>784</v>
      </c>
    </row>
    <row r="127" spans="1:16">
      <c r="A127" s="1" t="s">
        <v>169</v>
      </c>
      <c r="B127" s="1" t="s">
        <v>170</v>
      </c>
      <c r="C127" s="1">
        <v>2007</v>
      </c>
      <c r="D127" s="1">
        <v>2005</v>
      </c>
      <c r="E127" s="1">
        <v>2005</v>
      </c>
      <c r="F127" s="1" t="s">
        <v>322</v>
      </c>
      <c r="G127" s="1" t="s">
        <v>191</v>
      </c>
      <c r="H127" s="1" t="s">
        <v>763</v>
      </c>
      <c r="I127" s="1" t="s">
        <v>764</v>
      </c>
      <c r="J127" s="1">
        <v>0.625</v>
      </c>
      <c r="K127" s="1" t="s">
        <v>775</v>
      </c>
      <c r="L127" s="1">
        <v>1000</v>
      </c>
      <c r="M127" s="1" t="s">
        <v>174</v>
      </c>
      <c r="N127" s="20">
        <v>13.88</v>
      </c>
      <c r="O127" s="1" t="s">
        <v>784</v>
      </c>
    </row>
    <row r="128" spans="1:16">
      <c r="A128" s="1" t="s">
        <v>169</v>
      </c>
      <c r="B128" s="1" t="s">
        <v>170</v>
      </c>
      <c r="C128" s="1">
        <v>2007</v>
      </c>
      <c r="D128" s="1">
        <v>2005</v>
      </c>
      <c r="E128" s="1">
        <v>2005</v>
      </c>
      <c r="F128" s="1" t="s">
        <v>322</v>
      </c>
      <c r="G128" s="1" t="s">
        <v>191</v>
      </c>
      <c r="H128" s="1" t="s">
        <v>763</v>
      </c>
      <c r="I128" s="1" t="s">
        <v>764</v>
      </c>
      <c r="J128" s="1">
        <v>0.75</v>
      </c>
      <c r="K128" s="1" t="s">
        <v>775</v>
      </c>
      <c r="L128" s="1">
        <v>2000</v>
      </c>
      <c r="M128" s="1" t="s">
        <v>174</v>
      </c>
      <c r="N128" s="20">
        <v>24.01</v>
      </c>
      <c r="O128" s="1" t="s">
        <v>784</v>
      </c>
    </row>
    <row r="129" spans="1:15">
      <c r="A129" s="1" t="s">
        <v>169</v>
      </c>
      <c r="B129" s="1" t="s">
        <v>170</v>
      </c>
      <c r="C129" s="1">
        <v>2007</v>
      </c>
      <c r="D129" s="1">
        <v>2005</v>
      </c>
      <c r="E129" s="1">
        <v>2005</v>
      </c>
      <c r="F129" s="1" t="s">
        <v>322</v>
      </c>
      <c r="G129" s="1" t="s">
        <v>191</v>
      </c>
      <c r="H129" s="1" t="s">
        <v>763</v>
      </c>
      <c r="I129" s="1" t="s">
        <v>764</v>
      </c>
      <c r="J129" s="1">
        <v>1</v>
      </c>
      <c r="K129" s="1" t="s">
        <v>775</v>
      </c>
      <c r="L129" s="1">
        <v>5000</v>
      </c>
      <c r="M129" s="1" t="s">
        <v>174</v>
      </c>
      <c r="N129" s="20">
        <v>45.96</v>
      </c>
      <c r="O129" s="1" t="s">
        <v>784</v>
      </c>
    </row>
    <row r="130" spans="1:15">
      <c r="A130" s="1" t="s">
        <v>169</v>
      </c>
      <c r="B130" s="1" t="s">
        <v>170</v>
      </c>
      <c r="C130" s="1">
        <v>2007</v>
      </c>
      <c r="D130" s="1">
        <v>2005</v>
      </c>
      <c r="E130" s="1">
        <v>2005</v>
      </c>
      <c r="F130" s="1" t="s">
        <v>322</v>
      </c>
      <c r="G130" s="1" t="s">
        <v>191</v>
      </c>
      <c r="H130" s="1" t="s">
        <v>763</v>
      </c>
      <c r="I130" s="1" t="s">
        <v>764</v>
      </c>
      <c r="J130" s="1">
        <v>1.25</v>
      </c>
      <c r="K130" s="1" t="s">
        <v>775</v>
      </c>
      <c r="L130" s="1">
        <v>7000</v>
      </c>
      <c r="M130" s="1" t="s">
        <v>174</v>
      </c>
      <c r="N130" s="20">
        <v>72.13</v>
      </c>
      <c r="O130" s="1" t="s">
        <v>784</v>
      </c>
    </row>
    <row r="131" spans="1:15">
      <c r="A131" s="1" t="s">
        <v>169</v>
      </c>
      <c r="B131" s="1" t="s">
        <v>170</v>
      </c>
      <c r="C131" s="1">
        <v>2007</v>
      </c>
      <c r="D131" s="1">
        <v>2005</v>
      </c>
      <c r="E131" s="1">
        <v>2005</v>
      </c>
      <c r="F131" s="1" t="s">
        <v>322</v>
      </c>
      <c r="G131" s="1" t="s">
        <v>191</v>
      </c>
      <c r="H131" s="1" t="s">
        <v>763</v>
      </c>
      <c r="I131" s="1" t="s">
        <v>764</v>
      </c>
      <c r="J131" s="1">
        <v>1.5</v>
      </c>
      <c r="K131" s="1" t="s">
        <v>775</v>
      </c>
      <c r="L131" s="1">
        <v>10000</v>
      </c>
      <c r="M131" s="1" t="s">
        <v>174</v>
      </c>
      <c r="N131" s="20">
        <v>90.07</v>
      </c>
      <c r="O131" s="1" t="s">
        <v>784</v>
      </c>
    </row>
    <row r="132" spans="1:15">
      <c r="A132" s="1" t="s">
        <v>169</v>
      </c>
      <c r="B132" s="1" t="s">
        <v>170</v>
      </c>
      <c r="C132" s="1">
        <v>2007</v>
      </c>
      <c r="D132" s="1">
        <v>2005</v>
      </c>
      <c r="E132" s="1">
        <v>2005</v>
      </c>
      <c r="F132" s="1" t="s">
        <v>322</v>
      </c>
      <c r="G132" s="1" t="s">
        <v>191</v>
      </c>
      <c r="H132" s="1" t="s">
        <v>763</v>
      </c>
      <c r="I132" s="1" t="s">
        <v>764</v>
      </c>
      <c r="J132" s="1">
        <v>2</v>
      </c>
      <c r="K132" s="1" t="s">
        <v>775</v>
      </c>
      <c r="L132" s="1">
        <v>17000</v>
      </c>
      <c r="M132" s="1" t="s">
        <v>174</v>
      </c>
      <c r="N132" s="20">
        <v>139.25</v>
      </c>
      <c r="O132" s="1" t="s">
        <v>784</v>
      </c>
    </row>
    <row r="133" spans="1:15">
      <c r="A133" s="1" t="s">
        <v>169</v>
      </c>
      <c r="B133" s="1" t="s">
        <v>170</v>
      </c>
      <c r="C133" s="1">
        <v>2007</v>
      </c>
      <c r="D133" s="1">
        <v>2005</v>
      </c>
      <c r="E133" s="1">
        <v>2005</v>
      </c>
      <c r="F133" s="1" t="s">
        <v>322</v>
      </c>
      <c r="G133" s="1" t="s">
        <v>191</v>
      </c>
      <c r="H133" s="1" t="s">
        <v>763</v>
      </c>
      <c r="I133" s="1" t="s">
        <v>764</v>
      </c>
      <c r="J133" s="1">
        <v>3</v>
      </c>
      <c r="K133" s="1" t="s">
        <v>775</v>
      </c>
      <c r="L133" s="1">
        <v>40000</v>
      </c>
      <c r="M133" s="1" t="s">
        <v>174</v>
      </c>
      <c r="N133" s="20">
        <v>297.23</v>
      </c>
      <c r="O133" s="1" t="s">
        <v>784</v>
      </c>
    </row>
    <row r="134" spans="1:15">
      <c r="A134" s="1" t="s">
        <v>169</v>
      </c>
      <c r="B134" s="1" t="s">
        <v>170</v>
      </c>
      <c r="C134" s="1">
        <v>2007</v>
      </c>
      <c r="D134" s="1">
        <v>2005</v>
      </c>
      <c r="E134" s="1">
        <v>2005</v>
      </c>
      <c r="F134" s="1" t="s">
        <v>322</v>
      </c>
      <c r="G134" s="1" t="s">
        <v>191</v>
      </c>
      <c r="H134" s="1" t="s">
        <v>763</v>
      </c>
      <c r="I134" s="1" t="s">
        <v>764</v>
      </c>
      <c r="J134" s="1">
        <v>4</v>
      </c>
      <c r="K134" s="1" t="s">
        <v>775</v>
      </c>
      <c r="L134" s="1">
        <v>70000</v>
      </c>
      <c r="M134" s="1" t="s">
        <v>174</v>
      </c>
      <c r="N134" s="20">
        <v>529.6</v>
      </c>
      <c r="O134" s="1" t="s">
        <v>784</v>
      </c>
    </row>
    <row r="135" spans="1:15">
      <c r="A135" s="1" t="s">
        <v>169</v>
      </c>
      <c r="B135" s="1" t="s">
        <v>170</v>
      </c>
      <c r="C135" s="1">
        <v>2007</v>
      </c>
      <c r="D135" s="1">
        <v>2005</v>
      </c>
      <c r="E135" s="1">
        <v>2005</v>
      </c>
      <c r="F135" s="1" t="s">
        <v>322</v>
      </c>
      <c r="G135" s="1" t="s">
        <v>191</v>
      </c>
      <c r="H135" s="1" t="s">
        <v>763</v>
      </c>
      <c r="I135" s="1" t="s">
        <v>764</v>
      </c>
      <c r="J135" s="1">
        <v>6</v>
      </c>
      <c r="K135" s="1" t="s">
        <v>775</v>
      </c>
      <c r="L135" s="1">
        <v>175000</v>
      </c>
      <c r="M135" s="1" t="s">
        <v>174</v>
      </c>
      <c r="N135" s="20">
        <v>1272.81</v>
      </c>
      <c r="O135" s="1" t="s">
        <v>784</v>
      </c>
    </row>
    <row r="136" spans="1:15">
      <c r="A136" s="1" t="s">
        <v>169</v>
      </c>
      <c r="B136" s="1" t="s">
        <v>170</v>
      </c>
      <c r="C136" s="1">
        <v>2007</v>
      </c>
      <c r="D136" s="1">
        <v>2005</v>
      </c>
      <c r="E136" s="1">
        <v>2005</v>
      </c>
      <c r="F136" s="1" t="s">
        <v>322</v>
      </c>
      <c r="G136" s="1" t="s">
        <v>191</v>
      </c>
      <c r="H136" s="1" t="s">
        <v>763</v>
      </c>
      <c r="I136" s="1" t="s">
        <v>764</v>
      </c>
      <c r="J136" s="1">
        <v>8</v>
      </c>
      <c r="K136" s="1" t="s">
        <v>775</v>
      </c>
      <c r="L136" s="1">
        <v>325000</v>
      </c>
      <c r="M136" s="1" t="s">
        <v>174</v>
      </c>
      <c r="N136" s="20">
        <v>2178.36</v>
      </c>
      <c r="O136" s="1" t="s">
        <v>784</v>
      </c>
    </row>
    <row r="137" spans="1:15">
      <c r="A137" s="1" t="s">
        <v>169</v>
      </c>
      <c r="B137" s="1" t="s">
        <v>170</v>
      </c>
      <c r="C137" s="1">
        <v>2007</v>
      </c>
      <c r="D137" s="1">
        <v>2005</v>
      </c>
      <c r="E137" s="1">
        <v>2005</v>
      </c>
      <c r="F137" s="1" t="s">
        <v>322</v>
      </c>
      <c r="G137" s="1" t="s">
        <v>191</v>
      </c>
      <c r="H137" s="1" t="s">
        <v>763</v>
      </c>
      <c r="I137" s="1" t="s">
        <v>764</v>
      </c>
      <c r="J137" s="1">
        <v>10</v>
      </c>
      <c r="K137" s="1" t="s">
        <v>775</v>
      </c>
      <c r="L137" s="1">
        <v>548000</v>
      </c>
      <c r="M137" s="1" t="s">
        <v>174</v>
      </c>
      <c r="N137" s="20">
        <v>3746.41</v>
      </c>
      <c r="O137" s="1" t="s">
        <v>784</v>
      </c>
    </row>
    <row r="138" spans="1:15">
      <c r="A138" s="1" t="s">
        <v>169</v>
      </c>
      <c r="B138" s="1" t="s">
        <v>170</v>
      </c>
      <c r="C138" s="1">
        <v>2008</v>
      </c>
      <c r="D138" s="1">
        <v>2008</v>
      </c>
      <c r="E138" s="1">
        <v>2007</v>
      </c>
      <c r="F138" s="1" t="s">
        <v>322</v>
      </c>
      <c r="G138" s="1" t="s">
        <v>191</v>
      </c>
      <c r="H138" s="1" t="s">
        <v>763</v>
      </c>
      <c r="I138" s="1" t="s">
        <v>764</v>
      </c>
      <c r="J138" s="1">
        <v>0.625</v>
      </c>
      <c r="K138" s="1" t="s">
        <v>775</v>
      </c>
      <c r="L138" s="1">
        <v>1000</v>
      </c>
      <c r="M138" s="1" t="s">
        <v>174</v>
      </c>
      <c r="N138" s="20">
        <v>14.67</v>
      </c>
      <c r="O138" s="1" t="s">
        <v>776</v>
      </c>
    </row>
    <row r="139" spans="1:15">
      <c r="A139" s="1" t="s">
        <v>169</v>
      </c>
      <c r="B139" s="1" t="s">
        <v>170</v>
      </c>
      <c r="C139" s="1">
        <v>2008</v>
      </c>
      <c r="D139" s="1">
        <v>2008</v>
      </c>
      <c r="E139" s="1">
        <v>2007</v>
      </c>
      <c r="F139" s="1" t="s">
        <v>322</v>
      </c>
      <c r="G139" s="1" t="s">
        <v>191</v>
      </c>
      <c r="H139" s="1" t="s">
        <v>752</v>
      </c>
      <c r="I139" s="1" t="s">
        <v>753</v>
      </c>
      <c r="J139" s="1" t="s">
        <v>606</v>
      </c>
      <c r="K139" s="1" t="s">
        <v>667</v>
      </c>
      <c r="L139" s="1">
        <v>1000</v>
      </c>
      <c r="M139" s="1" t="s">
        <v>174</v>
      </c>
      <c r="N139" s="20">
        <v>7.5</v>
      </c>
      <c r="O139" s="1" t="s">
        <v>754</v>
      </c>
    </row>
    <row r="140" spans="1:15">
      <c r="A140" s="1" t="s">
        <v>169</v>
      </c>
      <c r="B140" s="1" t="s">
        <v>170</v>
      </c>
      <c r="C140" s="1">
        <v>2008</v>
      </c>
      <c r="D140" s="1">
        <v>2008</v>
      </c>
      <c r="E140" s="1">
        <v>2007</v>
      </c>
      <c r="F140" s="1" t="s">
        <v>322</v>
      </c>
      <c r="G140" s="1" t="s">
        <v>191</v>
      </c>
      <c r="H140" s="1" t="s">
        <v>752</v>
      </c>
      <c r="I140" s="1" t="s">
        <v>753</v>
      </c>
      <c r="J140" s="1" t="s">
        <v>607</v>
      </c>
      <c r="K140" s="1" t="s">
        <v>667</v>
      </c>
      <c r="L140" s="1" t="s">
        <v>174</v>
      </c>
      <c r="M140" s="1" t="s">
        <v>174</v>
      </c>
      <c r="N140" s="20">
        <v>7.19</v>
      </c>
      <c r="O140" s="1" t="s">
        <v>754</v>
      </c>
    </row>
    <row r="141" spans="1:15">
      <c r="A141" s="1" t="s">
        <v>169</v>
      </c>
      <c r="B141" s="1" t="s">
        <v>170</v>
      </c>
      <c r="C141" s="1">
        <v>2008</v>
      </c>
      <c r="D141" s="1">
        <v>2008</v>
      </c>
      <c r="E141" s="1">
        <v>2007</v>
      </c>
      <c r="F141" s="1" t="s">
        <v>322</v>
      </c>
      <c r="G141" s="1" t="s">
        <v>191</v>
      </c>
      <c r="H141" s="1" t="s">
        <v>752</v>
      </c>
      <c r="I141" s="1" t="s">
        <v>753</v>
      </c>
      <c r="J141" s="1" t="s">
        <v>608</v>
      </c>
      <c r="K141" s="1" t="s">
        <v>667</v>
      </c>
      <c r="L141" s="1" t="s">
        <v>174</v>
      </c>
      <c r="M141" s="1" t="s">
        <v>174</v>
      </c>
      <c r="N141" s="20">
        <v>6.74</v>
      </c>
      <c r="O141" s="1" t="s">
        <v>754</v>
      </c>
    </row>
    <row r="142" spans="1:15">
      <c r="A142" s="1" t="s">
        <v>169</v>
      </c>
      <c r="B142" s="1" t="s">
        <v>170</v>
      </c>
      <c r="C142" s="1">
        <v>2008</v>
      </c>
      <c r="D142" s="1">
        <v>2008</v>
      </c>
      <c r="E142" s="1">
        <v>2007</v>
      </c>
      <c r="F142" s="1" t="s">
        <v>322</v>
      </c>
      <c r="G142" s="1" t="s">
        <v>191</v>
      </c>
      <c r="H142" s="1" t="s">
        <v>752</v>
      </c>
      <c r="I142" s="1" t="s">
        <v>753</v>
      </c>
      <c r="J142" s="1" t="s">
        <v>756</v>
      </c>
      <c r="K142" s="1" t="s">
        <v>667</v>
      </c>
      <c r="L142" s="1" t="s">
        <v>174</v>
      </c>
      <c r="M142" s="1" t="s">
        <v>779</v>
      </c>
      <c r="N142" s="20">
        <v>3.69</v>
      </c>
      <c r="O142" s="1" t="s">
        <v>754</v>
      </c>
    </row>
    <row r="143" spans="1:15">
      <c r="A143" s="1" t="s">
        <v>169</v>
      </c>
      <c r="B143" s="1" t="s">
        <v>170</v>
      </c>
      <c r="C143" s="1">
        <v>2008</v>
      </c>
      <c r="D143" s="1">
        <v>2008</v>
      </c>
      <c r="E143" s="1">
        <v>2007</v>
      </c>
      <c r="F143" s="1" t="s">
        <v>322</v>
      </c>
      <c r="G143" s="1" t="s">
        <v>191</v>
      </c>
      <c r="H143" s="1" t="s">
        <v>752</v>
      </c>
      <c r="I143" s="1" t="s">
        <v>753</v>
      </c>
      <c r="J143" s="1" t="s">
        <v>756</v>
      </c>
      <c r="K143" s="1" t="s">
        <v>667</v>
      </c>
      <c r="L143" s="1" t="s">
        <v>174</v>
      </c>
      <c r="M143" s="1" t="s">
        <v>780</v>
      </c>
      <c r="N143" s="20">
        <v>3.64</v>
      </c>
      <c r="O143" s="1" t="s">
        <v>754</v>
      </c>
    </row>
    <row r="144" spans="1:15">
      <c r="A144" s="1" t="s">
        <v>169</v>
      </c>
      <c r="B144" s="1" t="s">
        <v>170</v>
      </c>
      <c r="C144" s="1">
        <v>2008</v>
      </c>
      <c r="D144" s="1">
        <v>2008</v>
      </c>
      <c r="E144" s="1">
        <v>2007</v>
      </c>
      <c r="F144" s="1" t="s">
        <v>322</v>
      </c>
      <c r="G144" s="1" t="s">
        <v>191</v>
      </c>
      <c r="H144" s="1" t="s">
        <v>752</v>
      </c>
      <c r="I144" s="1" t="s">
        <v>753</v>
      </c>
      <c r="J144" s="1" t="s">
        <v>774</v>
      </c>
      <c r="K144" s="1" t="s">
        <v>667</v>
      </c>
      <c r="L144" s="1" t="s">
        <v>174</v>
      </c>
      <c r="M144" s="1" t="s">
        <v>174</v>
      </c>
      <c r="N144" s="20">
        <v>9.83</v>
      </c>
      <c r="O144" s="1" t="s">
        <v>754</v>
      </c>
    </row>
    <row r="145" spans="1:16">
      <c r="A145" s="1" t="s">
        <v>169</v>
      </c>
      <c r="B145" s="1" t="s">
        <v>170</v>
      </c>
      <c r="C145" s="1">
        <v>2008</v>
      </c>
      <c r="D145" s="1">
        <v>2008</v>
      </c>
      <c r="E145" s="1">
        <v>2007</v>
      </c>
      <c r="F145" s="1" t="s">
        <v>314</v>
      </c>
      <c r="G145" s="1" t="s">
        <v>191</v>
      </c>
      <c r="H145" s="1" t="s">
        <v>752</v>
      </c>
      <c r="I145" s="1" t="s">
        <v>753</v>
      </c>
      <c r="J145" s="1" t="s">
        <v>174</v>
      </c>
      <c r="K145" s="1" t="s">
        <v>667</v>
      </c>
      <c r="L145" s="1" t="s">
        <v>174</v>
      </c>
      <c r="M145" s="1" t="s">
        <v>174</v>
      </c>
      <c r="N145" s="20">
        <v>2.5</v>
      </c>
      <c r="O145" s="1" t="s">
        <v>754</v>
      </c>
      <c r="P145" s="1" t="s">
        <v>777</v>
      </c>
    </row>
    <row r="146" spans="1:16">
      <c r="A146" s="1" t="s">
        <v>169</v>
      </c>
      <c r="B146" s="1" t="s">
        <v>170</v>
      </c>
      <c r="C146" s="1">
        <v>2008</v>
      </c>
      <c r="D146" s="1">
        <v>2009</v>
      </c>
      <c r="E146" s="1">
        <v>2008</v>
      </c>
      <c r="F146" s="1" t="s">
        <v>322</v>
      </c>
      <c r="G146" s="1" t="s">
        <v>191</v>
      </c>
      <c r="H146" s="1" t="s">
        <v>763</v>
      </c>
      <c r="I146" s="1" t="s">
        <v>764</v>
      </c>
      <c r="J146" s="1">
        <v>0.625</v>
      </c>
      <c r="K146" s="1" t="s">
        <v>775</v>
      </c>
      <c r="L146" s="1">
        <v>1000</v>
      </c>
      <c r="M146" s="1" t="s">
        <v>174</v>
      </c>
      <c r="N146" s="20">
        <v>14.67</v>
      </c>
      <c r="O146" s="1" t="s">
        <v>776</v>
      </c>
    </row>
    <row r="147" spans="1:16">
      <c r="A147" s="1" t="s">
        <v>169</v>
      </c>
      <c r="B147" s="1" t="s">
        <v>170</v>
      </c>
      <c r="C147" s="1">
        <v>2008</v>
      </c>
      <c r="D147" s="1">
        <v>2009</v>
      </c>
      <c r="E147" s="1">
        <v>2007</v>
      </c>
      <c r="F147" s="1" t="s">
        <v>322</v>
      </c>
      <c r="G147" s="1" t="s">
        <v>191</v>
      </c>
      <c r="H147" s="1" t="s">
        <v>752</v>
      </c>
      <c r="I147" s="1" t="s">
        <v>753</v>
      </c>
      <c r="J147" s="1" t="s">
        <v>606</v>
      </c>
      <c r="K147" s="1" t="s">
        <v>667</v>
      </c>
      <c r="L147" s="1">
        <v>1000</v>
      </c>
      <c r="M147" s="1" t="s">
        <v>174</v>
      </c>
      <c r="N147" s="20">
        <v>7.5</v>
      </c>
      <c r="O147" s="1" t="s">
        <v>754</v>
      </c>
    </row>
    <row r="148" spans="1:16">
      <c r="A148" s="1" t="s">
        <v>169</v>
      </c>
      <c r="B148" s="1" t="s">
        <v>170</v>
      </c>
      <c r="C148" s="1">
        <v>2008</v>
      </c>
      <c r="D148" s="1">
        <v>2009</v>
      </c>
      <c r="E148" s="1">
        <v>2007</v>
      </c>
      <c r="F148" s="1" t="s">
        <v>322</v>
      </c>
      <c r="G148" s="1" t="s">
        <v>191</v>
      </c>
      <c r="H148" s="1" t="s">
        <v>752</v>
      </c>
      <c r="I148" s="1" t="s">
        <v>753</v>
      </c>
      <c r="J148" s="1" t="s">
        <v>607</v>
      </c>
      <c r="K148" s="1" t="s">
        <v>667</v>
      </c>
      <c r="L148" s="1" t="s">
        <v>174</v>
      </c>
      <c r="M148" s="1" t="s">
        <v>174</v>
      </c>
      <c r="N148" s="20">
        <v>7.19</v>
      </c>
      <c r="O148" s="1" t="s">
        <v>754</v>
      </c>
    </row>
    <row r="149" spans="1:16">
      <c r="A149" s="1" t="s">
        <v>169</v>
      </c>
      <c r="B149" s="1" t="s">
        <v>170</v>
      </c>
      <c r="C149" s="1">
        <v>2008</v>
      </c>
      <c r="D149" s="1">
        <v>2009</v>
      </c>
      <c r="E149" s="1">
        <v>2007</v>
      </c>
      <c r="F149" s="1" t="s">
        <v>322</v>
      </c>
      <c r="G149" s="1" t="s">
        <v>191</v>
      </c>
      <c r="H149" s="1" t="s">
        <v>752</v>
      </c>
      <c r="I149" s="1" t="s">
        <v>753</v>
      </c>
      <c r="J149" s="1" t="s">
        <v>608</v>
      </c>
      <c r="K149" s="1" t="s">
        <v>667</v>
      </c>
      <c r="L149" s="1" t="s">
        <v>174</v>
      </c>
      <c r="M149" s="1" t="s">
        <v>174</v>
      </c>
      <c r="N149" s="20">
        <v>6.74</v>
      </c>
      <c r="O149" s="1" t="s">
        <v>754</v>
      </c>
    </row>
    <row r="150" spans="1:16">
      <c r="A150" s="1" t="s">
        <v>169</v>
      </c>
      <c r="B150" s="1" t="s">
        <v>170</v>
      </c>
      <c r="C150" s="1">
        <v>2008</v>
      </c>
      <c r="D150" s="1">
        <v>2009</v>
      </c>
      <c r="E150" s="1">
        <v>2007</v>
      </c>
      <c r="F150" s="1" t="s">
        <v>322</v>
      </c>
      <c r="G150" s="1" t="s">
        <v>191</v>
      </c>
      <c r="H150" s="1" t="s">
        <v>752</v>
      </c>
      <c r="I150" s="1" t="s">
        <v>753</v>
      </c>
      <c r="J150" s="1" t="s">
        <v>756</v>
      </c>
      <c r="K150" s="1" t="s">
        <v>667</v>
      </c>
      <c r="L150" s="1" t="s">
        <v>174</v>
      </c>
      <c r="M150" s="1" t="s">
        <v>779</v>
      </c>
      <c r="N150" s="20">
        <v>3.69</v>
      </c>
      <c r="O150" s="1" t="s">
        <v>754</v>
      </c>
    </row>
    <row r="151" spans="1:16">
      <c r="A151" s="1" t="s">
        <v>169</v>
      </c>
      <c r="B151" s="1" t="s">
        <v>170</v>
      </c>
      <c r="C151" s="1">
        <v>2008</v>
      </c>
      <c r="D151" s="1">
        <v>2009</v>
      </c>
      <c r="E151" s="1">
        <v>2007</v>
      </c>
      <c r="F151" s="1" t="s">
        <v>322</v>
      </c>
      <c r="G151" s="1" t="s">
        <v>191</v>
      </c>
      <c r="H151" s="1" t="s">
        <v>752</v>
      </c>
      <c r="I151" s="1" t="s">
        <v>753</v>
      </c>
      <c r="J151" s="1" t="s">
        <v>756</v>
      </c>
      <c r="K151" s="1" t="s">
        <v>667</v>
      </c>
      <c r="L151" s="1" t="s">
        <v>174</v>
      </c>
      <c r="M151" s="1" t="s">
        <v>780</v>
      </c>
      <c r="N151" s="20">
        <v>3.64</v>
      </c>
      <c r="O151" s="1" t="s">
        <v>754</v>
      </c>
    </row>
    <row r="152" spans="1:16">
      <c r="A152" s="1" t="s">
        <v>169</v>
      </c>
      <c r="B152" s="1" t="s">
        <v>170</v>
      </c>
      <c r="C152" s="1">
        <v>2008</v>
      </c>
      <c r="D152" s="1">
        <v>2009</v>
      </c>
      <c r="E152" s="1">
        <v>2007</v>
      </c>
      <c r="F152" s="1" t="s">
        <v>322</v>
      </c>
      <c r="G152" s="1" t="s">
        <v>191</v>
      </c>
      <c r="H152" s="1" t="s">
        <v>752</v>
      </c>
      <c r="I152" s="1" t="s">
        <v>753</v>
      </c>
      <c r="J152" s="1" t="s">
        <v>774</v>
      </c>
      <c r="K152" s="1" t="s">
        <v>667</v>
      </c>
      <c r="L152" s="1" t="s">
        <v>174</v>
      </c>
      <c r="M152" s="1" t="s">
        <v>174</v>
      </c>
      <c r="N152" s="20">
        <v>9.83</v>
      </c>
      <c r="O152" s="1" t="s">
        <v>754</v>
      </c>
    </row>
    <row r="153" spans="1:16">
      <c r="A153" s="1" t="s">
        <v>169</v>
      </c>
      <c r="B153" s="1" t="s">
        <v>170</v>
      </c>
      <c r="C153" s="1">
        <v>2008</v>
      </c>
      <c r="D153" s="1">
        <v>2009</v>
      </c>
      <c r="E153" s="1">
        <v>2007</v>
      </c>
      <c r="F153" s="1" t="s">
        <v>314</v>
      </c>
      <c r="G153" s="1" t="s">
        <v>191</v>
      </c>
      <c r="H153" s="1" t="s">
        <v>752</v>
      </c>
      <c r="I153" s="1" t="s">
        <v>753</v>
      </c>
      <c r="J153" s="1" t="s">
        <v>174</v>
      </c>
      <c r="K153" s="1" t="s">
        <v>667</v>
      </c>
      <c r="L153" s="1" t="s">
        <v>174</v>
      </c>
      <c r="M153" s="1" t="s">
        <v>174</v>
      </c>
      <c r="N153" s="20">
        <v>2.5</v>
      </c>
      <c r="O153" s="1" t="s">
        <v>754</v>
      </c>
      <c r="P153" s="1" t="s">
        <v>777</v>
      </c>
    </row>
    <row r="154" spans="1:16">
      <c r="A154" s="1" t="s">
        <v>169</v>
      </c>
      <c r="B154" s="1" t="s">
        <v>170</v>
      </c>
      <c r="C154" s="1">
        <v>2008</v>
      </c>
      <c r="D154" s="1">
        <v>2008</v>
      </c>
      <c r="E154" s="1">
        <v>2007</v>
      </c>
      <c r="F154" s="1" t="s">
        <v>322</v>
      </c>
      <c r="G154" s="1" t="s">
        <v>191</v>
      </c>
      <c r="H154" s="1" t="s">
        <v>763</v>
      </c>
      <c r="I154" s="1" t="s">
        <v>764</v>
      </c>
      <c r="J154" s="1">
        <v>0.625</v>
      </c>
      <c r="K154" s="1" t="s">
        <v>775</v>
      </c>
      <c r="L154" s="1">
        <v>1000</v>
      </c>
      <c r="M154" s="1" t="s">
        <v>174</v>
      </c>
      <c r="N154" s="20">
        <v>14.67</v>
      </c>
      <c r="O154" s="1" t="s">
        <v>784</v>
      </c>
    </row>
    <row r="155" spans="1:16">
      <c r="A155" s="1" t="s">
        <v>169</v>
      </c>
      <c r="B155" s="1" t="s">
        <v>170</v>
      </c>
      <c r="C155" s="1">
        <v>2008</v>
      </c>
      <c r="D155" s="1">
        <v>2008</v>
      </c>
      <c r="E155" s="1">
        <v>2007</v>
      </c>
      <c r="F155" s="1" t="s">
        <v>322</v>
      </c>
      <c r="G155" s="1" t="s">
        <v>191</v>
      </c>
      <c r="H155" s="1" t="s">
        <v>763</v>
      </c>
      <c r="I155" s="1" t="s">
        <v>764</v>
      </c>
      <c r="J155" s="1">
        <v>0.75</v>
      </c>
      <c r="K155" s="1" t="s">
        <v>775</v>
      </c>
      <c r="L155" s="1">
        <v>2000</v>
      </c>
      <c r="M155" s="1" t="s">
        <v>174</v>
      </c>
      <c r="N155" s="20">
        <v>25.59</v>
      </c>
      <c r="O155" s="1" t="s">
        <v>784</v>
      </c>
    </row>
    <row r="156" spans="1:16">
      <c r="A156" s="1" t="s">
        <v>169</v>
      </c>
      <c r="B156" s="1" t="s">
        <v>170</v>
      </c>
      <c r="C156" s="1">
        <v>2008</v>
      </c>
      <c r="D156" s="1">
        <v>2008</v>
      </c>
      <c r="E156" s="1">
        <v>2007</v>
      </c>
      <c r="F156" s="1" t="s">
        <v>322</v>
      </c>
      <c r="G156" s="1" t="s">
        <v>191</v>
      </c>
      <c r="H156" s="1" t="s">
        <v>763</v>
      </c>
      <c r="I156" s="1" t="s">
        <v>764</v>
      </c>
      <c r="J156" s="1">
        <v>1</v>
      </c>
      <c r="K156" s="1" t="s">
        <v>775</v>
      </c>
      <c r="L156" s="1">
        <v>5000</v>
      </c>
      <c r="M156" s="1" t="s">
        <v>174</v>
      </c>
      <c r="N156" s="20">
        <v>49.91</v>
      </c>
      <c r="O156" s="1" t="s">
        <v>784</v>
      </c>
    </row>
    <row r="157" spans="1:16">
      <c r="A157" s="1" t="s">
        <v>169</v>
      </c>
      <c r="B157" s="1" t="s">
        <v>170</v>
      </c>
      <c r="C157" s="1">
        <v>2008</v>
      </c>
      <c r="D157" s="1">
        <v>2008</v>
      </c>
      <c r="E157" s="1">
        <v>2007</v>
      </c>
      <c r="F157" s="1" t="s">
        <v>322</v>
      </c>
      <c r="G157" s="1" t="s">
        <v>191</v>
      </c>
      <c r="H157" s="1" t="s">
        <v>763</v>
      </c>
      <c r="I157" s="1" t="s">
        <v>764</v>
      </c>
      <c r="J157" s="1">
        <v>1.25</v>
      </c>
      <c r="K157" s="1" t="s">
        <v>775</v>
      </c>
      <c r="L157" s="1">
        <v>7000</v>
      </c>
      <c r="M157" s="1" t="s">
        <v>174</v>
      </c>
      <c r="N157" s="20">
        <v>77.66</v>
      </c>
      <c r="O157" s="1" t="s">
        <v>784</v>
      </c>
    </row>
    <row r="158" spans="1:16">
      <c r="A158" s="1" t="s">
        <v>169</v>
      </c>
      <c r="B158" s="1" t="s">
        <v>170</v>
      </c>
      <c r="C158" s="1">
        <v>2008</v>
      </c>
      <c r="D158" s="1">
        <v>2008</v>
      </c>
      <c r="E158" s="1">
        <v>2007</v>
      </c>
      <c r="F158" s="1" t="s">
        <v>322</v>
      </c>
      <c r="G158" s="1" t="s">
        <v>191</v>
      </c>
      <c r="H158" s="1" t="s">
        <v>763</v>
      </c>
      <c r="I158" s="1" t="s">
        <v>764</v>
      </c>
      <c r="J158" s="1">
        <v>1.5</v>
      </c>
      <c r="K158" s="1" t="s">
        <v>775</v>
      </c>
      <c r="L158" s="1">
        <v>10000</v>
      </c>
      <c r="M158" s="1" t="s">
        <v>174</v>
      </c>
      <c r="N158" s="20">
        <v>97.97</v>
      </c>
      <c r="O158" s="1" t="s">
        <v>784</v>
      </c>
    </row>
    <row r="159" spans="1:16">
      <c r="A159" s="1" t="s">
        <v>169</v>
      </c>
      <c r="B159" s="1" t="s">
        <v>170</v>
      </c>
      <c r="C159" s="1">
        <v>2008</v>
      </c>
      <c r="D159" s="1">
        <v>2008</v>
      </c>
      <c r="E159" s="1">
        <v>2007</v>
      </c>
      <c r="F159" s="1" t="s">
        <v>322</v>
      </c>
      <c r="G159" s="1" t="s">
        <v>191</v>
      </c>
      <c r="H159" s="1" t="s">
        <v>763</v>
      </c>
      <c r="I159" s="1" t="s">
        <v>764</v>
      </c>
      <c r="J159" s="1">
        <v>2</v>
      </c>
      <c r="K159" s="1" t="s">
        <v>775</v>
      </c>
      <c r="L159" s="1">
        <v>17000</v>
      </c>
      <c r="M159" s="1" t="s">
        <v>174</v>
      </c>
      <c r="N159" s="20">
        <v>152.68</v>
      </c>
      <c r="O159" s="1" t="s">
        <v>784</v>
      </c>
    </row>
    <row r="160" spans="1:16">
      <c r="A160" s="1" t="s">
        <v>169</v>
      </c>
      <c r="B160" s="1" t="s">
        <v>170</v>
      </c>
      <c r="C160" s="1">
        <v>2008</v>
      </c>
      <c r="D160" s="1">
        <v>2008</v>
      </c>
      <c r="E160" s="1">
        <v>2007</v>
      </c>
      <c r="F160" s="1" t="s">
        <v>322</v>
      </c>
      <c r="G160" s="1" t="s">
        <v>191</v>
      </c>
      <c r="H160" s="1" t="s">
        <v>763</v>
      </c>
      <c r="I160" s="1" t="s">
        <v>764</v>
      </c>
      <c r="J160" s="1">
        <v>3</v>
      </c>
      <c r="K160" s="1" t="s">
        <v>775</v>
      </c>
      <c r="L160" s="1">
        <v>40000</v>
      </c>
      <c r="M160" s="1" t="s">
        <v>174</v>
      </c>
      <c r="N160" s="20">
        <v>328.83</v>
      </c>
      <c r="O160" s="1" t="s">
        <v>784</v>
      </c>
    </row>
    <row r="161" spans="1:15">
      <c r="A161" s="1" t="s">
        <v>169</v>
      </c>
      <c r="B161" s="1" t="s">
        <v>170</v>
      </c>
      <c r="C161" s="1">
        <v>2008</v>
      </c>
      <c r="D161" s="1">
        <v>2008</v>
      </c>
      <c r="E161" s="1">
        <v>2007</v>
      </c>
      <c r="F161" s="1" t="s">
        <v>322</v>
      </c>
      <c r="G161" s="1" t="s">
        <v>191</v>
      </c>
      <c r="H161" s="1" t="s">
        <v>763</v>
      </c>
      <c r="I161" s="1" t="s">
        <v>764</v>
      </c>
      <c r="J161" s="1">
        <v>4</v>
      </c>
      <c r="K161" s="1" t="s">
        <v>775</v>
      </c>
      <c r="L161" s="1">
        <v>70000</v>
      </c>
      <c r="M161" s="1" t="s">
        <v>174</v>
      </c>
      <c r="N161" s="20">
        <v>584.9</v>
      </c>
      <c r="O161" s="1" t="s">
        <v>784</v>
      </c>
    </row>
    <row r="162" spans="1:15">
      <c r="A162" s="1" t="s">
        <v>169</v>
      </c>
      <c r="B162" s="1" t="s">
        <v>170</v>
      </c>
      <c r="C162" s="1">
        <v>2008</v>
      </c>
      <c r="D162" s="1">
        <v>2008</v>
      </c>
      <c r="E162" s="1">
        <v>2007</v>
      </c>
      <c r="F162" s="1" t="s">
        <v>322</v>
      </c>
      <c r="G162" s="1" t="s">
        <v>191</v>
      </c>
      <c r="H162" s="1" t="s">
        <v>763</v>
      </c>
      <c r="I162" s="1" t="s">
        <v>764</v>
      </c>
      <c r="J162" s="1">
        <v>6</v>
      </c>
      <c r="K162" s="1" t="s">
        <v>775</v>
      </c>
      <c r="L162" s="1">
        <v>175000</v>
      </c>
      <c r="M162" s="1" t="s">
        <v>174</v>
      </c>
      <c r="N162" s="20">
        <v>1411.06</v>
      </c>
      <c r="O162" s="1" t="s">
        <v>784</v>
      </c>
    </row>
    <row r="163" spans="1:15">
      <c r="A163" s="1" t="s">
        <v>169</v>
      </c>
      <c r="B163" s="1" t="s">
        <v>170</v>
      </c>
      <c r="C163" s="1">
        <v>2008</v>
      </c>
      <c r="D163" s="1">
        <v>2008</v>
      </c>
      <c r="E163" s="1">
        <v>2007</v>
      </c>
      <c r="F163" s="1" t="s">
        <v>322</v>
      </c>
      <c r="G163" s="1" t="s">
        <v>191</v>
      </c>
      <c r="H163" s="1" t="s">
        <v>763</v>
      </c>
      <c r="I163" s="1" t="s">
        <v>764</v>
      </c>
      <c r="J163" s="1">
        <v>8</v>
      </c>
      <c r="K163" s="1" t="s">
        <v>775</v>
      </c>
      <c r="L163" s="1">
        <v>325000</v>
      </c>
      <c r="M163" s="1" t="s">
        <v>174</v>
      </c>
      <c r="N163" s="20">
        <v>2435.11</v>
      </c>
      <c r="O163" s="1" t="s">
        <v>784</v>
      </c>
    </row>
    <row r="164" spans="1:15">
      <c r="A164" s="1" t="s">
        <v>169</v>
      </c>
      <c r="B164" s="1" t="s">
        <v>170</v>
      </c>
      <c r="C164" s="1">
        <v>2008</v>
      </c>
      <c r="D164" s="1">
        <v>2008</v>
      </c>
      <c r="E164" s="1">
        <v>2007</v>
      </c>
      <c r="F164" s="1" t="s">
        <v>322</v>
      </c>
      <c r="G164" s="1" t="s">
        <v>191</v>
      </c>
      <c r="H164" s="1" t="s">
        <v>763</v>
      </c>
      <c r="I164" s="1" t="s">
        <v>764</v>
      </c>
      <c r="J164" s="1">
        <v>10</v>
      </c>
      <c r="K164" s="1" t="s">
        <v>775</v>
      </c>
      <c r="L164" s="1">
        <v>548000</v>
      </c>
      <c r="M164" s="1" t="s">
        <v>174</v>
      </c>
      <c r="N164" s="20">
        <v>4179.33</v>
      </c>
      <c r="O164" s="1" t="s">
        <v>784</v>
      </c>
    </row>
    <row r="165" spans="1:15">
      <c r="A165" s="1" t="s">
        <v>169</v>
      </c>
      <c r="B165" s="1" t="s">
        <v>170</v>
      </c>
      <c r="C165" s="1">
        <v>2008</v>
      </c>
      <c r="D165" s="1">
        <v>2009</v>
      </c>
      <c r="E165" s="1">
        <v>2007</v>
      </c>
      <c r="F165" s="1" t="s">
        <v>322</v>
      </c>
      <c r="G165" s="1" t="s">
        <v>191</v>
      </c>
      <c r="H165" s="1" t="s">
        <v>763</v>
      </c>
      <c r="I165" s="1" t="s">
        <v>764</v>
      </c>
      <c r="J165" s="1">
        <v>0.625</v>
      </c>
      <c r="K165" s="1" t="s">
        <v>775</v>
      </c>
      <c r="L165" s="1">
        <v>1000</v>
      </c>
      <c r="M165" s="1" t="s">
        <v>174</v>
      </c>
      <c r="N165" s="20">
        <v>14.67</v>
      </c>
      <c r="O165" s="1" t="s">
        <v>784</v>
      </c>
    </row>
    <row r="166" spans="1:15">
      <c r="A166" s="1" t="s">
        <v>169</v>
      </c>
      <c r="B166" s="1" t="s">
        <v>170</v>
      </c>
      <c r="C166" s="1">
        <v>2008</v>
      </c>
      <c r="D166" s="1">
        <v>2009</v>
      </c>
      <c r="E166" s="1">
        <v>2007</v>
      </c>
      <c r="F166" s="1" t="s">
        <v>322</v>
      </c>
      <c r="G166" s="1" t="s">
        <v>191</v>
      </c>
      <c r="H166" s="1" t="s">
        <v>763</v>
      </c>
      <c r="I166" s="1" t="s">
        <v>764</v>
      </c>
      <c r="J166" s="1">
        <v>0.75</v>
      </c>
      <c r="K166" s="1" t="s">
        <v>775</v>
      </c>
      <c r="L166" s="1">
        <v>2000</v>
      </c>
      <c r="M166" s="1" t="s">
        <v>174</v>
      </c>
      <c r="N166" s="20">
        <v>25.59</v>
      </c>
      <c r="O166" s="1" t="s">
        <v>784</v>
      </c>
    </row>
    <row r="167" spans="1:15">
      <c r="A167" s="1" t="s">
        <v>169</v>
      </c>
      <c r="B167" s="1" t="s">
        <v>170</v>
      </c>
      <c r="C167" s="1">
        <v>2008</v>
      </c>
      <c r="D167" s="1">
        <v>2009</v>
      </c>
      <c r="E167" s="1">
        <v>2007</v>
      </c>
      <c r="F167" s="1" t="s">
        <v>322</v>
      </c>
      <c r="G167" s="1" t="s">
        <v>191</v>
      </c>
      <c r="H167" s="1" t="s">
        <v>763</v>
      </c>
      <c r="I167" s="1" t="s">
        <v>764</v>
      </c>
      <c r="J167" s="1">
        <v>1</v>
      </c>
      <c r="K167" s="1" t="s">
        <v>775</v>
      </c>
      <c r="L167" s="1">
        <v>5000</v>
      </c>
      <c r="M167" s="1" t="s">
        <v>174</v>
      </c>
      <c r="N167" s="20">
        <v>49.91</v>
      </c>
      <c r="O167" s="1" t="s">
        <v>784</v>
      </c>
    </row>
    <row r="168" spans="1:15">
      <c r="A168" s="1" t="s">
        <v>169</v>
      </c>
      <c r="B168" s="1" t="s">
        <v>170</v>
      </c>
      <c r="C168" s="1">
        <v>2008</v>
      </c>
      <c r="D168" s="1">
        <v>2009</v>
      </c>
      <c r="E168" s="1">
        <v>2007</v>
      </c>
      <c r="F168" s="1" t="s">
        <v>322</v>
      </c>
      <c r="G168" s="1" t="s">
        <v>191</v>
      </c>
      <c r="H168" s="1" t="s">
        <v>763</v>
      </c>
      <c r="I168" s="1" t="s">
        <v>764</v>
      </c>
      <c r="J168" s="1">
        <v>1.25</v>
      </c>
      <c r="K168" s="1" t="s">
        <v>775</v>
      </c>
      <c r="L168" s="1">
        <v>7000</v>
      </c>
      <c r="M168" s="1" t="s">
        <v>174</v>
      </c>
      <c r="N168" s="20">
        <v>77.66</v>
      </c>
      <c r="O168" s="1" t="s">
        <v>784</v>
      </c>
    </row>
    <row r="169" spans="1:15">
      <c r="A169" s="1" t="s">
        <v>169</v>
      </c>
      <c r="B169" s="1" t="s">
        <v>170</v>
      </c>
      <c r="C169" s="1">
        <v>2008</v>
      </c>
      <c r="D169" s="1">
        <v>2009</v>
      </c>
      <c r="E169" s="1">
        <v>2007</v>
      </c>
      <c r="F169" s="1" t="s">
        <v>322</v>
      </c>
      <c r="G169" s="1" t="s">
        <v>191</v>
      </c>
      <c r="H169" s="1" t="s">
        <v>763</v>
      </c>
      <c r="I169" s="1" t="s">
        <v>764</v>
      </c>
      <c r="J169" s="1">
        <v>1.5</v>
      </c>
      <c r="K169" s="1" t="s">
        <v>775</v>
      </c>
      <c r="L169" s="1">
        <v>10000</v>
      </c>
      <c r="M169" s="1" t="s">
        <v>174</v>
      </c>
      <c r="N169" s="20">
        <v>97.97</v>
      </c>
      <c r="O169" s="1" t="s">
        <v>784</v>
      </c>
    </row>
    <row r="170" spans="1:15">
      <c r="A170" s="1" t="s">
        <v>169</v>
      </c>
      <c r="B170" s="1" t="s">
        <v>170</v>
      </c>
      <c r="C170" s="1">
        <v>2008</v>
      </c>
      <c r="D170" s="1">
        <v>2009</v>
      </c>
      <c r="E170" s="1">
        <v>2007</v>
      </c>
      <c r="F170" s="1" t="s">
        <v>322</v>
      </c>
      <c r="G170" s="1" t="s">
        <v>191</v>
      </c>
      <c r="H170" s="1" t="s">
        <v>763</v>
      </c>
      <c r="I170" s="1" t="s">
        <v>764</v>
      </c>
      <c r="J170" s="1">
        <v>2</v>
      </c>
      <c r="K170" s="1" t="s">
        <v>775</v>
      </c>
      <c r="L170" s="1">
        <v>17000</v>
      </c>
      <c r="M170" s="1" t="s">
        <v>174</v>
      </c>
      <c r="N170" s="20">
        <v>152.68</v>
      </c>
      <c r="O170" s="1" t="s">
        <v>784</v>
      </c>
    </row>
    <row r="171" spans="1:15">
      <c r="A171" s="1" t="s">
        <v>169</v>
      </c>
      <c r="B171" s="1" t="s">
        <v>170</v>
      </c>
      <c r="C171" s="1">
        <v>2008</v>
      </c>
      <c r="D171" s="1">
        <v>2009</v>
      </c>
      <c r="E171" s="1">
        <v>2007</v>
      </c>
      <c r="F171" s="1" t="s">
        <v>322</v>
      </c>
      <c r="G171" s="1" t="s">
        <v>191</v>
      </c>
      <c r="H171" s="1" t="s">
        <v>763</v>
      </c>
      <c r="I171" s="1" t="s">
        <v>764</v>
      </c>
      <c r="J171" s="1">
        <v>3</v>
      </c>
      <c r="K171" s="1" t="s">
        <v>775</v>
      </c>
      <c r="L171" s="1">
        <v>40000</v>
      </c>
      <c r="M171" s="1" t="s">
        <v>174</v>
      </c>
      <c r="N171" s="20">
        <v>328.83</v>
      </c>
      <c r="O171" s="1" t="s">
        <v>784</v>
      </c>
    </row>
    <row r="172" spans="1:15">
      <c r="A172" s="1" t="s">
        <v>169</v>
      </c>
      <c r="B172" s="1" t="s">
        <v>170</v>
      </c>
      <c r="C172" s="1">
        <v>2008</v>
      </c>
      <c r="D172" s="1">
        <v>2009</v>
      </c>
      <c r="E172" s="1">
        <v>2007</v>
      </c>
      <c r="F172" s="1" t="s">
        <v>322</v>
      </c>
      <c r="G172" s="1" t="s">
        <v>191</v>
      </c>
      <c r="H172" s="1" t="s">
        <v>763</v>
      </c>
      <c r="I172" s="1" t="s">
        <v>764</v>
      </c>
      <c r="J172" s="1">
        <v>4</v>
      </c>
      <c r="K172" s="1" t="s">
        <v>775</v>
      </c>
      <c r="L172" s="1">
        <v>70000</v>
      </c>
      <c r="M172" s="1" t="s">
        <v>174</v>
      </c>
      <c r="N172" s="20">
        <v>584.9</v>
      </c>
      <c r="O172" s="1" t="s">
        <v>784</v>
      </c>
    </row>
    <row r="173" spans="1:15">
      <c r="A173" s="1" t="s">
        <v>169</v>
      </c>
      <c r="B173" s="1" t="s">
        <v>170</v>
      </c>
      <c r="C173" s="1">
        <v>2008</v>
      </c>
      <c r="D173" s="1">
        <v>2009</v>
      </c>
      <c r="E173" s="1">
        <v>2007</v>
      </c>
      <c r="F173" s="1" t="s">
        <v>322</v>
      </c>
      <c r="G173" s="1" t="s">
        <v>191</v>
      </c>
      <c r="H173" s="1" t="s">
        <v>763</v>
      </c>
      <c r="I173" s="1" t="s">
        <v>764</v>
      </c>
      <c r="J173" s="1">
        <v>6</v>
      </c>
      <c r="K173" s="1" t="s">
        <v>775</v>
      </c>
      <c r="L173" s="1">
        <v>175000</v>
      </c>
      <c r="M173" s="1" t="s">
        <v>174</v>
      </c>
      <c r="N173" s="20">
        <v>1411.06</v>
      </c>
      <c r="O173" s="1" t="s">
        <v>784</v>
      </c>
    </row>
    <row r="174" spans="1:15">
      <c r="A174" s="1" t="s">
        <v>169</v>
      </c>
      <c r="B174" s="1" t="s">
        <v>170</v>
      </c>
      <c r="C174" s="1">
        <v>2008</v>
      </c>
      <c r="D174" s="1">
        <v>2009</v>
      </c>
      <c r="E174" s="1">
        <v>2007</v>
      </c>
      <c r="F174" s="1" t="s">
        <v>322</v>
      </c>
      <c r="G174" s="1" t="s">
        <v>191</v>
      </c>
      <c r="H174" s="1" t="s">
        <v>763</v>
      </c>
      <c r="I174" s="1" t="s">
        <v>764</v>
      </c>
      <c r="J174" s="1">
        <v>8</v>
      </c>
      <c r="K174" s="1" t="s">
        <v>775</v>
      </c>
      <c r="L174" s="1">
        <v>325000</v>
      </c>
      <c r="M174" s="1" t="s">
        <v>174</v>
      </c>
      <c r="N174" s="20">
        <v>2435.11</v>
      </c>
      <c r="O174" s="1" t="s">
        <v>784</v>
      </c>
    </row>
    <row r="175" spans="1:15">
      <c r="A175" s="1" t="s">
        <v>169</v>
      </c>
      <c r="B175" s="1" t="s">
        <v>170</v>
      </c>
      <c r="C175" s="1">
        <v>2008</v>
      </c>
      <c r="D175" s="1">
        <v>2009</v>
      </c>
      <c r="E175" s="1">
        <v>2007</v>
      </c>
      <c r="F175" s="1" t="s">
        <v>322</v>
      </c>
      <c r="G175" s="1" t="s">
        <v>191</v>
      </c>
      <c r="H175" s="1" t="s">
        <v>763</v>
      </c>
      <c r="I175" s="1" t="s">
        <v>764</v>
      </c>
      <c r="J175" s="1">
        <v>10</v>
      </c>
      <c r="K175" s="1" t="s">
        <v>775</v>
      </c>
      <c r="L175" s="1">
        <v>548000</v>
      </c>
      <c r="M175" s="1" t="s">
        <v>174</v>
      </c>
      <c r="N175" s="20">
        <v>4179.33</v>
      </c>
      <c r="O175" s="1" t="s">
        <v>784</v>
      </c>
    </row>
    <row r="176" spans="1:15">
      <c r="A176" s="1" t="s">
        <v>169</v>
      </c>
      <c r="B176" s="1" t="s">
        <v>170</v>
      </c>
      <c r="C176" s="1">
        <v>2010</v>
      </c>
      <c r="D176" s="1">
        <v>2010</v>
      </c>
      <c r="E176" s="1">
        <v>2007</v>
      </c>
      <c r="F176" s="1" t="s">
        <v>322</v>
      </c>
      <c r="G176" s="1" t="s">
        <v>191</v>
      </c>
      <c r="H176" s="1" t="s">
        <v>763</v>
      </c>
      <c r="I176" s="1" t="s">
        <v>764</v>
      </c>
      <c r="J176" s="1">
        <v>0.625</v>
      </c>
      <c r="K176" s="1" t="s">
        <v>775</v>
      </c>
      <c r="L176" s="1">
        <v>1000</v>
      </c>
      <c r="M176" s="1" t="s">
        <v>174</v>
      </c>
      <c r="N176" s="20">
        <v>14.67</v>
      </c>
      <c r="O176" s="1" t="s">
        <v>784</v>
      </c>
    </row>
    <row r="177" spans="1:15">
      <c r="A177" s="1" t="s">
        <v>169</v>
      </c>
      <c r="B177" s="1" t="s">
        <v>170</v>
      </c>
      <c r="C177" s="1">
        <v>2010</v>
      </c>
      <c r="D177" s="1">
        <v>2010</v>
      </c>
      <c r="E177" s="1">
        <v>2007</v>
      </c>
      <c r="F177" s="1" t="s">
        <v>322</v>
      </c>
      <c r="G177" s="1" t="s">
        <v>191</v>
      </c>
      <c r="H177" s="1" t="s">
        <v>763</v>
      </c>
      <c r="I177" s="1" t="s">
        <v>764</v>
      </c>
      <c r="J177" s="1">
        <v>0.75</v>
      </c>
      <c r="K177" s="1" t="s">
        <v>775</v>
      </c>
      <c r="L177" s="1">
        <v>2000</v>
      </c>
      <c r="M177" s="1" t="s">
        <v>174</v>
      </c>
      <c r="N177" s="20">
        <v>25.59</v>
      </c>
      <c r="O177" s="1" t="s">
        <v>784</v>
      </c>
    </row>
    <row r="178" spans="1:15">
      <c r="A178" s="1" t="s">
        <v>169</v>
      </c>
      <c r="B178" s="1" t="s">
        <v>170</v>
      </c>
      <c r="C178" s="1">
        <v>2010</v>
      </c>
      <c r="D178" s="1">
        <v>2010</v>
      </c>
      <c r="E178" s="1">
        <v>2007</v>
      </c>
      <c r="F178" s="1" t="s">
        <v>322</v>
      </c>
      <c r="G178" s="1" t="s">
        <v>191</v>
      </c>
      <c r="H178" s="1" t="s">
        <v>763</v>
      </c>
      <c r="I178" s="1" t="s">
        <v>764</v>
      </c>
      <c r="J178" s="1">
        <v>1</v>
      </c>
      <c r="K178" s="1" t="s">
        <v>775</v>
      </c>
      <c r="L178" s="1">
        <v>5000</v>
      </c>
      <c r="M178" s="1" t="s">
        <v>174</v>
      </c>
      <c r="N178" s="20">
        <v>49.91</v>
      </c>
      <c r="O178" s="1" t="s">
        <v>784</v>
      </c>
    </row>
    <row r="179" spans="1:15">
      <c r="A179" s="1" t="s">
        <v>169</v>
      </c>
      <c r="B179" s="1" t="s">
        <v>170</v>
      </c>
      <c r="C179" s="1">
        <v>2010</v>
      </c>
      <c r="D179" s="1">
        <v>2010</v>
      </c>
      <c r="E179" s="1">
        <v>2007</v>
      </c>
      <c r="F179" s="1" t="s">
        <v>322</v>
      </c>
      <c r="G179" s="1" t="s">
        <v>191</v>
      </c>
      <c r="H179" s="1" t="s">
        <v>763</v>
      </c>
      <c r="I179" s="1" t="s">
        <v>764</v>
      </c>
      <c r="J179" s="1">
        <v>1.25</v>
      </c>
      <c r="K179" s="1" t="s">
        <v>775</v>
      </c>
      <c r="L179" s="1">
        <v>7000</v>
      </c>
      <c r="M179" s="1" t="s">
        <v>174</v>
      </c>
      <c r="N179" s="20">
        <v>77.66</v>
      </c>
      <c r="O179" s="1" t="s">
        <v>784</v>
      </c>
    </row>
    <row r="180" spans="1:15">
      <c r="A180" s="1" t="s">
        <v>169</v>
      </c>
      <c r="B180" s="1" t="s">
        <v>170</v>
      </c>
      <c r="C180" s="1">
        <v>2010</v>
      </c>
      <c r="D180" s="1">
        <v>2010</v>
      </c>
      <c r="E180" s="1">
        <v>2007</v>
      </c>
      <c r="F180" s="1" t="s">
        <v>322</v>
      </c>
      <c r="G180" s="1" t="s">
        <v>191</v>
      </c>
      <c r="H180" s="1" t="s">
        <v>763</v>
      </c>
      <c r="I180" s="1" t="s">
        <v>764</v>
      </c>
      <c r="J180" s="1">
        <v>1.5</v>
      </c>
      <c r="K180" s="1" t="s">
        <v>775</v>
      </c>
      <c r="L180" s="1">
        <v>10000</v>
      </c>
      <c r="M180" s="1" t="s">
        <v>174</v>
      </c>
      <c r="N180" s="20">
        <v>97.97</v>
      </c>
      <c r="O180" s="1" t="s">
        <v>784</v>
      </c>
    </row>
    <row r="181" spans="1:15">
      <c r="A181" s="1" t="s">
        <v>169</v>
      </c>
      <c r="B181" s="1" t="s">
        <v>170</v>
      </c>
      <c r="C181" s="1">
        <v>2010</v>
      </c>
      <c r="D181" s="1">
        <v>2010</v>
      </c>
      <c r="E181" s="1">
        <v>2007</v>
      </c>
      <c r="F181" s="1" t="s">
        <v>322</v>
      </c>
      <c r="G181" s="1" t="s">
        <v>191</v>
      </c>
      <c r="H181" s="1" t="s">
        <v>763</v>
      </c>
      <c r="I181" s="1" t="s">
        <v>764</v>
      </c>
      <c r="J181" s="1">
        <v>2</v>
      </c>
      <c r="K181" s="1" t="s">
        <v>775</v>
      </c>
      <c r="L181" s="1">
        <v>17000</v>
      </c>
      <c r="M181" s="1" t="s">
        <v>174</v>
      </c>
      <c r="N181" s="20">
        <v>152.68</v>
      </c>
      <c r="O181" s="1" t="s">
        <v>784</v>
      </c>
    </row>
    <row r="182" spans="1:15">
      <c r="A182" s="1" t="s">
        <v>169</v>
      </c>
      <c r="B182" s="1" t="s">
        <v>170</v>
      </c>
      <c r="C182" s="1">
        <v>2010</v>
      </c>
      <c r="D182" s="1">
        <v>2010</v>
      </c>
      <c r="E182" s="1">
        <v>2007</v>
      </c>
      <c r="F182" s="1" t="s">
        <v>322</v>
      </c>
      <c r="G182" s="1" t="s">
        <v>191</v>
      </c>
      <c r="H182" s="1" t="s">
        <v>763</v>
      </c>
      <c r="I182" s="1" t="s">
        <v>764</v>
      </c>
      <c r="J182" s="1">
        <v>3</v>
      </c>
      <c r="K182" s="1" t="s">
        <v>775</v>
      </c>
      <c r="L182" s="1">
        <v>40000</v>
      </c>
      <c r="M182" s="1" t="s">
        <v>174</v>
      </c>
      <c r="N182" s="20">
        <v>328.83</v>
      </c>
      <c r="O182" s="1" t="s">
        <v>784</v>
      </c>
    </row>
    <row r="183" spans="1:15">
      <c r="A183" s="1" t="s">
        <v>169</v>
      </c>
      <c r="B183" s="1" t="s">
        <v>170</v>
      </c>
      <c r="C183" s="1">
        <v>2010</v>
      </c>
      <c r="D183" s="1">
        <v>2010</v>
      </c>
      <c r="E183" s="1">
        <v>2007</v>
      </c>
      <c r="F183" s="1" t="s">
        <v>322</v>
      </c>
      <c r="G183" s="1" t="s">
        <v>191</v>
      </c>
      <c r="H183" s="1" t="s">
        <v>763</v>
      </c>
      <c r="I183" s="1" t="s">
        <v>764</v>
      </c>
      <c r="J183" s="1">
        <v>4</v>
      </c>
      <c r="K183" s="1" t="s">
        <v>775</v>
      </c>
      <c r="L183" s="1">
        <v>70000</v>
      </c>
      <c r="M183" s="1" t="s">
        <v>174</v>
      </c>
      <c r="N183" s="20">
        <v>584.9</v>
      </c>
      <c r="O183" s="1" t="s">
        <v>784</v>
      </c>
    </row>
    <row r="184" spans="1:15">
      <c r="A184" s="1" t="s">
        <v>169</v>
      </c>
      <c r="B184" s="1" t="s">
        <v>170</v>
      </c>
      <c r="C184" s="1">
        <v>2010</v>
      </c>
      <c r="D184" s="1">
        <v>2010</v>
      </c>
      <c r="E184" s="1">
        <v>2007</v>
      </c>
      <c r="F184" s="1" t="s">
        <v>322</v>
      </c>
      <c r="G184" s="1" t="s">
        <v>191</v>
      </c>
      <c r="H184" s="1" t="s">
        <v>763</v>
      </c>
      <c r="I184" s="1" t="s">
        <v>764</v>
      </c>
      <c r="J184" s="1">
        <v>6</v>
      </c>
      <c r="K184" s="1" t="s">
        <v>775</v>
      </c>
      <c r="L184" s="1">
        <v>175000</v>
      </c>
      <c r="M184" s="1" t="s">
        <v>174</v>
      </c>
      <c r="N184" s="20">
        <v>1411.06</v>
      </c>
      <c r="O184" s="1" t="s">
        <v>784</v>
      </c>
    </row>
    <row r="185" spans="1:15">
      <c r="A185" s="1" t="s">
        <v>169</v>
      </c>
      <c r="B185" s="1" t="s">
        <v>170</v>
      </c>
      <c r="C185" s="1">
        <v>2010</v>
      </c>
      <c r="D185" s="1">
        <v>2010</v>
      </c>
      <c r="E185" s="1">
        <v>2007</v>
      </c>
      <c r="F185" s="1" t="s">
        <v>322</v>
      </c>
      <c r="G185" s="1" t="s">
        <v>191</v>
      </c>
      <c r="H185" s="1" t="s">
        <v>763</v>
      </c>
      <c r="I185" s="1" t="s">
        <v>764</v>
      </c>
      <c r="J185" s="1">
        <v>8</v>
      </c>
      <c r="K185" s="1" t="s">
        <v>775</v>
      </c>
      <c r="L185" s="1">
        <v>325000</v>
      </c>
      <c r="M185" s="1" t="s">
        <v>174</v>
      </c>
      <c r="N185" s="20">
        <v>2435.11</v>
      </c>
      <c r="O185" s="1" t="s">
        <v>784</v>
      </c>
    </row>
    <row r="186" spans="1:15">
      <c r="A186" s="1" t="s">
        <v>169</v>
      </c>
      <c r="B186" s="1" t="s">
        <v>170</v>
      </c>
      <c r="C186" s="1">
        <v>2010</v>
      </c>
      <c r="D186" s="1">
        <v>2010</v>
      </c>
      <c r="E186" s="1">
        <v>2007</v>
      </c>
      <c r="F186" s="1" t="s">
        <v>322</v>
      </c>
      <c r="G186" s="1" t="s">
        <v>191</v>
      </c>
      <c r="H186" s="1" t="s">
        <v>763</v>
      </c>
      <c r="I186" s="1" t="s">
        <v>764</v>
      </c>
      <c r="J186" s="1">
        <v>10</v>
      </c>
      <c r="K186" s="1" t="s">
        <v>775</v>
      </c>
      <c r="L186" s="1">
        <v>548000</v>
      </c>
      <c r="M186" s="1" t="s">
        <v>174</v>
      </c>
      <c r="N186" s="20">
        <v>4179.33</v>
      </c>
      <c r="O186" s="1" t="s">
        <v>784</v>
      </c>
    </row>
    <row r="187" spans="1:15">
      <c r="A187" s="1" t="s">
        <v>169</v>
      </c>
      <c r="B187" s="1" t="s">
        <v>170</v>
      </c>
      <c r="C187" s="1">
        <v>2010</v>
      </c>
      <c r="D187" s="1">
        <v>2010</v>
      </c>
      <c r="E187" s="1">
        <v>2007</v>
      </c>
      <c r="F187" s="1" t="s">
        <v>322</v>
      </c>
      <c r="G187" s="1" t="s">
        <v>191</v>
      </c>
      <c r="H187" s="1" t="s">
        <v>752</v>
      </c>
      <c r="I187" s="1" t="s">
        <v>753</v>
      </c>
      <c r="J187" s="1" t="s">
        <v>606</v>
      </c>
      <c r="K187" s="1" t="s">
        <v>667</v>
      </c>
      <c r="L187" s="1">
        <v>1000</v>
      </c>
      <c r="M187" s="1" t="s">
        <v>174</v>
      </c>
      <c r="N187" s="20">
        <v>7.5</v>
      </c>
      <c r="O187" s="1" t="s">
        <v>754</v>
      </c>
    </row>
    <row r="188" spans="1:15">
      <c r="A188" s="1" t="s">
        <v>169</v>
      </c>
      <c r="B188" s="1" t="s">
        <v>170</v>
      </c>
      <c r="C188" s="1">
        <v>2010</v>
      </c>
      <c r="D188" s="1">
        <v>2010</v>
      </c>
      <c r="E188" s="1">
        <v>2007</v>
      </c>
      <c r="F188" s="1" t="s">
        <v>322</v>
      </c>
      <c r="G188" s="1" t="s">
        <v>191</v>
      </c>
      <c r="H188" s="1" t="s">
        <v>752</v>
      </c>
      <c r="I188" s="1" t="s">
        <v>753</v>
      </c>
      <c r="J188" s="1" t="s">
        <v>607</v>
      </c>
      <c r="K188" s="1" t="s">
        <v>667</v>
      </c>
      <c r="L188" s="1" t="s">
        <v>174</v>
      </c>
      <c r="M188" s="1" t="s">
        <v>174</v>
      </c>
      <c r="N188" s="20">
        <v>7.19</v>
      </c>
      <c r="O188" s="1" t="s">
        <v>754</v>
      </c>
    </row>
    <row r="189" spans="1:15">
      <c r="A189" s="1" t="s">
        <v>169</v>
      </c>
      <c r="B189" s="1" t="s">
        <v>170</v>
      </c>
      <c r="C189" s="1">
        <v>2010</v>
      </c>
      <c r="D189" s="1">
        <v>2010</v>
      </c>
      <c r="E189" s="1">
        <v>2007</v>
      </c>
      <c r="F189" s="1" t="s">
        <v>322</v>
      </c>
      <c r="G189" s="1" t="s">
        <v>191</v>
      </c>
      <c r="H189" s="1" t="s">
        <v>752</v>
      </c>
      <c r="I189" s="1" t="s">
        <v>753</v>
      </c>
      <c r="J189" s="1" t="s">
        <v>608</v>
      </c>
      <c r="K189" s="1" t="s">
        <v>667</v>
      </c>
      <c r="L189" s="1" t="s">
        <v>174</v>
      </c>
      <c r="M189" s="1" t="s">
        <v>174</v>
      </c>
      <c r="N189" s="20">
        <v>6.74</v>
      </c>
      <c r="O189" s="1" t="s">
        <v>754</v>
      </c>
    </row>
    <row r="190" spans="1:15">
      <c r="A190" s="1" t="s">
        <v>169</v>
      </c>
      <c r="B190" s="1" t="s">
        <v>170</v>
      </c>
      <c r="C190" s="1">
        <v>2010</v>
      </c>
      <c r="D190" s="1">
        <v>2010</v>
      </c>
      <c r="E190" s="1">
        <v>2007</v>
      </c>
      <c r="F190" s="1" t="s">
        <v>322</v>
      </c>
      <c r="G190" s="1" t="s">
        <v>191</v>
      </c>
      <c r="H190" s="1" t="s">
        <v>752</v>
      </c>
      <c r="I190" s="1" t="s">
        <v>753</v>
      </c>
      <c r="J190" s="1" t="s">
        <v>756</v>
      </c>
      <c r="K190" s="1" t="s">
        <v>667</v>
      </c>
      <c r="L190" s="1" t="s">
        <v>174</v>
      </c>
      <c r="M190" s="1" t="s">
        <v>779</v>
      </c>
      <c r="N190" s="20">
        <v>3.69</v>
      </c>
      <c r="O190" s="1" t="s">
        <v>754</v>
      </c>
    </row>
    <row r="191" spans="1:15">
      <c r="A191" s="1" t="s">
        <v>169</v>
      </c>
      <c r="B191" s="1" t="s">
        <v>170</v>
      </c>
      <c r="C191" s="1">
        <v>2010</v>
      </c>
      <c r="D191" s="1">
        <v>2010</v>
      </c>
      <c r="E191" s="1">
        <v>2007</v>
      </c>
      <c r="F191" s="1" t="s">
        <v>322</v>
      </c>
      <c r="G191" s="1" t="s">
        <v>191</v>
      </c>
      <c r="H191" s="1" t="s">
        <v>752</v>
      </c>
      <c r="I191" s="1" t="s">
        <v>753</v>
      </c>
      <c r="J191" s="1" t="s">
        <v>756</v>
      </c>
      <c r="K191" s="1" t="s">
        <v>667</v>
      </c>
      <c r="L191" s="1" t="s">
        <v>174</v>
      </c>
      <c r="M191" s="1" t="s">
        <v>780</v>
      </c>
      <c r="N191" s="20">
        <v>3.64</v>
      </c>
      <c r="O191" s="1" t="s">
        <v>754</v>
      </c>
    </row>
    <row r="192" spans="1:15">
      <c r="A192" s="1" t="s">
        <v>169</v>
      </c>
      <c r="B192" s="1" t="s">
        <v>170</v>
      </c>
      <c r="C192" s="1">
        <v>2010</v>
      </c>
      <c r="D192" s="1">
        <v>2010</v>
      </c>
      <c r="E192" s="1">
        <v>2007</v>
      </c>
      <c r="F192" s="1" t="s">
        <v>322</v>
      </c>
      <c r="G192" s="1" t="s">
        <v>191</v>
      </c>
      <c r="H192" s="1" t="s">
        <v>752</v>
      </c>
      <c r="I192" s="1" t="s">
        <v>753</v>
      </c>
      <c r="J192" s="1" t="s">
        <v>774</v>
      </c>
      <c r="K192" s="1" t="s">
        <v>667</v>
      </c>
      <c r="L192" s="1" t="s">
        <v>174</v>
      </c>
      <c r="M192" s="1" t="s">
        <v>174</v>
      </c>
      <c r="N192" s="20">
        <v>9.83</v>
      </c>
      <c r="O192" s="1" t="s">
        <v>754</v>
      </c>
    </row>
    <row r="193" spans="1:15">
      <c r="A193" s="1" t="s">
        <v>169</v>
      </c>
      <c r="B193" s="1" t="s">
        <v>170</v>
      </c>
      <c r="C193" s="1">
        <v>2012</v>
      </c>
      <c r="D193" s="1">
        <v>2011</v>
      </c>
      <c r="E193" s="1">
        <v>2007</v>
      </c>
      <c r="F193" s="1" t="s">
        <v>322</v>
      </c>
      <c r="G193" s="1" t="s">
        <v>191</v>
      </c>
      <c r="H193" s="1" t="s">
        <v>752</v>
      </c>
      <c r="I193" s="1" t="s">
        <v>753</v>
      </c>
      <c r="J193" s="1" t="s">
        <v>606</v>
      </c>
      <c r="K193" s="1" t="s">
        <v>667</v>
      </c>
      <c r="L193" s="1">
        <v>1000</v>
      </c>
      <c r="M193" s="1" t="s">
        <v>174</v>
      </c>
      <c r="N193" s="20">
        <v>8.08</v>
      </c>
      <c r="O193" s="1" t="s">
        <v>754</v>
      </c>
    </row>
    <row r="194" spans="1:15">
      <c r="A194" s="1" t="s">
        <v>169</v>
      </c>
      <c r="B194" s="1" t="s">
        <v>170</v>
      </c>
      <c r="C194" s="1">
        <v>2012</v>
      </c>
      <c r="D194" s="1">
        <v>2011</v>
      </c>
      <c r="E194" s="1">
        <v>2011</v>
      </c>
      <c r="F194" s="1" t="s">
        <v>322</v>
      </c>
      <c r="G194" s="1" t="s">
        <v>191</v>
      </c>
      <c r="H194" s="1" t="s">
        <v>752</v>
      </c>
      <c r="I194" s="1" t="s">
        <v>753</v>
      </c>
      <c r="J194" s="1" t="s">
        <v>607</v>
      </c>
      <c r="K194" s="1" t="s">
        <v>667</v>
      </c>
      <c r="L194" s="1" t="s">
        <v>174</v>
      </c>
      <c r="M194" s="1" t="s">
        <v>174</v>
      </c>
      <c r="N194" s="20">
        <v>7.74</v>
      </c>
      <c r="O194" s="1" t="s">
        <v>754</v>
      </c>
    </row>
    <row r="195" spans="1:15">
      <c r="A195" s="1" t="s">
        <v>169</v>
      </c>
      <c r="B195" s="1" t="s">
        <v>170</v>
      </c>
      <c r="C195" s="1">
        <v>2012</v>
      </c>
      <c r="D195" s="1">
        <v>2011</v>
      </c>
      <c r="E195" s="1">
        <v>2011</v>
      </c>
      <c r="F195" s="1" t="s">
        <v>322</v>
      </c>
      <c r="G195" s="1" t="s">
        <v>191</v>
      </c>
      <c r="H195" s="1" t="s">
        <v>752</v>
      </c>
      <c r="I195" s="1" t="s">
        <v>753</v>
      </c>
      <c r="J195" s="1" t="s">
        <v>608</v>
      </c>
      <c r="K195" s="1" t="s">
        <v>667</v>
      </c>
      <c r="L195" s="1" t="s">
        <v>174</v>
      </c>
      <c r="M195" s="1" t="s">
        <v>174</v>
      </c>
      <c r="N195" s="20">
        <v>7.26</v>
      </c>
      <c r="O195" s="1" t="s">
        <v>754</v>
      </c>
    </row>
    <row r="196" spans="1:15">
      <c r="A196" s="1" t="s">
        <v>169</v>
      </c>
      <c r="B196" s="1" t="s">
        <v>170</v>
      </c>
      <c r="C196" s="1">
        <v>2012</v>
      </c>
      <c r="D196" s="1">
        <v>2011</v>
      </c>
      <c r="E196" s="1">
        <v>2011</v>
      </c>
      <c r="F196" s="1" t="s">
        <v>322</v>
      </c>
      <c r="G196" s="1" t="s">
        <v>191</v>
      </c>
      <c r="H196" s="1" t="s">
        <v>752</v>
      </c>
      <c r="I196" s="1" t="s">
        <v>753</v>
      </c>
      <c r="J196" s="1" t="s">
        <v>756</v>
      </c>
      <c r="K196" s="1" t="s">
        <v>667</v>
      </c>
      <c r="L196" s="1" t="s">
        <v>174</v>
      </c>
      <c r="M196" s="1" t="s">
        <v>779</v>
      </c>
      <c r="N196" s="20">
        <v>3.97</v>
      </c>
      <c r="O196" s="1" t="s">
        <v>754</v>
      </c>
    </row>
    <row r="197" spans="1:15">
      <c r="A197" s="1" t="s">
        <v>169</v>
      </c>
      <c r="B197" s="1" t="s">
        <v>170</v>
      </c>
      <c r="C197" s="1">
        <v>2012</v>
      </c>
      <c r="D197" s="1">
        <v>2011</v>
      </c>
      <c r="E197" s="1">
        <v>2011</v>
      </c>
      <c r="F197" s="1" t="s">
        <v>322</v>
      </c>
      <c r="G197" s="1" t="s">
        <v>191</v>
      </c>
      <c r="H197" s="1" t="s">
        <v>752</v>
      </c>
      <c r="I197" s="1" t="s">
        <v>753</v>
      </c>
      <c r="J197" s="1" t="s">
        <v>756</v>
      </c>
      <c r="K197" s="1" t="s">
        <v>667</v>
      </c>
      <c r="L197" s="1" t="s">
        <v>174</v>
      </c>
      <c r="M197" s="1" t="s">
        <v>780</v>
      </c>
      <c r="N197" s="20" t="s">
        <v>174</v>
      </c>
      <c r="O197" s="1" t="s">
        <v>754</v>
      </c>
    </row>
    <row r="198" spans="1:15">
      <c r="A198" s="1" t="s">
        <v>169</v>
      </c>
      <c r="B198" s="1" t="s">
        <v>170</v>
      </c>
      <c r="C198" s="1">
        <v>2012</v>
      </c>
      <c r="D198" s="1">
        <v>2011</v>
      </c>
      <c r="E198" s="1">
        <v>2011</v>
      </c>
      <c r="F198" s="1" t="s">
        <v>322</v>
      </c>
      <c r="G198" s="1" t="s">
        <v>191</v>
      </c>
      <c r="H198" s="1" t="s">
        <v>752</v>
      </c>
      <c r="I198" s="1" t="s">
        <v>753</v>
      </c>
      <c r="J198" s="1" t="s">
        <v>774</v>
      </c>
      <c r="K198" s="1" t="s">
        <v>667</v>
      </c>
      <c r="L198" s="1" t="s">
        <v>174</v>
      </c>
      <c r="M198" s="1" t="s">
        <v>174</v>
      </c>
      <c r="N198" s="20">
        <v>10.59</v>
      </c>
      <c r="O198" s="1" t="s">
        <v>754</v>
      </c>
    </row>
    <row r="199" spans="1:15">
      <c r="A199" s="1" t="s">
        <v>169</v>
      </c>
      <c r="B199" s="1" t="s">
        <v>170</v>
      </c>
      <c r="C199" s="1">
        <v>2010</v>
      </c>
      <c r="D199" s="1">
        <v>2012</v>
      </c>
      <c r="E199" s="1">
        <v>2012</v>
      </c>
      <c r="F199" s="1" t="s">
        <v>322</v>
      </c>
      <c r="G199" s="1" t="s">
        <v>191</v>
      </c>
      <c r="H199" s="1" t="s">
        <v>752</v>
      </c>
      <c r="I199" s="1" t="s">
        <v>753</v>
      </c>
      <c r="J199" s="1" t="s">
        <v>606</v>
      </c>
      <c r="K199" s="1" t="s">
        <v>667</v>
      </c>
      <c r="L199" s="1">
        <v>1000</v>
      </c>
      <c r="M199" s="1" t="s">
        <v>174</v>
      </c>
      <c r="N199" s="20">
        <v>8.48</v>
      </c>
      <c r="O199" s="1" t="s">
        <v>754</v>
      </c>
    </row>
    <row r="200" spans="1:15">
      <c r="A200" s="1" t="s">
        <v>169</v>
      </c>
      <c r="B200" s="1" t="s">
        <v>170</v>
      </c>
      <c r="C200" s="1">
        <v>2012</v>
      </c>
      <c r="D200" s="1">
        <v>2012</v>
      </c>
      <c r="E200" s="1">
        <v>2012</v>
      </c>
      <c r="F200" s="1" t="s">
        <v>322</v>
      </c>
      <c r="G200" s="1" t="s">
        <v>191</v>
      </c>
      <c r="H200" s="1" t="s">
        <v>752</v>
      </c>
      <c r="I200" s="1" t="s">
        <v>753</v>
      </c>
      <c r="J200" s="1" t="s">
        <v>607</v>
      </c>
      <c r="K200" s="1" t="s">
        <v>667</v>
      </c>
      <c r="L200" s="1" t="s">
        <v>174</v>
      </c>
      <c r="M200" s="1" t="s">
        <v>174</v>
      </c>
      <c r="N200" s="20">
        <v>8.1300000000000008</v>
      </c>
      <c r="O200" s="1" t="s">
        <v>754</v>
      </c>
    </row>
    <row r="201" spans="1:15">
      <c r="A201" s="1" t="s">
        <v>169</v>
      </c>
      <c r="B201" s="1" t="s">
        <v>170</v>
      </c>
      <c r="C201" s="1">
        <v>2012</v>
      </c>
      <c r="D201" s="1">
        <v>2012</v>
      </c>
      <c r="E201" s="1">
        <v>2012</v>
      </c>
      <c r="F201" s="1" t="s">
        <v>322</v>
      </c>
      <c r="G201" s="1" t="s">
        <v>191</v>
      </c>
      <c r="H201" s="1" t="s">
        <v>752</v>
      </c>
      <c r="I201" s="1" t="s">
        <v>753</v>
      </c>
      <c r="J201" s="1" t="s">
        <v>608</v>
      </c>
      <c r="K201" s="1" t="s">
        <v>667</v>
      </c>
      <c r="L201" s="1" t="s">
        <v>174</v>
      </c>
      <c r="M201" s="1" t="s">
        <v>174</v>
      </c>
      <c r="N201" s="20">
        <v>7.62</v>
      </c>
      <c r="O201" s="1" t="s">
        <v>754</v>
      </c>
    </row>
    <row r="202" spans="1:15">
      <c r="A202" s="1" t="s">
        <v>169</v>
      </c>
      <c r="B202" s="1" t="s">
        <v>170</v>
      </c>
      <c r="C202" s="1">
        <v>2012</v>
      </c>
      <c r="D202" s="1">
        <v>2012</v>
      </c>
      <c r="E202" s="1">
        <v>2012</v>
      </c>
      <c r="F202" s="1" t="s">
        <v>322</v>
      </c>
      <c r="G202" s="1" t="s">
        <v>191</v>
      </c>
      <c r="H202" s="1" t="s">
        <v>752</v>
      </c>
      <c r="I202" s="1" t="s">
        <v>753</v>
      </c>
      <c r="J202" s="1" t="s">
        <v>756</v>
      </c>
      <c r="K202" s="1" t="s">
        <v>667</v>
      </c>
      <c r="L202" s="1" t="s">
        <v>174</v>
      </c>
      <c r="M202" s="1" t="s">
        <v>779</v>
      </c>
      <c r="N202" s="20">
        <v>4.17</v>
      </c>
      <c r="O202" s="1" t="s">
        <v>754</v>
      </c>
    </row>
    <row r="203" spans="1:15">
      <c r="A203" s="1" t="s">
        <v>169</v>
      </c>
      <c r="B203" s="1" t="s">
        <v>170</v>
      </c>
      <c r="C203" s="1">
        <v>2012</v>
      </c>
      <c r="D203" s="1">
        <v>2012</v>
      </c>
      <c r="E203" s="1">
        <v>2012</v>
      </c>
      <c r="F203" s="1" t="s">
        <v>322</v>
      </c>
      <c r="G203" s="1" t="s">
        <v>191</v>
      </c>
      <c r="H203" s="1" t="s">
        <v>752</v>
      </c>
      <c r="I203" s="1" t="s">
        <v>753</v>
      </c>
      <c r="J203" s="1" t="s">
        <v>756</v>
      </c>
      <c r="K203" s="1" t="s">
        <v>667</v>
      </c>
      <c r="L203" s="1" t="s">
        <v>174</v>
      </c>
      <c r="M203" s="1" t="s">
        <v>780</v>
      </c>
      <c r="N203" s="20" t="s">
        <v>174</v>
      </c>
      <c r="O203" s="1" t="s">
        <v>754</v>
      </c>
    </row>
    <row r="204" spans="1:15">
      <c r="A204" s="1" t="s">
        <v>169</v>
      </c>
      <c r="B204" s="1" t="s">
        <v>170</v>
      </c>
      <c r="C204" s="1">
        <v>2012</v>
      </c>
      <c r="D204" s="1">
        <v>2012</v>
      </c>
      <c r="E204" s="1">
        <v>2012</v>
      </c>
      <c r="F204" s="1" t="s">
        <v>322</v>
      </c>
      <c r="G204" s="1" t="s">
        <v>191</v>
      </c>
      <c r="H204" s="1" t="s">
        <v>752</v>
      </c>
      <c r="I204" s="1" t="s">
        <v>753</v>
      </c>
      <c r="J204" s="1" t="s">
        <v>774</v>
      </c>
      <c r="K204" s="1" t="s">
        <v>667</v>
      </c>
      <c r="L204" s="1" t="s">
        <v>174</v>
      </c>
      <c r="M204" s="1" t="s">
        <v>174</v>
      </c>
      <c r="N204" s="20">
        <v>11.12</v>
      </c>
      <c r="O204" s="1" t="s">
        <v>754</v>
      </c>
    </row>
    <row r="205" spans="1:15">
      <c r="A205" s="1" t="s">
        <v>169</v>
      </c>
      <c r="B205" s="1" t="s">
        <v>170</v>
      </c>
      <c r="C205" s="1">
        <v>2012</v>
      </c>
      <c r="D205" s="1">
        <v>2012</v>
      </c>
      <c r="E205" s="1">
        <v>2012</v>
      </c>
      <c r="F205" s="1" t="s">
        <v>314</v>
      </c>
      <c r="G205" s="1" t="s">
        <v>191</v>
      </c>
      <c r="H205" s="1" t="s">
        <v>752</v>
      </c>
      <c r="I205" s="1" t="s">
        <v>753</v>
      </c>
      <c r="J205" s="1" t="s">
        <v>174</v>
      </c>
      <c r="K205" s="1" t="s">
        <v>667</v>
      </c>
      <c r="L205" s="1" t="s">
        <v>174</v>
      </c>
      <c r="M205" s="1" t="s">
        <v>174</v>
      </c>
      <c r="N205" s="20">
        <v>2.82</v>
      </c>
      <c r="O205" s="1" t="s">
        <v>754</v>
      </c>
    </row>
    <row r="206" spans="1:15">
      <c r="A206" s="1" t="s">
        <v>169</v>
      </c>
      <c r="B206" s="1" t="s">
        <v>170</v>
      </c>
      <c r="C206" s="1">
        <v>2012</v>
      </c>
      <c r="D206" s="1">
        <v>2011</v>
      </c>
      <c r="E206" s="1">
        <v>2011</v>
      </c>
      <c r="F206" s="1" t="s">
        <v>322</v>
      </c>
      <c r="G206" s="1" t="s">
        <v>191</v>
      </c>
      <c r="H206" s="1" t="s">
        <v>763</v>
      </c>
      <c r="I206" s="1" t="s">
        <v>764</v>
      </c>
      <c r="J206" s="1">
        <v>0.625</v>
      </c>
      <c r="K206" s="1" t="s">
        <v>775</v>
      </c>
      <c r="L206" s="1">
        <v>1000</v>
      </c>
      <c r="M206" s="1" t="s">
        <v>174</v>
      </c>
      <c r="N206" s="20">
        <v>15.8</v>
      </c>
      <c r="O206" s="1" t="s">
        <v>784</v>
      </c>
    </row>
    <row r="207" spans="1:15">
      <c r="A207" s="1" t="s">
        <v>169</v>
      </c>
      <c r="B207" s="1" t="s">
        <v>170</v>
      </c>
      <c r="C207" s="1">
        <v>2012</v>
      </c>
      <c r="D207" s="1">
        <v>2011</v>
      </c>
      <c r="E207" s="1">
        <v>2011</v>
      </c>
      <c r="F207" s="1" t="s">
        <v>322</v>
      </c>
      <c r="G207" s="1" t="s">
        <v>191</v>
      </c>
      <c r="H207" s="1" t="s">
        <v>763</v>
      </c>
      <c r="I207" s="1" t="s">
        <v>764</v>
      </c>
      <c r="J207" s="1">
        <v>0.75</v>
      </c>
      <c r="K207" s="1" t="s">
        <v>775</v>
      </c>
      <c r="L207" s="1">
        <v>2000</v>
      </c>
      <c r="M207" s="1" t="s">
        <v>174</v>
      </c>
      <c r="N207" s="20">
        <v>27.56</v>
      </c>
      <c r="O207" s="1" t="s">
        <v>784</v>
      </c>
    </row>
    <row r="208" spans="1:15">
      <c r="A208" s="1" t="s">
        <v>169</v>
      </c>
      <c r="B208" s="1" t="s">
        <v>170</v>
      </c>
      <c r="C208" s="1">
        <v>2012</v>
      </c>
      <c r="D208" s="1">
        <v>2011</v>
      </c>
      <c r="E208" s="1">
        <v>2011</v>
      </c>
      <c r="F208" s="1" t="s">
        <v>322</v>
      </c>
      <c r="G208" s="1" t="s">
        <v>191</v>
      </c>
      <c r="H208" s="1" t="s">
        <v>763</v>
      </c>
      <c r="I208" s="1" t="s">
        <v>764</v>
      </c>
      <c r="J208" s="1">
        <v>1</v>
      </c>
      <c r="K208" s="1" t="s">
        <v>775</v>
      </c>
      <c r="L208" s="1">
        <v>5000</v>
      </c>
      <c r="M208" s="1" t="s">
        <v>174</v>
      </c>
      <c r="N208" s="20">
        <v>53.75</v>
      </c>
      <c r="O208" s="1" t="s">
        <v>784</v>
      </c>
    </row>
    <row r="209" spans="1:15">
      <c r="A209" s="1" t="s">
        <v>169</v>
      </c>
      <c r="B209" s="1" t="s">
        <v>170</v>
      </c>
      <c r="C209" s="1">
        <v>2012</v>
      </c>
      <c r="D209" s="1">
        <v>2011</v>
      </c>
      <c r="E209" s="1">
        <v>2011</v>
      </c>
      <c r="F209" s="1" t="s">
        <v>322</v>
      </c>
      <c r="G209" s="1" t="s">
        <v>191</v>
      </c>
      <c r="H209" s="1" t="s">
        <v>763</v>
      </c>
      <c r="I209" s="1" t="s">
        <v>764</v>
      </c>
      <c r="J209" s="1">
        <v>1.25</v>
      </c>
      <c r="K209" s="1" t="s">
        <v>775</v>
      </c>
      <c r="L209" s="1">
        <v>7000</v>
      </c>
      <c r="M209" s="1" t="s">
        <v>174</v>
      </c>
      <c r="N209" s="20">
        <v>83.64</v>
      </c>
      <c r="O209" s="1" t="s">
        <v>784</v>
      </c>
    </row>
    <row r="210" spans="1:15">
      <c r="A210" s="1" t="s">
        <v>169</v>
      </c>
      <c r="B210" s="1" t="s">
        <v>170</v>
      </c>
      <c r="C210" s="1">
        <v>2012</v>
      </c>
      <c r="D210" s="1">
        <v>2011</v>
      </c>
      <c r="E210" s="1">
        <v>2011</v>
      </c>
      <c r="F210" s="1" t="s">
        <v>322</v>
      </c>
      <c r="G210" s="1" t="s">
        <v>191</v>
      </c>
      <c r="H210" s="1" t="s">
        <v>763</v>
      </c>
      <c r="I210" s="1" t="s">
        <v>764</v>
      </c>
      <c r="J210" s="1">
        <v>1.5</v>
      </c>
      <c r="K210" s="1" t="s">
        <v>775</v>
      </c>
      <c r="L210" s="1">
        <v>10000</v>
      </c>
      <c r="M210" s="1" t="s">
        <v>174</v>
      </c>
      <c r="N210" s="20">
        <v>105.51</v>
      </c>
      <c r="O210" s="1" t="s">
        <v>784</v>
      </c>
    </row>
    <row r="211" spans="1:15">
      <c r="A211" s="1" t="s">
        <v>169</v>
      </c>
      <c r="B211" s="1" t="s">
        <v>170</v>
      </c>
      <c r="C211" s="1">
        <v>2012</v>
      </c>
      <c r="D211" s="1">
        <v>2011</v>
      </c>
      <c r="E211" s="1">
        <v>2011</v>
      </c>
      <c r="F211" s="1" t="s">
        <v>322</v>
      </c>
      <c r="G211" s="1" t="s">
        <v>191</v>
      </c>
      <c r="H211" s="1" t="s">
        <v>763</v>
      </c>
      <c r="I211" s="1" t="s">
        <v>764</v>
      </c>
      <c r="J211" s="1">
        <v>2</v>
      </c>
      <c r="K211" s="1" t="s">
        <v>775</v>
      </c>
      <c r="L211" s="1">
        <v>17000</v>
      </c>
      <c r="M211" s="1" t="s">
        <v>174</v>
      </c>
      <c r="N211" s="20">
        <v>164.44</v>
      </c>
      <c r="O211" s="1" t="s">
        <v>784</v>
      </c>
    </row>
    <row r="212" spans="1:15">
      <c r="A212" s="1" t="s">
        <v>169</v>
      </c>
      <c r="B212" s="1" t="s">
        <v>170</v>
      </c>
      <c r="C212" s="1">
        <v>2012</v>
      </c>
      <c r="D212" s="1">
        <v>2011</v>
      </c>
      <c r="E212" s="1">
        <v>2011</v>
      </c>
      <c r="F212" s="1" t="s">
        <v>322</v>
      </c>
      <c r="G212" s="1" t="s">
        <v>191</v>
      </c>
      <c r="H212" s="1" t="s">
        <v>763</v>
      </c>
      <c r="I212" s="1" t="s">
        <v>764</v>
      </c>
      <c r="J212" s="1">
        <v>3</v>
      </c>
      <c r="K212" s="1" t="s">
        <v>775</v>
      </c>
      <c r="L212" s="1">
        <v>40000</v>
      </c>
      <c r="M212" s="1" t="s">
        <v>174</v>
      </c>
      <c r="N212" s="20">
        <v>354.15</v>
      </c>
      <c r="O212" s="1" t="s">
        <v>784</v>
      </c>
    </row>
    <row r="213" spans="1:15">
      <c r="A213" s="1" t="s">
        <v>169</v>
      </c>
      <c r="B213" s="1" t="s">
        <v>170</v>
      </c>
      <c r="C213" s="1">
        <v>2012</v>
      </c>
      <c r="D213" s="1">
        <v>2011</v>
      </c>
      <c r="E213" s="1">
        <v>2011</v>
      </c>
      <c r="F213" s="1" t="s">
        <v>322</v>
      </c>
      <c r="G213" s="1" t="s">
        <v>191</v>
      </c>
      <c r="H213" s="1" t="s">
        <v>763</v>
      </c>
      <c r="I213" s="1" t="s">
        <v>764</v>
      </c>
      <c r="J213" s="1">
        <v>4</v>
      </c>
      <c r="K213" s="1" t="s">
        <v>775</v>
      </c>
      <c r="L213" s="1">
        <v>70000</v>
      </c>
      <c r="M213" s="1" t="s">
        <v>174</v>
      </c>
      <c r="N213" s="20">
        <v>629.24</v>
      </c>
      <c r="O213" s="1" t="s">
        <v>784</v>
      </c>
    </row>
    <row r="214" spans="1:15">
      <c r="A214" s="1" t="s">
        <v>169</v>
      </c>
      <c r="B214" s="1" t="s">
        <v>170</v>
      </c>
      <c r="C214" s="1">
        <v>2012</v>
      </c>
      <c r="D214" s="1">
        <v>2011</v>
      </c>
      <c r="E214" s="1">
        <v>2011</v>
      </c>
      <c r="F214" s="1" t="s">
        <v>322</v>
      </c>
      <c r="G214" s="1" t="s">
        <v>191</v>
      </c>
      <c r="H214" s="1" t="s">
        <v>763</v>
      </c>
      <c r="I214" s="1" t="s">
        <v>764</v>
      </c>
      <c r="J214" s="1">
        <v>6</v>
      </c>
      <c r="K214" s="1" t="s">
        <v>775</v>
      </c>
      <c r="L214" s="1">
        <v>175000</v>
      </c>
      <c r="M214" s="1" t="s">
        <v>174</v>
      </c>
      <c r="N214" s="20">
        <v>1519.71</v>
      </c>
      <c r="O214" s="1" t="s">
        <v>784</v>
      </c>
    </row>
    <row r="215" spans="1:15">
      <c r="A215" s="1" t="s">
        <v>169</v>
      </c>
      <c r="B215" s="1" t="s">
        <v>170</v>
      </c>
      <c r="C215" s="1">
        <v>2012</v>
      </c>
      <c r="D215" s="1">
        <v>2011</v>
      </c>
      <c r="E215" s="1">
        <v>2011</v>
      </c>
      <c r="F215" s="1" t="s">
        <v>322</v>
      </c>
      <c r="G215" s="1" t="s">
        <v>191</v>
      </c>
      <c r="H215" s="1" t="s">
        <v>763</v>
      </c>
      <c r="I215" s="1" t="s">
        <v>764</v>
      </c>
      <c r="J215" s="1">
        <v>8</v>
      </c>
      <c r="K215" s="1" t="s">
        <v>775</v>
      </c>
      <c r="L215" s="1">
        <v>325000</v>
      </c>
      <c r="M215" s="1" t="s">
        <v>174</v>
      </c>
      <c r="N215" s="20">
        <v>2622.61</v>
      </c>
      <c r="O215" s="1" t="s">
        <v>784</v>
      </c>
    </row>
    <row r="216" spans="1:15">
      <c r="A216" s="1" t="s">
        <v>169</v>
      </c>
      <c r="B216" s="1" t="s">
        <v>170</v>
      </c>
      <c r="C216" s="1">
        <v>2012</v>
      </c>
      <c r="D216" s="1">
        <v>2011</v>
      </c>
      <c r="E216" s="1">
        <v>2011</v>
      </c>
      <c r="F216" s="1" t="s">
        <v>322</v>
      </c>
      <c r="G216" s="1" t="s">
        <v>191</v>
      </c>
      <c r="H216" s="1" t="s">
        <v>763</v>
      </c>
      <c r="I216" s="1" t="s">
        <v>764</v>
      </c>
      <c r="J216" s="1">
        <v>10</v>
      </c>
      <c r="K216" s="1" t="s">
        <v>775</v>
      </c>
      <c r="L216" s="1">
        <v>548000</v>
      </c>
      <c r="M216" s="1" t="s">
        <v>174</v>
      </c>
      <c r="N216" s="20">
        <v>4501.1400000000003</v>
      </c>
      <c r="O216" s="1" t="s">
        <v>784</v>
      </c>
    </row>
    <row r="217" spans="1:15">
      <c r="A217" s="1" t="s">
        <v>169</v>
      </c>
      <c r="B217" s="1" t="s">
        <v>170</v>
      </c>
      <c r="C217" s="1">
        <v>2012</v>
      </c>
      <c r="D217" s="1">
        <v>2012</v>
      </c>
      <c r="E217" s="1">
        <v>2012</v>
      </c>
      <c r="F217" s="1" t="s">
        <v>322</v>
      </c>
      <c r="G217" s="1" t="s">
        <v>191</v>
      </c>
      <c r="H217" s="1" t="s">
        <v>763</v>
      </c>
      <c r="I217" s="1" t="s">
        <v>764</v>
      </c>
      <c r="J217" s="1">
        <v>0.625</v>
      </c>
      <c r="K217" s="1" t="s">
        <v>775</v>
      </c>
      <c r="L217" s="1">
        <v>1000</v>
      </c>
      <c r="M217" s="1" t="s">
        <v>174</v>
      </c>
      <c r="N217" s="20">
        <v>16.59</v>
      </c>
      <c r="O217" s="1" t="s">
        <v>784</v>
      </c>
    </row>
    <row r="218" spans="1:15">
      <c r="A218" s="1" t="s">
        <v>169</v>
      </c>
      <c r="B218" s="1" t="s">
        <v>170</v>
      </c>
      <c r="C218" s="1">
        <v>2012</v>
      </c>
      <c r="D218" s="1">
        <v>2012</v>
      </c>
      <c r="E218" s="1">
        <v>2012</v>
      </c>
      <c r="F218" s="1" t="s">
        <v>322</v>
      </c>
      <c r="G218" s="1" t="s">
        <v>191</v>
      </c>
      <c r="H218" s="1" t="s">
        <v>763</v>
      </c>
      <c r="I218" s="1" t="s">
        <v>764</v>
      </c>
      <c r="J218" s="1">
        <v>0.75</v>
      </c>
      <c r="K218" s="1" t="s">
        <v>775</v>
      </c>
      <c r="L218" s="1">
        <v>2000</v>
      </c>
      <c r="M218" s="1" t="s">
        <v>174</v>
      </c>
      <c r="N218" s="20">
        <v>28.94</v>
      </c>
      <c r="O218" s="1" t="s">
        <v>784</v>
      </c>
    </row>
    <row r="219" spans="1:15">
      <c r="A219" s="1" t="s">
        <v>169</v>
      </c>
      <c r="B219" s="1" t="s">
        <v>170</v>
      </c>
      <c r="C219" s="1">
        <v>2012</v>
      </c>
      <c r="D219" s="1">
        <v>2012</v>
      </c>
      <c r="E219" s="1">
        <v>2012</v>
      </c>
      <c r="F219" s="1" t="s">
        <v>322</v>
      </c>
      <c r="G219" s="1" t="s">
        <v>191</v>
      </c>
      <c r="H219" s="1" t="s">
        <v>763</v>
      </c>
      <c r="I219" s="1" t="s">
        <v>764</v>
      </c>
      <c r="J219" s="1">
        <v>1</v>
      </c>
      <c r="K219" s="1" t="s">
        <v>775</v>
      </c>
      <c r="L219" s="1">
        <v>5000</v>
      </c>
      <c r="M219" s="1" t="s">
        <v>174</v>
      </c>
      <c r="N219" s="20">
        <v>56.44</v>
      </c>
      <c r="O219" s="1" t="s">
        <v>784</v>
      </c>
    </row>
    <row r="220" spans="1:15">
      <c r="A220" s="1" t="s">
        <v>169</v>
      </c>
      <c r="B220" s="1" t="s">
        <v>170</v>
      </c>
      <c r="C220" s="1">
        <v>2012</v>
      </c>
      <c r="D220" s="1">
        <v>2012</v>
      </c>
      <c r="E220" s="1">
        <v>2012</v>
      </c>
      <c r="F220" s="1" t="s">
        <v>322</v>
      </c>
      <c r="G220" s="1" t="s">
        <v>191</v>
      </c>
      <c r="H220" s="1" t="s">
        <v>763</v>
      </c>
      <c r="I220" s="1" t="s">
        <v>764</v>
      </c>
      <c r="J220" s="1">
        <v>1.25</v>
      </c>
      <c r="K220" s="1" t="s">
        <v>775</v>
      </c>
      <c r="L220" s="1">
        <v>7000</v>
      </c>
      <c r="M220" s="1" t="s">
        <v>174</v>
      </c>
      <c r="N220" s="20">
        <v>87.82</v>
      </c>
      <c r="O220" s="1" t="s">
        <v>784</v>
      </c>
    </row>
    <row r="221" spans="1:15">
      <c r="A221" s="1" t="s">
        <v>169</v>
      </c>
      <c r="B221" s="1" t="s">
        <v>170</v>
      </c>
      <c r="C221" s="1">
        <v>2012</v>
      </c>
      <c r="D221" s="1">
        <v>2012</v>
      </c>
      <c r="E221" s="1">
        <v>2012</v>
      </c>
      <c r="F221" s="1" t="s">
        <v>322</v>
      </c>
      <c r="G221" s="1" t="s">
        <v>191</v>
      </c>
      <c r="H221" s="1" t="s">
        <v>763</v>
      </c>
      <c r="I221" s="1" t="s">
        <v>764</v>
      </c>
      <c r="J221" s="1">
        <v>1.5</v>
      </c>
      <c r="K221" s="1" t="s">
        <v>775</v>
      </c>
      <c r="L221" s="1">
        <v>10000</v>
      </c>
      <c r="M221" s="1" t="s">
        <v>174</v>
      </c>
      <c r="N221" s="20">
        <v>110.79</v>
      </c>
      <c r="O221" s="1" t="s">
        <v>784</v>
      </c>
    </row>
    <row r="222" spans="1:15">
      <c r="A222" s="1" t="s">
        <v>169</v>
      </c>
      <c r="B222" s="1" t="s">
        <v>170</v>
      </c>
      <c r="C222" s="1">
        <v>2012</v>
      </c>
      <c r="D222" s="1">
        <v>2012</v>
      </c>
      <c r="E222" s="1">
        <v>2012</v>
      </c>
      <c r="F222" s="1" t="s">
        <v>322</v>
      </c>
      <c r="G222" s="1" t="s">
        <v>191</v>
      </c>
      <c r="H222" s="1" t="s">
        <v>763</v>
      </c>
      <c r="I222" s="1" t="s">
        <v>764</v>
      </c>
      <c r="J222" s="1">
        <v>2</v>
      </c>
      <c r="K222" s="1" t="s">
        <v>775</v>
      </c>
      <c r="L222" s="1">
        <v>17000</v>
      </c>
      <c r="M222" s="1" t="s">
        <v>174</v>
      </c>
      <c r="N222" s="20">
        <v>172.66</v>
      </c>
      <c r="O222" s="1" t="s">
        <v>784</v>
      </c>
    </row>
    <row r="223" spans="1:15">
      <c r="A223" s="1" t="s">
        <v>169</v>
      </c>
      <c r="B223" s="1" t="s">
        <v>170</v>
      </c>
      <c r="C223" s="1">
        <v>2012</v>
      </c>
      <c r="D223" s="1">
        <v>2012</v>
      </c>
      <c r="E223" s="1">
        <v>2012</v>
      </c>
      <c r="F223" s="1" t="s">
        <v>322</v>
      </c>
      <c r="G223" s="1" t="s">
        <v>191</v>
      </c>
      <c r="H223" s="1" t="s">
        <v>763</v>
      </c>
      <c r="I223" s="1" t="s">
        <v>764</v>
      </c>
      <c r="J223" s="1">
        <v>3</v>
      </c>
      <c r="K223" s="1" t="s">
        <v>775</v>
      </c>
      <c r="L223" s="1">
        <v>40000</v>
      </c>
      <c r="M223" s="1" t="s">
        <v>174</v>
      </c>
      <c r="N223" s="20">
        <v>371.86</v>
      </c>
      <c r="O223" s="1" t="s">
        <v>784</v>
      </c>
    </row>
    <row r="224" spans="1:15">
      <c r="A224" s="1" t="s">
        <v>169</v>
      </c>
      <c r="B224" s="1" t="s">
        <v>170</v>
      </c>
      <c r="C224" s="1">
        <v>2012</v>
      </c>
      <c r="D224" s="1">
        <v>2012</v>
      </c>
      <c r="E224" s="1">
        <v>2012</v>
      </c>
      <c r="F224" s="1" t="s">
        <v>322</v>
      </c>
      <c r="G224" s="1" t="s">
        <v>191</v>
      </c>
      <c r="H224" s="1" t="s">
        <v>763</v>
      </c>
      <c r="I224" s="1" t="s">
        <v>764</v>
      </c>
      <c r="J224" s="1">
        <v>4</v>
      </c>
      <c r="K224" s="1" t="s">
        <v>775</v>
      </c>
      <c r="L224" s="1">
        <v>70000</v>
      </c>
      <c r="M224" s="1" t="s">
        <v>174</v>
      </c>
      <c r="N224" s="20">
        <v>661.44</v>
      </c>
      <c r="O224" s="1" t="s">
        <v>784</v>
      </c>
    </row>
    <row r="225" spans="1:15">
      <c r="A225" s="1" t="s">
        <v>169</v>
      </c>
      <c r="B225" s="1" t="s">
        <v>170</v>
      </c>
      <c r="C225" s="1">
        <v>2012</v>
      </c>
      <c r="D225" s="1">
        <v>2012</v>
      </c>
      <c r="E225" s="1">
        <v>2012</v>
      </c>
      <c r="F225" s="1" t="s">
        <v>322</v>
      </c>
      <c r="G225" s="1" t="s">
        <v>191</v>
      </c>
      <c r="H225" s="1" t="s">
        <v>763</v>
      </c>
      <c r="I225" s="1" t="s">
        <v>764</v>
      </c>
      <c r="J225" s="1">
        <v>6</v>
      </c>
      <c r="K225" s="1" t="s">
        <v>775</v>
      </c>
      <c r="L225" s="1">
        <v>175000</v>
      </c>
      <c r="M225" s="1" t="s">
        <v>174</v>
      </c>
      <c r="N225" s="20">
        <v>15959.7</v>
      </c>
      <c r="O225" s="1" t="s">
        <v>784</v>
      </c>
    </row>
    <row r="226" spans="1:15">
      <c r="A226" s="1" t="s">
        <v>169</v>
      </c>
      <c r="B226" s="1" t="s">
        <v>170</v>
      </c>
      <c r="C226" s="1">
        <v>2012</v>
      </c>
      <c r="D226" s="1">
        <v>2012</v>
      </c>
      <c r="E226" s="1">
        <v>2012</v>
      </c>
      <c r="F226" s="1" t="s">
        <v>322</v>
      </c>
      <c r="G226" s="1" t="s">
        <v>191</v>
      </c>
      <c r="H226" s="1" t="s">
        <v>763</v>
      </c>
      <c r="I226" s="1" t="s">
        <v>764</v>
      </c>
      <c r="J226" s="1">
        <v>8</v>
      </c>
      <c r="K226" s="1" t="s">
        <v>775</v>
      </c>
      <c r="L226" s="1">
        <v>325000</v>
      </c>
      <c r="M226" s="1" t="s">
        <v>174</v>
      </c>
      <c r="N226" s="20">
        <v>2753.74</v>
      </c>
      <c r="O226" s="1" t="s">
        <v>784</v>
      </c>
    </row>
    <row r="227" spans="1:15">
      <c r="A227" s="1" t="s">
        <v>169</v>
      </c>
      <c r="B227" s="1" t="s">
        <v>170</v>
      </c>
      <c r="C227" s="1">
        <v>2012</v>
      </c>
      <c r="D227" s="1">
        <v>2012</v>
      </c>
      <c r="E227" s="1">
        <v>2012</v>
      </c>
      <c r="F227" s="1" t="s">
        <v>322</v>
      </c>
      <c r="G227" s="1" t="s">
        <v>191</v>
      </c>
      <c r="H227" s="1" t="s">
        <v>763</v>
      </c>
      <c r="I227" s="1" t="s">
        <v>764</v>
      </c>
      <c r="J227" s="1">
        <v>10</v>
      </c>
      <c r="K227" s="1" t="s">
        <v>775</v>
      </c>
      <c r="L227" s="1">
        <v>548000</v>
      </c>
      <c r="M227" s="1" t="s">
        <v>174</v>
      </c>
      <c r="N227" s="20">
        <v>4726.2</v>
      </c>
      <c r="O227" s="1" t="s">
        <v>784</v>
      </c>
    </row>
    <row r="228" spans="1:15">
      <c r="A228" s="1" t="s">
        <v>169</v>
      </c>
      <c r="B228" s="1" t="s">
        <v>170</v>
      </c>
      <c r="C228" s="1">
        <v>2013</v>
      </c>
      <c r="D228" s="1">
        <v>2013</v>
      </c>
      <c r="E228" s="1">
        <v>2012</v>
      </c>
      <c r="F228" s="1" t="s">
        <v>322</v>
      </c>
      <c r="G228" s="1" t="s">
        <v>191</v>
      </c>
      <c r="H228" s="1" t="s">
        <v>752</v>
      </c>
      <c r="I228" s="1" t="s">
        <v>753</v>
      </c>
      <c r="J228" s="1" t="s">
        <v>606</v>
      </c>
      <c r="K228" s="1" t="s">
        <v>667</v>
      </c>
      <c r="L228" s="1">
        <v>1000</v>
      </c>
      <c r="M228" s="1" t="s">
        <v>174</v>
      </c>
      <c r="N228" s="20">
        <v>8.48</v>
      </c>
      <c r="O228" s="1" t="s">
        <v>754</v>
      </c>
    </row>
    <row r="229" spans="1:15">
      <c r="A229" s="1" t="s">
        <v>169</v>
      </c>
      <c r="B229" s="1" t="s">
        <v>170</v>
      </c>
      <c r="C229" s="1">
        <v>2013</v>
      </c>
      <c r="D229" s="1">
        <v>2013</v>
      </c>
      <c r="E229" s="1">
        <v>2012</v>
      </c>
      <c r="F229" s="1" t="s">
        <v>322</v>
      </c>
      <c r="G229" s="1" t="s">
        <v>191</v>
      </c>
      <c r="H229" s="1" t="s">
        <v>752</v>
      </c>
      <c r="I229" s="1" t="s">
        <v>753</v>
      </c>
      <c r="J229" s="1" t="s">
        <v>607</v>
      </c>
      <c r="K229" s="1" t="s">
        <v>667</v>
      </c>
      <c r="L229" s="1" t="s">
        <v>174</v>
      </c>
      <c r="M229" s="1" t="s">
        <v>174</v>
      </c>
      <c r="N229" s="20">
        <v>8.1300000000000008</v>
      </c>
      <c r="O229" s="1" t="s">
        <v>754</v>
      </c>
    </row>
    <row r="230" spans="1:15">
      <c r="A230" s="1" t="s">
        <v>169</v>
      </c>
      <c r="B230" s="1" t="s">
        <v>170</v>
      </c>
      <c r="C230" s="1">
        <v>2013</v>
      </c>
      <c r="D230" s="1">
        <v>2013</v>
      </c>
      <c r="E230" s="1">
        <v>2012</v>
      </c>
      <c r="F230" s="1" t="s">
        <v>322</v>
      </c>
      <c r="G230" s="1" t="s">
        <v>191</v>
      </c>
      <c r="H230" s="1" t="s">
        <v>752</v>
      </c>
      <c r="I230" s="1" t="s">
        <v>753</v>
      </c>
      <c r="J230" s="1" t="s">
        <v>608</v>
      </c>
      <c r="K230" s="1" t="s">
        <v>667</v>
      </c>
      <c r="L230" s="1" t="s">
        <v>174</v>
      </c>
      <c r="M230" s="1" t="s">
        <v>174</v>
      </c>
      <c r="N230" s="20">
        <v>7.62</v>
      </c>
      <c r="O230" s="1" t="s">
        <v>754</v>
      </c>
    </row>
    <row r="231" spans="1:15">
      <c r="A231" s="1" t="s">
        <v>169</v>
      </c>
      <c r="B231" s="1" t="s">
        <v>170</v>
      </c>
      <c r="C231" s="1">
        <v>2013</v>
      </c>
      <c r="D231" s="1">
        <v>2013</v>
      </c>
      <c r="E231" s="1">
        <v>2012</v>
      </c>
      <c r="F231" s="1" t="s">
        <v>322</v>
      </c>
      <c r="G231" s="1" t="s">
        <v>191</v>
      </c>
      <c r="H231" s="1" t="s">
        <v>752</v>
      </c>
      <c r="I231" s="1" t="s">
        <v>753</v>
      </c>
      <c r="J231" s="1" t="s">
        <v>756</v>
      </c>
      <c r="K231" s="1" t="s">
        <v>667</v>
      </c>
      <c r="L231" s="1" t="s">
        <v>174</v>
      </c>
      <c r="M231" s="1" t="s">
        <v>779</v>
      </c>
      <c r="N231" s="20">
        <v>4.17</v>
      </c>
      <c r="O231" s="1" t="s">
        <v>754</v>
      </c>
    </row>
    <row r="232" spans="1:15">
      <c r="A232" s="1" t="s">
        <v>169</v>
      </c>
      <c r="B232" s="1" t="s">
        <v>170</v>
      </c>
      <c r="C232" s="1">
        <v>2013</v>
      </c>
      <c r="D232" s="1">
        <v>2013</v>
      </c>
      <c r="E232" s="1">
        <v>2012</v>
      </c>
      <c r="F232" s="1" t="s">
        <v>322</v>
      </c>
      <c r="G232" s="1" t="s">
        <v>191</v>
      </c>
      <c r="H232" s="1" t="s">
        <v>752</v>
      </c>
      <c r="I232" s="1" t="s">
        <v>753</v>
      </c>
      <c r="J232" s="1" t="s">
        <v>756</v>
      </c>
      <c r="K232" s="1" t="s">
        <v>667</v>
      </c>
      <c r="L232" s="1" t="s">
        <v>174</v>
      </c>
      <c r="M232" s="1" t="s">
        <v>780</v>
      </c>
      <c r="N232" s="20" t="s">
        <v>174</v>
      </c>
      <c r="O232" s="1" t="s">
        <v>754</v>
      </c>
    </row>
    <row r="233" spans="1:15">
      <c r="A233" s="1" t="s">
        <v>169</v>
      </c>
      <c r="B233" s="1" t="s">
        <v>170</v>
      </c>
      <c r="C233" s="1">
        <v>2013</v>
      </c>
      <c r="D233" s="1">
        <v>2013</v>
      </c>
      <c r="E233" s="1">
        <v>2012</v>
      </c>
      <c r="F233" s="1" t="s">
        <v>322</v>
      </c>
      <c r="G233" s="1" t="s">
        <v>191</v>
      </c>
      <c r="H233" s="1" t="s">
        <v>752</v>
      </c>
      <c r="I233" s="1" t="s">
        <v>753</v>
      </c>
      <c r="J233" s="1" t="s">
        <v>774</v>
      </c>
      <c r="K233" s="1" t="s">
        <v>667</v>
      </c>
      <c r="L233" s="1" t="s">
        <v>174</v>
      </c>
      <c r="M233" s="1" t="s">
        <v>174</v>
      </c>
      <c r="N233" s="20">
        <v>11.12</v>
      </c>
      <c r="O233" s="1" t="s">
        <v>754</v>
      </c>
    </row>
    <row r="234" spans="1:15">
      <c r="A234" s="1" t="s">
        <v>169</v>
      </c>
      <c r="B234" s="1" t="s">
        <v>170</v>
      </c>
      <c r="C234" s="1">
        <v>2013</v>
      </c>
      <c r="D234" s="1">
        <v>2014</v>
      </c>
      <c r="E234" s="1">
        <v>2014</v>
      </c>
      <c r="F234" s="1" t="s">
        <v>322</v>
      </c>
      <c r="G234" s="1" t="s">
        <v>191</v>
      </c>
      <c r="H234" s="1" t="s">
        <v>752</v>
      </c>
      <c r="I234" s="1" t="s">
        <v>753</v>
      </c>
      <c r="J234" s="1" t="s">
        <v>606</v>
      </c>
      <c r="K234" s="1" t="s">
        <v>667</v>
      </c>
      <c r="L234" s="1">
        <v>1000</v>
      </c>
      <c r="M234" s="1" t="s">
        <v>174</v>
      </c>
      <c r="N234" s="20">
        <v>9.3800000000000008</v>
      </c>
      <c r="O234" s="1" t="s">
        <v>754</v>
      </c>
    </row>
    <row r="235" spans="1:15">
      <c r="A235" s="1" t="s">
        <v>169</v>
      </c>
      <c r="B235" s="1" t="s">
        <v>170</v>
      </c>
      <c r="C235" s="1">
        <v>2013</v>
      </c>
      <c r="D235" s="1">
        <v>2014</v>
      </c>
      <c r="E235" s="1">
        <v>2014</v>
      </c>
      <c r="F235" s="1" t="s">
        <v>322</v>
      </c>
      <c r="G235" s="1" t="s">
        <v>191</v>
      </c>
      <c r="H235" s="1" t="s">
        <v>752</v>
      </c>
      <c r="I235" s="1" t="s">
        <v>753</v>
      </c>
      <c r="J235" s="1" t="s">
        <v>607</v>
      </c>
      <c r="K235" s="1" t="s">
        <v>667</v>
      </c>
      <c r="L235" s="1" t="s">
        <v>174</v>
      </c>
      <c r="M235" s="1" t="s">
        <v>174</v>
      </c>
      <c r="N235" s="20">
        <v>9.15</v>
      </c>
      <c r="O235" s="1" t="s">
        <v>754</v>
      </c>
    </row>
    <row r="236" spans="1:15">
      <c r="A236" s="1" t="s">
        <v>169</v>
      </c>
      <c r="B236" s="1" t="s">
        <v>170</v>
      </c>
      <c r="C236" s="1">
        <v>2013</v>
      </c>
      <c r="D236" s="1">
        <v>2014</v>
      </c>
      <c r="E236" s="1">
        <v>2014</v>
      </c>
      <c r="F236" s="1" t="s">
        <v>322</v>
      </c>
      <c r="G236" s="1" t="s">
        <v>191</v>
      </c>
      <c r="H236" s="1" t="s">
        <v>752</v>
      </c>
      <c r="I236" s="1" t="s">
        <v>753</v>
      </c>
      <c r="J236" s="1" t="s">
        <v>608</v>
      </c>
      <c r="K236" s="1" t="s">
        <v>667</v>
      </c>
      <c r="L236" s="1" t="s">
        <v>174</v>
      </c>
      <c r="M236" s="1" t="s">
        <v>174</v>
      </c>
      <c r="N236" s="20">
        <v>8.3699999999999992</v>
      </c>
      <c r="O236" s="1" t="s">
        <v>754</v>
      </c>
    </row>
    <row r="237" spans="1:15">
      <c r="A237" s="1" t="s">
        <v>169</v>
      </c>
      <c r="B237" s="1" t="s">
        <v>170</v>
      </c>
      <c r="C237" s="1">
        <v>2013</v>
      </c>
      <c r="D237" s="1">
        <v>2014</v>
      </c>
      <c r="E237" s="1">
        <v>2014</v>
      </c>
      <c r="F237" s="1" t="s">
        <v>322</v>
      </c>
      <c r="G237" s="1" t="s">
        <v>191</v>
      </c>
      <c r="H237" s="1" t="s">
        <v>752</v>
      </c>
      <c r="I237" s="1" t="s">
        <v>753</v>
      </c>
      <c r="J237" s="1" t="s">
        <v>756</v>
      </c>
      <c r="K237" s="1" t="s">
        <v>667</v>
      </c>
      <c r="L237" s="1" t="s">
        <v>174</v>
      </c>
      <c r="M237" s="1" t="s">
        <v>779</v>
      </c>
      <c r="N237" s="20">
        <f>4.17+0.07</f>
        <v>4.24</v>
      </c>
      <c r="O237" s="1" t="s">
        <v>754</v>
      </c>
    </row>
    <row r="238" spans="1:15">
      <c r="A238" s="1" t="s">
        <v>169</v>
      </c>
      <c r="B238" s="1" t="s">
        <v>170</v>
      </c>
      <c r="C238" s="1">
        <v>2013</v>
      </c>
      <c r="D238" s="1">
        <v>2014</v>
      </c>
      <c r="E238" s="1">
        <v>2014</v>
      </c>
      <c r="F238" s="1" t="s">
        <v>322</v>
      </c>
      <c r="G238" s="1" t="s">
        <v>191</v>
      </c>
      <c r="H238" s="1" t="s">
        <v>752</v>
      </c>
      <c r="I238" s="1" t="s">
        <v>753</v>
      </c>
      <c r="J238" s="1" t="s">
        <v>756</v>
      </c>
      <c r="K238" s="1" t="s">
        <v>667</v>
      </c>
      <c r="L238" s="1" t="s">
        <v>174</v>
      </c>
      <c r="M238" s="1" t="s">
        <v>780</v>
      </c>
      <c r="N238" s="20" t="s">
        <v>174</v>
      </c>
      <c r="O238" s="1" t="s">
        <v>754</v>
      </c>
    </row>
    <row r="239" spans="1:15">
      <c r="A239" s="1" t="s">
        <v>169</v>
      </c>
      <c r="B239" s="1" t="s">
        <v>170</v>
      </c>
      <c r="C239" s="1">
        <v>2013</v>
      </c>
      <c r="D239" s="1">
        <v>2014</v>
      </c>
      <c r="E239" s="1">
        <v>2014</v>
      </c>
      <c r="F239" s="1" t="s">
        <v>322</v>
      </c>
      <c r="G239" s="1" t="s">
        <v>191</v>
      </c>
      <c r="H239" s="1" t="s">
        <v>752</v>
      </c>
      <c r="I239" s="1" t="s">
        <v>753</v>
      </c>
      <c r="J239" s="1" t="s">
        <v>774</v>
      </c>
      <c r="K239" s="1" t="s">
        <v>667</v>
      </c>
      <c r="L239" s="1" t="s">
        <v>174</v>
      </c>
      <c r="M239" s="1" t="s">
        <v>174</v>
      </c>
      <c r="N239" s="20">
        <v>13.55</v>
      </c>
      <c r="O239" s="1" t="s">
        <v>754</v>
      </c>
    </row>
    <row r="240" spans="1:15">
      <c r="A240" s="1" t="s">
        <v>169</v>
      </c>
      <c r="B240" s="1" t="s">
        <v>170</v>
      </c>
      <c r="C240" s="1">
        <v>2013</v>
      </c>
      <c r="D240" s="1">
        <v>2013</v>
      </c>
      <c r="E240" s="1">
        <v>2013</v>
      </c>
      <c r="F240" s="1" t="s">
        <v>314</v>
      </c>
      <c r="G240" s="1" t="s">
        <v>191</v>
      </c>
      <c r="H240" s="1" t="s">
        <v>763</v>
      </c>
      <c r="I240" s="1" t="s">
        <v>764</v>
      </c>
      <c r="J240" s="1">
        <v>0.625</v>
      </c>
      <c r="K240" s="1" t="s">
        <v>775</v>
      </c>
      <c r="L240" s="1">
        <v>1000</v>
      </c>
      <c r="M240" s="1" t="s">
        <v>174</v>
      </c>
      <c r="N240" s="20">
        <v>2.54</v>
      </c>
      <c r="O240" s="1" t="s">
        <v>784</v>
      </c>
    </row>
    <row r="241" spans="1:15">
      <c r="A241" s="1" t="s">
        <v>169</v>
      </c>
      <c r="B241" s="1" t="s">
        <v>170</v>
      </c>
      <c r="C241" s="1">
        <v>2013</v>
      </c>
      <c r="D241" s="1">
        <v>2013</v>
      </c>
      <c r="E241" s="1">
        <v>2013</v>
      </c>
      <c r="F241" s="1" t="s">
        <v>314</v>
      </c>
      <c r="G241" s="1" t="s">
        <v>191</v>
      </c>
      <c r="H241" s="1" t="s">
        <v>763</v>
      </c>
      <c r="I241" s="1" t="s">
        <v>764</v>
      </c>
      <c r="J241" s="1">
        <v>0.75</v>
      </c>
      <c r="K241" s="1" t="s">
        <v>775</v>
      </c>
      <c r="L241" s="1">
        <v>2000</v>
      </c>
      <c r="M241" s="1" t="s">
        <v>174</v>
      </c>
      <c r="N241" s="20">
        <v>5.09</v>
      </c>
      <c r="O241" s="1" t="s">
        <v>784</v>
      </c>
    </row>
    <row r="242" spans="1:15">
      <c r="A242" s="1" t="s">
        <v>169</v>
      </c>
      <c r="B242" s="1" t="s">
        <v>170</v>
      </c>
      <c r="C242" s="1">
        <v>2013</v>
      </c>
      <c r="D242" s="1">
        <v>2013</v>
      </c>
      <c r="E242" s="1">
        <v>2013</v>
      </c>
      <c r="F242" s="1" t="s">
        <v>314</v>
      </c>
      <c r="G242" s="1" t="s">
        <v>191</v>
      </c>
      <c r="H242" s="1" t="s">
        <v>763</v>
      </c>
      <c r="I242" s="1" t="s">
        <v>764</v>
      </c>
      <c r="J242" s="1">
        <v>1</v>
      </c>
      <c r="K242" s="1" t="s">
        <v>775</v>
      </c>
      <c r="L242" s="1">
        <v>5000</v>
      </c>
      <c r="M242" s="1" t="s">
        <v>174</v>
      </c>
      <c r="N242" s="20">
        <v>12.72</v>
      </c>
      <c r="O242" s="1" t="s">
        <v>784</v>
      </c>
    </row>
    <row r="243" spans="1:15">
      <c r="A243" s="1" t="s">
        <v>169</v>
      </c>
      <c r="B243" s="1" t="s">
        <v>170</v>
      </c>
      <c r="C243" s="1">
        <v>2013</v>
      </c>
      <c r="D243" s="1">
        <v>2013</v>
      </c>
      <c r="E243" s="1">
        <v>2013</v>
      </c>
      <c r="F243" s="1" t="s">
        <v>314</v>
      </c>
      <c r="G243" s="1" t="s">
        <v>191</v>
      </c>
      <c r="H243" s="1" t="s">
        <v>763</v>
      </c>
      <c r="I243" s="1" t="s">
        <v>764</v>
      </c>
      <c r="J243" s="1">
        <v>1.5</v>
      </c>
      <c r="K243" s="1" t="s">
        <v>775</v>
      </c>
      <c r="L243" s="1">
        <v>10000</v>
      </c>
      <c r="M243" s="1" t="s">
        <v>174</v>
      </c>
      <c r="N243" s="20">
        <v>25.44</v>
      </c>
      <c r="O243" s="1" t="s">
        <v>784</v>
      </c>
    </row>
    <row r="244" spans="1:15">
      <c r="A244" s="1" t="s">
        <v>169</v>
      </c>
      <c r="B244" s="1" t="s">
        <v>170</v>
      </c>
      <c r="C244" s="1">
        <v>2013</v>
      </c>
      <c r="D244" s="1">
        <v>2013</v>
      </c>
      <c r="E244" s="1">
        <v>2013</v>
      </c>
      <c r="F244" s="1" t="s">
        <v>314</v>
      </c>
      <c r="G244" s="1" t="s">
        <v>191</v>
      </c>
      <c r="H244" s="1" t="s">
        <v>763</v>
      </c>
      <c r="I244" s="1" t="s">
        <v>764</v>
      </c>
      <c r="J244" s="1">
        <v>2</v>
      </c>
      <c r="K244" s="1" t="s">
        <v>775</v>
      </c>
      <c r="L244" s="1">
        <v>17000</v>
      </c>
      <c r="M244" s="1" t="s">
        <v>174</v>
      </c>
      <c r="N244" s="20">
        <v>43.26</v>
      </c>
      <c r="O244" s="1" t="s">
        <v>784</v>
      </c>
    </row>
    <row r="245" spans="1:15">
      <c r="A245" s="1" t="s">
        <v>169</v>
      </c>
      <c r="B245" s="1" t="s">
        <v>170</v>
      </c>
      <c r="C245" s="1">
        <v>2013</v>
      </c>
      <c r="D245" s="1">
        <v>2013</v>
      </c>
      <c r="E245" s="1">
        <v>2013</v>
      </c>
      <c r="F245" s="1" t="s">
        <v>314</v>
      </c>
      <c r="G245" s="1" t="s">
        <v>191</v>
      </c>
      <c r="H245" s="1" t="s">
        <v>763</v>
      </c>
      <c r="I245" s="1" t="s">
        <v>764</v>
      </c>
      <c r="J245" s="1">
        <v>3</v>
      </c>
      <c r="K245" s="1" t="s">
        <v>775</v>
      </c>
      <c r="L245" s="1">
        <v>40000</v>
      </c>
      <c r="M245" s="1" t="s">
        <v>174</v>
      </c>
      <c r="N245" s="20">
        <v>101.78</v>
      </c>
      <c r="O245" s="1" t="s">
        <v>784</v>
      </c>
    </row>
    <row r="246" spans="1:15">
      <c r="A246" s="1" t="s">
        <v>169</v>
      </c>
      <c r="B246" s="1" t="s">
        <v>170</v>
      </c>
      <c r="C246" s="1">
        <v>2013</v>
      </c>
      <c r="D246" s="1">
        <v>2013</v>
      </c>
      <c r="E246" s="1">
        <v>2013</v>
      </c>
      <c r="F246" s="1" t="s">
        <v>314</v>
      </c>
      <c r="G246" s="1" t="s">
        <v>191</v>
      </c>
      <c r="H246" s="1" t="s">
        <v>763</v>
      </c>
      <c r="I246" s="1" t="s">
        <v>764</v>
      </c>
      <c r="J246" s="1">
        <v>4</v>
      </c>
      <c r="K246" s="1" t="s">
        <v>775</v>
      </c>
      <c r="L246" s="1">
        <v>70000</v>
      </c>
      <c r="M246" s="1" t="s">
        <v>174</v>
      </c>
      <c r="N246" s="20">
        <v>178.11</v>
      </c>
      <c r="O246" s="1" t="s">
        <v>784</v>
      </c>
    </row>
    <row r="247" spans="1:15">
      <c r="A247" s="1" t="s">
        <v>169</v>
      </c>
      <c r="B247" s="1" t="s">
        <v>170</v>
      </c>
      <c r="C247" s="1">
        <v>2013</v>
      </c>
      <c r="D247" s="1">
        <v>2013</v>
      </c>
      <c r="E247" s="1">
        <v>2013</v>
      </c>
      <c r="F247" s="1" t="s">
        <v>314</v>
      </c>
      <c r="G247" s="1" t="s">
        <v>191</v>
      </c>
      <c r="H247" s="1" t="s">
        <v>763</v>
      </c>
      <c r="I247" s="1" t="s">
        <v>764</v>
      </c>
      <c r="J247" s="1">
        <v>6</v>
      </c>
      <c r="K247" s="1" t="s">
        <v>775</v>
      </c>
      <c r="L247" s="1">
        <v>175000</v>
      </c>
      <c r="M247" s="1" t="s">
        <v>174</v>
      </c>
      <c r="N247" s="20">
        <v>445.27</v>
      </c>
      <c r="O247" s="1" t="s">
        <v>784</v>
      </c>
    </row>
    <row r="248" spans="1:15">
      <c r="A248" s="1" t="s">
        <v>169</v>
      </c>
      <c r="B248" s="1" t="s">
        <v>170</v>
      </c>
      <c r="C248" s="1">
        <v>2013</v>
      </c>
      <c r="D248" s="1">
        <v>2013</v>
      </c>
      <c r="E248" s="1">
        <v>2013</v>
      </c>
      <c r="F248" s="1" t="s">
        <v>314</v>
      </c>
      <c r="G248" s="1" t="s">
        <v>191</v>
      </c>
      <c r="H248" s="1" t="s">
        <v>763</v>
      </c>
      <c r="I248" s="1" t="s">
        <v>764</v>
      </c>
      <c r="J248" s="1">
        <v>8</v>
      </c>
      <c r="K248" s="1" t="s">
        <v>775</v>
      </c>
      <c r="L248" s="1">
        <v>325000</v>
      </c>
      <c r="M248" s="1" t="s">
        <v>174</v>
      </c>
      <c r="N248" s="20">
        <v>826.93</v>
      </c>
      <c r="O248" s="1" t="s">
        <v>784</v>
      </c>
    </row>
    <row r="249" spans="1:15">
      <c r="A249" s="1" t="s">
        <v>169</v>
      </c>
      <c r="B249" s="1" t="s">
        <v>170</v>
      </c>
      <c r="C249" s="1">
        <v>2013</v>
      </c>
      <c r="D249" s="1">
        <v>2013</v>
      </c>
      <c r="E249" s="1">
        <v>2013</v>
      </c>
      <c r="F249" s="1" t="s">
        <v>314</v>
      </c>
      <c r="G249" s="1" t="s">
        <v>191</v>
      </c>
      <c r="H249" s="1" t="s">
        <v>763</v>
      </c>
      <c r="I249" s="1" t="s">
        <v>764</v>
      </c>
      <c r="J249" s="1">
        <v>10</v>
      </c>
      <c r="K249" s="1" t="s">
        <v>775</v>
      </c>
      <c r="L249" s="1">
        <v>548000</v>
      </c>
      <c r="M249" s="1" t="s">
        <v>174</v>
      </c>
      <c r="N249" s="20">
        <v>1394.34</v>
      </c>
      <c r="O249" s="1" t="s">
        <v>784</v>
      </c>
    </row>
    <row r="250" spans="1:15">
      <c r="A250" s="1" t="s">
        <v>169</v>
      </c>
      <c r="B250" s="1" t="s">
        <v>170</v>
      </c>
      <c r="C250" s="1">
        <v>2013</v>
      </c>
      <c r="D250" s="1">
        <v>2013</v>
      </c>
      <c r="E250" s="1">
        <v>2013</v>
      </c>
      <c r="F250" s="1" t="s">
        <v>314</v>
      </c>
      <c r="G250" s="1" t="s">
        <v>191</v>
      </c>
      <c r="H250" s="1" t="s">
        <v>752</v>
      </c>
      <c r="I250" s="1" t="s">
        <v>753</v>
      </c>
      <c r="J250" s="1" t="s">
        <v>606</v>
      </c>
      <c r="K250" s="1" t="s">
        <v>667</v>
      </c>
      <c r="L250" s="1">
        <v>1000</v>
      </c>
      <c r="M250" s="1" t="s">
        <v>174</v>
      </c>
      <c r="N250" s="20">
        <v>2.82</v>
      </c>
      <c r="O250" s="1" t="s">
        <v>754</v>
      </c>
    </row>
    <row r="251" spans="1:15">
      <c r="A251" s="1" t="s">
        <v>169</v>
      </c>
      <c r="B251" s="1" t="s">
        <v>170</v>
      </c>
      <c r="C251" s="1">
        <v>2013</v>
      </c>
      <c r="D251" s="1">
        <v>2013</v>
      </c>
      <c r="E251" s="1">
        <v>2013</v>
      </c>
      <c r="F251" s="1" t="s">
        <v>314</v>
      </c>
      <c r="G251" s="1" t="s">
        <v>191</v>
      </c>
      <c r="H251" s="1" t="s">
        <v>752</v>
      </c>
      <c r="I251" s="1" t="s">
        <v>753</v>
      </c>
      <c r="J251" s="1" t="s">
        <v>607</v>
      </c>
      <c r="K251" s="1" t="s">
        <v>667</v>
      </c>
      <c r="L251" s="1" t="s">
        <v>174</v>
      </c>
      <c r="M251" s="1" t="s">
        <v>174</v>
      </c>
      <c r="N251" s="20">
        <v>2.61</v>
      </c>
      <c r="O251" s="1" t="s">
        <v>754</v>
      </c>
    </row>
    <row r="252" spans="1:15">
      <c r="A252" s="1" t="s">
        <v>169</v>
      </c>
      <c r="B252" s="1" t="s">
        <v>170</v>
      </c>
      <c r="C252" s="1">
        <v>2013</v>
      </c>
      <c r="D252" s="1">
        <v>2013</v>
      </c>
      <c r="E252" s="1">
        <v>2013</v>
      </c>
      <c r="F252" s="1" t="s">
        <v>314</v>
      </c>
      <c r="G252" s="1" t="s">
        <v>191</v>
      </c>
      <c r="H252" s="1" t="s">
        <v>752</v>
      </c>
      <c r="I252" s="1" t="s">
        <v>753</v>
      </c>
      <c r="J252" s="1" t="s">
        <v>608</v>
      </c>
      <c r="K252" s="1" t="s">
        <v>667</v>
      </c>
      <c r="L252" s="1" t="s">
        <v>174</v>
      </c>
      <c r="M252" s="1" t="s">
        <v>174</v>
      </c>
      <c r="N252" s="20">
        <v>2.57</v>
      </c>
      <c r="O252" s="1" t="s">
        <v>754</v>
      </c>
    </row>
    <row r="253" spans="1:15">
      <c r="A253" s="1" t="s">
        <v>169</v>
      </c>
      <c r="B253" s="1" t="s">
        <v>170</v>
      </c>
      <c r="C253" s="1">
        <v>2013</v>
      </c>
      <c r="D253" s="1">
        <v>2013</v>
      </c>
      <c r="E253" s="1">
        <v>2013</v>
      </c>
      <c r="F253" s="1" t="s">
        <v>314</v>
      </c>
      <c r="G253" s="1" t="s">
        <v>191</v>
      </c>
      <c r="H253" s="1" t="s">
        <v>752</v>
      </c>
      <c r="I253" s="1" t="s">
        <v>753</v>
      </c>
      <c r="J253" s="1" t="s">
        <v>785</v>
      </c>
      <c r="K253" s="1" t="s">
        <v>667</v>
      </c>
      <c r="L253" s="1" t="s">
        <v>174</v>
      </c>
      <c r="M253" s="1" t="s">
        <v>174</v>
      </c>
      <c r="N253" s="20">
        <v>2.94</v>
      </c>
      <c r="O253" s="1" t="s">
        <v>754</v>
      </c>
    </row>
    <row r="254" spans="1:15">
      <c r="A254" s="1" t="s">
        <v>169</v>
      </c>
      <c r="B254" s="1" t="s">
        <v>170</v>
      </c>
      <c r="C254" s="1">
        <v>2013</v>
      </c>
      <c r="D254" s="1">
        <v>2013</v>
      </c>
      <c r="E254" s="1">
        <v>2013</v>
      </c>
      <c r="F254" s="1" t="s">
        <v>314</v>
      </c>
      <c r="G254" s="1" t="s">
        <v>191</v>
      </c>
      <c r="H254" s="1" t="s">
        <v>752</v>
      </c>
      <c r="I254" s="1" t="s">
        <v>753</v>
      </c>
      <c r="J254" s="1" t="s">
        <v>786</v>
      </c>
      <c r="K254" s="1" t="s">
        <v>667</v>
      </c>
      <c r="L254" s="1" t="s">
        <v>174</v>
      </c>
      <c r="M254" s="1" t="s">
        <v>174</v>
      </c>
      <c r="N254" s="20">
        <v>2.4700000000000002</v>
      </c>
      <c r="O254" s="1" t="s">
        <v>754</v>
      </c>
    </row>
    <row r="255" spans="1:15">
      <c r="A255" s="1" t="s">
        <v>169</v>
      </c>
      <c r="B255" s="1" t="s">
        <v>170</v>
      </c>
      <c r="C255" s="1">
        <v>2013</v>
      </c>
      <c r="D255" s="1">
        <v>2013</v>
      </c>
      <c r="E255" s="1">
        <v>2013</v>
      </c>
      <c r="F255" s="1" t="s">
        <v>314</v>
      </c>
      <c r="G255" s="1" t="s">
        <v>191</v>
      </c>
      <c r="H255" s="1" t="s">
        <v>752</v>
      </c>
      <c r="I255" s="1" t="s">
        <v>753</v>
      </c>
      <c r="J255" s="1" t="s">
        <v>774</v>
      </c>
      <c r="K255" s="1" t="s">
        <v>667</v>
      </c>
      <c r="L255" s="1" t="s">
        <v>174</v>
      </c>
      <c r="M255" s="1" t="s">
        <v>174</v>
      </c>
      <c r="N255" s="20">
        <v>11.12</v>
      </c>
      <c r="O255" s="1" t="s">
        <v>754</v>
      </c>
    </row>
    <row r="256" spans="1:15">
      <c r="A256" s="1" t="s">
        <v>169</v>
      </c>
      <c r="B256" s="1" t="s">
        <v>170</v>
      </c>
      <c r="C256" s="1">
        <v>2017</v>
      </c>
      <c r="D256" s="1">
        <v>2015</v>
      </c>
      <c r="E256" s="1">
        <v>2015</v>
      </c>
      <c r="F256" s="1" t="s">
        <v>322</v>
      </c>
      <c r="G256" s="1" t="s">
        <v>191</v>
      </c>
      <c r="H256" s="1" t="s">
        <v>752</v>
      </c>
      <c r="I256" s="1" t="s">
        <v>753</v>
      </c>
      <c r="J256" s="1" t="s">
        <v>606</v>
      </c>
      <c r="K256" s="1" t="s">
        <v>667</v>
      </c>
      <c r="L256" s="1">
        <v>1000</v>
      </c>
      <c r="M256" s="1" t="s">
        <v>174</v>
      </c>
      <c r="N256" s="20">
        <v>9.58</v>
      </c>
      <c r="O256" s="1" t="s">
        <v>754</v>
      </c>
    </row>
    <row r="257" spans="1:15">
      <c r="A257" s="1" t="s">
        <v>169</v>
      </c>
      <c r="B257" s="1" t="s">
        <v>170</v>
      </c>
      <c r="C257" s="1">
        <v>2017</v>
      </c>
      <c r="D257" s="1">
        <v>2015</v>
      </c>
      <c r="E257" s="1">
        <v>2015</v>
      </c>
      <c r="F257" s="1" t="s">
        <v>322</v>
      </c>
      <c r="G257" s="1" t="s">
        <v>191</v>
      </c>
      <c r="H257" s="1" t="s">
        <v>752</v>
      </c>
      <c r="I257" s="1" t="s">
        <v>753</v>
      </c>
      <c r="J257" s="1" t="s">
        <v>607</v>
      </c>
      <c r="K257" s="1" t="s">
        <v>667</v>
      </c>
      <c r="L257" s="1" t="s">
        <v>174</v>
      </c>
      <c r="M257" s="1" t="s">
        <v>174</v>
      </c>
      <c r="N257" s="20">
        <v>9.34</v>
      </c>
      <c r="O257" s="1" t="s">
        <v>754</v>
      </c>
    </row>
    <row r="258" spans="1:15">
      <c r="A258" s="1" t="s">
        <v>169</v>
      </c>
      <c r="B258" s="1" t="s">
        <v>170</v>
      </c>
      <c r="C258" s="1">
        <v>2017</v>
      </c>
      <c r="D258" s="1">
        <v>2015</v>
      </c>
      <c r="E258" s="1">
        <v>2015</v>
      </c>
      <c r="F258" s="1" t="s">
        <v>322</v>
      </c>
      <c r="G258" s="1" t="s">
        <v>191</v>
      </c>
      <c r="H258" s="1" t="s">
        <v>752</v>
      </c>
      <c r="I258" s="1" t="s">
        <v>753</v>
      </c>
      <c r="J258" s="1" t="s">
        <v>608</v>
      </c>
      <c r="K258" s="1" t="s">
        <v>667</v>
      </c>
      <c r="L258" s="1" t="s">
        <v>174</v>
      </c>
      <c r="M258" s="1" t="s">
        <v>174</v>
      </c>
      <c r="N258" s="20">
        <v>8.5500000000000007</v>
      </c>
      <c r="O258" s="1" t="s">
        <v>754</v>
      </c>
    </row>
    <row r="259" spans="1:15">
      <c r="A259" s="1" t="s">
        <v>169</v>
      </c>
      <c r="B259" s="1" t="s">
        <v>170</v>
      </c>
      <c r="C259" s="1">
        <v>2017</v>
      </c>
      <c r="D259" s="1">
        <v>2015</v>
      </c>
      <c r="E259" s="1">
        <v>2015</v>
      </c>
      <c r="F259" s="1" t="s">
        <v>322</v>
      </c>
      <c r="G259" s="1" t="s">
        <v>191</v>
      </c>
      <c r="H259" s="1" t="s">
        <v>752</v>
      </c>
      <c r="I259" s="1" t="s">
        <v>753</v>
      </c>
      <c r="J259" s="1" t="s">
        <v>756</v>
      </c>
      <c r="K259" s="1" t="s">
        <v>667</v>
      </c>
      <c r="L259" s="1" t="s">
        <v>174</v>
      </c>
      <c r="M259" s="1" t="s">
        <v>779</v>
      </c>
      <c r="N259" s="20">
        <f>N237*0.013+N237</f>
        <v>4.2951199999999998</v>
      </c>
      <c r="O259" s="1" t="s">
        <v>754</v>
      </c>
    </row>
    <row r="260" spans="1:15">
      <c r="A260" s="1" t="s">
        <v>169</v>
      </c>
      <c r="B260" s="1" t="s">
        <v>170</v>
      </c>
      <c r="C260" s="1">
        <v>2017</v>
      </c>
      <c r="D260" s="1">
        <v>2015</v>
      </c>
      <c r="E260" s="1">
        <v>2015</v>
      </c>
      <c r="F260" s="1" t="s">
        <v>322</v>
      </c>
      <c r="G260" s="1" t="s">
        <v>191</v>
      </c>
      <c r="H260" s="1" t="s">
        <v>752</v>
      </c>
      <c r="I260" s="1" t="s">
        <v>753</v>
      </c>
      <c r="J260" s="1" t="s">
        <v>756</v>
      </c>
      <c r="K260" s="1" t="s">
        <v>667</v>
      </c>
      <c r="L260" s="1" t="s">
        <v>174</v>
      </c>
      <c r="M260" s="1" t="s">
        <v>780</v>
      </c>
      <c r="N260" s="20" t="s">
        <v>174</v>
      </c>
      <c r="O260" s="1" t="s">
        <v>754</v>
      </c>
    </row>
    <row r="261" spans="1:15">
      <c r="A261" s="1" t="s">
        <v>169</v>
      </c>
      <c r="B261" s="1" t="s">
        <v>170</v>
      </c>
      <c r="C261" s="1">
        <v>2017</v>
      </c>
      <c r="D261" s="1">
        <v>2015</v>
      </c>
      <c r="E261" s="1">
        <v>2015</v>
      </c>
      <c r="F261" s="1" t="s">
        <v>322</v>
      </c>
      <c r="G261" s="1" t="s">
        <v>191</v>
      </c>
      <c r="H261" s="1" t="s">
        <v>752</v>
      </c>
      <c r="I261" s="1" t="s">
        <v>753</v>
      </c>
      <c r="J261" s="1" t="s">
        <v>774</v>
      </c>
      <c r="K261" s="1" t="s">
        <v>667</v>
      </c>
      <c r="L261" s="1" t="s">
        <v>174</v>
      </c>
      <c r="M261" s="1" t="s">
        <v>174</v>
      </c>
      <c r="N261" s="20">
        <v>13.84</v>
      </c>
      <c r="O261" s="1" t="s">
        <v>754</v>
      </c>
    </row>
    <row r="262" spans="1:15">
      <c r="A262" s="1" t="s">
        <v>169</v>
      </c>
      <c r="B262" s="1" t="s">
        <v>170</v>
      </c>
      <c r="C262" s="1">
        <v>2017</v>
      </c>
      <c r="D262" s="1">
        <v>2016</v>
      </c>
      <c r="E262" s="1">
        <v>2016</v>
      </c>
      <c r="F262" s="1" t="s">
        <v>322</v>
      </c>
      <c r="G262" s="1" t="s">
        <v>191</v>
      </c>
      <c r="H262" s="1" t="s">
        <v>752</v>
      </c>
      <c r="I262" s="1" t="s">
        <v>753</v>
      </c>
      <c r="J262" s="1" t="s">
        <v>606</v>
      </c>
      <c r="K262" s="1" t="s">
        <v>667</v>
      </c>
      <c r="L262" s="1">
        <v>1000</v>
      </c>
      <c r="M262" s="1" t="s">
        <v>174</v>
      </c>
      <c r="N262" s="20">
        <v>9.65</v>
      </c>
      <c r="O262" s="1" t="s">
        <v>754</v>
      </c>
    </row>
    <row r="263" spans="1:15">
      <c r="A263" s="1" t="s">
        <v>169</v>
      </c>
      <c r="B263" s="1" t="s">
        <v>170</v>
      </c>
      <c r="C263" s="1">
        <v>2017</v>
      </c>
      <c r="D263" s="1">
        <v>2016</v>
      </c>
      <c r="E263" s="1">
        <v>2016</v>
      </c>
      <c r="F263" s="1" t="s">
        <v>322</v>
      </c>
      <c r="G263" s="1" t="s">
        <v>191</v>
      </c>
      <c r="H263" s="1" t="s">
        <v>752</v>
      </c>
      <c r="I263" s="1" t="s">
        <v>753</v>
      </c>
      <c r="J263" s="1" t="s">
        <v>607</v>
      </c>
      <c r="K263" s="1" t="s">
        <v>667</v>
      </c>
      <c r="L263" s="1" t="s">
        <v>174</v>
      </c>
      <c r="M263" s="1" t="s">
        <v>174</v>
      </c>
      <c r="N263" s="20">
        <v>9.41</v>
      </c>
      <c r="O263" s="1" t="s">
        <v>754</v>
      </c>
    </row>
    <row r="264" spans="1:15">
      <c r="A264" s="1" t="s">
        <v>169</v>
      </c>
      <c r="B264" s="1" t="s">
        <v>170</v>
      </c>
      <c r="C264" s="1">
        <v>2017</v>
      </c>
      <c r="D264" s="1">
        <v>2016</v>
      </c>
      <c r="E264" s="1">
        <v>2016</v>
      </c>
      <c r="F264" s="1" t="s">
        <v>322</v>
      </c>
      <c r="G264" s="1" t="s">
        <v>191</v>
      </c>
      <c r="H264" s="1" t="s">
        <v>752</v>
      </c>
      <c r="I264" s="1" t="s">
        <v>753</v>
      </c>
      <c r="J264" s="1" t="s">
        <v>608</v>
      </c>
      <c r="K264" s="1" t="s">
        <v>667</v>
      </c>
      <c r="L264" s="1" t="s">
        <v>174</v>
      </c>
      <c r="M264" s="1" t="s">
        <v>174</v>
      </c>
      <c r="N264" s="20">
        <v>8.61</v>
      </c>
      <c r="O264" s="1" t="s">
        <v>754</v>
      </c>
    </row>
    <row r="265" spans="1:15">
      <c r="A265" s="1" t="s">
        <v>169</v>
      </c>
      <c r="B265" s="1" t="s">
        <v>170</v>
      </c>
      <c r="C265" s="1">
        <v>2017</v>
      </c>
      <c r="D265" s="1">
        <v>2016</v>
      </c>
      <c r="E265" s="1">
        <v>2016</v>
      </c>
      <c r="F265" s="1" t="s">
        <v>322</v>
      </c>
      <c r="G265" s="1" t="s">
        <v>191</v>
      </c>
      <c r="H265" s="1" t="s">
        <v>752</v>
      </c>
      <c r="I265" s="1" t="s">
        <v>753</v>
      </c>
      <c r="J265" s="1" t="s">
        <v>756</v>
      </c>
      <c r="K265" s="1" t="s">
        <v>667</v>
      </c>
      <c r="L265" s="1" t="s">
        <v>174</v>
      </c>
      <c r="M265" s="1" t="s">
        <v>779</v>
      </c>
      <c r="N265" s="20" t="s">
        <v>174</v>
      </c>
      <c r="O265" s="1" t="s">
        <v>754</v>
      </c>
    </row>
    <row r="266" spans="1:15">
      <c r="A266" s="1" t="s">
        <v>169</v>
      </c>
      <c r="B266" s="1" t="s">
        <v>170</v>
      </c>
      <c r="C266" s="1">
        <v>2017</v>
      </c>
      <c r="D266" s="1">
        <v>2016</v>
      </c>
      <c r="E266" s="1">
        <v>2016</v>
      </c>
      <c r="F266" s="1" t="s">
        <v>322</v>
      </c>
      <c r="G266" s="1" t="s">
        <v>191</v>
      </c>
      <c r="H266" s="1" t="s">
        <v>752</v>
      </c>
      <c r="I266" s="1" t="s">
        <v>753</v>
      </c>
      <c r="J266" s="1" t="s">
        <v>756</v>
      </c>
      <c r="K266" s="1" t="s">
        <v>667</v>
      </c>
      <c r="L266" s="1" t="s">
        <v>174</v>
      </c>
      <c r="M266" s="1" t="s">
        <v>780</v>
      </c>
      <c r="N266" s="20" t="s">
        <v>174</v>
      </c>
      <c r="O266" s="1" t="s">
        <v>754</v>
      </c>
    </row>
    <row r="267" spans="1:15">
      <c r="A267" s="1" t="s">
        <v>169</v>
      </c>
      <c r="B267" s="1" t="s">
        <v>170</v>
      </c>
      <c r="C267" s="1">
        <v>2017</v>
      </c>
      <c r="D267" s="1">
        <v>2016</v>
      </c>
      <c r="E267" s="1">
        <v>2016</v>
      </c>
      <c r="F267" s="1" t="s">
        <v>322</v>
      </c>
      <c r="G267" s="1" t="s">
        <v>191</v>
      </c>
      <c r="H267" s="1" t="s">
        <v>752</v>
      </c>
      <c r="I267" s="1" t="s">
        <v>753</v>
      </c>
      <c r="J267" s="1" t="s">
        <v>774</v>
      </c>
      <c r="K267" s="1" t="s">
        <v>667</v>
      </c>
      <c r="L267" s="1" t="s">
        <v>174</v>
      </c>
      <c r="M267" s="1" t="s">
        <v>174</v>
      </c>
      <c r="N267" s="20">
        <v>13.94</v>
      </c>
      <c r="O267" s="1" t="s">
        <v>754</v>
      </c>
    </row>
    <row r="268" spans="1:15">
      <c r="A268" s="1" t="s">
        <v>169</v>
      </c>
      <c r="B268" s="1" t="s">
        <v>170</v>
      </c>
      <c r="C268" s="1">
        <v>2017</v>
      </c>
      <c r="D268" s="1">
        <v>2017</v>
      </c>
      <c r="E268" s="1">
        <v>2017</v>
      </c>
      <c r="F268" s="1" t="s">
        <v>322</v>
      </c>
      <c r="G268" s="1" t="s">
        <v>191</v>
      </c>
      <c r="H268" s="1" t="s">
        <v>752</v>
      </c>
      <c r="I268" s="1" t="s">
        <v>753</v>
      </c>
      <c r="J268" s="1" t="s">
        <v>606</v>
      </c>
      <c r="K268" s="1" t="s">
        <v>667</v>
      </c>
      <c r="L268" s="1">
        <v>1000</v>
      </c>
      <c r="M268" s="1" t="s">
        <v>174</v>
      </c>
      <c r="N268" s="20">
        <v>11.8</v>
      </c>
      <c r="O268" s="1" t="s">
        <v>754</v>
      </c>
    </row>
    <row r="269" spans="1:15">
      <c r="A269" s="1" t="s">
        <v>169</v>
      </c>
      <c r="B269" s="1" t="s">
        <v>170</v>
      </c>
      <c r="C269" s="1">
        <v>2017</v>
      </c>
      <c r="D269" s="1">
        <v>2017</v>
      </c>
      <c r="E269" s="1">
        <v>2017</v>
      </c>
      <c r="F269" s="1" t="s">
        <v>322</v>
      </c>
      <c r="G269" s="1" t="s">
        <v>191</v>
      </c>
      <c r="H269" s="1" t="s">
        <v>752</v>
      </c>
      <c r="I269" s="1" t="s">
        <v>753</v>
      </c>
      <c r="J269" s="1" t="s">
        <v>607</v>
      </c>
      <c r="K269" s="1" t="s">
        <v>667</v>
      </c>
      <c r="L269" s="1" t="s">
        <v>174</v>
      </c>
      <c r="M269" s="1" t="s">
        <v>174</v>
      </c>
      <c r="N269" s="20">
        <v>11.42</v>
      </c>
      <c r="O269" s="1" t="s">
        <v>754</v>
      </c>
    </row>
    <row r="270" spans="1:15">
      <c r="A270" s="1" t="s">
        <v>169</v>
      </c>
      <c r="B270" s="1" t="s">
        <v>170</v>
      </c>
      <c r="C270" s="1">
        <v>2017</v>
      </c>
      <c r="D270" s="1">
        <v>2017</v>
      </c>
      <c r="E270" s="1">
        <v>2017</v>
      </c>
      <c r="F270" s="1" t="s">
        <v>322</v>
      </c>
      <c r="G270" s="1" t="s">
        <v>191</v>
      </c>
      <c r="H270" s="1" t="s">
        <v>752</v>
      </c>
      <c r="I270" s="1" t="s">
        <v>753</v>
      </c>
      <c r="J270" s="1" t="s">
        <v>608</v>
      </c>
      <c r="K270" s="1" t="s">
        <v>667</v>
      </c>
      <c r="L270" s="1" t="s">
        <v>174</v>
      </c>
      <c r="M270" s="1" t="s">
        <v>174</v>
      </c>
      <c r="N270" s="20">
        <v>10.4</v>
      </c>
      <c r="O270" s="1" t="s">
        <v>754</v>
      </c>
    </row>
    <row r="271" spans="1:15">
      <c r="A271" s="1" t="s">
        <v>169</v>
      </c>
      <c r="B271" s="1" t="s">
        <v>170</v>
      </c>
      <c r="C271" s="1">
        <v>2017</v>
      </c>
      <c r="D271" s="1">
        <v>2017</v>
      </c>
      <c r="E271" s="1">
        <v>2017</v>
      </c>
      <c r="F271" s="1" t="s">
        <v>322</v>
      </c>
      <c r="G271" s="1" t="s">
        <v>191</v>
      </c>
      <c r="H271" s="1" t="s">
        <v>752</v>
      </c>
      <c r="I271" s="1" t="s">
        <v>753</v>
      </c>
      <c r="J271" s="1" t="s">
        <v>756</v>
      </c>
      <c r="K271" s="1" t="s">
        <v>667</v>
      </c>
      <c r="L271" s="1" t="s">
        <v>174</v>
      </c>
      <c r="M271" s="1" t="s">
        <v>779</v>
      </c>
      <c r="N271" s="20" t="s">
        <v>174</v>
      </c>
      <c r="O271" s="1" t="s">
        <v>754</v>
      </c>
    </row>
    <row r="272" spans="1:15">
      <c r="A272" s="1" t="s">
        <v>169</v>
      </c>
      <c r="B272" s="1" t="s">
        <v>170</v>
      </c>
      <c r="C272" s="1">
        <v>2017</v>
      </c>
      <c r="D272" s="1">
        <v>2017</v>
      </c>
      <c r="E272" s="1">
        <v>2017</v>
      </c>
      <c r="F272" s="1" t="s">
        <v>322</v>
      </c>
      <c r="G272" s="1" t="s">
        <v>191</v>
      </c>
      <c r="H272" s="1" t="s">
        <v>752</v>
      </c>
      <c r="I272" s="1" t="s">
        <v>753</v>
      </c>
      <c r="J272" s="1" t="s">
        <v>756</v>
      </c>
      <c r="K272" s="1" t="s">
        <v>667</v>
      </c>
      <c r="L272" s="1" t="s">
        <v>174</v>
      </c>
      <c r="M272" s="1" t="s">
        <v>780</v>
      </c>
      <c r="N272" s="20" t="s">
        <v>174</v>
      </c>
      <c r="O272" s="1" t="s">
        <v>754</v>
      </c>
    </row>
    <row r="273" spans="1:15">
      <c r="A273" s="1" t="s">
        <v>169</v>
      </c>
      <c r="B273" s="1" t="s">
        <v>170</v>
      </c>
      <c r="C273" s="1">
        <v>2017</v>
      </c>
      <c r="D273" s="1">
        <v>2017</v>
      </c>
      <c r="E273" s="1">
        <v>2017</v>
      </c>
      <c r="F273" s="1" t="s">
        <v>322</v>
      </c>
      <c r="G273" s="1" t="s">
        <v>191</v>
      </c>
      <c r="H273" s="1" t="s">
        <v>752</v>
      </c>
      <c r="I273" s="1" t="s">
        <v>753</v>
      </c>
      <c r="J273" s="1" t="s">
        <v>774</v>
      </c>
      <c r="K273" s="1" t="s">
        <v>667</v>
      </c>
      <c r="L273" s="1" t="s">
        <v>174</v>
      </c>
      <c r="M273" s="1" t="s">
        <v>174</v>
      </c>
      <c r="N273" s="20">
        <v>17.04</v>
      </c>
      <c r="O273" s="1" t="s">
        <v>754</v>
      </c>
    </row>
    <row r="274" spans="1:15">
      <c r="A274" s="1" t="s">
        <v>169</v>
      </c>
      <c r="B274" s="1" t="s">
        <v>170</v>
      </c>
      <c r="C274" s="1">
        <v>2017</v>
      </c>
      <c r="D274" s="1">
        <v>2018</v>
      </c>
      <c r="E274" s="1">
        <v>2018</v>
      </c>
      <c r="F274" s="1" t="s">
        <v>322</v>
      </c>
      <c r="G274" s="1" t="s">
        <v>191</v>
      </c>
      <c r="H274" s="1" t="s">
        <v>752</v>
      </c>
      <c r="I274" s="1" t="s">
        <v>753</v>
      </c>
      <c r="J274" s="1" t="s">
        <v>606</v>
      </c>
      <c r="K274" s="1" t="s">
        <v>667</v>
      </c>
      <c r="L274" s="1">
        <v>1000</v>
      </c>
      <c r="M274" s="1" t="s">
        <v>174</v>
      </c>
      <c r="N274" s="20">
        <v>16.329999999999998</v>
      </c>
      <c r="O274" s="1" t="s">
        <v>754</v>
      </c>
    </row>
    <row r="275" spans="1:15">
      <c r="A275" s="1" t="s">
        <v>169</v>
      </c>
      <c r="B275" s="1" t="s">
        <v>170</v>
      </c>
      <c r="C275" s="1">
        <v>2017</v>
      </c>
      <c r="D275" s="1">
        <v>2018</v>
      </c>
      <c r="E275" s="1">
        <v>2018</v>
      </c>
      <c r="F275" s="1" t="s">
        <v>322</v>
      </c>
      <c r="G275" s="1" t="s">
        <v>191</v>
      </c>
      <c r="H275" s="1" t="s">
        <v>752</v>
      </c>
      <c r="I275" s="1" t="s">
        <v>753</v>
      </c>
      <c r="J275" s="1" t="s">
        <v>607</v>
      </c>
      <c r="K275" s="1" t="s">
        <v>667</v>
      </c>
      <c r="L275" s="1" t="s">
        <v>174</v>
      </c>
      <c r="M275" s="1" t="s">
        <v>174</v>
      </c>
      <c r="N275" s="20">
        <v>15.04</v>
      </c>
      <c r="O275" s="1" t="s">
        <v>754</v>
      </c>
    </row>
    <row r="276" spans="1:15">
      <c r="A276" s="1" t="s">
        <v>169</v>
      </c>
      <c r="B276" s="1" t="s">
        <v>170</v>
      </c>
      <c r="C276" s="1">
        <v>2017</v>
      </c>
      <c r="D276" s="1">
        <v>2018</v>
      </c>
      <c r="E276" s="1">
        <v>2018</v>
      </c>
      <c r="F276" s="1" t="s">
        <v>322</v>
      </c>
      <c r="G276" s="1" t="s">
        <v>191</v>
      </c>
      <c r="H276" s="1" t="s">
        <v>752</v>
      </c>
      <c r="I276" s="1" t="s">
        <v>753</v>
      </c>
      <c r="J276" s="1" t="s">
        <v>608</v>
      </c>
      <c r="K276" s="1" t="s">
        <v>667</v>
      </c>
      <c r="L276" s="1" t="s">
        <v>174</v>
      </c>
      <c r="M276" s="1" t="s">
        <v>174</v>
      </c>
      <c r="N276" s="20">
        <v>13.08</v>
      </c>
      <c r="O276" s="1" t="s">
        <v>754</v>
      </c>
    </row>
    <row r="277" spans="1:15">
      <c r="A277" s="1" t="s">
        <v>169</v>
      </c>
      <c r="B277" s="1" t="s">
        <v>170</v>
      </c>
      <c r="C277" s="1">
        <v>2017</v>
      </c>
      <c r="D277" s="1">
        <v>2018</v>
      </c>
      <c r="E277" s="1">
        <v>2018</v>
      </c>
      <c r="F277" s="1" t="s">
        <v>322</v>
      </c>
      <c r="G277" s="1" t="s">
        <v>191</v>
      </c>
      <c r="H277" s="1" t="s">
        <v>752</v>
      </c>
      <c r="I277" s="1" t="s">
        <v>753</v>
      </c>
      <c r="J277" s="1" t="s">
        <v>756</v>
      </c>
      <c r="K277" s="1" t="s">
        <v>667</v>
      </c>
      <c r="L277" s="1" t="s">
        <v>174</v>
      </c>
      <c r="M277" s="1" t="s">
        <v>779</v>
      </c>
      <c r="N277" s="20" t="s">
        <v>174</v>
      </c>
      <c r="O277" s="1" t="s">
        <v>754</v>
      </c>
    </row>
    <row r="278" spans="1:15">
      <c r="A278" s="1" t="s">
        <v>169</v>
      </c>
      <c r="B278" s="1" t="s">
        <v>170</v>
      </c>
      <c r="C278" s="1">
        <v>2017</v>
      </c>
      <c r="D278" s="1">
        <v>2018</v>
      </c>
      <c r="E278" s="1">
        <v>2018</v>
      </c>
      <c r="F278" s="1" t="s">
        <v>322</v>
      </c>
      <c r="G278" s="1" t="s">
        <v>191</v>
      </c>
      <c r="H278" s="1" t="s">
        <v>752</v>
      </c>
      <c r="I278" s="1" t="s">
        <v>753</v>
      </c>
      <c r="J278" s="1" t="s">
        <v>756</v>
      </c>
      <c r="K278" s="1" t="s">
        <v>667</v>
      </c>
      <c r="L278" s="1" t="s">
        <v>174</v>
      </c>
      <c r="M278" s="1" t="s">
        <v>780</v>
      </c>
      <c r="N278" s="20" t="s">
        <v>174</v>
      </c>
      <c r="O278" s="1" t="s">
        <v>754</v>
      </c>
    </row>
    <row r="279" spans="1:15">
      <c r="A279" s="1" t="s">
        <v>169</v>
      </c>
      <c r="B279" s="1" t="s">
        <v>170</v>
      </c>
      <c r="C279" s="1">
        <v>2017</v>
      </c>
      <c r="D279" s="1">
        <v>2018</v>
      </c>
      <c r="E279" s="1">
        <v>2018</v>
      </c>
      <c r="F279" s="1" t="s">
        <v>322</v>
      </c>
      <c r="G279" s="1" t="s">
        <v>191</v>
      </c>
      <c r="H279" s="1" t="s">
        <v>752</v>
      </c>
      <c r="I279" s="1" t="s">
        <v>753</v>
      </c>
      <c r="J279" s="1" t="s">
        <v>774</v>
      </c>
      <c r="K279" s="1" t="s">
        <v>667</v>
      </c>
      <c r="L279" s="1" t="s">
        <v>174</v>
      </c>
      <c r="M279" s="1" t="s">
        <v>174</v>
      </c>
      <c r="N279" s="20">
        <v>19.850000000000001</v>
      </c>
      <c r="O279" s="1" t="s">
        <v>754</v>
      </c>
    </row>
    <row r="280" spans="1:15">
      <c r="A280" s="1" t="s">
        <v>169</v>
      </c>
      <c r="B280" s="1" t="s">
        <v>170</v>
      </c>
      <c r="C280" s="1">
        <v>2019</v>
      </c>
      <c r="D280" s="1">
        <v>2019</v>
      </c>
      <c r="E280" s="1">
        <v>2019</v>
      </c>
      <c r="F280" s="1" t="s">
        <v>322</v>
      </c>
      <c r="G280" s="1" t="s">
        <v>191</v>
      </c>
      <c r="H280" s="1" t="s">
        <v>752</v>
      </c>
      <c r="I280" s="1" t="s">
        <v>753</v>
      </c>
      <c r="J280" s="1" t="s">
        <v>606</v>
      </c>
      <c r="K280" s="1" t="s">
        <v>667</v>
      </c>
      <c r="L280" s="1">
        <v>1000</v>
      </c>
      <c r="M280" s="1" t="s">
        <v>174</v>
      </c>
      <c r="N280" s="20">
        <v>18.47</v>
      </c>
      <c r="O280" s="1" t="s">
        <v>754</v>
      </c>
    </row>
    <row r="281" spans="1:15">
      <c r="A281" s="1" t="s">
        <v>169</v>
      </c>
      <c r="B281" s="1" t="s">
        <v>170</v>
      </c>
      <c r="C281" s="1">
        <v>2019</v>
      </c>
      <c r="D281" s="1">
        <v>2019</v>
      </c>
      <c r="E281" s="1">
        <v>2019</v>
      </c>
      <c r="F281" s="1" t="s">
        <v>322</v>
      </c>
      <c r="G281" s="1" t="s">
        <v>191</v>
      </c>
      <c r="H281" s="1" t="s">
        <v>752</v>
      </c>
      <c r="I281" s="1" t="s">
        <v>753</v>
      </c>
      <c r="J281" s="1" t="s">
        <v>607</v>
      </c>
      <c r="K281" s="1" t="s">
        <v>667</v>
      </c>
      <c r="L281" s="1" t="s">
        <v>174</v>
      </c>
      <c r="M281" s="1" t="s">
        <v>174</v>
      </c>
      <c r="N281" s="20">
        <v>17.04</v>
      </c>
      <c r="O281" s="1" t="s">
        <v>754</v>
      </c>
    </row>
    <row r="282" spans="1:15">
      <c r="A282" s="1" t="s">
        <v>169</v>
      </c>
      <c r="B282" s="1" t="s">
        <v>170</v>
      </c>
      <c r="C282" s="1">
        <v>2019</v>
      </c>
      <c r="D282" s="1">
        <v>2019</v>
      </c>
      <c r="E282" s="1">
        <v>2019</v>
      </c>
      <c r="F282" s="1" t="s">
        <v>322</v>
      </c>
      <c r="G282" s="1" t="s">
        <v>191</v>
      </c>
      <c r="H282" s="1" t="s">
        <v>752</v>
      </c>
      <c r="I282" s="1" t="s">
        <v>753</v>
      </c>
      <c r="J282" s="1" t="s">
        <v>608</v>
      </c>
      <c r="K282" s="1" t="s">
        <v>667</v>
      </c>
      <c r="L282" s="1" t="s">
        <v>174</v>
      </c>
      <c r="M282" s="1" t="s">
        <v>174</v>
      </c>
      <c r="N282" s="20">
        <v>14.79</v>
      </c>
      <c r="O282" s="1" t="s">
        <v>754</v>
      </c>
    </row>
    <row r="283" spans="1:15">
      <c r="A283" s="1" t="s">
        <v>169</v>
      </c>
      <c r="B283" s="1" t="s">
        <v>170</v>
      </c>
      <c r="C283" s="1">
        <v>2019</v>
      </c>
      <c r="D283" s="1">
        <v>2019</v>
      </c>
      <c r="E283" s="1">
        <v>2019</v>
      </c>
      <c r="F283" s="1" t="s">
        <v>322</v>
      </c>
      <c r="G283" s="1" t="s">
        <v>191</v>
      </c>
      <c r="H283" s="1" t="s">
        <v>752</v>
      </c>
      <c r="I283" s="1" t="s">
        <v>753</v>
      </c>
      <c r="J283" s="1" t="s">
        <v>756</v>
      </c>
      <c r="K283" s="1" t="s">
        <v>667</v>
      </c>
      <c r="L283" s="1" t="s">
        <v>174</v>
      </c>
      <c r="M283" s="1" t="s">
        <v>779</v>
      </c>
      <c r="N283" s="20" t="s">
        <v>174</v>
      </c>
      <c r="O283" s="1" t="s">
        <v>754</v>
      </c>
    </row>
    <row r="284" spans="1:15">
      <c r="A284" s="1" t="s">
        <v>169</v>
      </c>
      <c r="B284" s="1" t="s">
        <v>170</v>
      </c>
      <c r="C284" s="1">
        <v>2019</v>
      </c>
      <c r="D284" s="1">
        <v>2019</v>
      </c>
      <c r="E284" s="1">
        <v>2019</v>
      </c>
      <c r="F284" s="1" t="s">
        <v>322</v>
      </c>
      <c r="G284" s="1" t="s">
        <v>191</v>
      </c>
      <c r="H284" s="1" t="s">
        <v>752</v>
      </c>
      <c r="I284" s="1" t="s">
        <v>753</v>
      </c>
      <c r="J284" s="1" t="s">
        <v>756</v>
      </c>
      <c r="K284" s="1" t="s">
        <v>667</v>
      </c>
      <c r="L284" s="1" t="s">
        <v>174</v>
      </c>
      <c r="M284" s="1" t="s">
        <v>780</v>
      </c>
      <c r="N284" s="20" t="s">
        <v>174</v>
      </c>
      <c r="O284" s="1" t="s">
        <v>754</v>
      </c>
    </row>
    <row r="285" spans="1:15">
      <c r="A285" s="1" t="s">
        <v>169</v>
      </c>
      <c r="B285" s="1" t="s">
        <v>170</v>
      </c>
      <c r="C285" s="1">
        <v>2019</v>
      </c>
      <c r="D285" s="1">
        <v>2019</v>
      </c>
      <c r="E285" s="1">
        <v>2019</v>
      </c>
      <c r="F285" s="1" t="s">
        <v>322</v>
      </c>
      <c r="G285" s="1" t="s">
        <v>191</v>
      </c>
      <c r="H285" s="1" t="s">
        <v>752</v>
      </c>
      <c r="I285" s="1" t="s">
        <v>753</v>
      </c>
      <c r="J285" s="1" t="s">
        <v>774</v>
      </c>
      <c r="K285" s="1" t="s">
        <v>667</v>
      </c>
      <c r="L285" s="1" t="s">
        <v>174</v>
      </c>
      <c r="M285" s="1" t="s">
        <v>174</v>
      </c>
      <c r="N285" s="20">
        <v>22.53</v>
      </c>
      <c r="O285" s="1" t="s">
        <v>754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39"/>
  <sheetViews>
    <sheetView workbookViewId="0">
      <pane xSplit="4" ySplit="2" topLeftCell="AE3" activePane="bottomRight" state="frozen"/>
      <selection pane="bottomRight" activeCell="D34" sqref="D34"/>
      <selection pane="bottomLeft" activeCell="A3" sqref="A3"/>
      <selection pane="topRight" activeCell="E1" sqref="E1"/>
    </sheetView>
  </sheetViews>
  <sheetFormatPr defaultColWidth="8.85546875" defaultRowHeight="14.45"/>
  <cols>
    <col min="1" max="1" width="10.140625" style="1" bestFit="1" customWidth="1"/>
    <col min="2" max="3" width="8.85546875" style="1"/>
    <col min="4" max="4" width="18.42578125" style="1" customWidth="1"/>
    <col min="5" max="5" width="12" style="1" customWidth="1"/>
    <col min="6" max="6" width="11.85546875" style="1" customWidth="1"/>
    <col min="7" max="7" width="11.42578125" style="1" bestFit="1" customWidth="1"/>
    <col min="8" max="8" width="11.7109375" style="1" customWidth="1"/>
    <col min="9" max="9" width="12.28515625" style="1" customWidth="1"/>
    <col min="10" max="10" width="12.140625" style="1" bestFit="1" customWidth="1"/>
    <col min="11" max="11" width="12.28515625" style="1" customWidth="1"/>
    <col min="12" max="21" width="12.140625" style="1" bestFit="1" customWidth="1"/>
    <col min="22" max="22" width="12" style="1" bestFit="1" customWidth="1"/>
    <col min="23" max="24" width="12.140625" style="1" bestFit="1" customWidth="1"/>
    <col min="25" max="37" width="12.42578125" style="1" bestFit="1" customWidth="1"/>
    <col min="38" max="16384" width="8.85546875" style="1"/>
  </cols>
  <sheetData>
    <row r="1" spans="1:37">
      <c r="G1" s="10"/>
      <c r="H1" s="11" t="s">
        <v>787</v>
      </c>
      <c r="I1" s="12"/>
      <c r="J1" s="12"/>
      <c r="K1" s="12"/>
      <c r="L1" s="12"/>
      <c r="M1" s="12"/>
      <c r="N1" s="10"/>
      <c r="O1" s="10"/>
      <c r="P1" s="10"/>
      <c r="Q1" s="10"/>
      <c r="R1" s="13"/>
      <c r="S1" s="13"/>
      <c r="T1" s="13"/>
      <c r="U1" s="13"/>
      <c r="V1" s="13"/>
      <c r="W1" s="13"/>
      <c r="X1" s="13"/>
      <c r="Y1" s="13"/>
      <c r="Z1" s="13"/>
      <c r="AA1" s="14"/>
      <c r="AB1" s="13"/>
      <c r="AC1" s="13"/>
      <c r="AD1" s="13"/>
      <c r="AE1" s="14"/>
      <c r="AF1" s="13"/>
      <c r="AG1" s="13"/>
      <c r="AH1" s="13"/>
      <c r="AI1" s="13"/>
      <c r="AJ1" s="13"/>
    </row>
    <row r="2" spans="1:37">
      <c r="A2" s="2" t="s">
        <v>149</v>
      </c>
      <c r="B2" s="2" t="s">
        <v>788</v>
      </c>
      <c r="C2" s="2" t="s">
        <v>789</v>
      </c>
      <c r="D2" s="2" t="s">
        <v>790</v>
      </c>
      <c r="E2" s="5" t="s">
        <v>791</v>
      </c>
      <c r="F2" s="5" t="s">
        <v>792</v>
      </c>
      <c r="G2" s="5" t="s">
        <v>793</v>
      </c>
      <c r="H2" s="5" t="s">
        <v>794</v>
      </c>
      <c r="I2" s="5" t="s">
        <v>795</v>
      </c>
      <c r="J2" s="5" t="s">
        <v>796</v>
      </c>
      <c r="K2" s="5" t="s">
        <v>797</v>
      </c>
      <c r="L2" s="5" t="s">
        <v>798</v>
      </c>
      <c r="M2" s="5" t="s">
        <v>799</v>
      </c>
      <c r="N2" s="5" t="s">
        <v>800</v>
      </c>
      <c r="O2" s="5" t="s">
        <v>801</v>
      </c>
      <c r="P2" s="5" t="s">
        <v>802</v>
      </c>
      <c r="Q2" s="5" t="s">
        <v>803</v>
      </c>
      <c r="R2" s="5" t="s">
        <v>804</v>
      </c>
      <c r="S2" s="5" t="s">
        <v>805</v>
      </c>
      <c r="T2" s="5" t="s">
        <v>806</v>
      </c>
      <c r="U2" s="5" t="s">
        <v>807</v>
      </c>
      <c r="V2" s="5" t="s">
        <v>808</v>
      </c>
      <c r="W2" s="5" t="s">
        <v>809</v>
      </c>
      <c r="X2" s="5" t="s">
        <v>810</v>
      </c>
      <c r="Y2" s="5" t="s">
        <v>811</v>
      </c>
      <c r="Z2" s="5" t="s">
        <v>812</v>
      </c>
      <c r="AA2" s="5" t="s">
        <v>813</v>
      </c>
      <c r="AB2" s="5" t="s">
        <v>814</v>
      </c>
      <c r="AC2" s="5" t="s">
        <v>815</v>
      </c>
      <c r="AD2" s="5" t="s">
        <v>816</v>
      </c>
      <c r="AE2" s="5" t="s">
        <v>817</v>
      </c>
      <c r="AF2" s="5" t="s">
        <v>818</v>
      </c>
      <c r="AG2" s="5" t="s">
        <v>819</v>
      </c>
      <c r="AH2" s="5" t="s">
        <v>820</v>
      </c>
      <c r="AI2" s="5" t="s">
        <v>821</v>
      </c>
      <c r="AJ2" s="5" t="s">
        <v>822</v>
      </c>
      <c r="AK2" s="5" t="s">
        <v>823</v>
      </c>
    </row>
    <row r="3" spans="1:37">
      <c r="A3" s="1" t="s">
        <v>169</v>
      </c>
      <c r="B3" s="1" t="s">
        <v>170</v>
      </c>
      <c r="C3" s="1" t="s">
        <v>824</v>
      </c>
      <c r="D3" s="1" t="s">
        <v>825</v>
      </c>
      <c r="E3" s="10">
        <v>23468000</v>
      </c>
      <c r="F3" s="10">
        <v>17989000</v>
      </c>
      <c r="G3" s="10">
        <v>33579000</v>
      </c>
      <c r="H3" s="10">
        <v>35081000</v>
      </c>
      <c r="I3" s="10">
        <v>37952000</v>
      </c>
      <c r="J3" s="10">
        <v>40165000</v>
      </c>
      <c r="K3" s="10">
        <v>43035000</v>
      </c>
      <c r="L3" s="10">
        <v>47282000</v>
      </c>
      <c r="M3" s="10">
        <v>50210000</v>
      </c>
      <c r="N3" s="10">
        <v>55894000</v>
      </c>
      <c r="O3" s="10">
        <v>56808000</v>
      </c>
      <c r="P3" s="10">
        <v>53014000</v>
      </c>
      <c r="Q3" s="10">
        <v>54438000</v>
      </c>
      <c r="R3" s="13">
        <v>58209000</v>
      </c>
      <c r="S3" s="13">
        <v>56915000</v>
      </c>
      <c r="T3" s="13">
        <v>58892000</v>
      </c>
      <c r="U3" s="13">
        <v>62236000</v>
      </c>
      <c r="V3" s="13">
        <v>63242000</v>
      </c>
      <c r="W3" s="13">
        <v>71559000</v>
      </c>
      <c r="X3" s="13">
        <v>82726000</v>
      </c>
      <c r="Y3" s="13">
        <v>83954000</v>
      </c>
      <c r="Z3" s="13">
        <v>89766000</v>
      </c>
      <c r="AA3" s="13">
        <v>86627000</v>
      </c>
      <c r="AB3" s="13">
        <v>86271000</v>
      </c>
      <c r="AC3" s="13">
        <v>88829000</v>
      </c>
      <c r="AD3" s="13">
        <v>95290000</v>
      </c>
      <c r="AE3" s="13">
        <v>94272000</v>
      </c>
      <c r="AF3" s="13">
        <v>93052000</v>
      </c>
      <c r="AG3" s="13">
        <v>105252000</v>
      </c>
      <c r="AH3" s="13">
        <v>110523000</v>
      </c>
      <c r="AI3" s="13">
        <v>113818000</v>
      </c>
      <c r="AJ3" s="13">
        <v>128488000</v>
      </c>
      <c r="AK3" s="13">
        <v>159506000</v>
      </c>
    </row>
    <row r="4" spans="1:37">
      <c r="A4" s="1" t="s">
        <v>169</v>
      </c>
      <c r="B4" s="1" t="s">
        <v>170</v>
      </c>
      <c r="C4" s="1" t="s">
        <v>824</v>
      </c>
      <c r="D4" s="1" t="s">
        <v>826</v>
      </c>
      <c r="E4" s="10">
        <v>0</v>
      </c>
      <c r="F4" s="10">
        <v>0</v>
      </c>
      <c r="G4" s="10">
        <v>1546000</v>
      </c>
      <c r="H4" s="10">
        <v>2304000</v>
      </c>
      <c r="I4" s="10">
        <v>2464000</v>
      </c>
      <c r="J4" s="10">
        <v>2602000</v>
      </c>
      <c r="K4" s="10">
        <v>2824000</v>
      </c>
      <c r="L4" s="10">
        <v>2917000</v>
      </c>
      <c r="M4" s="10">
        <v>3109000</v>
      </c>
      <c r="N4" s="10">
        <v>3360000</v>
      </c>
      <c r="O4" s="10">
        <v>2689000</v>
      </c>
      <c r="P4" s="10">
        <v>0</v>
      </c>
      <c r="Q4" s="10">
        <v>0</v>
      </c>
      <c r="R4" s="13"/>
      <c r="S4" s="13">
        <v>0</v>
      </c>
      <c r="T4" s="13">
        <v>0</v>
      </c>
      <c r="U4" s="13"/>
      <c r="V4" s="13" t="s">
        <v>827</v>
      </c>
      <c r="W4" s="13">
        <v>0</v>
      </c>
      <c r="X4" s="13">
        <v>0</v>
      </c>
      <c r="Y4" s="13">
        <v>0</v>
      </c>
      <c r="Z4" s="13">
        <v>0</v>
      </c>
      <c r="AA4" s="13">
        <v>0</v>
      </c>
      <c r="AB4" s="13">
        <v>0</v>
      </c>
      <c r="AC4" s="13">
        <v>0</v>
      </c>
      <c r="AD4" s="13">
        <v>0</v>
      </c>
      <c r="AE4" s="13">
        <v>0</v>
      </c>
      <c r="AF4" s="13">
        <v>0</v>
      </c>
      <c r="AG4" s="13">
        <v>0</v>
      </c>
      <c r="AH4" s="13">
        <v>0</v>
      </c>
      <c r="AI4" s="13">
        <v>0</v>
      </c>
      <c r="AJ4" s="13">
        <v>0</v>
      </c>
      <c r="AK4" s="13">
        <v>0</v>
      </c>
    </row>
    <row r="5" spans="1:37">
      <c r="A5" s="1" t="s">
        <v>169</v>
      </c>
      <c r="B5" s="1" t="s">
        <v>170</v>
      </c>
      <c r="C5" s="1" t="s">
        <v>824</v>
      </c>
      <c r="D5" s="1" t="s">
        <v>274</v>
      </c>
      <c r="E5" s="10" t="s">
        <v>174</v>
      </c>
      <c r="F5" s="10" t="s">
        <v>174</v>
      </c>
      <c r="G5" s="10" t="s">
        <v>174</v>
      </c>
      <c r="H5" s="10" t="s">
        <v>174</v>
      </c>
      <c r="I5" s="10" t="s">
        <v>174</v>
      </c>
      <c r="J5" s="10" t="s">
        <v>174</v>
      </c>
      <c r="K5" s="10" t="s">
        <v>174</v>
      </c>
      <c r="L5" s="10" t="s">
        <v>174</v>
      </c>
      <c r="M5" s="10" t="s">
        <v>174</v>
      </c>
      <c r="N5" s="10" t="s">
        <v>174</v>
      </c>
      <c r="O5" s="10" t="s">
        <v>174</v>
      </c>
      <c r="P5" s="10">
        <v>230000</v>
      </c>
      <c r="Q5" s="10">
        <v>398000</v>
      </c>
      <c r="R5" s="13">
        <v>1110000</v>
      </c>
      <c r="S5" s="13">
        <v>2726000</v>
      </c>
      <c r="T5" s="13">
        <v>1509000</v>
      </c>
      <c r="U5" s="13">
        <v>1680000</v>
      </c>
      <c r="V5" s="13">
        <v>1945000</v>
      </c>
      <c r="W5" s="13">
        <v>2241000</v>
      </c>
      <c r="X5" s="13">
        <v>2305000</v>
      </c>
      <c r="Y5" s="13">
        <v>2371000</v>
      </c>
      <c r="Z5" s="13">
        <v>2685000</v>
      </c>
      <c r="AA5" s="13">
        <v>3668000</v>
      </c>
      <c r="AB5" s="13">
        <v>2390000</v>
      </c>
      <c r="AC5" s="13">
        <v>1701000</v>
      </c>
      <c r="AD5" s="13">
        <v>1714000</v>
      </c>
      <c r="AE5" s="13">
        <v>2437000</v>
      </c>
      <c r="AF5" s="13">
        <v>2636000</v>
      </c>
      <c r="AG5" s="13">
        <v>4646000</v>
      </c>
      <c r="AH5" s="13">
        <v>3678000</v>
      </c>
      <c r="AI5" s="13">
        <v>4784000</v>
      </c>
      <c r="AJ5" s="13">
        <v>5573000</v>
      </c>
      <c r="AK5" s="13">
        <v>4967000</v>
      </c>
    </row>
    <row r="6" spans="1:37">
      <c r="A6" s="1" t="s">
        <v>169</v>
      </c>
      <c r="B6" s="1" t="s">
        <v>170</v>
      </c>
      <c r="C6" s="1" t="s">
        <v>824</v>
      </c>
      <c r="D6" s="1" t="s">
        <v>828</v>
      </c>
      <c r="E6" s="10" t="s">
        <v>174</v>
      </c>
      <c r="F6" s="10" t="s">
        <v>174</v>
      </c>
      <c r="G6" s="10" t="s">
        <v>174</v>
      </c>
      <c r="H6" s="10" t="s">
        <v>174</v>
      </c>
      <c r="I6" s="10" t="s">
        <v>174</v>
      </c>
      <c r="J6" s="10" t="s">
        <v>174</v>
      </c>
      <c r="K6" s="10" t="s">
        <v>174</v>
      </c>
      <c r="L6" s="10" t="s">
        <v>174</v>
      </c>
      <c r="M6" s="10" t="s">
        <v>174</v>
      </c>
      <c r="N6" s="10" t="s">
        <v>174</v>
      </c>
      <c r="O6" s="10" t="s">
        <v>174</v>
      </c>
      <c r="P6" s="10" t="s">
        <v>174</v>
      </c>
      <c r="Q6" s="10" t="s">
        <v>174</v>
      </c>
      <c r="R6" s="10" t="s">
        <v>174</v>
      </c>
      <c r="S6" s="10" t="s">
        <v>174</v>
      </c>
      <c r="T6" s="10" t="s">
        <v>174</v>
      </c>
      <c r="U6" s="10" t="s">
        <v>174</v>
      </c>
      <c r="V6" s="10" t="s">
        <v>174</v>
      </c>
      <c r="W6" s="10" t="s">
        <v>174</v>
      </c>
      <c r="X6" s="10" t="s">
        <v>174</v>
      </c>
      <c r="Y6" s="10">
        <v>33968000</v>
      </c>
      <c r="Z6" s="10">
        <v>37381000</v>
      </c>
      <c r="AA6" s="10">
        <v>39439000</v>
      </c>
      <c r="AB6" s="10">
        <v>45514000</v>
      </c>
      <c r="AC6" s="13">
        <v>49223000</v>
      </c>
      <c r="AD6" s="13">
        <v>43548000</v>
      </c>
      <c r="AE6" s="13">
        <v>47429000</v>
      </c>
      <c r="AF6" s="13">
        <v>46969000</v>
      </c>
      <c r="AG6" s="13">
        <v>54357000</v>
      </c>
      <c r="AH6" s="13">
        <v>59963000</v>
      </c>
      <c r="AI6" s="13">
        <v>62125000</v>
      </c>
      <c r="AJ6" s="13">
        <v>68935000</v>
      </c>
      <c r="AK6" s="13">
        <v>67261000</v>
      </c>
    </row>
    <row r="7" spans="1:37">
      <c r="A7" s="1" t="s">
        <v>169</v>
      </c>
      <c r="B7" s="1" t="s">
        <v>170</v>
      </c>
      <c r="C7" s="1" t="s">
        <v>824</v>
      </c>
      <c r="E7" s="10" t="s">
        <v>174</v>
      </c>
      <c r="F7" s="10" t="s">
        <v>174</v>
      </c>
      <c r="G7" s="10" t="s">
        <v>174</v>
      </c>
      <c r="H7" s="10" t="s">
        <v>174</v>
      </c>
      <c r="I7" s="10" t="s">
        <v>174</v>
      </c>
      <c r="J7" s="10" t="s">
        <v>174</v>
      </c>
      <c r="K7" s="10" t="s">
        <v>174</v>
      </c>
      <c r="L7" s="10" t="s">
        <v>174</v>
      </c>
      <c r="M7" s="10" t="s">
        <v>174</v>
      </c>
      <c r="N7" s="10" t="s">
        <v>174</v>
      </c>
      <c r="O7" s="10" t="s">
        <v>174</v>
      </c>
      <c r="P7" s="10" t="s">
        <v>174</v>
      </c>
      <c r="Q7" s="10" t="s">
        <v>174</v>
      </c>
      <c r="R7" s="10" t="s">
        <v>174</v>
      </c>
      <c r="S7" s="10" t="s">
        <v>174</v>
      </c>
      <c r="T7" s="10" t="s">
        <v>174</v>
      </c>
      <c r="U7" s="10" t="s">
        <v>174</v>
      </c>
      <c r="V7" s="10" t="s">
        <v>174</v>
      </c>
      <c r="W7" s="10" t="s">
        <v>174</v>
      </c>
      <c r="X7" s="10" t="s">
        <v>174</v>
      </c>
      <c r="Y7" s="10" t="s">
        <v>174</v>
      </c>
      <c r="Z7" s="10" t="s">
        <v>174</v>
      </c>
      <c r="AA7" s="10" t="s">
        <v>174</v>
      </c>
      <c r="AB7" s="10" t="s">
        <v>174</v>
      </c>
      <c r="AC7" s="10" t="s">
        <v>174</v>
      </c>
      <c r="AD7" s="10" t="s">
        <v>174</v>
      </c>
      <c r="AE7" s="10" t="s">
        <v>174</v>
      </c>
      <c r="AF7" s="10" t="s">
        <v>174</v>
      </c>
      <c r="AG7" s="10" t="s">
        <v>174</v>
      </c>
      <c r="AH7" s="10" t="s">
        <v>174</v>
      </c>
      <c r="AI7" s="10" t="s">
        <v>174</v>
      </c>
      <c r="AJ7" s="10" t="s">
        <v>174</v>
      </c>
      <c r="AK7" s="10" t="s">
        <v>174</v>
      </c>
    </row>
    <row r="8" spans="1:37">
      <c r="A8" s="1" t="s">
        <v>169</v>
      </c>
      <c r="B8" s="1" t="s">
        <v>170</v>
      </c>
      <c r="C8" s="1" t="s">
        <v>824</v>
      </c>
      <c r="E8" s="10" t="s">
        <v>174</v>
      </c>
      <c r="F8" s="10" t="s">
        <v>174</v>
      </c>
      <c r="G8" s="10" t="s">
        <v>174</v>
      </c>
      <c r="H8" s="10" t="s">
        <v>174</v>
      </c>
      <c r="I8" s="10" t="s">
        <v>174</v>
      </c>
      <c r="J8" s="10" t="s">
        <v>174</v>
      </c>
      <c r="K8" s="10" t="s">
        <v>174</v>
      </c>
      <c r="L8" s="10" t="s">
        <v>174</v>
      </c>
      <c r="M8" s="10" t="s">
        <v>174</v>
      </c>
      <c r="N8" s="10" t="s">
        <v>174</v>
      </c>
      <c r="O8" s="10" t="s">
        <v>174</v>
      </c>
      <c r="P8" s="10" t="s">
        <v>174</v>
      </c>
      <c r="Q8" s="10" t="s">
        <v>174</v>
      </c>
      <c r="R8" s="10" t="s">
        <v>174</v>
      </c>
      <c r="S8" s="10" t="s">
        <v>174</v>
      </c>
      <c r="T8" s="10" t="s">
        <v>174</v>
      </c>
      <c r="U8" s="10" t="s">
        <v>174</v>
      </c>
      <c r="V8" s="10" t="s">
        <v>174</v>
      </c>
      <c r="W8" s="10" t="s">
        <v>174</v>
      </c>
      <c r="X8" s="10" t="s">
        <v>174</v>
      </c>
      <c r="Y8" s="10" t="s">
        <v>174</v>
      </c>
      <c r="Z8" s="10" t="s">
        <v>174</v>
      </c>
      <c r="AA8" s="10" t="s">
        <v>174</v>
      </c>
      <c r="AB8" s="10" t="s">
        <v>174</v>
      </c>
      <c r="AC8" s="10" t="s">
        <v>174</v>
      </c>
      <c r="AD8" s="10" t="s">
        <v>174</v>
      </c>
      <c r="AE8" s="10" t="s">
        <v>174</v>
      </c>
      <c r="AF8" s="10" t="s">
        <v>174</v>
      </c>
      <c r="AG8" s="10" t="s">
        <v>174</v>
      </c>
      <c r="AH8" s="10" t="s">
        <v>174</v>
      </c>
      <c r="AI8" s="10" t="s">
        <v>174</v>
      </c>
      <c r="AJ8" s="10" t="s">
        <v>174</v>
      </c>
      <c r="AK8" s="10" t="s">
        <v>174</v>
      </c>
    </row>
    <row r="9" spans="1:37">
      <c r="A9" s="1" t="s">
        <v>169</v>
      </c>
      <c r="B9" s="1" t="s">
        <v>170</v>
      </c>
      <c r="C9" s="1" t="s">
        <v>824</v>
      </c>
      <c r="E9" s="10" t="s">
        <v>174</v>
      </c>
      <c r="F9" s="10" t="s">
        <v>174</v>
      </c>
      <c r="G9" s="10" t="s">
        <v>174</v>
      </c>
      <c r="H9" s="10" t="s">
        <v>174</v>
      </c>
      <c r="I9" s="10" t="s">
        <v>174</v>
      </c>
      <c r="J9" s="10" t="s">
        <v>174</v>
      </c>
      <c r="K9" s="10" t="s">
        <v>174</v>
      </c>
      <c r="L9" s="10" t="s">
        <v>174</v>
      </c>
      <c r="M9" s="10" t="s">
        <v>174</v>
      </c>
      <c r="N9" s="10" t="s">
        <v>174</v>
      </c>
      <c r="O9" s="10" t="s">
        <v>174</v>
      </c>
      <c r="P9" s="10" t="s">
        <v>174</v>
      </c>
      <c r="Q9" s="10" t="s">
        <v>174</v>
      </c>
      <c r="R9" s="10" t="s">
        <v>174</v>
      </c>
      <c r="S9" s="10" t="s">
        <v>174</v>
      </c>
      <c r="T9" s="10" t="s">
        <v>174</v>
      </c>
      <c r="U9" s="10" t="s">
        <v>174</v>
      </c>
      <c r="V9" s="10" t="s">
        <v>174</v>
      </c>
      <c r="W9" s="10" t="s">
        <v>174</v>
      </c>
      <c r="X9" s="10" t="s">
        <v>174</v>
      </c>
      <c r="Y9" s="10" t="s">
        <v>174</v>
      </c>
      <c r="Z9" s="10" t="s">
        <v>174</v>
      </c>
      <c r="AA9" s="10" t="s">
        <v>174</v>
      </c>
      <c r="AB9" s="10" t="s">
        <v>174</v>
      </c>
      <c r="AC9" s="10" t="s">
        <v>174</v>
      </c>
      <c r="AD9" s="10" t="s">
        <v>174</v>
      </c>
      <c r="AE9" s="10" t="s">
        <v>174</v>
      </c>
      <c r="AF9" s="10" t="s">
        <v>174</v>
      </c>
      <c r="AG9" s="10" t="s">
        <v>174</v>
      </c>
      <c r="AH9" s="10" t="s">
        <v>174</v>
      </c>
      <c r="AI9" s="10" t="s">
        <v>174</v>
      </c>
      <c r="AJ9" s="10" t="s">
        <v>174</v>
      </c>
      <c r="AK9" s="10" t="s">
        <v>174</v>
      </c>
    </row>
    <row r="10" spans="1:37">
      <c r="A10" s="1" t="s">
        <v>169</v>
      </c>
      <c r="B10" s="1" t="s">
        <v>170</v>
      </c>
      <c r="C10" s="7" t="s">
        <v>824</v>
      </c>
      <c r="D10" s="7" t="s">
        <v>829</v>
      </c>
      <c r="E10" s="15">
        <f>SUM(E3:E9)</f>
        <v>23468000</v>
      </c>
      <c r="F10" s="15">
        <f>SUM(F3:F9)</f>
        <v>17989000</v>
      </c>
      <c r="G10" s="15">
        <f>SUM(G3:G9)</f>
        <v>35125000</v>
      </c>
      <c r="H10" s="15">
        <f>SUM(H3:H9)</f>
        <v>37385000</v>
      </c>
      <c r="I10" s="15">
        <f>SUM(I3:I9)</f>
        <v>40416000</v>
      </c>
      <c r="J10" s="15">
        <f>SUM(J3:J9)</f>
        <v>42767000</v>
      </c>
      <c r="K10" s="15">
        <f>SUM(K3:K9)</f>
        <v>45859000</v>
      </c>
      <c r="L10" s="15">
        <f>SUM(L3:L9)</f>
        <v>50199000</v>
      </c>
      <c r="M10" s="15">
        <f>SUM(M3:M9)</f>
        <v>53319000</v>
      </c>
      <c r="N10" s="15">
        <f>SUM(N3:N9)</f>
        <v>59254000</v>
      </c>
      <c r="O10" s="15">
        <f>SUM(O3:O9)</f>
        <v>59497000</v>
      </c>
      <c r="P10" s="15">
        <f>SUM(P3:P9)</f>
        <v>53244000</v>
      </c>
      <c r="Q10" s="15">
        <f>SUM(Q3:Q9)</f>
        <v>54836000</v>
      </c>
      <c r="R10" s="15">
        <f>SUM(R3:R9)</f>
        <v>59319000</v>
      </c>
      <c r="S10" s="15">
        <f>SUM(S3:S9)</f>
        <v>59641000</v>
      </c>
      <c r="T10" s="15">
        <f>SUM(T3:T9)</f>
        <v>60401000</v>
      </c>
      <c r="U10" s="15">
        <f>SUM(U3:U9)</f>
        <v>63916000</v>
      </c>
      <c r="V10" s="15">
        <f>SUM(V3:V9)</f>
        <v>65187000</v>
      </c>
      <c r="W10" s="15">
        <f>SUM(W3:W9)</f>
        <v>73800000</v>
      </c>
      <c r="X10" s="15">
        <f>SUM(X3:X9)</f>
        <v>85031000</v>
      </c>
      <c r="Y10" s="15">
        <f>SUM(Y3:Y9)</f>
        <v>120293000</v>
      </c>
      <c r="Z10" s="15">
        <f>SUM(Z3:Z9)</f>
        <v>129832000</v>
      </c>
      <c r="AA10" s="15">
        <f>SUM(AA3:AA9)</f>
        <v>129734000</v>
      </c>
      <c r="AB10" s="15">
        <f>SUM(AB3:AB9)</f>
        <v>134175000</v>
      </c>
      <c r="AC10" s="15">
        <f>SUM(AC3:AC9)</f>
        <v>139753000</v>
      </c>
      <c r="AD10" s="15">
        <f>SUM(AD3:AD9)</f>
        <v>140552000</v>
      </c>
      <c r="AE10" s="15">
        <f>SUM(AE3:AE9)</f>
        <v>144138000</v>
      </c>
      <c r="AF10" s="15">
        <f>SUM(AF3:AF9)</f>
        <v>142657000</v>
      </c>
      <c r="AG10" s="15">
        <f>SUM(AG3:AG9)</f>
        <v>164255000</v>
      </c>
      <c r="AH10" s="15">
        <f>SUM(AH3:AH9)</f>
        <v>174164000</v>
      </c>
      <c r="AI10" s="15">
        <f>SUM(AI3:AI9)</f>
        <v>180727000</v>
      </c>
      <c r="AJ10" s="15">
        <f>SUM(AJ3:AJ9)</f>
        <v>202996000</v>
      </c>
      <c r="AK10" s="15">
        <f>SUM(AK3:AK9)</f>
        <v>231734000</v>
      </c>
    </row>
    <row r="11" spans="1:37">
      <c r="A11" s="1" t="s">
        <v>169</v>
      </c>
      <c r="B11" s="1" t="s">
        <v>170</v>
      </c>
      <c r="C11" s="1" t="s">
        <v>830</v>
      </c>
      <c r="D11" s="1" t="s">
        <v>831</v>
      </c>
      <c r="E11" s="13">
        <v>23445000</v>
      </c>
      <c r="F11" s="13">
        <v>25273000</v>
      </c>
      <c r="G11" s="13">
        <v>28703000</v>
      </c>
      <c r="H11" s="13">
        <v>28266000</v>
      </c>
      <c r="I11" s="10" t="s">
        <v>174</v>
      </c>
      <c r="J11" s="10" t="s">
        <v>174</v>
      </c>
      <c r="K11" s="10" t="s">
        <v>174</v>
      </c>
      <c r="L11" s="10" t="s">
        <v>174</v>
      </c>
      <c r="M11" s="10" t="s">
        <v>174</v>
      </c>
      <c r="N11" s="13" t="s">
        <v>174</v>
      </c>
      <c r="O11" s="13" t="s">
        <v>174</v>
      </c>
      <c r="P11" s="10" t="s">
        <v>174</v>
      </c>
      <c r="Q11" s="10" t="s">
        <v>174</v>
      </c>
      <c r="R11" s="10" t="s">
        <v>174</v>
      </c>
      <c r="S11" s="10" t="s">
        <v>174</v>
      </c>
      <c r="T11" s="10" t="s">
        <v>174</v>
      </c>
      <c r="U11" s="13" t="s">
        <v>174</v>
      </c>
      <c r="V11" s="13" t="s">
        <v>174</v>
      </c>
      <c r="W11" s="13" t="s">
        <v>174</v>
      </c>
      <c r="X11" s="13" t="s">
        <v>174</v>
      </c>
      <c r="Y11" s="13" t="s">
        <v>174</v>
      </c>
      <c r="Z11" s="13" t="s">
        <v>174</v>
      </c>
      <c r="AA11" s="13" t="s">
        <v>174</v>
      </c>
      <c r="AB11" s="13" t="s">
        <v>174</v>
      </c>
      <c r="AC11" s="13" t="s">
        <v>174</v>
      </c>
      <c r="AD11" s="13" t="s">
        <v>174</v>
      </c>
      <c r="AE11" s="13" t="s">
        <v>174</v>
      </c>
      <c r="AF11" s="13" t="s">
        <v>174</v>
      </c>
      <c r="AG11" s="13" t="s">
        <v>174</v>
      </c>
      <c r="AH11" s="13" t="s">
        <v>174</v>
      </c>
      <c r="AI11" s="13" t="s">
        <v>174</v>
      </c>
      <c r="AJ11" s="13" t="s">
        <v>174</v>
      </c>
      <c r="AK11" s="13" t="s">
        <v>174</v>
      </c>
    </row>
    <row r="12" spans="1:37">
      <c r="A12" s="1" t="s">
        <v>169</v>
      </c>
      <c r="B12" s="1" t="s">
        <v>170</v>
      </c>
      <c r="C12" s="1" t="s">
        <v>830</v>
      </c>
      <c r="D12" s="1" t="s">
        <v>832</v>
      </c>
      <c r="E12" s="10" t="s">
        <v>174</v>
      </c>
      <c r="F12" s="10" t="s">
        <v>174</v>
      </c>
      <c r="G12" s="10" t="s">
        <v>174</v>
      </c>
      <c r="H12" s="10" t="s">
        <v>174</v>
      </c>
      <c r="I12" s="10">
        <v>15101000</v>
      </c>
      <c r="J12" s="10">
        <v>14630000</v>
      </c>
      <c r="K12" s="10">
        <v>15015000</v>
      </c>
      <c r="L12" s="10">
        <v>15885000</v>
      </c>
      <c r="M12" s="13">
        <v>14936000</v>
      </c>
      <c r="N12" s="13">
        <v>16781000</v>
      </c>
      <c r="O12" s="13">
        <v>15641000</v>
      </c>
      <c r="P12" s="13">
        <v>15550000</v>
      </c>
      <c r="Q12" s="13">
        <v>15859000</v>
      </c>
      <c r="R12" s="13">
        <v>16615000</v>
      </c>
      <c r="S12" s="13">
        <v>21494000</v>
      </c>
      <c r="T12" s="13">
        <v>27364000</v>
      </c>
      <c r="U12" s="13">
        <v>26367000</v>
      </c>
      <c r="V12" s="13">
        <v>30011000</v>
      </c>
      <c r="W12" s="13">
        <v>29607000</v>
      </c>
      <c r="X12" s="13">
        <v>31160000</v>
      </c>
      <c r="Y12" s="13">
        <v>33935000</v>
      </c>
      <c r="Z12" s="13">
        <v>35328000</v>
      </c>
      <c r="AA12" s="13">
        <v>38346000</v>
      </c>
      <c r="AB12" s="13">
        <v>38770000</v>
      </c>
      <c r="AC12" s="13">
        <v>36393000</v>
      </c>
      <c r="AD12" s="13">
        <v>37976000</v>
      </c>
      <c r="AE12" s="13">
        <v>37490000</v>
      </c>
      <c r="AF12" s="13">
        <v>40667000</v>
      </c>
      <c r="AG12" s="13">
        <v>48647000</v>
      </c>
      <c r="AH12" s="13">
        <v>48009000</v>
      </c>
      <c r="AI12" s="13">
        <v>60687000</v>
      </c>
      <c r="AJ12" s="13">
        <v>71156000</v>
      </c>
      <c r="AK12" s="13">
        <v>72633000</v>
      </c>
    </row>
    <row r="13" spans="1:37">
      <c r="A13" s="1" t="s">
        <v>169</v>
      </c>
      <c r="B13" s="1" t="s">
        <v>170</v>
      </c>
      <c r="C13" s="1" t="s">
        <v>830</v>
      </c>
      <c r="D13" s="1" t="s">
        <v>833</v>
      </c>
      <c r="E13" s="10" t="s">
        <v>174</v>
      </c>
      <c r="F13" s="10" t="s">
        <v>174</v>
      </c>
      <c r="G13" s="10" t="s">
        <v>174</v>
      </c>
      <c r="H13" s="10" t="s">
        <v>174</v>
      </c>
      <c r="I13" s="10">
        <v>2768000</v>
      </c>
      <c r="J13" s="10">
        <v>4251000</v>
      </c>
      <c r="K13" s="10">
        <v>4272000</v>
      </c>
      <c r="L13" s="10">
        <v>4046000</v>
      </c>
      <c r="M13" s="13">
        <v>3651000</v>
      </c>
      <c r="N13" s="13">
        <v>4867000</v>
      </c>
      <c r="O13" s="13">
        <v>4830000</v>
      </c>
      <c r="P13" s="13">
        <v>2162000</v>
      </c>
      <c r="Q13" s="13">
        <v>1491000</v>
      </c>
      <c r="R13" s="13">
        <v>1491000</v>
      </c>
      <c r="S13" s="13">
        <v>0</v>
      </c>
      <c r="T13" s="13">
        <v>2300000</v>
      </c>
      <c r="U13" s="13">
        <v>2300000</v>
      </c>
      <c r="V13" s="13">
        <v>0</v>
      </c>
      <c r="W13" s="13">
        <v>0</v>
      </c>
      <c r="X13" s="13">
        <v>0</v>
      </c>
      <c r="Y13" s="13" t="s">
        <v>174</v>
      </c>
      <c r="Z13" s="13" t="s">
        <v>174</v>
      </c>
      <c r="AA13" s="13" t="s">
        <v>174</v>
      </c>
      <c r="AB13" s="13" t="s">
        <v>174</v>
      </c>
      <c r="AC13" s="13" t="s">
        <v>174</v>
      </c>
      <c r="AD13" s="13" t="s">
        <v>174</v>
      </c>
      <c r="AE13" s="13" t="s">
        <v>174</v>
      </c>
      <c r="AF13" s="13" t="s">
        <v>174</v>
      </c>
      <c r="AG13" s="13" t="s">
        <v>174</v>
      </c>
      <c r="AH13" s="13" t="s">
        <v>174</v>
      </c>
      <c r="AI13" s="13" t="s">
        <v>174</v>
      </c>
      <c r="AJ13" s="13" t="s">
        <v>174</v>
      </c>
      <c r="AK13" s="13" t="s">
        <v>174</v>
      </c>
    </row>
    <row r="14" spans="1:37">
      <c r="A14" s="1" t="s">
        <v>169</v>
      </c>
      <c r="B14" s="1" t="s">
        <v>170</v>
      </c>
      <c r="C14" s="1" t="s">
        <v>830</v>
      </c>
      <c r="D14" s="1" t="s">
        <v>834</v>
      </c>
      <c r="E14" s="10" t="s">
        <v>174</v>
      </c>
      <c r="F14" s="10" t="s">
        <v>174</v>
      </c>
      <c r="G14" s="10" t="s">
        <v>174</v>
      </c>
      <c r="H14" s="10" t="s">
        <v>174</v>
      </c>
      <c r="I14" s="10">
        <v>5030000</v>
      </c>
      <c r="J14" s="10">
        <v>4544000</v>
      </c>
      <c r="K14" s="10">
        <v>4827000</v>
      </c>
      <c r="L14" s="10">
        <v>5788000</v>
      </c>
      <c r="M14" s="13">
        <v>5098000</v>
      </c>
      <c r="N14" s="13">
        <v>2856000</v>
      </c>
      <c r="O14" s="13">
        <v>4632000</v>
      </c>
      <c r="P14" s="10" t="s">
        <v>174</v>
      </c>
      <c r="Q14" s="10" t="s">
        <v>174</v>
      </c>
      <c r="R14" s="10" t="s">
        <v>174</v>
      </c>
      <c r="S14" s="10" t="s">
        <v>174</v>
      </c>
      <c r="T14" s="10" t="s">
        <v>174</v>
      </c>
      <c r="U14" s="13" t="s">
        <v>174</v>
      </c>
      <c r="V14" s="13" t="s">
        <v>174</v>
      </c>
      <c r="W14" s="13" t="s">
        <v>174</v>
      </c>
      <c r="X14" s="13" t="s">
        <v>174</v>
      </c>
      <c r="Y14" s="13" t="s">
        <v>174</v>
      </c>
      <c r="Z14" s="13" t="s">
        <v>174</v>
      </c>
      <c r="AA14" s="13" t="s">
        <v>174</v>
      </c>
      <c r="AB14" s="13" t="s">
        <v>174</v>
      </c>
      <c r="AC14" s="13" t="s">
        <v>174</v>
      </c>
      <c r="AD14" s="13" t="s">
        <v>174</v>
      </c>
      <c r="AE14" s="13" t="s">
        <v>174</v>
      </c>
      <c r="AF14" s="13" t="s">
        <v>174</v>
      </c>
      <c r="AG14" s="13" t="s">
        <v>174</v>
      </c>
      <c r="AH14" s="13" t="s">
        <v>174</v>
      </c>
      <c r="AI14" s="13" t="s">
        <v>174</v>
      </c>
      <c r="AJ14" s="13" t="s">
        <v>174</v>
      </c>
      <c r="AK14" s="13" t="s">
        <v>174</v>
      </c>
    </row>
    <row r="15" spans="1:37">
      <c r="A15" s="1" t="s">
        <v>169</v>
      </c>
      <c r="B15" s="1" t="s">
        <v>170</v>
      </c>
      <c r="C15" s="1" t="s">
        <v>830</v>
      </c>
      <c r="D15" s="1" t="s">
        <v>835</v>
      </c>
      <c r="E15" s="10" t="s">
        <v>174</v>
      </c>
      <c r="F15" s="10" t="s">
        <v>174</v>
      </c>
      <c r="G15" s="10" t="s">
        <v>174</v>
      </c>
      <c r="H15" s="10" t="s">
        <v>174</v>
      </c>
      <c r="I15" s="10" t="s">
        <v>174</v>
      </c>
      <c r="J15" s="10" t="s">
        <v>174</v>
      </c>
      <c r="K15" s="10" t="s">
        <v>174</v>
      </c>
      <c r="L15" s="10" t="s">
        <v>174</v>
      </c>
      <c r="M15" s="10" t="s">
        <v>174</v>
      </c>
      <c r="N15" s="10" t="s">
        <v>174</v>
      </c>
      <c r="O15" s="10" t="s">
        <v>174</v>
      </c>
      <c r="P15" s="13">
        <v>1841000</v>
      </c>
      <c r="Q15" s="13">
        <v>1509000</v>
      </c>
      <c r="R15" s="13">
        <v>1509000</v>
      </c>
      <c r="S15" s="13">
        <v>3000000</v>
      </c>
      <c r="T15" s="13">
        <v>3000000</v>
      </c>
      <c r="U15" s="13">
        <v>3000000</v>
      </c>
      <c r="V15" s="13">
        <v>3000000</v>
      </c>
      <c r="W15" s="13">
        <v>3000000</v>
      </c>
      <c r="X15" s="13">
        <v>3000000</v>
      </c>
      <c r="Y15" s="13">
        <v>3000000</v>
      </c>
      <c r="Z15" s="13">
        <v>4415000</v>
      </c>
      <c r="AA15" s="13">
        <v>4415000</v>
      </c>
      <c r="AB15" s="13">
        <v>4500000</v>
      </c>
      <c r="AC15" s="13">
        <v>4500000</v>
      </c>
      <c r="AD15" s="13">
        <v>4400000</v>
      </c>
      <c r="AE15" s="13">
        <v>3192000</v>
      </c>
      <c r="AF15" s="13">
        <v>3000000</v>
      </c>
      <c r="AG15" s="13">
        <v>3000000</v>
      </c>
      <c r="AH15" s="13">
        <v>3000000</v>
      </c>
      <c r="AI15" s="13">
        <v>2846000</v>
      </c>
      <c r="AJ15" s="13">
        <v>2250000</v>
      </c>
      <c r="AK15" s="13">
        <v>2060000</v>
      </c>
    </row>
    <row r="16" spans="1:37">
      <c r="A16" s="1" t="s">
        <v>169</v>
      </c>
      <c r="B16" s="1" t="s">
        <v>170</v>
      </c>
      <c r="C16" s="1" t="s">
        <v>830</v>
      </c>
      <c r="D16" s="1" t="s">
        <v>836</v>
      </c>
      <c r="E16" s="10" t="s">
        <v>174</v>
      </c>
      <c r="F16" s="10" t="s">
        <v>174</v>
      </c>
      <c r="G16" s="10" t="s">
        <v>174</v>
      </c>
      <c r="H16" s="10" t="s">
        <v>174</v>
      </c>
      <c r="I16" s="10" t="s">
        <v>174</v>
      </c>
      <c r="J16" s="10" t="s">
        <v>174</v>
      </c>
      <c r="K16" s="10" t="s">
        <v>174</v>
      </c>
      <c r="L16" s="10" t="s">
        <v>174</v>
      </c>
      <c r="M16" s="10" t="s">
        <v>174</v>
      </c>
      <c r="N16" s="10" t="s">
        <v>174</v>
      </c>
      <c r="O16" s="10" t="s">
        <v>174</v>
      </c>
      <c r="P16" s="13">
        <v>2195000</v>
      </c>
      <c r="Q16" s="13">
        <v>1850000</v>
      </c>
      <c r="R16" s="13">
        <v>4150000</v>
      </c>
      <c r="S16" s="13">
        <v>4150000</v>
      </c>
      <c r="T16" s="13">
        <v>1850000</v>
      </c>
      <c r="U16" s="13">
        <v>1850000</v>
      </c>
      <c r="V16" s="13">
        <v>4150000</v>
      </c>
      <c r="W16" s="13">
        <v>4150000</v>
      </c>
      <c r="X16" s="13">
        <v>4150000</v>
      </c>
      <c r="Y16" s="13">
        <v>4150000</v>
      </c>
      <c r="Z16" s="13">
        <v>5235000</v>
      </c>
      <c r="AA16" s="13">
        <v>5235000</v>
      </c>
      <c r="AB16" s="13">
        <v>4131000</v>
      </c>
      <c r="AC16" s="13">
        <v>4150000</v>
      </c>
      <c r="AD16" s="13">
        <v>4750000</v>
      </c>
      <c r="AE16" s="13">
        <v>3958000</v>
      </c>
      <c r="AF16" s="13">
        <v>4150000</v>
      </c>
      <c r="AG16" s="13">
        <v>4150000</v>
      </c>
      <c r="AH16" s="13">
        <v>4150000</v>
      </c>
      <c r="AI16" s="13">
        <v>4304000</v>
      </c>
      <c r="AJ16" s="13">
        <v>3113000</v>
      </c>
      <c r="AK16" s="13">
        <v>2851000</v>
      </c>
    </row>
    <row r="17" spans="1:37">
      <c r="A17" s="1" t="s">
        <v>169</v>
      </c>
      <c r="B17" s="1" t="s">
        <v>170</v>
      </c>
      <c r="C17" s="1" t="s">
        <v>830</v>
      </c>
      <c r="D17" s="1" t="s">
        <v>837</v>
      </c>
      <c r="E17" s="10" t="s">
        <v>174</v>
      </c>
      <c r="F17" s="10" t="s">
        <v>174</v>
      </c>
      <c r="G17" s="10" t="s">
        <v>174</v>
      </c>
      <c r="H17" s="10" t="s">
        <v>174</v>
      </c>
      <c r="I17" s="10" t="s">
        <v>174</v>
      </c>
      <c r="J17" s="10" t="s">
        <v>174</v>
      </c>
      <c r="K17" s="10" t="s">
        <v>174</v>
      </c>
      <c r="L17" s="10" t="s">
        <v>174</v>
      </c>
      <c r="M17" s="10" t="s">
        <v>174</v>
      </c>
      <c r="N17" s="10" t="s">
        <v>174</v>
      </c>
      <c r="O17" s="10" t="s">
        <v>174</v>
      </c>
      <c r="P17" s="13">
        <v>1782000</v>
      </c>
      <c r="Q17" s="13">
        <v>2138000</v>
      </c>
      <c r="R17" s="13">
        <v>1893000</v>
      </c>
      <c r="S17" s="13">
        <v>0</v>
      </c>
      <c r="T17" s="13">
        <v>0</v>
      </c>
      <c r="U17" s="13">
        <v>0</v>
      </c>
      <c r="V17" s="13">
        <v>0</v>
      </c>
      <c r="W17" s="13">
        <v>0</v>
      </c>
      <c r="X17" s="13">
        <v>0</v>
      </c>
      <c r="Y17" s="13">
        <v>0</v>
      </c>
      <c r="Z17" s="13">
        <v>0</v>
      </c>
      <c r="AA17" s="13">
        <v>0</v>
      </c>
      <c r="AB17" s="13">
        <v>0</v>
      </c>
      <c r="AC17" s="13">
        <v>0</v>
      </c>
      <c r="AD17" s="13">
        <v>0</v>
      </c>
      <c r="AE17" s="13">
        <v>0</v>
      </c>
      <c r="AF17" s="13">
        <v>0</v>
      </c>
      <c r="AG17" s="13">
        <v>0</v>
      </c>
      <c r="AH17" s="13">
        <v>0</v>
      </c>
      <c r="AI17" s="13">
        <v>0</v>
      </c>
      <c r="AJ17" s="13">
        <v>0</v>
      </c>
      <c r="AK17" s="13">
        <v>0</v>
      </c>
    </row>
    <row r="18" spans="1:37">
      <c r="A18" s="1" t="s">
        <v>169</v>
      </c>
      <c r="B18" s="1" t="s">
        <v>170</v>
      </c>
      <c r="C18" s="1" t="s">
        <v>830</v>
      </c>
      <c r="D18" s="1" t="s">
        <v>838</v>
      </c>
      <c r="E18" s="10" t="s">
        <v>174</v>
      </c>
      <c r="F18" s="10" t="s">
        <v>174</v>
      </c>
      <c r="G18" s="10" t="s">
        <v>174</v>
      </c>
      <c r="H18" s="10" t="s">
        <v>174</v>
      </c>
      <c r="I18" s="10">
        <v>14350000</v>
      </c>
      <c r="J18" s="10">
        <v>0</v>
      </c>
      <c r="K18" s="10">
        <v>0</v>
      </c>
      <c r="L18" s="10">
        <v>901000</v>
      </c>
      <c r="M18" s="13">
        <v>0</v>
      </c>
      <c r="N18" s="13">
        <v>0</v>
      </c>
      <c r="O18" s="13">
        <v>0</v>
      </c>
      <c r="P18" s="10" t="s">
        <v>174</v>
      </c>
      <c r="Q18" s="10" t="s">
        <v>174</v>
      </c>
      <c r="R18" s="10" t="s">
        <v>174</v>
      </c>
      <c r="S18" s="10" t="s">
        <v>174</v>
      </c>
      <c r="T18" s="10" t="s">
        <v>174</v>
      </c>
      <c r="U18" s="10" t="s">
        <v>174</v>
      </c>
      <c r="V18" s="10" t="s">
        <v>174</v>
      </c>
      <c r="W18" s="10" t="s">
        <v>174</v>
      </c>
      <c r="X18" s="10" t="s">
        <v>174</v>
      </c>
      <c r="Y18" s="10" t="s">
        <v>174</v>
      </c>
      <c r="Z18" s="10" t="s">
        <v>174</v>
      </c>
      <c r="AA18" s="10" t="s">
        <v>174</v>
      </c>
      <c r="AB18" s="10" t="s">
        <v>174</v>
      </c>
      <c r="AC18" s="10" t="s">
        <v>174</v>
      </c>
      <c r="AD18" s="10" t="s">
        <v>174</v>
      </c>
      <c r="AE18" s="10" t="s">
        <v>174</v>
      </c>
      <c r="AF18" s="10" t="s">
        <v>174</v>
      </c>
      <c r="AG18" s="10" t="s">
        <v>174</v>
      </c>
      <c r="AH18" s="10" t="s">
        <v>174</v>
      </c>
      <c r="AI18" s="10" t="s">
        <v>174</v>
      </c>
      <c r="AJ18" s="10" t="s">
        <v>174</v>
      </c>
      <c r="AK18" s="10" t="s">
        <v>174</v>
      </c>
    </row>
    <row r="19" spans="1:37">
      <c r="A19" s="1" t="s">
        <v>169</v>
      </c>
      <c r="B19" s="1" t="s">
        <v>170</v>
      </c>
      <c r="C19" s="1" t="s">
        <v>830</v>
      </c>
      <c r="D19" s="1" t="s">
        <v>839</v>
      </c>
      <c r="E19" s="10" t="s">
        <v>174</v>
      </c>
      <c r="F19" s="10" t="s">
        <v>174</v>
      </c>
      <c r="G19" s="10" t="s">
        <v>174</v>
      </c>
      <c r="H19" s="10" t="s">
        <v>174</v>
      </c>
      <c r="I19" s="10">
        <v>3610000</v>
      </c>
      <c r="J19" s="10">
        <v>3338000</v>
      </c>
      <c r="K19" s="10">
        <v>3228000</v>
      </c>
      <c r="L19" s="10">
        <v>3145000</v>
      </c>
      <c r="M19" s="13">
        <v>3051000</v>
      </c>
      <c r="N19" s="13">
        <v>1246000</v>
      </c>
      <c r="O19" s="13">
        <v>0</v>
      </c>
      <c r="P19" s="10" t="s">
        <v>174</v>
      </c>
      <c r="Q19" s="10" t="s">
        <v>174</v>
      </c>
      <c r="R19" s="10" t="s">
        <v>174</v>
      </c>
      <c r="S19" s="10" t="s">
        <v>174</v>
      </c>
      <c r="T19" s="10" t="s">
        <v>174</v>
      </c>
      <c r="U19" s="10" t="s">
        <v>174</v>
      </c>
      <c r="V19" s="10" t="s">
        <v>174</v>
      </c>
      <c r="W19" s="10" t="s">
        <v>174</v>
      </c>
      <c r="X19" s="10" t="s">
        <v>174</v>
      </c>
      <c r="Y19" s="10" t="s">
        <v>174</v>
      </c>
      <c r="Z19" s="10" t="s">
        <v>174</v>
      </c>
      <c r="AA19" s="10" t="s">
        <v>174</v>
      </c>
      <c r="AB19" s="10" t="s">
        <v>174</v>
      </c>
      <c r="AC19" s="10" t="s">
        <v>174</v>
      </c>
      <c r="AD19" s="10" t="s">
        <v>174</v>
      </c>
      <c r="AE19" s="10" t="s">
        <v>174</v>
      </c>
      <c r="AF19" s="10" t="s">
        <v>174</v>
      </c>
      <c r="AG19" s="10" t="s">
        <v>174</v>
      </c>
      <c r="AH19" s="10" t="s">
        <v>174</v>
      </c>
      <c r="AI19" s="10" t="s">
        <v>174</v>
      </c>
      <c r="AJ19" s="10" t="s">
        <v>174</v>
      </c>
      <c r="AK19" s="10" t="s">
        <v>174</v>
      </c>
    </row>
    <row r="20" spans="1:37">
      <c r="A20" s="1" t="s">
        <v>169</v>
      </c>
      <c r="B20" s="1" t="s">
        <v>170</v>
      </c>
      <c r="C20" s="1" t="s">
        <v>830</v>
      </c>
      <c r="D20" s="1" t="s">
        <v>840</v>
      </c>
      <c r="E20" s="10" t="s">
        <v>174</v>
      </c>
      <c r="F20" s="10" t="s">
        <v>174</v>
      </c>
      <c r="G20" s="10" t="s">
        <v>174</v>
      </c>
      <c r="H20" s="10" t="s">
        <v>174</v>
      </c>
      <c r="I20" s="10">
        <v>4050000</v>
      </c>
      <c r="J20" s="10">
        <v>4228000</v>
      </c>
      <c r="K20" s="10">
        <v>4440000</v>
      </c>
      <c r="L20" s="10">
        <v>4591000</v>
      </c>
      <c r="M20" s="13">
        <v>4737000</v>
      </c>
      <c r="N20" s="13">
        <v>2844000</v>
      </c>
      <c r="O20" s="13">
        <v>0</v>
      </c>
      <c r="P20" s="10" t="s">
        <v>174</v>
      </c>
      <c r="Q20" s="10" t="s">
        <v>174</v>
      </c>
      <c r="R20" s="10" t="s">
        <v>174</v>
      </c>
      <c r="S20" s="10" t="s">
        <v>174</v>
      </c>
      <c r="T20" s="10" t="s">
        <v>174</v>
      </c>
      <c r="U20" s="10" t="s">
        <v>174</v>
      </c>
      <c r="V20" s="10" t="s">
        <v>174</v>
      </c>
      <c r="W20" s="10" t="s">
        <v>174</v>
      </c>
      <c r="X20" s="10" t="s">
        <v>174</v>
      </c>
      <c r="Y20" s="10" t="s">
        <v>174</v>
      </c>
      <c r="Z20" s="10" t="s">
        <v>174</v>
      </c>
      <c r="AA20" s="10" t="s">
        <v>174</v>
      </c>
      <c r="AB20" s="10" t="s">
        <v>174</v>
      </c>
      <c r="AC20" s="10" t="s">
        <v>174</v>
      </c>
      <c r="AD20" s="10" t="s">
        <v>174</v>
      </c>
      <c r="AE20" s="10" t="s">
        <v>174</v>
      </c>
      <c r="AF20" s="10" t="s">
        <v>174</v>
      </c>
      <c r="AG20" s="10" t="s">
        <v>174</v>
      </c>
      <c r="AH20" s="10" t="s">
        <v>174</v>
      </c>
      <c r="AI20" s="10" t="s">
        <v>174</v>
      </c>
      <c r="AJ20" s="10" t="s">
        <v>174</v>
      </c>
      <c r="AK20" s="10" t="s">
        <v>174</v>
      </c>
    </row>
    <row r="21" spans="1:37">
      <c r="A21" s="1" t="s">
        <v>169</v>
      </c>
      <c r="B21" s="1" t="s">
        <v>170</v>
      </c>
      <c r="C21" s="1" t="s">
        <v>830</v>
      </c>
      <c r="D21" s="1" t="s">
        <v>841</v>
      </c>
      <c r="E21" s="10" t="s">
        <v>174</v>
      </c>
      <c r="F21" s="10" t="s">
        <v>174</v>
      </c>
      <c r="G21" s="10" t="s">
        <v>174</v>
      </c>
      <c r="H21" s="10" t="s">
        <v>174</v>
      </c>
      <c r="I21" s="10">
        <v>2392000</v>
      </c>
      <c r="J21" s="10">
        <v>2915000</v>
      </c>
      <c r="K21" s="10">
        <v>2819000</v>
      </c>
      <c r="L21" s="10">
        <v>2808000</v>
      </c>
      <c r="M21" s="13">
        <v>2715000</v>
      </c>
      <c r="N21" s="13">
        <v>2451000</v>
      </c>
      <c r="O21" s="13">
        <v>2034000</v>
      </c>
      <c r="P21" s="13">
        <v>2260000</v>
      </c>
      <c r="Q21" s="13">
        <v>3050000</v>
      </c>
      <c r="R21" s="13">
        <v>3070000</v>
      </c>
      <c r="S21" s="13">
        <v>3694000</v>
      </c>
      <c r="T21" s="13">
        <v>3864000</v>
      </c>
      <c r="U21" s="13">
        <v>3886000</v>
      </c>
      <c r="V21" s="13">
        <v>3186000</v>
      </c>
      <c r="W21" s="13">
        <v>2543000</v>
      </c>
      <c r="X21" s="13">
        <v>1093000</v>
      </c>
      <c r="Y21" s="13">
        <v>819000</v>
      </c>
      <c r="Z21" s="13">
        <v>684000</v>
      </c>
      <c r="AA21" s="13">
        <v>1070000</v>
      </c>
      <c r="AB21" s="13">
        <v>1603000</v>
      </c>
      <c r="AC21" s="13">
        <v>2326000</v>
      </c>
      <c r="AD21" s="13">
        <v>1633000</v>
      </c>
      <c r="AE21" s="13">
        <v>2197000</v>
      </c>
      <c r="AF21" s="13">
        <v>2037000</v>
      </c>
      <c r="AG21" s="13">
        <v>2875000</v>
      </c>
      <c r="AH21" s="13">
        <v>1786000</v>
      </c>
      <c r="AI21" s="13">
        <v>1974000</v>
      </c>
      <c r="AJ21" s="13">
        <v>5594000</v>
      </c>
      <c r="AK21" s="13">
        <v>3814000</v>
      </c>
    </row>
    <row r="22" spans="1:37">
      <c r="A22" s="1" t="s">
        <v>169</v>
      </c>
      <c r="B22" s="1" t="s">
        <v>170</v>
      </c>
      <c r="C22" s="1" t="s">
        <v>830</v>
      </c>
      <c r="D22" s="1" t="s">
        <v>842</v>
      </c>
      <c r="E22" s="13">
        <v>81000</v>
      </c>
      <c r="F22" s="13">
        <v>463000</v>
      </c>
      <c r="G22" s="13">
        <v>995000</v>
      </c>
      <c r="H22" s="13">
        <v>1288000</v>
      </c>
      <c r="I22" s="13">
        <v>1936000</v>
      </c>
      <c r="J22" s="13">
        <v>2571000</v>
      </c>
      <c r="K22" s="13">
        <v>3166000</v>
      </c>
      <c r="L22" s="13">
        <v>3840000</v>
      </c>
      <c r="M22" s="13">
        <v>4206000</v>
      </c>
      <c r="N22" s="13">
        <v>5598000</v>
      </c>
      <c r="O22" s="13">
        <v>7598000</v>
      </c>
      <c r="P22" s="13">
        <v>5951000</v>
      </c>
      <c r="Q22" s="13">
        <v>6595000</v>
      </c>
      <c r="R22" s="13">
        <v>6912000</v>
      </c>
      <c r="S22" s="13">
        <v>7788000</v>
      </c>
      <c r="T22" s="13">
        <v>8201000</v>
      </c>
      <c r="U22" s="13">
        <v>9877000</v>
      </c>
      <c r="V22" s="13">
        <v>11922000</v>
      </c>
      <c r="W22" s="13">
        <v>12647000</v>
      </c>
      <c r="X22" s="13">
        <v>13795000</v>
      </c>
      <c r="Y22" s="13">
        <v>13332000</v>
      </c>
      <c r="Z22" s="13">
        <v>13692000</v>
      </c>
      <c r="AA22" s="13">
        <v>13914000</v>
      </c>
      <c r="AB22" s="13">
        <v>10317000</v>
      </c>
      <c r="AC22" s="13">
        <v>10929000</v>
      </c>
      <c r="AD22" s="13">
        <v>11810000</v>
      </c>
      <c r="AE22" s="13">
        <v>12967000</v>
      </c>
      <c r="AF22" s="13">
        <v>13431000</v>
      </c>
      <c r="AG22" s="13">
        <v>14312000</v>
      </c>
      <c r="AH22" s="13">
        <v>14786000</v>
      </c>
      <c r="AI22" s="13">
        <v>16657000</v>
      </c>
      <c r="AJ22" s="13">
        <v>16172000</v>
      </c>
      <c r="AK22" s="13">
        <v>16894000</v>
      </c>
    </row>
    <row r="23" spans="1:37">
      <c r="A23" s="1" t="s">
        <v>169</v>
      </c>
      <c r="B23" s="1" t="s">
        <v>170</v>
      </c>
      <c r="C23" s="1" t="s">
        <v>830</v>
      </c>
      <c r="D23" s="1" t="s">
        <v>843</v>
      </c>
      <c r="E23" s="13">
        <v>998000</v>
      </c>
      <c r="F23" s="13">
        <v>607000</v>
      </c>
      <c r="G23" s="13">
        <v>544000</v>
      </c>
      <c r="H23" s="13">
        <v>475000</v>
      </c>
      <c r="I23" s="13">
        <v>537000</v>
      </c>
      <c r="J23" s="13">
        <v>745000</v>
      </c>
      <c r="K23" s="13">
        <v>659000</v>
      </c>
      <c r="L23" s="13">
        <v>826000</v>
      </c>
      <c r="M23" s="13">
        <v>770000</v>
      </c>
      <c r="N23" s="13">
        <v>0</v>
      </c>
      <c r="O23" s="13">
        <v>0</v>
      </c>
      <c r="P23" s="10" t="s">
        <v>174</v>
      </c>
      <c r="Q23" s="10" t="s">
        <v>174</v>
      </c>
      <c r="R23" s="10" t="s">
        <v>174</v>
      </c>
      <c r="S23" s="10" t="s">
        <v>174</v>
      </c>
      <c r="T23" s="10" t="s">
        <v>174</v>
      </c>
      <c r="U23" s="10" t="s">
        <v>174</v>
      </c>
      <c r="V23" s="10" t="s">
        <v>174</v>
      </c>
      <c r="W23" s="10" t="s">
        <v>174</v>
      </c>
      <c r="X23" s="13" t="s">
        <v>174</v>
      </c>
      <c r="Y23" s="13" t="s">
        <v>174</v>
      </c>
      <c r="Z23" s="13" t="s">
        <v>174</v>
      </c>
      <c r="AA23" s="13" t="s">
        <v>174</v>
      </c>
      <c r="AB23" s="13" t="s">
        <v>174</v>
      </c>
      <c r="AC23" s="13" t="s">
        <v>174</v>
      </c>
      <c r="AD23" s="13" t="s">
        <v>174</v>
      </c>
      <c r="AE23" s="13" t="s">
        <v>174</v>
      </c>
      <c r="AF23" s="13" t="s">
        <v>174</v>
      </c>
      <c r="AG23" s="13" t="s">
        <v>174</v>
      </c>
      <c r="AH23" s="13" t="s">
        <v>174</v>
      </c>
      <c r="AI23" s="13" t="s">
        <v>174</v>
      </c>
      <c r="AJ23" s="13" t="s">
        <v>174</v>
      </c>
      <c r="AK23" s="13" t="s">
        <v>174</v>
      </c>
    </row>
    <row r="24" spans="1:37">
      <c r="A24" s="1" t="s">
        <v>169</v>
      </c>
      <c r="B24" s="1" t="s">
        <v>170</v>
      </c>
      <c r="C24" s="1" t="s">
        <v>830</v>
      </c>
      <c r="D24" s="1" t="s">
        <v>274</v>
      </c>
      <c r="E24" s="10" t="s">
        <v>174</v>
      </c>
      <c r="F24" s="10" t="s">
        <v>174</v>
      </c>
      <c r="G24" s="10" t="s">
        <v>174</v>
      </c>
      <c r="H24" s="10" t="s">
        <v>174</v>
      </c>
      <c r="I24" s="10" t="s">
        <v>174</v>
      </c>
      <c r="J24" s="10" t="s">
        <v>174</v>
      </c>
      <c r="K24" s="10" t="s">
        <v>174</v>
      </c>
      <c r="L24" s="10" t="s">
        <v>174</v>
      </c>
      <c r="M24" s="10" t="s">
        <v>174</v>
      </c>
      <c r="N24" s="10" t="s">
        <v>174</v>
      </c>
      <c r="O24" s="10" t="s">
        <v>174</v>
      </c>
      <c r="P24" s="13">
        <v>2516000</v>
      </c>
      <c r="Q24" s="13">
        <v>2554000</v>
      </c>
      <c r="R24" s="13">
        <v>2554000</v>
      </c>
      <c r="S24" s="13">
        <v>2554000</v>
      </c>
      <c r="T24" s="13">
        <v>2554000</v>
      </c>
      <c r="U24" s="13">
        <v>2554000</v>
      </c>
      <c r="V24" s="13">
        <v>2557000</v>
      </c>
      <c r="W24" s="13">
        <v>2557000</v>
      </c>
      <c r="X24" s="13">
        <v>2557000</v>
      </c>
      <c r="Y24" s="13">
        <v>2557000</v>
      </c>
      <c r="Z24" s="13">
        <v>2557000</v>
      </c>
      <c r="AA24" s="13">
        <v>2557000</v>
      </c>
      <c r="AB24" s="13">
        <v>1491000</v>
      </c>
      <c r="AC24" s="13">
        <v>1491000</v>
      </c>
      <c r="AD24" s="13">
        <v>1490000</v>
      </c>
      <c r="AE24" s="13">
        <v>0</v>
      </c>
      <c r="AF24" s="13">
        <v>0</v>
      </c>
      <c r="AG24" s="13">
        <v>0</v>
      </c>
      <c r="AH24" s="13">
        <v>0</v>
      </c>
      <c r="AI24" s="13">
        <v>0</v>
      </c>
      <c r="AJ24" s="13"/>
      <c r="AK24" s="13"/>
    </row>
    <row r="25" spans="1:37">
      <c r="A25" s="1" t="s">
        <v>169</v>
      </c>
      <c r="B25" s="1" t="s">
        <v>170</v>
      </c>
      <c r="C25" s="1" t="s">
        <v>830</v>
      </c>
      <c r="D25" s="1" t="s">
        <v>844</v>
      </c>
      <c r="E25" s="10" t="s">
        <v>174</v>
      </c>
      <c r="F25" s="10" t="s">
        <v>174</v>
      </c>
      <c r="G25" s="10" t="s">
        <v>174</v>
      </c>
      <c r="H25" s="10" t="s">
        <v>174</v>
      </c>
      <c r="I25" s="10" t="s">
        <v>174</v>
      </c>
      <c r="J25" s="10" t="s">
        <v>174</v>
      </c>
      <c r="K25" s="10" t="s">
        <v>174</v>
      </c>
      <c r="L25" s="10" t="s">
        <v>174</v>
      </c>
      <c r="M25" s="10" t="s">
        <v>174</v>
      </c>
      <c r="N25" s="10" t="s">
        <v>174</v>
      </c>
      <c r="O25" s="10" t="s">
        <v>174</v>
      </c>
      <c r="P25" s="10" t="s">
        <v>174</v>
      </c>
      <c r="Q25" s="10" t="s">
        <v>174</v>
      </c>
      <c r="R25" s="10" t="s">
        <v>174</v>
      </c>
      <c r="S25" s="10" t="s">
        <v>174</v>
      </c>
      <c r="T25" s="10" t="s">
        <v>174</v>
      </c>
      <c r="U25" s="10" t="s">
        <v>174</v>
      </c>
      <c r="V25" s="10" t="s">
        <v>174</v>
      </c>
      <c r="W25" s="10" t="s">
        <v>174</v>
      </c>
      <c r="X25" s="13" t="s">
        <v>174</v>
      </c>
      <c r="Y25" s="13">
        <v>34661000</v>
      </c>
      <c r="Z25" s="13">
        <v>38094000</v>
      </c>
      <c r="AA25" s="13">
        <v>40096000</v>
      </c>
      <c r="AB25" s="13">
        <v>44795000</v>
      </c>
      <c r="AC25" s="13">
        <v>48788000</v>
      </c>
      <c r="AD25" s="13">
        <v>43468000</v>
      </c>
      <c r="AE25" s="13">
        <v>46468000</v>
      </c>
      <c r="AF25" s="13">
        <v>45969000</v>
      </c>
      <c r="AG25" s="13">
        <v>52782000</v>
      </c>
      <c r="AH25" s="13">
        <v>59963000</v>
      </c>
      <c r="AI25" s="13">
        <v>62125000</v>
      </c>
      <c r="AJ25" s="13">
        <v>75107000</v>
      </c>
      <c r="AK25" s="13">
        <v>71822000</v>
      </c>
    </row>
    <row r="26" spans="1:37">
      <c r="A26" s="1" t="s">
        <v>169</v>
      </c>
      <c r="B26" s="1" t="s">
        <v>170</v>
      </c>
      <c r="C26" s="7" t="s">
        <v>830</v>
      </c>
      <c r="D26" s="7" t="s">
        <v>845</v>
      </c>
      <c r="E26" s="15">
        <f>SUM(E11:E25)</f>
        <v>24524000</v>
      </c>
      <c r="F26" s="15">
        <f>SUM(F11:F25)</f>
        <v>26343000</v>
      </c>
      <c r="G26" s="15">
        <f>SUM(G11:G25)</f>
        <v>30242000</v>
      </c>
      <c r="H26" s="15">
        <f>SUM(H11:H25)</f>
        <v>30029000</v>
      </c>
      <c r="I26" s="15">
        <f>SUM(I11:I25)</f>
        <v>49774000</v>
      </c>
      <c r="J26" s="15">
        <f>SUM(J11:J25)</f>
        <v>37222000</v>
      </c>
      <c r="K26" s="15">
        <f>SUM(K11:K25)</f>
        <v>38426000</v>
      </c>
      <c r="L26" s="15">
        <f>SUM(L11:L25)</f>
        <v>41830000</v>
      </c>
      <c r="M26" s="15">
        <f>SUM(M11:M25)</f>
        <v>39164000</v>
      </c>
      <c r="N26" s="15">
        <f>SUM(N11:N25)</f>
        <v>36643000</v>
      </c>
      <c r="O26" s="15">
        <f>SUM(O11:O25)</f>
        <v>34735000</v>
      </c>
      <c r="P26" s="15">
        <f>SUM(P11:P25)</f>
        <v>34257000</v>
      </c>
      <c r="Q26" s="15">
        <f>SUM(Q11:Q25)</f>
        <v>35046000</v>
      </c>
      <c r="R26" s="15">
        <f>SUM(R11:R25)</f>
        <v>38194000</v>
      </c>
      <c r="S26" s="15">
        <f>SUM(S11:S25)</f>
        <v>42680000</v>
      </c>
      <c r="T26" s="15">
        <f>SUM(T11:T25)</f>
        <v>49133000</v>
      </c>
      <c r="U26" s="15">
        <f>SUM(U11:U25)</f>
        <v>49834000</v>
      </c>
      <c r="V26" s="15">
        <f>SUM(V11:V25)</f>
        <v>54826000</v>
      </c>
      <c r="W26" s="15">
        <f>SUM(W11:W25)</f>
        <v>54504000</v>
      </c>
      <c r="X26" s="15">
        <f>SUM(X11:X25)</f>
        <v>55755000</v>
      </c>
      <c r="Y26" s="15">
        <f>SUM(Y11:Y25)</f>
        <v>92454000</v>
      </c>
      <c r="Z26" s="15">
        <f>SUM(Z11:Z25)</f>
        <v>100005000</v>
      </c>
      <c r="AA26" s="15">
        <f>SUM(AA11:AA25)</f>
        <v>105633000</v>
      </c>
      <c r="AB26" s="15">
        <f>SUM(AB11:AB25)</f>
        <v>105607000</v>
      </c>
      <c r="AC26" s="15">
        <f>SUM(AC11:AC25)</f>
        <v>108577000</v>
      </c>
      <c r="AD26" s="15">
        <f>SUM(AD11:AD25)</f>
        <v>105527000</v>
      </c>
      <c r="AE26" s="15">
        <f>SUM(AE11:AE25)</f>
        <v>106272000</v>
      </c>
      <c r="AF26" s="15">
        <f>SUM(AF11:AF25)</f>
        <v>109254000</v>
      </c>
      <c r="AG26" s="15">
        <f>SUM(AG11:AG25)</f>
        <v>125766000</v>
      </c>
      <c r="AH26" s="15">
        <f>SUM(AH11:AH25)</f>
        <v>131694000</v>
      </c>
      <c r="AI26" s="15">
        <f>SUM(AI11:AI25)</f>
        <v>148593000</v>
      </c>
      <c r="AJ26" s="15">
        <f>SUM(AJ11:AJ25)</f>
        <v>173392000</v>
      </c>
      <c r="AK26" s="15">
        <f>SUM(AK11:AK25)</f>
        <v>170074000</v>
      </c>
    </row>
    <row r="27" spans="1:37">
      <c r="A27" s="1" t="s">
        <v>169</v>
      </c>
      <c r="B27" s="1" t="s">
        <v>170</v>
      </c>
      <c r="C27" s="7" t="s">
        <v>846</v>
      </c>
      <c r="D27" s="7" t="s">
        <v>847</v>
      </c>
      <c r="E27" s="16">
        <f>E10-E26</f>
        <v>-1056000</v>
      </c>
      <c r="F27" s="16">
        <f>F10-F26</f>
        <v>-8354000</v>
      </c>
      <c r="G27" s="16">
        <f>G10-G26</f>
        <v>4883000</v>
      </c>
      <c r="H27" s="16">
        <f>H10-H26</f>
        <v>7356000</v>
      </c>
      <c r="I27" s="16">
        <f>I10-I26</f>
        <v>-9358000</v>
      </c>
      <c r="J27" s="16">
        <f>J10-J26</f>
        <v>5545000</v>
      </c>
      <c r="K27" s="16">
        <f>K10-K26</f>
        <v>7433000</v>
      </c>
      <c r="L27" s="16">
        <f>L10-L26</f>
        <v>8369000</v>
      </c>
      <c r="M27" s="16">
        <f>M10-M26</f>
        <v>14155000</v>
      </c>
      <c r="N27" s="16">
        <f>N10-N26</f>
        <v>22611000</v>
      </c>
      <c r="O27" s="16">
        <f>O10-O26</f>
        <v>24762000</v>
      </c>
      <c r="P27" s="16">
        <f>P10-P26</f>
        <v>18987000</v>
      </c>
      <c r="Q27" s="16">
        <f>Q10-Q26</f>
        <v>19790000</v>
      </c>
      <c r="R27" s="16">
        <f>R10-R26</f>
        <v>21125000</v>
      </c>
      <c r="S27" s="16">
        <f>S10-S26</f>
        <v>16961000</v>
      </c>
      <c r="T27" s="16">
        <f>T10-T26</f>
        <v>11268000</v>
      </c>
      <c r="U27" s="16">
        <f>U10-U26</f>
        <v>14082000</v>
      </c>
      <c r="V27" s="16">
        <f>V10-V26</f>
        <v>10361000</v>
      </c>
      <c r="W27" s="16">
        <f>W10-W26</f>
        <v>19296000</v>
      </c>
      <c r="X27" s="16">
        <f>X10-X26</f>
        <v>29276000</v>
      </c>
      <c r="Y27" s="16">
        <f>Y10-Y26</f>
        <v>27839000</v>
      </c>
      <c r="Z27" s="16">
        <f>Z10-Z26</f>
        <v>29827000</v>
      </c>
      <c r="AA27" s="16">
        <f>AA10-AA26</f>
        <v>24101000</v>
      </c>
      <c r="AB27" s="16">
        <f>AB10-AB26</f>
        <v>28568000</v>
      </c>
      <c r="AC27" s="16">
        <f>AC10-AC26</f>
        <v>31176000</v>
      </c>
      <c r="AD27" s="16">
        <f>AD10-AD26</f>
        <v>35025000</v>
      </c>
      <c r="AE27" s="16">
        <f>AE10-AE26</f>
        <v>37866000</v>
      </c>
      <c r="AF27" s="16">
        <f>AF10-AF26</f>
        <v>33403000</v>
      </c>
      <c r="AG27" s="16">
        <f>AG10-AG26</f>
        <v>38489000</v>
      </c>
      <c r="AH27" s="16">
        <f>AH10-AH26</f>
        <v>42470000</v>
      </c>
      <c r="AI27" s="16">
        <f>AI10-AI26</f>
        <v>32134000</v>
      </c>
      <c r="AJ27" s="16">
        <f>AJ10-AJ26</f>
        <v>29604000</v>
      </c>
      <c r="AK27" s="16">
        <f>AK10-AK26</f>
        <v>61660000</v>
      </c>
    </row>
    <row r="28" spans="1:37">
      <c r="A28" s="1" t="s">
        <v>169</v>
      </c>
      <c r="B28" s="1" t="s">
        <v>170</v>
      </c>
      <c r="C28" s="1" t="s">
        <v>846</v>
      </c>
      <c r="D28" s="1" t="s">
        <v>848</v>
      </c>
      <c r="E28" s="13">
        <v>1854000</v>
      </c>
      <c r="F28" s="13">
        <v>3628000</v>
      </c>
      <c r="G28" s="13">
        <v>6774000</v>
      </c>
      <c r="H28" s="13">
        <v>9245000</v>
      </c>
      <c r="I28" s="13">
        <v>12409000</v>
      </c>
      <c r="J28" s="13">
        <v>9327000</v>
      </c>
      <c r="K28" s="13">
        <v>1703000</v>
      </c>
      <c r="L28" s="13">
        <v>1980000</v>
      </c>
      <c r="M28" s="13">
        <v>546000</v>
      </c>
      <c r="N28" s="13">
        <v>2546000</v>
      </c>
      <c r="O28" s="13">
        <v>3460000</v>
      </c>
      <c r="P28" s="13">
        <v>2651000</v>
      </c>
      <c r="Q28" s="13">
        <v>2801000</v>
      </c>
      <c r="R28" s="13">
        <v>3130000</v>
      </c>
      <c r="S28" s="13">
        <v>3614000</v>
      </c>
      <c r="T28" s="13">
        <v>1864000</v>
      </c>
      <c r="U28" s="13">
        <v>1480000</v>
      </c>
      <c r="V28" s="13">
        <v>1322000</v>
      </c>
      <c r="W28" s="13">
        <v>685000</v>
      </c>
      <c r="X28" s="13">
        <v>1348000</v>
      </c>
      <c r="Y28" s="13">
        <v>2216000</v>
      </c>
      <c r="Z28" s="13">
        <v>2598000</v>
      </c>
      <c r="AA28" s="13">
        <v>5032000</v>
      </c>
      <c r="AB28" s="13">
        <v>690000</v>
      </c>
      <c r="AC28" s="13">
        <v>550000</v>
      </c>
      <c r="AD28" s="13">
        <v>709000</v>
      </c>
      <c r="AE28" s="13">
        <v>496000</v>
      </c>
      <c r="AF28" s="13">
        <v>278000</v>
      </c>
      <c r="AG28" s="13">
        <v>213000</v>
      </c>
      <c r="AH28" s="13">
        <v>199000</v>
      </c>
      <c r="AI28" s="13">
        <v>383000</v>
      </c>
      <c r="AJ28" s="13">
        <v>460000</v>
      </c>
      <c r="AK28" s="13">
        <v>469000</v>
      </c>
    </row>
    <row r="29" spans="1:37">
      <c r="A29" s="1" t="s">
        <v>169</v>
      </c>
      <c r="B29" s="1" t="s">
        <v>170</v>
      </c>
      <c r="C29" s="1" t="s">
        <v>846</v>
      </c>
      <c r="D29" s="1" t="s">
        <v>849</v>
      </c>
      <c r="E29" s="13">
        <v>-2678000</v>
      </c>
      <c r="F29" s="13">
        <v>-14148000</v>
      </c>
      <c r="G29" s="13">
        <v>-8932000</v>
      </c>
      <c r="H29" s="13">
        <v>-11059000</v>
      </c>
      <c r="I29" s="13">
        <v>-13984000</v>
      </c>
      <c r="J29" s="13">
        <v>-14812000</v>
      </c>
      <c r="K29" s="13">
        <f>-9863000-1021000</f>
        <v>-10884000</v>
      </c>
      <c r="L29" s="13">
        <v>-12324000</v>
      </c>
      <c r="M29" s="13">
        <v>-12536000</v>
      </c>
      <c r="N29" s="13">
        <v>-17271000</v>
      </c>
      <c r="O29" s="13">
        <v>-20407000</v>
      </c>
      <c r="P29" s="13">
        <v>-20429000</v>
      </c>
      <c r="Q29" s="13">
        <v>-20700000</v>
      </c>
      <c r="R29" s="13">
        <v>-21324000</v>
      </c>
      <c r="S29" s="13">
        <v>-22116000</v>
      </c>
      <c r="T29" s="13">
        <v>-23459000</v>
      </c>
      <c r="U29" s="13">
        <v>-25944000</v>
      </c>
      <c r="V29" s="13">
        <v>-28355000</v>
      </c>
      <c r="W29" s="13">
        <v>-26727000</v>
      </c>
      <c r="X29" s="13">
        <v>-27500000</v>
      </c>
      <c r="Y29" s="13">
        <v>-27946000</v>
      </c>
      <c r="Z29" s="13">
        <v>-28394000</v>
      </c>
      <c r="AA29" s="13">
        <v>-29362000</v>
      </c>
      <c r="AB29" s="13">
        <v>-37984000</v>
      </c>
      <c r="AC29" s="13">
        <f>-39202000-185000</f>
        <v>-39387000</v>
      </c>
      <c r="AD29" s="13">
        <f>-36747000-422000</f>
        <v>-37169000</v>
      </c>
      <c r="AE29" s="13">
        <f>-37243000-520000</f>
        <v>-37763000</v>
      </c>
      <c r="AF29" s="13">
        <v>-35237000</v>
      </c>
      <c r="AG29" s="13">
        <f>-37641000-9471000</f>
        <v>-47112000</v>
      </c>
      <c r="AH29" s="13">
        <v>-36865000</v>
      </c>
      <c r="AI29" s="13">
        <v>-36966000</v>
      </c>
      <c r="AJ29" s="13">
        <v>-34913000</v>
      </c>
      <c r="AK29" s="13">
        <v>-34365000</v>
      </c>
    </row>
    <row r="30" spans="1:37">
      <c r="A30" s="1" t="s">
        <v>169</v>
      </c>
      <c r="B30" s="1" t="s">
        <v>170</v>
      </c>
      <c r="C30" s="1" t="s">
        <v>846</v>
      </c>
      <c r="D30" s="1" t="s">
        <v>850</v>
      </c>
      <c r="E30" s="13">
        <v>0</v>
      </c>
      <c r="F30" s="13">
        <v>0</v>
      </c>
      <c r="G30" s="13">
        <v>0</v>
      </c>
      <c r="H30" s="13">
        <v>0</v>
      </c>
      <c r="I30" s="13">
        <v>0</v>
      </c>
      <c r="J30" s="13">
        <v>2972000</v>
      </c>
      <c r="K30" s="13">
        <v>0</v>
      </c>
      <c r="L30" s="13" t="s">
        <v>174</v>
      </c>
      <c r="M30" s="13" t="s">
        <v>174</v>
      </c>
      <c r="N30" s="13" t="s">
        <v>174</v>
      </c>
      <c r="O30" s="13" t="s">
        <v>174</v>
      </c>
      <c r="P30" s="13" t="s">
        <v>174</v>
      </c>
      <c r="Q30" s="13" t="s">
        <v>174</v>
      </c>
      <c r="R30" s="13" t="s">
        <v>174</v>
      </c>
      <c r="S30" s="13" t="s">
        <v>174</v>
      </c>
      <c r="T30" s="13" t="s">
        <v>174</v>
      </c>
      <c r="U30" s="13" t="s">
        <v>174</v>
      </c>
      <c r="V30" s="13" t="s">
        <v>174</v>
      </c>
      <c r="W30" s="13" t="s">
        <v>174</v>
      </c>
      <c r="X30" s="13" t="s">
        <v>174</v>
      </c>
      <c r="Y30" s="13" t="s">
        <v>174</v>
      </c>
      <c r="Z30" s="13">
        <v>75000</v>
      </c>
      <c r="AA30" s="13">
        <v>204000</v>
      </c>
      <c r="AB30" s="13">
        <v>14819000</v>
      </c>
      <c r="AC30" s="13">
        <v>15100000</v>
      </c>
      <c r="AD30" s="13">
        <v>2277000</v>
      </c>
      <c r="AE30" s="13">
        <v>2533000</v>
      </c>
      <c r="AF30" s="13">
        <v>616000</v>
      </c>
      <c r="AG30" s="13">
        <v>14708000</v>
      </c>
      <c r="AH30" s="13">
        <v>18129000</v>
      </c>
      <c r="AI30" s="13">
        <v>981000</v>
      </c>
      <c r="AJ30" s="13">
        <v>1595000</v>
      </c>
      <c r="AK30" s="13">
        <v>13649000</v>
      </c>
    </row>
    <row r="31" spans="1:37">
      <c r="A31" s="1" t="s">
        <v>169</v>
      </c>
      <c r="B31" s="1" t="s">
        <v>170</v>
      </c>
      <c r="C31" s="1" t="s">
        <v>846</v>
      </c>
      <c r="D31" s="1" t="s">
        <v>851</v>
      </c>
      <c r="E31" s="10" t="s">
        <v>174</v>
      </c>
      <c r="F31" s="10" t="s">
        <v>174</v>
      </c>
      <c r="G31" s="10" t="s">
        <v>174</v>
      </c>
      <c r="H31" s="10" t="s">
        <v>174</v>
      </c>
      <c r="I31" s="10" t="s">
        <v>174</v>
      </c>
      <c r="J31" s="10" t="s">
        <v>174</v>
      </c>
      <c r="K31" s="10" t="s">
        <v>174</v>
      </c>
      <c r="L31" s="10" t="s">
        <v>174</v>
      </c>
      <c r="M31" s="10" t="s">
        <v>174</v>
      </c>
      <c r="N31" s="10" t="s">
        <v>174</v>
      </c>
      <c r="O31" s="10" t="s">
        <v>174</v>
      </c>
      <c r="P31" s="10" t="s">
        <v>174</v>
      </c>
      <c r="Q31" s="10" t="s">
        <v>174</v>
      </c>
      <c r="R31" s="10" t="s">
        <v>174</v>
      </c>
      <c r="S31" s="10" t="s">
        <v>174</v>
      </c>
      <c r="T31" s="10" t="s">
        <v>174</v>
      </c>
      <c r="U31" s="10" t="s">
        <v>174</v>
      </c>
      <c r="V31" s="10" t="s">
        <v>174</v>
      </c>
      <c r="W31" s="10" t="s">
        <v>174</v>
      </c>
      <c r="X31" s="10" t="s">
        <v>174</v>
      </c>
      <c r="Y31" s="10">
        <v>0</v>
      </c>
      <c r="Z31" s="10">
        <v>0</v>
      </c>
      <c r="AA31" s="13">
        <v>986000</v>
      </c>
      <c r="AB31" s="13">
        <v>248000</v>
      </c>
      <c r="AC31" s="13">
        <v>52000</v>
      </c>
      <c r="AD31" s="13">
        <v>0</v>
      </c>
      <c r="AE31" s="13">
        <v>0</v>
      </c>
      <c r="AF31" s="13">
        <v>0</v>
      </c>
      <c r="AG31" s="13">
        <v>0</v>
      </c>
      <c r="AH31" s="13">
        <v>0</v>
      </c>
      <c r="AI31" s="13">
        <v>0</v>
      </c>
      <c r="AJ31" s="13">
        <v>0</v>
      </c>
      <c r="AK31" s="13">
        <v>0</v>
      </c>
    </row>
    <row r="32" spans="1:37">
      <c r="A32" s="1" t="s">
        <v>169</v>
      </c>
      <c r="B32" s="1" t="s">
        <v>170</v>
      </c>
      <c r="C32" s="1" t="s">
        <v>846</v>
      </c>
      <c r="D32" s="1" t="s">
        <v>852</v>
      </c>
      <c r="E32" s="10" t="s">
        <v>174</v>
      </c>
      <c r="F32" s="10" t="s">
        <v>174</v>
      </c>
      <c r="G32" s="10" t="s">
        <v>174</v>
      </c>
      <c r="H32" s="10" t="s">
        <v>174</v>
      </c>
      <c r="I32" s="10">
        <v>-1064000</v>
      </c>
      <c r="J32" s="10">
        <v>-1056000</v>
      </c>
      <c r="K32" s="10">
        <v>-155000</v>
      </c>
      <c r="L32" s="13">
        <v>-198000</v>
      </c>
      <c r="M32" s="13">
        <v>-190000</v>
      </c>
      <c r="N32" s="13">
        <v>-253000</v>
      </c>
      <c r="O32" s="13">
        <v>-334000</v>
      </c>
      <c r="P32" s="13">
        <v>-341000</v>
      </c>
      <c r="Q32" s="13">
        <v>-319000</v>
      </c>
      <c r="R32" s="13">
        <v>-291000</v>
      </c>
      <c r="S32" s="13">
        <v>-273000</v>
      </c>
      <c r="T32" s="13">
        <v>-267000</v>
      </c>
      <c r="U32" s="13">
        <v>-496000</v>
      </c>
      <c r="V32" s="13">
        <v>-401000</v>
      </c>
      <c r="W32" s="13">
        <v>-628000</v>
      </c>
      <c r="X32" s="13">
        <v>-643000</v>
      </c>
      <c r="Y32" s="13">
        <v>-627000</v>
      </c>
      <c r="Z32" s="13">
        <v>-622000</v>
      </c>
      <c r="AA32" s="13">
        <v>-1202000</v>
      </c>
      <c r="AB32" s="13">
        <v>-1633000</v>
      </c>
      <c r="AC32" s="13">
        <v>-1811000</v>
      </c>
      <c r="AD32" s="13">
        <v>-1800000</v>
      </c>
      <c r="AE32" s="13">
        <v>-1781000</v>
      </c>
      <c r="AF32" s="13" t="s">
        <v>174</v>
      </c>
      <c r="AG32" s="13" t="s">
        <v>174</v>
      </c>
      <c r="AH32" s="13" t="s">
        <v>174</v>
      </c>
      <c r="AI32" s="13" t="s">
        <v>174</v>
      </c>
      <c r="AJ32" s="13">
        <v>-3894000</v>
      </c>
      <c r="AK32" s="13">
        <v>0</v>
      </c>
    </row>
    <row r="33" spans="1:39">
      <c r="A33" s="1" t="s">
        <v>169</v>
      </c>
      <c r="B33" s="1" t="s">
        <v>170</v>
      </c>
      <c r="C33" s="1" t="s">
        <v>846</v>
      </c>
      <c r="D33" s="1" t="s">
        <v>853</v>
      </c>
      <c r="E33" s="10" t="s">
        <v>174</v>
      </c>
      <c r="F33" s="10" t="s">
        <v>174</v>
      </c>
      <c r="G33" s="10" t="s">
        <v>174</v>
      </c>
      <c r="H33" s="10" t="s">
        <v>174</v>
      </c>
      <c r="I33" s="10" t="s">
        <v>174</v>
      </c>
      <c r="J33" s="10" t="s">
        <v>174</v>
      </c>
      <c r="K33" s="10" t="s">
        <v>174</v>
      </c>
      <c r="L33" s="13" t="s">
        <v>174</v>
      </c>
      <c r="M33" s="13" t="s">
        <v>174</v>
      </c>
      <c r="N33" s="13" t="s">
        <v>174</v>
      </c>
      <c r="O33" s="13" t="s">
        <v>174</v>
      </c>
      <c r="P33" s="13">
        <v>0</v>
      </c>
      <c r="Q33" s="13">
        <v>0</v>
      </c>
      <c r="R33" s="13">
        <v>0</v>
      </c>
      <c r="S33" s="13">
        <v>0</v>
      </c>
      <c r="T33" s="13">
        <v>-94000</v>
      </c>
      <c r="U33" s="13">
        <v>84000</v>
      </c>
      <c r="V33" s="13">
        <v>-53000</v>
      </c>
      <c r="W33" s="13">
        <v>-84000</v>
      </c>
      <c r="X33" s="13">
        <v>-160000</v>
      </c>
      <c r="Y33" s="13">
        <v>-145000</v>
      </c>
      <c r="Z33" s="13">
        <v>-155000</v>
      </c>
      <c r="AA33" s="13">
        <v>-153000</v>
      </c>
      <c r="AB33" s="13">
        <f>-149000+7187000</f>
        <v>7038000</v>
      </c>
      <c r="AC33" s="13">
        <v>-309000</v>
      </c>
      <c r="AD33" s="13">
        <v>-12380000</v>
      </c>
      <c r="AE33" s="13">
        <v>-362000</v>
      </c>
      <c r="AF33" s="13">
        <v>11564000</v>
      </c>
      <c r="AG33" s="13">
        <v>-10294000</v>
      </c>
      <c r="AH33" s="13">
        <v>-548000</v>
      </c>
      <c r="AI33" s="13">
        <v>1690000</v>
      </c>
      <c r="AJ33" s="13">
        <v>835000</v>
      </c>
      <c r="AK33" s="13">
        <f>2542000-4478000</f>
        <v>-1936000</v>
      </c>
    </row>
    <row r="34" spans="1:39">
      <c r="A34" s="1" t="s">
        <v>169</v>
      </c>
      <c r="B34" s="1" t="s">
        <v>170</v>
      </c>
      <c r="C34" s="7" t="s">
        <v>846</v>
      </c>
      <c r="D34" s="7" t="s">
        <v>854</v>
      </c>
      <c r="E34" s="15">
        <f>SUM(E28:E33)</f>
        <v>-824000</v>
      </c>
      <c r="F34" s="15">
        <f t="shared" ref="F34:H34" si="0">SUM(F28:F33)</f>
        <v>-10520000</v>
      </c>
      <c r="G34" s="15">
        <f t="shared" si="0"/>
        <v>-2158000</v>
      </c>
      <c r="H34" s="15">
        <f t="shared" si="0"/>
        <v>-1814000</v>
      </c>
      <c r="I34" s="15">
        <f>SUM(I28:I33)</f>
        <v>-2639000</v>
      </c>
      <c r="J34" s="15">
        <f>SUM(J28:J33)</f>
        <v>-3569000</v>
      </c>
      <c r="K34" s="15">
        <f>SUM(K28:K33)</f>
        <v>-9336000</v>
      </c>
      <c r="L34" s="15">
        <f>SUM(L28:L33)</f>
        <v>-10542000</v>
      </c>
      <c r="M34" s="15">
        <f>SUM(M28:M33)</f>
        <v>-12180000</v>
      </c>
      <c r="N34" s="15">
        <f>SUM(N28:N33)</f>
        <v>-14978000</v>
      </c>
      <c r="O34" s="15">
        <f>SUM(O28:O33)</f>
        <v>-17281000</v>
      </c>
      <c r="P34" s="15">
        <f t="shared" ref="P34:AM34" si="1">SUM(P28:P33)</f>
        <v>-18119000</v>
      </c>
      <c r="Q34" s="15">
        <f t="shared" si="1"/>
        <v>-18218000</v>
      </c>
      <c r="R34" s="15">
        <f t="shared" si="1"/>
        <v>-18485000</v>
      </c>
      <c r="S34" s="15">
        <f t="shared" si="1"/>
        <v>-18775000</v>
      </c>
      <c r="T34" s="15">
        <f t="shared" si="1"/>
        <v>-21956000</v>
      </c>
      <c r="U34" s="15">
        <f t="shared" si="1"/>
        <v>-24876000</v>
      </c>
      <c r="V34" s="15">
        <f t="shared" si="1"/>
        <v>-27487000</v>
      </c>
      <c r="W34" s="15">
        <f t="shared" si="1"/>
        <v>-26754000</v>
      </c>
      <c r="X34" s="15">
        <f t="shared" si="1"/>
        <v>-26955000</v>
      </c>
      <c r="Y34" s="15">
        <f t="shared" si="1"/>
        <v>-26502000</v>
      </c>
      <c r="Z34" s="15">
        <f t="shared" si="1"/>
        <v>-26498000</v>
      </c>
      <c r="AA34" s="15">
        <f t="shared" si="1"/>
        <v>-24495000</v>
      </c>
      <c r="AB34" s="15">
        <f t="shared" si="1"/>
        <v>-16822000</v>
      </c>
      <c r="AC34" s="15">
        <f t="shared" si="1"/>
        <v>-25805000</v>
      </c>
      <c r="AD34" s="15">
        <f t="shared" si="1"/>
        <v>-48363000</v>
      </c>
      <c r="AE34" s="15">
        <f t="shared" si="1"/>
        <v>-36877000</v>
      </c>
      <c r="AF34" s="15">
        <f t="shared" si="1"/>
        <v>-22779000</v>
      </c>
      <c r="AG34" s="15">
        <f t="shared" si="1"/>
        <v>-42485000</v>
      </c>
      <c r="AH34" s="15">
        <f t="shared" si="1"/>
        <v>-19085000</v>
      </c>
      <c r="AI34" s="15">
        <f t="shared" si="1"/>
        <v>-33912000</v>
      </c>
      <c r="AJ34" s="15">
        <f t="shared" si="1"/>
        <v>-35917000</v>
      </c>
      <c r="AK34" s="15">
        <f t="shared" si="1"/>
        <v>-22183000</v>
      </c>
      <c r="AL34" s="15"/>
      <c r="AM34" s="15"/>
    </row>
    <row r="35" spans="1:39">
      <c r="A35" s="1" t="s">
        <v>169</v>
      </c>
      <c r="B35" s="1" t="s">
        <v>170</v>
      </c>
      <c r="C35" s="7" t="s">
        <v>855</v>
      </c>
      <c r="D35" s="7" t="s">
        <v>856</v>
      </c>
      <c r="E35" s="15">
        <f>E34</f>
        <v>-824000</v>
      </c>
      <c r="F35" s="15">
        <f>F34</f>
        <v>-10520000</v>
      </c>
      <c r="G35" s="15">
        <f>G34</f>
        <v>-2158000</v>
      </c>
      <c r="H35" s="15">
        <f>H34</f>
        <v>-1814000</v>
      </c>
      <c r="I35" s="15">
        <f>I34</f>
        <v>-2639000</v>
      </c>
      <c r="J35" s="15">
        <f>J34</f>
        <v>-3569000</v>
      </c>
      <c r="K35" s="15">
        <f>K34</f>
        <v>-9336000</v>
      </c>
      <c r="L35" s="15">
        <f>L34</f>
        <v>-10542000</v>
      </c>
      <c r="M35" s="15">
        <f>M34</f>
        <v>-12180000</v>
      </c>
      <c r="N35" s="15">
        <f>N34</f>
        <v>-14978000</v>
      </c>
      <c r="O35" s="15">
        <f>O34</f>
        <v>-17281000</v>
      </c>
      <c r="P35" s="15">
        <f>P34</f>
        <v>-18119000</v>
      </c>
      <c r="Q35" s="15">
        <f>Q34</f>
        <v>-18218000</v>
      </c>
      <c r="R35" s="15">
        <f>R34</f>
        <v>-18485000</v>
      </c>
      <c r="S35" s="15">
        <f>S34</f>
        <v>-18775000</v>
      </c>
      <c r="T35" s="15">
        <f>T34</f>
        <v>-21956000</v>
      </c>
      <c r="U35" s="15">
        <f>U34</f>
        <v>-24876000</v>
      </c>
      <c r="V35" s="15">
        <f>V34</f>
        <v>-27487000</v>
      </c>
      <c r="W35" s="15">
        <f>W34</f>
        <v>-26754000</v>
      </c>
      <c r="X35" s="15">
        <f>X34</f>
        <v>-26955000</v>
      </c>
      <c r="Y35" s="15">
        <f>Y34</f>
        <v>-26502000</v>
      </c>
      <c r="Z35" s="15">
        <f>Z34</f>
        <v>-26498000</v>
      </c>
      <c r="AA35" s="15">
        <f>AA34</f>
        <v>-24495000</v>
      </c>
      <c r="AB35" s="15">
        <f>AB34</f>
        <v>-16822000</v>
      </c>
      <c r="AC35" s="15">
        <f>AC34</f>
        <v>-25805000</v>
      </c>
      <c r="AD35" s="15">
        <f>AD34</f>
        <v>-48363000</v>
      </c>
      <c r="AE35" s="15">
        <f>AE34</f>
        <v>-36877000</v>
      </c>
      <c r="AF35" s="15">
        <f>AF34</f>
        <v>-22779000</v>
      </c>
      <c r="AG35" s="15">
        <f>AG34</f>
        <v>-42485000</v>
      </c>
      <c r="AH35" s="15">
        <f>AH34</f>
        <v>-19085000</v>
      </c>
      <c r="AI35" s="15">
        <f>AI34</f>
        <v>-33912000</v>
      </c>
      <c r="AJ35" s="15">
        <f>AJ34</f>
        <v>-35917000</v>
      </c>
      <c r="AK35" s="15">
        <f>AK34</f>
        <v>-22183000</v>
      </c>
    </row>
    <row r="36" spans="1:39">
      <c r="A36" s="1" t="s">
        <v>169</v>
      </c>
      <c r="B36" s="1" t="s">
        <v>170</v>
      </c>
      <c r="C36" s="7" t="s">
        <v>857</v>
      </c>
      <c r="D36" s="7" t="s">
        <v>857</v>
      </c>
      <c r="E36" s="15">
        <f>E34+E27</f>
        <v>-1880000</v>
      </c>
      <c r="F36" s="15">
        <f>F34+F27</f>
        <v>-18874000</v>
      </c>
      <c r="G36" s="15">
        <f>G34+G27</f>
        <v>2725000</v>
      </c>
      <c r="H36" s="15">
        <f>H34+H27</f>
        <v>5542000</v>
      </c>
      <c r="I36" s="15">
        <f>I34+I27</f>
        <v>-11997000</v>
      </c>
      <c r="J36" s="15">
        <f>J34+J27</f>
        <v>1976000</v>
      </c>
      <c r="K36" s="15">
        <f>K34+K27</f>
        <v>-1903000</v>
      </c>
      <c r="L36" s="15">
        <f>L34+L27</f>
        <v>-2173000</v>
      </c>
      <c r="M36" s="15">
        <f>M34+M27</f>
        <v>1975000</v>
      </c>
      <c r="N36" s="15">
        <f>N34+N27</f>
        <v>7633000</v>
      </c>
      <c r="O36" s="15">
        <f>O34+O27</f>
        <v>7481000</v>
      </c>
      <c r="P36" s="15">
        <f>P34+P27</f>
        <v>868000</v>
      </c>
      <c r="Q36" s="15">
        <f>Q34+Q27</f>
        <v>1572000</v>
      </c>
      <c r="R36" s="15">
        <f>R34+R27</f>
        <v>2640000</v>
      </c>
      <c r="S36" s="15">
        <f>S34+S27</f>
        <v>-1814000</v>
      </c>
      <c r="T36" s="15">
        <f>T34+T27</f>
        <v>-10688000</v>
      </c>
      <c r="U36" s="15">
        <f>U34+U27</f>
        <v>-10794000</v>
      </c>
      <c r="V36" s="15">
        <f>V34+V27</f>
        <v>-17126000</v>
      </c>
      <c r="W36" s="15">
        <f>W34+W27</f>
        <v>-7458000</v>
      </c>
      <c r="X36" s="15">
        <f>X34+X27</f>
        <v>2321000</v>
      </c>
      <c r="Y36" s="15">
        <f>Y34+Y27</f>
        <v>1337000</v>
      </c>
      <c r="Z36" s="15">
        <f>Z34+Z27</f>
        <v>3329000</v>
      </c>
      <c r="AA36" s="15">
        <f>AA34+AA27</f>
        <v>-394000</v>
      </c>
      <c r="AB36" s="15">
        <f>AB34+AB27</f>
        <v>11746000</v>
      </c>
      <c r="AC36" s="15">
        <f>AC34+AC27</f>
        <v>5371000</v>
      </c>
      <c r="AD36" s="15">
        <f>AD34+AD27</f>
        <v>-13338000</v>
      </c>
      <c r="AE36" s="15">
        <f>AE34+AE27</f>
        <v>989000</v>
      </c>
      <c r="AF36" s="15">
        <f>AF34+AF27</f>
        <v>10624000</v>
      </c>
      <c r="AG36" s="15">
        <f>AG34+AG27</f>
        <v>-3996000</v>
      </c>
      <c r="AH36" s="15">
        <f>AH34+AH27</f>
        <v>23385000</v>
      </c>
      <c r="AI36" s="15">
        <f>AI34+AI27</f>
        <v>-1778000</v>
      </c>
      <c r="AJ36" s="15">
        <f>AJ34+AJ27</f>
        <v>-6313000</v>
      </c>
      <c r="AK36" s="15">
        <f>AK34+AK27</f>
        <v>39477000</v>
      </c>
    </row>
    <row r="37" spans="1:39">
      <c r="A37" s="1" t="s">
        <v>169</v>
      </c>
      <c r="B37" s="1" t="s">
        <v>170</v>
      </c>
      <c r="C37" s="7" t="s">
        <v>858</v>
      </c>
      <c r="D37" s="7" t="s">
        <v>859</v>
      </c>
      <c r="E37" s="15">
        <f>E38-E36</f>
        <v>11918000</v>
      </c>
      <c r="F37" s="15">
        <f>F38-F36</f>
        <v>10038000</v>
      </c>
      <c r="G37" s="15">
        <f>G38-G36</f>
        <v>-8836000</v>
      </c>
      <c r="H37" s="15">
        <v>-6111000</v>
      </c>
      <c r="I37" s="15">
        <v>-569000</v>
      </c>
      <c r="J37" s="15">
        <f>I38</f>
        <v>-12566000</v>
      </c>
      <c r="K37" s="15">
        <v>-11803000</v>
      </c>
      <c r="L37" s="12">
        <f>K38</f>
        <v>-13706000</v>
      </c>
      <c r="M37" s="12">
        <v>-21156000</v>
      </c>
      <c r="N37" s="15">
        <f>N38-N36</f>
        <v>-19181000</v>
      </c>
      <c r="O37" s="15">
        <v>-11548000</v>
      </c>
      <c r="P37" s="15">
        <f>O38</f>
        <v>-4067000</v>
      </c>
      <c r="Q37" s="15">
        <f>P38</f>
        <v>-3199000</v>
      </c>
      <c r="R37" s="15">
        <f>Q38</f>
        <v>-1627000</v>
      </c>
      <c r="S37" s="12">
        <v>6290000</v>
      </c>
      <c r="T37" s="15">
        <v>4476000</v>
      </c>
      <c r="U37" s="15">
        <f>T38</f>
        <v>-6212000</v>
      </c>
      <c r="V37" s="15">
        <f>U38</f>
        <v>-17006000</v>
      </c>
      <c r="W37" s="15">
        <f>V38</f>
        <v>-34132000</v>
      </c>
      <c r="X37" s="15">
        <f>W38</f>
        <v>-41590000</v>
      </c>
      <c r="Y37" s="15">
        <f>X38</f>
        <v>-39269000</v>
      </c>
      <c r="Z37" s="15">
        <f>Y38</f>
        <v>-37932000</v>
      </c>
      <c r="AA37" s="15">
        <f>Z38</f>
        <v>-34603000</v>
      </c>
      <c r="AB37" s="12">
        <v>-47284000</v>
      </c>
      <c r="AC37" s="15">
        <f>AB38</f>
        <v>-35538000</v>
      </c>
      <c r="AD37" s="15">
        <f>AC38</f>
        <v>-30167000</v>
      </c>
      <c r="AE37" s="12">
        <v>-66747000</v>
      </c>
      <c r="AF37" s="15">
        <f>AE38</f>
        <v>-65758000</v>
      </c>
      <c r="AG37" s="15">
        <f>AF38</f>
        <v>-55134000</v>
      </c>
      <c r="AH37" s="15">
        <f>AG38</f>
        <v>-59130000</v>
      </c>
      <c r="AI37" s="15">
        <f>AH38</f>
        <v>-35745000</v>
      </c>
      <c r="AJ37" s="15">
        <f>AI38</f>
        <v>-37523000</v>
      </c>
      <c r="AK37" s="15">
        <f>AJ38</f>
        <v>-43836000</v>
      </c>
    </row>
    <row r="38" spans="1:39">
      <c r="A38" s="1" t="s">
        <v>169</v>
      </c>
      <c r="B38" s="1" t="s">
        <v>170</v>
      </c>
      <c r="C38" s="7" t="s">
        <v>858</v>
      </c>
      <c r="D38" s="7" t="s">
        <v>860</v>
      </c>
      <c r="E38" s="15">
        <f>F37</f>
        <v>10038000</v>
      </c>
      <c r="F38" s="15">
        <f>G37</f>
        <v>-8836000</v>
      </c>
      <c r="G38" s="15">
        <v>-6111000</v>
      </c>
      <c r="H38" s="15">
        <v>-569000</v>
      </c>
      <c r="I38" s="15">
        <v>-12566000</v>
      </c>
      <c r="J38" s="15">
        <v>-11803000</v>
      </c>
      <c r="K38" s="15">
        <v>-13706000</v>
      </c>
      <c r="L38" s="12">
        <f>SUM(L36:L37)</f>
        <v>-15879000</v>
      </c>
      <c r="M38" s="15">
        <f>SUM(M36:M37)</f>
        <v>-19181000</v>
      </c>
      <c r="N38" s="15">
        <v>-11548000</v>
      </c>
      <c r="O38" s="15">
        <f>SUM(O36:O37)</f>
        <v>-4067000</v>
      </c>
      <c r="P38" s="15">
        <f>SUM(P36:P37)</f>
        <v>-3199000</v>
      </c>
      <c r="Q38" s="15">
        <f>SUM(Q36:Q37)</f>
        <v>-1627000</v>
      </c>
      <c r="R38" s="15">
        <f>SUM(R36:R37)</f>
        <v>1013000</v>
      </c>
      <c r="S38" s="15">
        <f>SUM(S36:S37)</f>
        <v>4476000</v>
      </c>
      <c r="T38" s="15">
        <f>SUM(T36:T37)</f>
        <v>-6212000</v>
      </c>
      <c r="U38" s="15">
        <f>SUM(U36:U37)</f>
        <v>-17006000</v>
      </c>
      <c r="V38" s="15">
        <f>SUM(V36:V37)</f>
        <v>-34132000</v>
      </c>
      <c r="W38" s="15">
        <f>SUM(W36:W37)</f>
        <v>-41590000</v>
      </c>
      <c r="X38" s="15">
        <f>SUM(X36:X37)</f>
        <v>-39269000</v>
      </c>
      <c r="Y38" s="15">
        <f>SUM(Y36:Y37)</f>
        <v>-37932000</v>
      </c>
      <c r="Z38" s="15">
        <f>SUM(Z36:Z37)</f>
        <v>-34603000</v>
      </c>
      <c r="AA38" s="15">
        <f>SUM(AA36:AA37)</f>
        <v>-34997000</v>
      </c>
      <c r="AB38" s="15">
        <f>SUM(AB36:AB37)</f>
        <v>-35538000</v>
      </c>
      <c r="AC38" s="15">
        <f>SUM(AC36:AC37)</f>
        <v>-30167000</v>
      </c>
      <c r="AD38" s="15">
        <f>SUM(AD36:AD37)</f>
        <v>-43505000</v>
      </c>
      <c r="AE38" s="15">
        <f>SUM(AE36:AE37)</f>
        <v>-65758000</v>
      </c>
      <c r="AF38" s="15">
        <f>SUM(AF36:AF37)</f>
        <v>-55134000</v>
      </c>
      <c r="AG38" s="15">
        <f>SUM(AG36:AG37)</f>
        <v>-59130000</v>
      </c>
      <c r="AH38" s="15">
        <f>SUM(AH36:AH37)</f>
        <v>-35745000</v>
      </c>
      <c r="AI38" s="15">
        <f>SUM(AI36:AI37)</f>
        <v>-37523000</v>
      </c>
      <c r="AJ38" s="15">
        <f>SUM(AJ36:AJ37)</f>
        <v>-43836000</v>
      </c>
      <c r="AK38" s="15">
        <f>SUM(AK36:AK37)</f>
        <v>-4359000</v>
      </c>
    </row>
    <row r="39" spans="1:39">
      <c r="T39" s="1" t="s">
        <v>861</v>
      </c>
      <c r="AE39" s="1" t="s">
        <v>862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56"/>
  <sheetViews>
    <sheetView workbookViewId="0">
      <pane xSplit="4" ySplit="2" topLeftCell="AD40" activePane="bottomRight" state="frozen"/>
      <selection pane="bottomRight" activeCell="D53" sqref="D53"/>
      <selection pane="bottomLeft" activeCell="A3" sqref="A3"/>
      <selection pane="topRight" activeCell="E1" sqref="E1"/>
    </sheetView>
  </sheetViews>
  <sheetFormatPr defaultColWidth="8.85546875" defaultRowHeight="14.45"/>
  <cols>
    <col min="1" max="1" width="10.140625" style="1" bestFit="1" customWidth="1"/>
    <col min="2" max="2" width="8.85546875" style="1"/>
    <col min="3" max="3" width="16.85546875" style="1" customWidth="1"/>
    <col min="4" max="4" width="22.140625" style="19" customWidth="1"/>
    <col min="5" max="5" width="8.85546875" style="19"/>
    <col min="6" max="6" width="12.7109375" style="19" customWidth="1"/>
    <col min="7" max="7" width="12.85546875" style="19" customWidth="1"/>
    <col min="8" max="9" width="12.42578125" style="19" bestFit="1" customWidth="1"/>
    <col min="10" max="10" width="7.28515625" style="19" bestFit="1" customWidth="1"/>
    <col min="11" max="11" width="12.42578125" style="19" bestFit="1" customWidth="1"/>
    <col min="12" max="12" width="8.85546875" style="19"/>
    <col min="13" max="13" width="12.42578125" style="19" bestFit="1" customWidth="1"/>
    <col min="14" max="16" width="8.85546875" style="19"/>
    <col min="17" max="24" width="12.42578125" style="19" bestFit="1" customWidth="1"/>
    <col min="25" max="25" width="13.28515625" style="19" customWidth="1"/>
    <col min="26" max="28" width="12.42578125" style="19" bestFit="1" customWidth="1"/>
    <col min="29" max="29" width="13" style="19" customWidth="1"/>
    <col min="30" max="31" width="12.42578125" style="19" bestFit="1" customWidth="1"/>
    <col min="32" max="33" width="12.5703125" style="19" bestFit="1" customWidth="1"/>
    <col min="34" max="35" width="12.42578125" style="19" bestFit="1" customWidth="1"/>
    <col min="36" max="16384" width="8.85546875" style="19"/>
  </cols>
  <sheetData>
    <row r="1" spans="1:35" s="1" customFormat="1">
      <c r="E1" s="10"/>
      <c r="F1" s="11" t="s">
        <v>787</v>
      </c>
      <c r="G1" s="12"/>
      <c r="H1" s="12"/>
      <c r="I1" s="12"/>
      <c r="J1" s="12"/>
      <c r="K1" s="12"/>
      <c r="L1" s="10"/>
      <c r="M1" s="10"/>
      <c r="N1" s="10"/>
      <c r="O1" s="10"/>
      <c r="P1" s="13"/>
      <c r="Q1" s="13"/>
      <c r="R1" s="13"/>
      <c r="S1" s="13"/>
      <c r="T1" s="13"/>
      <c r="U1" s="13"/>
      <c r="V1" s="13"/>
      <c r="W1" s="13"/>
      <c r="X1" s="13"/>
      <c r="Y1" s="14"/>
      <c r="Z1" s="13"/>
      <c r="AA1" s="13"/>
      <c r="AB1" s="13"/>
      <c r="AC1" s="14" t="s">
        <v>863</v>
      </c>
      <c r="AD1" s="13"/>
      <c r="AE1" s="13"/>
      <c r="AF1" s="13"/>
      <c r="AG1" s="13"/>
      <c r="AH1" s="13"/>
    </row>
    <row r="2" spans="1:35" s="1" customFormat="1">
      <c r="A2" s="2" t="s">
        <v>149</v>
      </c>
      <c r="B2" s="2" t="s">
        <v>788</v>
      </c>
      <c r="C2" s="2" t="s">
        <v>789</v>
      </c>
      <c r="D2" s="2" t="s">
        <v>790</v>
      </c>
      <c r="E2" s="5" t="s">
        <v>793</v>
      </c>
      <c r="F2" s="5" t="s">
        <v>794</v>
      </c>
      <c r="G2" s="5" t="s">
        <v>795</v>
      </c>
      <c r="H2" s="5" t="s">
        <v>796</v>
      </c>
      <c r="I2" s="5" t="s">
        <v>797</v>
      </c>
      <c r="J2" s="5" t="s">
        <v>798</v>
      </c>
      <c r="K2" s="5" t="s">
        <v>799</v>
      </c>
      <c r="L2" s="5" t="s">
        <v>800</v>
      </c>
      <c r="M2" s="5" t="s">
        <v>801</v>
      </c>
      <c r="N2" s="5" t="s">
        <v>802</v>
      </c>
      <c r="O2" s="5" t="s">
        <v>803</v>
      </c>
      <c r="P2" s="5" t="s">
        <v>804</v>
      </c>
      <c r="Q2" s="5" t="s">
        <v>805</v>
      </c>
      <c r="R2" s="5" t="s">
        <v>806</v>
      </c>
      <c r="S2" s="5" t="s">
        <v>807</v>
      </c>
      <c r="T2" s="5" t="s">
        <v>808</v>
      </c>
      <c r="U2" s="5" t="s">
        <v>809</v>
      </c>
      <c r="V2" s="5" t="s">
        <v>810</v>
      </c>
      <c r="W2" s="5" t="s">
        <v>811</v>
      </c>
      <c r="X2" s="5" t="s">
        <v>812</v>
      </c>
      <c r="Y2" s="5" t="s">
        <v>813</v>
      </c>
      <c r="Z2" s="5" t="s">
        <v>814</v>
      </c>
      <c r="AA2" s="5" t="s">
        <v>815</v>
      </c>
      <c r="AB2" s="5" t="s">
        <v>816</v>
      </c>
      <c r="AC2" s="5" t="s">
        <v>817</v>
      </c>
      <c r="AD2" s="5" t="s">
        <v>818</v>
      </c>
      <c r="AE2" s="5" t="s">
        <v>819</v>
      </c>
      <c r="AF2" s="5" t="s">
        <v>820</v>
      </c>
      <c r="AG2" s="5" t="s">
        <v>821</v>
      </c>
      <c r="AH2" s="5" t="s">
        <v>822</v>
      </c>
      <c r="AI2" s="5" t="s">
        <v>823</v>
      </c>
    </row>
    <row r="3" spans="1:35" s="1" customFormat="1">
      <c r="A3" s="1" t="s">
        <v>169</v>
      </c>
      <c r="B3" s="1" t="s">
        <v>170</v>
      </c>
      <c r="C3" s="1" t="s">
        <v>864</v>
      </c>
      <c r="D3" s="1" t="s">
        <v>865</v>
      </c>
      <c r="E3" s="10"/>
      <c r="F3" s="10">
        <v>20000</v>
      </c>
      <c r="G3" s="10">
        <v>24000</v>
      </c>
      <c r="H3" s="10">
        <v>7000</v>
      </c>
      <c r="I3" s="10">
        <v>0</v>
      </c>
      <c r="J3" s="10"/>
      <c r="K3" s="10" t="s">
        <v>174</v>
      </c>
      <c r="L3" s="10"/>
      <c r="M3" s="10" t="s">
        <v>174</v>
      </c>
      <c r="N3" s="10"/>
      <c r="O3" s="10"/>
      <c r="P3" s="13"/>
      <c r="Q3" s="13" t="s">
        <v>174</v>
      </c>
      <c r="R3" s="13" t="s">
        <v>174</v>
      </c>
      <c r="S3" s="13" t="s">
        <v>174</v>
      </c>
      <c r="T3" s="13" t="s">
        <v>174</v>
      </c>
      <c r="U3" s="13" t="s">
        <v>174</v>
      </c>
      <c r="V3" s="13" t="s">
        <v>174</v>
      </c>
      <c r="W3" s="13" t="s">
        <v>174</v>
      </c>
      <c r="X3" s="13" t="s">
        <v>174</v>
      </c>
      <c r="Y3" s="13" t="s">
        <v>174</v>
      </c>
      <c r="Z3" s="13" t="s">
        <v>174</v>
      </c>
      <c r="AA3" s="13" t="s">
        <v>174</v>
      </c>
      <c r="AB3" s="13" t="s">
        <v>174</v>
      </c>
      <c r="AC3" s="13" t="s">
        <v>174</v>
      </c>
      <c r="AD3" s="13" t="s">
        <v>174</v>
      </c>
      <c r="AE3" s="13" t="s">
        <v>174</v>
      </c>
      <c r="AF3" s="13" t="s">
        <v>174</v>
      </c>
      <c r="AG3" s="13" t="s">
        <v>174</v>
      </c>
      <c r="AH3" s="13" t="s">
        <v>174</v>
      </c>
      <c r="AI3" s="13" t="s">
        <v>174</v>
      </c>
    </row>
    <row r="4" spans="1:35" s="1" customFormat="1">
      <c r="A4" s="1" t="s">
        <v>169</v>
      </c>
      <c r="B4" s="1" t="s">
        <v>170</v>
      </c>
      <c r="C4" s="1" t="s">
        <v>864</v>
      </c>
      <c r="D4" s="1" t="s">
        <v>866</v>
      </c>
      <c r="E4" s="10"/>
      <c r="F4" s="10">
        <v>18891000</v>
      </c>
      <c r="G4" s="10">
        <v>20742000</v>
      </c>
      <c r="H4" s="10">
        <v>17959000</v>
      </c>
      <c r="I4" s="10">
        <v>5159000</v>
      </c>
      <c r="J4" s="10"/>
      <c r="K4" s="10">
        <v>2765000</v>
      </c>
      <c r="L4" s="10"/>
      <c r="M4" s="10">
        <v>11620000</v>
      </c>
      <c r="N4" s="10"/>
      <c r="O4" s="10"/>
      <c r="P4" s="13"/>
      <c r="Q4" s="13">
        <v>43779000</v>
      </c>
      <c r="R4" s="13">
        <v>29889000</v>
      </c>
      <c r="S4" s="13">
        <v>31643000</v>
      </c>
      <c r="T4" s="13">
        <v>20895000</v>
      </c>
      <c r="U4" s="13">
        <v>20617000</v>
      </c>
      <c r="V4" s="13">
        <v>26344000</v>
      </c>
      <c r="W4" s="13">
        <v>31907000</v>
      </c>
      <c r="X4" s="13">
        <v>35024000</v>
      </c>
      <c r="Y4" s="13">
        <v>41914000</v>
      </c>
      <c r="Z4" s="13">
        <v>42937000</v>
      </c>
      <c r="AA4" s="13">
        <v>37129000</v>
      </c>
      <c r="AB4" s="13">
        <v>41676000</v>
      </c>
      <c r="AC4" s="13">
        <v>39361000</v>
      </c>
      <c r="AD4" s="13">
        <v>33756000</v>
      </c>
      <c r="AE4" s="13">
        <v>31219000</v>
      </c>
      <c r="AF4" s="13">
        <v>28269000</v>
      </c>
      <c r="AG4" s="13">
        <v>21620000</v>
      </c>
      <c r="AH4" s="13">
        <v>11076000</v>
      </c>
      <c r="AI4" s="13">
        <v>46920000</v>
      </c>
    </row>
    <row r="5" spans="1:35" s="1" customFormat="1">
      <c r="A5" s="1" t="s">
        <v>169</v>
      </c>
      <c r="B5" s="1" t="s">
        <v>170</v>
      </c>
      <c r="C5" s="1" t="s">
        <v>864</v>
      </c>
      <c r="D5" s="1" t="s">
        <v>867</v>
      </c>
      <c r="E5" s="10"/>
      <c r="F5" s="10">
        <v>100000</v>
      </c>
      <c r="G5" s="10">
        <v>100000</v>
      </c>
      <c r="H5" s="10">
        <v>0</v>
      </c>
      <c r="I5" s="10">
        <v>0</v>
      </c>
      <c r="J5" s="10"/>
      <c r="K5" s="10" t="s">
        <v>174</v>
      </c>
      <c r="L5" s="10"/>
      <c r="M5" s="10" t="s">
        <v>174</v>
      </c>
      <c r="N5" s="10"/>
      <c r="O5" s="10"/>
      <c r="P5" s="13"/>
      <c r="Q5" s="13" t="s">
        <v>174</v>
      </c>
      <c r="R5" s="13" t="s">
        <v>174</v>
      </c>
      <c r="S5" s="13" t="s">
        <v>174</v>
      </c>
      <c r="T5" s="13" t="s">
        <v>174</v>
      </c>
      <c r="U5" s="13" t="s">
        <v>174</v>
      </c>
      <c r="V5" s="13" t="s">
        <v>174</v>
      </c>
      <c r="W5" s="13" t="s">
        <v>174</v>
      </c>
      <c r="X5" s="13" t="s">
        <v>174</v>
      </c>
      <c r="Y5" s="13" t="s">
        <v>174</v>
      </c>
      <c r="Z5" s="13" t="s">
        <v>174</v>
      </c>
      <c r="AA5" s="13" t="s">
        <v>174</v>
      </c>
      <c r="AB5" s="13" t="s">
        <v>174</v>
      </c>
      <c r="AC5" s="13" t="s">
        <v>174</v>
      </c>
      <c r="AD5" s="13" t="s">
        <v>174</v>
      </c>
      <c r="AE5" s="13" t="s">
        <v>174</v>
      </c>
      <c r="AF5" s="13" t="s">
        <v>174</v>
      </c>
      <c r="AG5" s="13" t="s">
        <v>174</v>
      </c>
      <c r="AH5" s="13" t="s">
        <v>174</v>
      </c>
      <c r="AI5" s="13" t="s">
        <v>174</v>
      </c>
    </row>
    <row r="6" spans="1:35" s="1" customFormat="1">
      <c r="A6" s="1" t="s">
        <v>169</v>
      </c>
      <c r="B6" s="1" t="s">
        <v>170</v>
      </c>
      <c r="C6" s="1" t="s">
        <v>864</v>
      </c>
      <c r="D6" s="1" t="s">
        <v>868</v>
      </c>
      <c r="E6" s="10"/>
      <c r="F6" s="10">
        <v>5387000</v>
      </c>
      <c r="G6" s="10">
        <v>4301000</v>
      </c>
      <c r="H6" s="10">
        <v>3446000</v>
      </c>
      <c r="I6" s="10">
        <v>3859000</v>
      </c>
      <c r="J6" s="10"/>
      <c r="K6" s="10">
        <v>6310000</v>
      </c>
      <c r="L6" s="10"/>
      <c r="M6" s="10" t="s">
        <v>174</v>
      </c>
      <c r="N6" s="10"/>
      <c r="O6" s="10"/>
      <c r="P6" s="13"/>
      <c r="Q6" s="13" t="s">
        <v>174</v>
      </c>
      <c r="R6" s="13" t="s">
        <v>174</v>
      </c>
      <c r="S6" s="13" t="s">
        <v>174</v>
      </c>
      <c r="T6" s="13" t="s">
        <v>174</v>
      </c>
      <c r="U6" s="13" t="s">
        <v>174</v>
      </c>
      <c r="V6" s="13" t="s">
        <v>174</v>
      </c>
      <c r="W6" s="13" t="s">
        <v>174</v>
      </c>
      <c r="X6" s="13" t="s">
        <v>174</v>
      </c>
      <c r="Y6" s="13" t="s">
        <v>174</v>
      </c>
      <c r="Z6" s="13" t="s">
        <v>174</v>
      </c>
      <c r="AA6" s="13" t="s">
        <v>174</v>
      </c>
      <c r="AB6" s="13" t="s">
        <v>174</v>
      </c>
      <c r="AC6" s="13" t="s">
        <v>174</v>
      </c>
      <c r="AD6" s="13" t="s">
        <v>174</v>
      </c>
      <c r="AE6" s="13" t="s">
        <v>174</v>
      </c>
      <c r="AF6" s="13" t="s">
        <v>174</v>
      </c>
      <c r="AG6" s="13" t="s">
        <v>174</v>
      </c>
      <c r="AH6" s="13" t="s">
        <v>174</v>
      </c>
      <c r="AI6" s="13" t="s">
        <v>174</v>
      </c>
    </row>
    <row r="7" spans="1:35" s="1" customFormat="1">
      <c r="A7" s="1" t="s">
        <v>169</v>
      </c>
      <c r="B7" s="1" t="s">
        <v>170</v>
      </c>
      <c r="C7" s="1" t="s">
        <v>864</v>
      </c>
      <c r="D7" s="1" t="s">
        <v>869</v>
      </c>
      <c r="E7" s="10"/>
      <c r="F7" s="10" t="s">
        <v>174</v>
      </c>
      <c r="G7" s="10" t="s">
        <v>174</v>
      </c>
      <c r="H7" s="10" t="s">
        <v>174</v>
      </c>
      <c r="I7" s="10" t="s">
        <v>174</v>
      </c>
      <c r="J7" s="10"/>
      <c r="K7" s="10" t="s">
        <v>174</v>
      </c>
      <c r="L7" s="10"/>
      <c r="M7" s="10">
        <v>9419000</v>
      </c>
      <c r="N7" s="10"/>
      <c r="O7" s="10"/>
      <c r="P7" s="13"/>
      <c r="Q7" s="13">
        <v>10862000</v>
      </c>
      <c r="R7" s="13">
        <v>6974000</v>
      </c>
      <c r="S7" s="13">
        <v>6693000</v>
      </c>
      <c r="T7" s="13">
        <v>7955000</v>
      </c>
      <c r="U7" s="13">
        <v>8078000</v>
      </c>
      <c r="V7" s="13">
        <v>9022000</v>
      </c>
      <c r="W7" s="13">
        <v>9759000</v>
      </c>
      <c r="X7" s="13">
        <v>11012000</v>
      </c>
      <c r="Y7" s="13">
        <v>10159000</v>
      </c>
      <c r="Z7" s="13">
        <v>8357000</v>
      </c>
      <c r="AA7" s="13">
        <v>9581000</v>
      </c>
      <c r="AB7" s="13">
        <v>8557000</v>
      </c>
      <c r="AC7" s="13">
        <v>7062000</v>
      </c>
      <c r="AD7" s="13">
        <v>7578000</v>
      </c>
      <c r="AE7" s="13">
        <v>8353000</v>
      </c>
      <c r="AF7" s="13">
        <v>8127000</v>
      </c>
      <c r="AG7" s="13">
        <v>6388000</v>
      </c>
      <c r="AH7" s="13">
        <v>9335000</v>
      </c>
      <c r="AI7" s="13">
        <v>8537000</v>
      </c>
    </row>
    <row r="8" spans="1:35" s="1" customFormat="1">
      <c r="A8" s="1" t="s">
        <v>169</v>
      </c>
      <c r="B8" s="1" t="s">
        <v>170</v>
      </c>
      <c r="C8" s="1" t="s">
        <v>864</v>
      </c>
      <c r="D8" s="1" t="s">
        <v>870</v>
      </c>
      <c r="E8" s="10"/>
      <c r="F8" s="10" t="s">
        <v>174</v>
      </c>
      <c r="G8" s="10" t="s">
        <v>174</v>
      </c>
      <c r="H8" s="10" t="s">
        <v>174</v>
      </c>
      <c r="I8" s="10" t="s">
        <v>174</v>
      </c>
      <c r="J8" s="10"/>
      <c r="K8" s="10" t="s">
        <v>174</v>
      </c>
      <c r="L8" s="10"/>
      <c r="M8" s="10">
        <v>2282000</v>
      </c>
      <c r="N8" s="10"/>
      <c r="O8" s="10"/>
      <c r="P8" s="13"/>
      <c r="Q8" s="13">
        <v>1176000</v>
      </c>
      <c r="R8" s="13">
        <v>3413000</v>
      </c>
      <c r="S8" s="13">
        <v>3524000</v>
      </c>
      <c r="T8" s="13">
        <v>2982000</v>
      </c>
      <c r="U8" s="13">
        <v>4949000</v>
      </c>
      <c r="V8" s="13">
        <v>5311000</v>
      </c>
      <c r="W8" s="13">
        <v>5239000</v>
      </c>
      <c r="X8" s="13">
        <v>5527000</v>
      </c>
      <c r="Y8" s="13">
        <v>4894000</v>
      </c>
      <c r="Z8" s="13">
        <v>4739000</v>
      </c>
      <c r="AA8" s="13">
        <v>4194000</v>
      </c>
      <c r="AB8" s="13">
        <v>2679000</v>
      </c>
      <c r="AC8" s="13">
        <v>4824000</v>
      </c>
      <c r="AD8" s="13">
        <v>4994000</v>
      </c>
      <c r="AE8" s="13">
        <v>5919000</v>
      </c>
      <c r="AF8" s="13">
        <v>8774000</v>
      </c>
      <c r="AG8" s="13">
        <v>10844000</v>
      </c>
      <c r="AH8" s="13">
        <v>9975000</v>
      </c>
      <c r="AI8" s="13">
        <v>7014000</v>
      </c>
    </row>
    <row r="9" spans="1:35" s="1" customFormat="1">
      <c r="A9" s="1" t="s">
        <v>169</v>
      </c>
      <c r="B9" s="1" t="s">
        <v>170</v>
      </c>
      <c r="C9" s="1" t="s">
        <v>864</v>
      </c>
      <c r="D9" s="1" t="s">
        <v>871</v>
      </c>
      <c r="E9" s="10"/>
      <c r="F9" s="10">
        <v>5984000</v>
      </c>
      <c r="G9" s="10">
        <v>6798000</v>
      </c>
      <c r="H9" s="10">
        <v>7062000</v>
      </c>
      <c r="I9" s="10">
        <v>7227000</v>
      </c>
      <c r="J9" s="10"/>
      <c r="K9" s="10">
        <v>7462000</v>
      </c>
      <c r="L9" s="10"/>
      <c r="M9" s="10" t="s">
        <v>174</v>
      </c>
      <c r="N9" s="10"/>
      <c r="O9" s="10"/>
      <c r="P9" s="13"/>
      <c r="Q9" s="13" t="s">
        <v>174</v>
      </c>
      <c r="R9" s="13" t="s">
        <v>174</v>
      </c>
      <c r="S9" s="13" t="s">
        <v>174</v>
      </c>
      <c r="T9" s="13" t="s">
        <v>174</v>
      </c>
      <c r="U9" s="13" t="s">
        <v>174</v>
      </c>
      <c r="V9" s="13" t="s">
        <v>174</v>
      </c>
      <c r="W9" s="13" t="s">
        <v>174</v>
      </c>
      <c r="X9" s="13" t="s">
        <v>174</v>
      </c>
      <c r="Y9" s="13" t="s">
        <v>174</v>
      </c>
      <c r="Z9" s="13" t="s">
        <v>174</v>
      </c>
      <c r="AA9" s="13" t="s">
        <v>174</v>
      </c>
      <c r="AB9" s="13" t="s">
        <v>174</v>
      </c>
      <c r="AC9" s="13" t="s">
        <v>174</v>
      </c>
      <c r="AD9" s="13" t="s">
        <v>174</v>
      </c>
      <c r="AE9" s="13" t="s">
        <v>174</v>
      </c>
      <c r="AF9" s="13" t="s">
        <v>174</v>
      </c>
      <c r="AG9" s="13" t="s">
        <v>174</v>
      </c>
      <c r="AH9" s="13" t="s">
        <v>174</v>
      </c>
      <c r="AI9" s="13" t="s">
        <v>174</v>
      </c>
    </row>
    <row r="10" spans="1:35" s="1" customFormat="1">
      <c r="A10" s="1" t="s">
        <v>169</v>
      </c>
      <c r="B10" s="1" t="s">
        <v>170</v>
      </c>
      <c r="C10" s="1" t="s">
        <v>864</v>
      </c>
      <c r="D10" s="1" t="s">
        <v>872</v>
      </c>
      <c r="E10" s="10"/>
      <c r="F10" s="10" t="s">
        <v>174</v>
      </c>
      <c r="G10" s="10" t="s">
        <v>174</v>
      </c>
      <c r="H10" s="10" t="s">
        <v>174</v>
      </c>
      <c r="I10" s="10" t="s">
        <v>174</v>
      </c>
      <c r="J10" s="10"/>
      <c r="K10" s="10" t="s">
        <v>174</v>
      </c>
      <c r="L10" s="10"/>
      <c r="M10" s="10">
        <v>8167000</v>
      </c>
      <c r="N10" s="10"/>
      <c r="O10" s="10"/>
      <c r="P10" s="13"/>
      <c r="Q10" s="13">
        <v>2995000</v>
      </c>
      <c r="R10" s="13">
        <v>3852000</v>
      </c>
      <c r="S10" s="13">
        <v>4017000</v>
      </c>
      <c r="T10" s="13">
        <v>3809000</v>
      </c>
      <c r="U10" s="13">
        <v>4395000</v>
      </c>
      <c r="V10" s="13">
        <v>4237000</v>
      </c>
      <c r="W10" s="13">
        <v>4877000</v>
      </c>
      <c r="X10" s="13">
        <v>4037000</v>
      </c>
      <c r="Y10" s="13">
        <v>4245000</v>
      </c>
      <c r="Z10" s="13">
        <v>4457000</v>
      </c>
      <c r="AA10" s="13">
        <v>4115000</v>
      </c>
      <c r="AB10" s="13">
        <v>5414000</v>
      </c>
      <c r="AC10" s="13">
        <v>5091000</v>
      </c>
      <c r="AD10" s="13">
        <v>5001000</v>
      </c>
      <c r="AE10" s="13">
        <v>5292000</v>
      </c>
      <c r="AF10" s="13">
        <v>4879000</v>
      </c>
      <c r="AG10" s="13">
        <v>5886000</v>
      </c>
      <c r="AH10" s="13">
        <v>6760000</v>
      </c>
      <c r="AI10" s="13">
        <v>8583000</v>
      </c>
    </row>
    <row r="11" spans="1:35" s="1" customFormat="1">
      <c r="A11" s="1" t="s">
        <v>169</v>
      </c>
      <c r="B11" s="1" t="s">
        <v>170</v>
      </c>
      <c r="C11" s="1" t="s">
        <v>864</v>
      </c>
      <c r="D11" s="1" t="s">
        <v>873</v>
      </c>
      <c r="E11" s="10"/>
      <c r="F11" s="10" t="s">
        <v>174</v>
      </c>
      <c r="G11" s="10" t="s">
        <v>174</v>
      </c>
      <c r="H11" s="10" t="s">
        <v>174</v>
      </c>
      <c r="I11" s="10" t="s">
        <v>174</v>
      </c>
      <c r="J11" s="10"/>
      <c r="K11" s="10" t="s">
        <v>174</v>
      </c>
      <c r="L11" s="10"/>
      <c r="M11" s="10">
        <v>1671000</v>
      </c>
      <c r="N11" s="10"/>
      <c r="O11" s="10"/>
      <c r="P11" s="13"/>
      <c r="Q11" s="13">
        <v>2429000</v>
      </c>
      <c r="R11" s="13">
        <v>185000</v>
      </c>
      <c r="S11" s="13">
        <v>128000</v>
      </c>
      <c r="T11" s="13">
        <v>147000</v>
      </c>
      <c r="U11" s="13">
        <v>2505000</v>
      </c>
      <c r="V11" s="13">
        <v>2274000</v>
      </c>
      <c r="W11" s="13">
        <v>2091000</v>
      </c>
      <c r="X11" s="13">
        <v>2957000</v>
      </c>
      <c r="Y11" s="13">
        <v>3235000</v>
      </c>
      <c r="Z11" s="13">
        <v>3362000</v>
      </c>
      <c r="AA11" s="13">
        <v>2201000</v>
      </c>
      <c r="AB11" s="13">
        <v>2800000</v>
      </c>
      <c r="AC11" s="13">
        <v>3304000</v>
      </c>
      <c r="AD11" s="13">
        <v>2924000</v>
      </c>
      <c r="AE11" s="13">
        <v>3700000</v>
      </c>
      <c r="AF11" s="13">
        <v>7768000</v>
      </c>
      <c r="AG11" s="13">
        <v>3719000</v>
      </c>
      <c r="AH11" s="13">
        <v>3746000</v>
      </c>
      <c r="AI11" s="13">
        <v>3719000</v>
      </c>
    </row>
    <row r="12" spans="1:35" s="1" customFormat="1">
      <c r="A12" s="1" t="s">
        <v>169</v>
      </c>
      <c r="B12" s="1" t="s">
        <v>170</v>
      </c>
      <c r="C12" s="1" t="s">
        <v>864</v>
      </c>
      <c r="D12" s="1" t="s">
        <v>274</v>
      </c>
      <c r="E12" s="10"/>
      <c r="F12" s="10">
        <v>48000</v>
      </c>
      <c r="G12" s="10">
        <v>18000</v>
      </c>
      <c r="H12" s="10">
        <v>7000</v>
      </c>
      <c r="I12" s="10">
        <v>7000</v>
      </c>
      <c r="J12" s="10"/>
      <c r="K12" s="10" t="s">
        <v>174</v>
      </c>
      <c r="L12" s="10"/>
      <c r="M12" s="10" t="s">
        <v>174</v>
      </c>
      <c r="N12" s="10"/>
      <c r="O12" s="10"/>
      <c r="P12" s="13"/>
      <c r="Q12" s="13" t="s">
        <v>174</v>
      </c>
      <c r="R12" s="13">
        <v>603000</v>
      </c>
      <c r="S12" s="13">
        <v>347000</v>
      </c>
      <c r="T12" s="13">
        <v>1358000</v>
      </c>
      <c r="U12" s="13">
        <v>2332000</v>
      </c>
      <c r="V12" s="13">
        <v>1791000</v>
      </c>
      <c r="W12" s="13">
        <v>1470000</v>
      </c>
      <c r="X12" s="13">
        <v>1339000</v>
      </c>
      <c r="Y12" s="13">
        <v>2137000</v>
      </c>
      <c r="Z12" s="13">
        <v>1077000</v>
      </c>
      <c r="AA12" s="13">
        <v>7853000</v>
      </c>
      <c r="AB12" s="13">
        <v>4722000</v>
      </c>
      <c r="AC12" s="13">
        <v>5497000</v>
      </c>
      <c r="AD12" s="13">
        <v>789000</v>
      </c>
      <c r="AE12" s="13">
        <v>739000</v>
      </c>
      <c r="AF12" s="13">
        <v>695000</v>
      </c>
      <c r="AG12" s="13">
        <v>797000</v>
      </c>
      <c r="AH12" s="13">
        <v>1074000</v>
      </c>
      <c r="AI12" s="13">
        <v>1510000</v>
      </c>
    </row>
    <row r="13" spans="1:35" s="1" customFormat="1">
      <c r="A13" s="1" t="s">
        <v>169</v>
      </c>
      <c r="B13" s="1" t="s">
        <v>170</v>
      </c>
      <c r="C13" s="1" t="s">
        <v>864</v>
      </c>
      <c r="D13" s="1" t="s">
        <v>874</v>
      </c>
      <c r="E13" s="10"/>
      <c r="F13" s="10" t="s">
        <v>174</v>
      </c>
      <c r="G13" s="10" t="s">
        <v>174</v>
      </c>
      <c r="H13" s="10" t="s">
        <v>174</v>
      </c>
      <c r="I13" s="10" t="s">
        <v>174</v>
      </c>
      <c r="J13" s="10"/>
      <c r="K13" s="10" t="s">
        <v>174</v>
      </c>
      <c r="L13" s="10"/>
      <c r="M13" s="10">
        <v>1403000</v>
      </c>
      <c r="N13" s="10"/>
      <c r="O13" s="10"/>
      <c r="P13" s="13"/>
      <c r="Q13" s="13" t="s">
        <v>174</v>
      </c>
      <c r="R13" s="13" t="s">
        <v>174</v>
      </c>
      <c r="S13" s="13" t="s">
        <v>174</v>
      </c>
      <c r="T13" s="13" t="s">
        <v>174</v>
      </c>
      <c r="U13" s="13" t="s">
        <v>174</v>
      </c>
      <c r="V13" s="13" t="s">
        <v>174</v>
      </c>
      <c r="W13" s="13" t="s">
        <v>174</v>
      </c>
      <c r="X13" s="13" t="s">
        <v>174</v>
      </c>
      <c r="Y13" s="13" t="s">
        <v>174</v>
      </c>
      <c r="Z13" s="13" t="s">
        <v>174</v>
      </c>
      <c r="AA13" s="13" t="s">
        <v>174</v>
      </c>
      <c r="AB13" s="13" t="s">
        <v>174</v>
      </c>
      <c r="AC13" s="13" t="s">
        <v>174</v>
      </c>
      <c r="AD13" s="13" t="s">
        <v>174</v>
      </c>
      <c r="AE13" s="13" t="s">
        <v>174</v>
      </c>
      <c r="AF13" s="13" t="s">
        <v>174</v>
      </c>
      <c r="AG13" s="13" t="s">
        <v>174</v>
      </c>
      <c r="AH13" s="13" t="s">
        <v>174</v>
      </c>
      <c r="AI13" s="13" t="s">
        <v>174</v>
      </c>
    </row>
    <row r="14" spans="1:35" s="1" customFormat="1">
      <c r="A14" s="1" t="s">
        <v>169</v>
      </c>
      <c r="B14" s="1" t="s">
        <v>170</v>
      </c>
      <c r="C14" s="1" t="s">
        <v>864</v>
      </c>
      <c r="D14" s="1" t="s">
        <v>875</v>
      </c>
      <c r="E14" s="10"/>
      <c r="F14" s="10" t="s">
        <v>174</v>
      </c>
      <c r="G14" s="10" t="s">
        <v>174</v>
      </c>
      <c r="H14" s="10" t="s">
        <v>174</v>
      </c>
      <c r="I14" s="10" t="s">
        <v>174</v>
      </c>
      <c r="J14" s="10"/>
      <c r="K14" s="10" t="s">
        <v>174</v>
      </c>
      <c r="L14" s="10"/>
      <c r="M14" s="10">
        <v>4043000</v>
      </c>
      <c r="N14" s="10"/>
      <c r="O14" s="10"/>
      <c r="P14" s="13"/>
      <c r="Q14" s="13">
        <v>1505000</v>
      </c>
      <c r="R14" s="13">
        <v>1538000</v>
      </c>
      <c r="S14" s="13">
        <v>1495000</v>
      </c>
      <c r="T14" s="13">
        <v>1462000</v>
      </c>
      <c r="U14" s="13">
        <v>1555000</v>
      </c>
      <c r="V14" s="13">
        <v>1563000</v>
      </c>
      <c r="W14" s="13">
        <v>1612000</v>
      </c>
      <c r="X14" s="13">
        <v>1572000</v>
      </c>
      <c r="Y14" s="13">
        <v>1564000</v>
      </c>
      <c r="Z14" s="13">
        <v>1623000</v>
      </c>
      <c r="AA14" s="13">
        <v>1649000</v>
      </c>
      <c r="AB14" s="13">
        <v>1718000</v>
      </c>
      <c r="AC14" s="13">
        <v>1752000</v>
      </c>
      <c r="AD14" s="13">
        <v>2230000</v>
      </c>
      <c r="AE14" s="13">
        <v>3212000</v>
      </c>
      <c r="AF14" s="13">
        <v>3174000</v>
      </c>
      <c r="AG14" s="13">
        <v>2218000</v>
      </c>
      <c r="AH14" s="13">
        <v>3777000</v>
      </c>
      <c r="AI14" s="13">
        <v>1984000</v>
      </c>
    </row>
    <row r="15" spans="1:35" s="1" customFormat="1">
      <c r="A15" s="1" t="s">
        <v>169</v>
      </c>
      <c r="B15" s="1" t="s">
        <v>170</v>
      </c>
      <c r="C15" s="1" t="s">
        <v>864</v>
      </c>
      <c r="D15" s="1" t="s">
        <v>876</v>
      </c>
      <c r="E15" s="10"/>
      <c r="F15" s="10" t="s">
        <v>174</v>
      </c>
      <c r="G15" s="10" t="s">
        <v>174</v>
      </c>
      <c r="H15" s="10" t="s">
        <v>174</v>
      </c>
      <c r="I15" s="10" t="s">
        <v>174</v>
      </c>
      <c r="J15" s="10"/>
      <c r="K15" s="10" t="s">
        <v>174</v>
      </c>
      <c r="L15" s="10"/>
      <c r="M15" s="10" t="s">
        <v>174</v>
      </c>
      <c r="N15" s="10"/>
      <c r="O15" s="10"/>
      <c r="P15" s="13"/>
      <c r="Q15" s="13" t="s">
        <v>174</v>
      </c>
      <c r="R15" s="13" t="s">
        <v>174</v>
      </c>
      <c r="S15" s="13" t="s">
        <v>174</v>
      </c>
      <c r="T15" s="13">
        <v>180000</v>
      </c>
      <c r="U15" s="13">
        <v>179000</v>
      </c>
      <c r="V15" s="13">
        <v>247000</v>
      </c>
      <c r="W15" s="13">
        <v>319000</v>
      </c>
      <c r="X15" s="13">
        <v>434000</v>
      </c>
      <c r="Y15" s="13">
        <v>190000</v>
      </c>
      <c r="Z15" s="13">
        <v>296000</v>
      </c>
      <c r="AA15" s="13">
        <v>433000</v>
      </c>
      <c r="AB15" s="13">
        <v>211000</v>
      </c>
      <c r="AC15" s="13">
        <v>272000</v>
      </c>
      <c r="AD15" s="13">
        <v>433000</v>
      </c>
      <c r="AE15" s="13">
        <v>496000</v>
      </c>
      <c r="AF15" s="13">
        <v>180000</v>
      </c>
      <c r="AG15" s="13">
        <v>65000</v>
      </c>
      <c r="AH15" s="13">
        <v>674000</v>
      </c>
      <c r="AI15" s="13">
        <v>520000</v>
      </c>
    </row>
    <row r="16" spans="1:35" s="1" customFormat="1">
      <c r="A16" s="1" t="s">
        <v>169</v>
      </c>
      <c r="B16" s="1" t="s">
        <v>170</v>
      </c>
      <c r="C16" s="7" t="s">
        <v>864</v>
      </c>
      <c r="D16" s="7" t="s">
        <v>603</v>
      </c>
      <c r="E16" s="10"/>
      <c r="F16" s="15">
        <f>SUM(F3:F15)</f>
        <v>30430000</v>
      </c>
      <c r="G16" s="15">
        <f>SUM(G3:G15)</f>
        <v>31983000</v>
      </c>
      <c r="H16" s="15">
        <f>SUM(H3:H15)</f>
        <v>28481000</v>
      </c>
      <c r="I16" s="15">
        <f>SUM(I3:I15)</f>
        <v>16252000</v>
      </c>
      <c r="J16" s="10"/>
      <c r="K16" s="15">
        <f>SUM(K3:K15)</f>
        <v>16537000</v>
      </c>
      <c r="L16" s="10"/>
      <c r="M16" s="15">
        <f>SUM(M3:M15)</f>
        <v>38605000</v>
      </c>
      <c r="N16" s="10"/>
      <c r="O16" s="10"/>
      <c r="P16" s="13"/>
      <c r="Q16" s="15">
        <f>SUM(Q3:Q15)</f>
        <v>62746000</v>
      </c>
      <c r="R16" s="15">
        <f>SUM(R3:R15)</f>
        <v>46454000</v>
      </c>
      <c r="S16" s="15">
        <f>SUM(S3:S15)</f>
        <v>47847000</v>
      </c>
      <c r="T16" s="15">
        <f>SUM(T3:T15)</f>
        <v>38788000</v>
      </c>
      <c r="U16" s="15">
        <f>SUM(U3:U15)</f>
        <v>44610000</v>
      </c>
      <c r="V16" s="15">
        <f>SUM(V3:V15)</f>
        <v>50789000</v>
      </c>
      <c r="W16" s="15">
        <f t="shared" ref="W16:AI16" si="0">SUM(W3:W15)</f>
        <v>57274000</v>
      </c>
      <c r="X16" s="15">
        <f t="shared" si="0"/>
        <v>61902000</v>
      </c>
      <c r="Y16" s="15">
        <f t="shared" si="0"/>
        <v>68338000</v>
      </c>
      <c r="Z16" s="15">
        <f t="shared" si="0"/>
        <v>66848000</v>
      </c>
      <c r="AA16" s="15">
        <f t="shared" si="0"/>
        <v>67155000</v>
      </c>
      <c r="AB16" s="15">
        <f t="shared" si="0"/>
        <v>67777000</v>
      </c>
      <c r="AC16" s="15">
        <f t="shared" si="0"/>
        <v>67163000</v>
      </c>
      <c r="AD16" s="15">
        <f t="shared" si="0"/>
        <v>57705000</v>
      </c>
      <c r="AE16" s="15">
        <f t="shared" si="0"/>
        <v>58930000</v>
      </c>
      <c r="AF16" s="15">
        <f t="shared" si="0"/>
        <v>61866000</v>
      </c>
      <c r="AG16" s="15">
        <f t="shared" si="0"/>
        <v>51537000</v>
      </c>
      <c r="AH16" s="15">
        <f t="shared" si="0"/>
        <v>46417000</v>
      </c>
      <c r="AI16" s="15">
        <f t="shared" si="0"/>
        <v>78787000</v>
      </c>
    </row>
    <row r="17" spans="1:35" s="1" customFormat="1">
      <c r="A17" s="1" t="s">
        <v>169</v>
      </c>
      <c r="B17" s="1" t="s">
        <v>170</v>
      </c>
      <c r="C17" s="1" t="s">
        <v>877</v>
      </c>
      <c r="D17" s="1" t="s">
        <v>878</v>
      </c>
      <c r="E17" s="10"/>
      <c r="F17" s="10">
        <v>1454000</v>
      </c>
      <c r="G17" s="10">
        <v>1947000</v>
      </c>
      <c r="H17" s="10">
        <v>531000</v>
      </c>
      <c r="I17" s="10">
        <v>308000</v>
      </c>
      <c r="J17" s="10"/>
      <c r="K17" s="10">
        <v>400000</v>
      </c>
      <c r="L17" s="10"/>
      <c r="M17" s="10">
        <v>3867000</v>
      </c>
      <c r="N17" s="10"/>
      <c r="O17" s="10"/>
      <c r="P17" s="13"/>
      <c r="Q17" s="13">
        <v>1212000</v>
      </c>
      <c r="R17" s="13">
        <v>240000</v>
      </c>
      <c r="S17" s="13">
        <v>420000</v>
      </c>
      <c r="T17" s="13">
        <v>168000</v>
      </c>
      <c r="U17" s="13">
        <v>86000</v>
      </c>
      <c r="V17" s="13">
        <v>667000</v>
      </c>
      <c r="W17" s="13">
        <v>472000</v>
      </c>
      <c r="X17" s="13">
        <v>338000</v>
      </c>
      <c r="Y17" s="13">
        <v>484000</v>
      </c>
      <c r="Z17" s="13">
        <v>78000</v>
      </c>
      <c r="AA17" s="13">
        <v>78000</v>
      </c>
      <c r="AB17" s="13">
        <v>0</v>
      </c>
      <c r="AC17" s="10" t="s">
        <v>174</v>
      </c>
      <c r="AD17" s="10" t="s">
        <v>174</v>
      </c>
      <c r="AE17" s="10" t="s">
        <v>174</v>
      </c>
      <c r="AF17" s="10" t="s">
        <v>174</v>
      </c>
      <c r="AG17" s="10" t="s">
        <v>174</v>
      </c>
      <c r="AH17" s="10" t="s">
        <v>174</v>
      </c>
      <c r="AI17" s="10" t="s">
        <v>174</v>
      </c>
    </row>
    <row r="18" spans="1:35">
      <c r="A18" s="1" t="s">
        <v>169</v>
      </c>
      <c r="B18" s="1" t="s">
        <v>170</v>
      </c>
      <c r="C18" s="1" t="s">
        <v>877</v>
      </c>
      <c r="D18" s="19" t="s">
        <v>879</v>
      </c>
      <c r="E18" s="15"/>
      <c r="F18" s="23">
        <v>-4501000</v>
      </c>
      <c r="G18" s="23">
        <v>-4486000</v>
      </c>
      <c r="H18" s="23">
        <v>-8428000</v>
      </c>
      <c r="I18" s="23">
        <v>-7594000</v>
      </c>
      <c r="J18" s="23"/>
      <c r="K18" s="23">
        <v>-4636000</v>
      </c>
      <c r="L18" s="23"/>
      <c r="M18" s="10" t="s">
        <v>174</v>
      </c>
      <c r="N18" s="23"/>
      <c r="O18" s="23"/>
      <c r="P18" s="23"/>
      <c r="Q18" s="10" t="s">
        <v>174</v>
      </c>
      <c r="R18" s="10" t="s">
        <v>174</v>
      </c>
      <c r="S18" s="10" t="s">
        <v>174</v>
      </c>
      <c r="T18" s="10" t="s">
        <v>174</v>
      </c>
      <c r="U18" s="10" t="s">
        <v>174</v>
      </c>
      <c r="V18" s="10" t="s">
        <v>174</v>
      </c>
      <c r="W18" s="10" t="s">
        <v>174</v>
      </c>
      <c r="X18" s="10" t="s">
        <v>174</v>
      </c>
      <c r="Y18" s="10" t="s">
        <v>174</v>
      </c>
      <c r="Z18" s="10" t="s">
        <v>174</v>
      </c>
      <c r="AA18" s="10" t="s">
        <v>174</v>
      </c>
      <c r="AB18" s="10" t="s">
        <v>174</v>
      </c>
      <c r="AC18" s="10" t="s">
        <v>174</v>
      </c>
      <c r="AD18" s="10" t="s">
        <v>174</v>
      </c>
      <c r="AE18" s="10" t="s">
        <v>174</v>
      </c>
      <c r="AF18" s="10" t="s">
        <v>174</v>
      </c>
      <c r="AG18" s="10" t="s">
        <v>174</v>
      </c>
      <c r="AH18" s="10" t="s">
        <v>174</v>
      </c>
      <c r="AI18" s="10" t="s">
        <v>174</v>
      </c>
    </row>
    <row r="19" spans="1:35" s="1" customFormat="1">
      <c r="A19" s="1" t="s">
        <v>169</v>
      </c>
      <c r="B19" s="1" t="s">
        <v>170</v>
      </c>
      <c r="C19" s="1" t="s">
        <v>877</v>
      </c>
      <c r="D19" s="1" t="s">
        <v>866</v>
      </c>
      <c r="E19" s="13"/>
      <c r="F19" s="13">
        <v>35781000</v>
      </c>
      <c r="G19" s="13">
        <v>23485000</v>
      </c>
      <c r="H19" s="13">
        <v>58051000</v>
      </c>
      <c r="I19" s="13">
        <v>52194000</v>
      </c>
      <c r="J19" s="13"/>
      <c r="K19" s="13">
        <v>25776000</v>
      </c>
      <c r="L19" s="13"/>
      <c r="M19" s="13">
        <v>2387000</v>
      </c>
      <c r="N19" s="13"/>
      <c r="O19" s="13"/>
      <c r="P19" s="13"/>
      <c r="Q19" s="13">
        <v>2270000</v>
      </c>
      <c r="R19" s="13">
        <v>13851000</v>
      </c>
      <c r="S19" s="13">
        <v>3833000</v>
      </c>
      <c r="T19" s="13">
        <v>8311000</v>
      </c>
      <c r="U19" s="13">
        <v>25757000</v>
      </c>
      <c r="V19" s="13">
        <v>9931000</v>
      </c>
      <c r="W19" s="13">
        <v>9320000</v>
      </c>
      <c r="X19" s="13">
        <v>6593000</v>
      </c>
      <c r="Y19" s="13">
        <v>22366000</v>
      </c>
      <c r="Z19" s="13">
        <v>10648000</v>
      </c>
      <c r="AA19" s="13">
        <v>3812000</v>
      </c>
      <c r="AB19" s="13">
        <v>3479000</v>
      </c>
      <c r="AC19" s="13">
        <v>3164000</v>
      </c>
      <c r="AD19" s="13">
        <v>85913000</v>
      </c>
      <c r="AE19" s="13">
        <v>73814000</v>
      </c>
      <c r="AF19" s="13">
        <v>33553000</v>
      </c>
      <c r="AG19" s="13">
        <v>11900000</v>
      </c>
      <c r="AH19" s="13">
        <v>18264000</v>
      </c>
      <c r="AI19" s="13">
        <v>13970000</v>
      </c>
    </row>
    <row r="20" spans="1:35" s="1" customFormat="1">
      <c r="A20" s="1" t="s">
        <v>169</v>
      </c>
      <c r="B20" s="1" t="s">
        <v>170</v>
      </c>
      <c r="C20" s="1" t="s">
        <v>877</v>
      </c>
      <c r="D20" s="1" t="s">
        <v>880</v>
      </c>
      <c r="E20" s="13"/>
      <c r="F20" s="13">
        <v>89626000</v>
      </c>
      <c r="G20" s="13">
        <v>79973000</v>
      </c>
      <c r="H20" s="13">
        <v>23197000</v>
      </c>
      <c r="I20" s="13">
        <v>21150000</v>
      </c>
      <c r="J20" s="13"/>
      <c r="K20" s="13">
        <v>18493000</v>
      </c>
      <c r="L20" s="13"/>
      <c r="M20" s="13">
        <v>130622000</v>
      </c>
      <c r="N20" s="13"/>
      <c r="O20" s="13"/>
      <c r="P20" s="13"/>
      <c r="Q20" s="13">
        <v>61400000</v>
      </c>
      <c r="R20" s="13">
        <v>15376000</v>
      </c>
      <c r="S20" s="13">
        <v>87236000</v>
      </c>
      <c r="T20" s="13">
        <v>56774000</v>
      </c>
      <c r="U20" s="13">
        <v>16004000</v>
      </c>
      <c r="V20" s="13">
        <v>73161000</v>
      </c>
      <c r="W20" s="13">
        <v>58973000</v>
      </c>
      <c r="X20" s="13">
        <v>44616000</v>
      </c>
      <c r="Y20" s="13">
        <v>113093000</v>
      </c>
      <c r="Z20" s="13">
        <v>96462000</v>
      </c>
      <c r="AA20" s="13">
        <v>74180000</v>
      </c>
      <c r="AB20" s="13">
        <v>46729000</v>
      </c>
      <c r="AC20" s="13">
        <v>20621000</v>
      </c>
      <c r="AD20" s="13">
        <v>11644000</v>
      </c>
      <c r="AE20" s="13">
        <v>12054000</v>
      </c>
      <c r="AF20" s="13">
        <v>11181000</v>
      </c>
      <c r="AG20" s="13">
        <v>14437000</v>
      </c>
      <c r="AH20" s="13">
        <v>11684000</v>
      </c>
      <c r="AI20" s="13">
        <v>9356000</v>
      </c>
    </row>
    <row r="21" spans="1:35" s="1" customFormat="1">
      <c r="A21" s="1" t="s">
        <v>169</v>
      </c>
      <c r="B21" s="1" t="s">
        <v>170</v>
      </c>
      <c r="C21" s="1" t="s">
        <v>877</v>
      </c>
      <c r="D21" s="1" t="s">
        <v>881</v>
      </c>
      <c r="E21" s="13"/>
      <c r="F21" s="10" t="s">
        <v>174</v>
      </c>
      <c r="G21" s="10" t="s">
        <v>174</v>
      </c>
      <c r="H21" s="10" t="s">
        <v>174</v>
      </c>
      <c r="I21" s="10" t="s">
        <v>174</v>
      </c>
      <c r="J21" s="13"/>
      <c r="K21" s="10">
        <v>5400000</v>
      </c>
      <c r="L21" s="13"/>
      <c r="M21" s="13" t="s">
        <v>174</v>
      </c>
      <c r="N21" s="13"/>
      <c r="O21" s="13"/>
      <c r="P21" s="13"/>
      <c r="Q21" s="13" t="s">
        <v>174</v>
      </c>
      <c r="R21" s="13" t="s">
        <v>174</v>
      </c>
      <c r="S21" s="13" t="s">
        <v>174</v>
      </c>
      <c r="T21" s="13" t="s">
        <v>174</v>
      </c>
      <c r="U21" s="13" t="s">
        <v>174</v>
      </c>
      <c r="V21" s="10" t="s">
        <v>174</v>
      </c>
      <c r="W21" s="10" t="s">
        <v>174</v>
      </c>
      <c r="X21" s="10" t="s">
        <v>174</v>
      </c>
      <c r="Y21" s="10" t="s">
        <v>174</v>
      </c>
      <c r="Z21" s="10" t="s">
        <v>174</v>
      </c>
      <c r="AA21" s="10" t="s">
        <v>174</v>
      </c>
      <c r="AB21" s="10" t="s">
        <v>174</v>
      </c>
      <c r="AC21" s="10" t="s">
        <v>174</v>
      </c>
      <c r="AD21" s="10" t="s">
        <v>174</v>
      </c>
      <c r="AE21" s="10" t="s">
        <v>174</v>
      </c>
      <c r="AF21" s="10" t="s">
        <v>174</v>
      </c>
      <c r="AG21" s="10" t="s">
        <v>174</v>
      </c>
      <c r="AH21" s="10" t="s">
        <v>174</v>
      </c>
      <c r="AI21" s="10" t="s">
        <v>174</v>
      </c>
    </row>
    <row r="22" spans="1:35" s="1" customFormat="1">
      <c r="A22" s="1" t="s">
        <v>169</v>
      </c>
      <c r="B22" s="1" t="s">
        <v>170</v>
      </c>
      <c r="C22" s="7" t="s">
        <v>877</v>
      </c>
      <c r="D22" s="7" t="s">
        <v>603</v>
      </c>
      <c r="E22" s="13"/>
      <c r="F22" s="16">
        <f>SUM(F17:F21)</f>
        <v>122360000</v>
      </c>
      <c r="G22" s="16">
        <f>SUM(G17:G21)</f>
        <v>100919000</v>
      </c>
      <c r="H22" s="16">
        <f>SUM(H17:H21)</f>
        <v>73351000</v>
      </c>
      <c r="I22" s="16">
        <f>SUM(I17:I21)</f>
        <v>66058000</v>
      </c>
      <c r="J22" s="13"/>
      <c r="K22" s="16">
        <f>SUM(K17:K21)</f>
        <v>45433000</v>
      </c>
      <c r="L22" s="13"/>
      <c r="M22" s="16">
        <f>SUM(M17:M21)</f>
        <v>136876000</v>
      </c>
      <c r="N22" s="13"/>
      <c r="O22" s="13"/>
      <c r="P22" s="13"/>
      <c r="Q22" s="16">
        <f>SUM(Q17:Q21)</f>
        <v>64882000</v>
      </c>
      <c r="R22" s="16">
        <f>SUM(R17:R21)</f>
        <v>29467000</v>
      </c>
      <c r="S22" s="16">
        <f>SUM(S17:S21)</f>
        <v>91489000</v>
      </c>
      <c r="T22" s="16">
        <f>SUM(T17:T21)</f>
        <v>65253000</v>
      </c>
      <c r="U22" s="16">
        <f>SUM(U17:U21)</f>
        <v>41847000</v>
      </c>
      <c r="V22" s="16">
        <f>SUM(V17:V21)</f>
        <v>83759000</v>
      </c>
      <c r="W22" s="16">
        <f>SUM(W17:W21)</f>
        <v>68765000</v>
      </c>
      <c r="X22" s="16">
        <f>SUM(X17:X21)</f>
        <v>51547000</v>
      </c>
      <c r="Y22" s="16">
        <f>SUM(Y17:Y21)</f>
        <v>135943000</v>
      </c>
      <c r="Z22" s="16">
        <f>SUM(Z17:Z21)</f>
        <v>107188000</v>
      </c>
      <c r="AA22" s="16">
        <f>SUM(AA17:AA21)</f>
        <v>78070000</v>
      </c>
      <c r="AB22" s="16">
        <f>SUM(AB17:AB21)</f>
        <v>50208000</v>
      </c>
      <c r="AC22" s="16">
        <f>SUM(AC17:AC21)</f>
        <v>23785000</v>
      </c>
      <c r="AD22" s="16">
        <f>SUM(AD17:AD21)</f>
        <v>97557000</v>
      </c>
      <c r="AE22" s="16">
        <f>SUM(AE17:AE21)</f>
        <v>85868000</v>
      </c>
      <c r="AF22" s="16">
        <f>SUM(AF17:AF21)</f>
        <v>44734000</v>
      </c>
      <c r="AG22" s="16">
        <f>SUM(AG17:AG21)</f>
        <v>26337000</v>
      </c>
      <c r="AH22" s="16">
        <f>SUM(AH17:AH21)</f>
        <v>29948000</v>
      </c>
      <c r="AI22" s="16">
        <f>SUM(AI17:AI21)</f>
        <v>23326000</v>
      </c>
    </row>
    <row r="23" spans="1:35" s="1" customFormat="1">
      <c r="A23" s="1" t="s">
        <v>169</v>
      </c>
      <c r="B23" s="1" t="s">
        <v>170</v>
      </c>
      <c r="C23" s="1" t="s">
        <v>882</v>
      </c>
      <c r="D23" s="1" t="s">
        <v>883</v>
      </c>
      <c r="E23" s="13"/>
      <c r="F23" s="13">
        <f>(58119000-F24)+1089000</f>
        <v>62047000</v>
      </c>
      <c r="G23" s="13">
        <f>67934000+2034000-G24</f>
        <v>75394000</v>
      </c>
      <c r="H23" s="13">
        <f>286800+84791000-H24</f>
        <v>92423800</v>
      </c>
      <c r="I23" s="13">
        <f>3490000+105748000-I24</f>
        <v>119739000</v>
      </c>
      <c r="J23" s="13"/>
      <c r="K23" s="13">
        <f>122536000+3613000</f>
        <v>126149000</v>
      </c>
      <c r="L23" s="13"/>
      <c r="M23" s="13">
        <f>174806000+6819000</f>
        <v>181625000</v>
      </c>
      <c r="N23" s="13"/>
      <c r="O23" s="13"/>
      <c r="P23" s="13"/>
      <c r="Q23" s="13">
        <f>266088000+9752000</f>
        <v>275840000</v>
      </c>
      <c r="R23" s="13">
        <f>102167000+304857000+9979000</f>
        <v>417003000</v>
      </c>
      <c r="S23" s="13">
        <v>488082000</v>
      </c>
      <c r="T23" s="13">
        <v>510604000</v>
      </c>
      <c r="U23" s="13">
        <v>546321000</v>
      </c>
      <c r="V23" s="13">
        <v>563038000</v>
      </c>
      <c r="W23" s="13">
        <v>569656000</v>
      </c>
      <c r="X23" s="13">
        <v>586566000</v>
      </c>
      <c r="Y23" s="13">
        <v>599307000</v>
      </c>
      <c r="Z23" s="13">
        <v>639506000</v>
      </c>
      <c r="AA23" s="13">
        <v>682823000</v>
      </c>
      <c r="AB23" s="13">
        <v>701564000</v>
      </c>
      <c r="AC23" s="13">
        <v>748313000</v>
      </c>
      <c r="AD23" s="13">
        <v>794546000</v>
      </c>
      <c r="AE23" s="13">
        <v>825081000</v>
      </c>
      <c r="AF23" s="13">
        <v>859262000</v>
      </c>
      <c r="AG23" s="13">
        <v>880512000</v>
      </c>
      <c r="AH23" s="13">
        <v>898314000</v>
      </c>
      <c r="AI23" s="13">
        <v>943818000</v>
      </c>
    </row>
    <row r="24" spans="1:35" s="1" customFormat="1">
      <c r="A24" s="1" t="s">
        <v>169</v>
      </c>
      <c r="B24" s="1" t="s">
        <v>170</v>
      </c>
      <c r="C24" s="1" t="s">
        <v>882</v>
      </c>
      <c r="D24" s="1" t="s">
        <v>884</v>
      </c>
      <c r="E24" s="13"/>
      <c r="F24" s="13">
        <f>-2519000-320000</f>
        <v>-2839000</v>
      </c>
      <c r="G24" s="13">
        <f>-560000-4866000</f>
        <v>-5426000</v>
      </c>
      <c r="H24" s="13">
        <f>-6433000-913000</f>
        <v>-7346000</v>
      </c>
      <c r="I24" s="13">
        <f>-9144000-1357000</f>
        <v>-10501000</v>
      </c>
      <c r="J24" s="13"/>
      <c r="K24" s="13" t="s">
        <v>174</v>
      </c>
      <c r="L24" s="13"/>
      <c r="M24" s="13">
        <f>-24342000-3809000</f>
        <v>-28151000</v>
      </c>
      <c r="N24" s="13"/>
      <c r="O24" s="13"/>
      <c r="P24" s="13"/>
      <c r="Q24" s="13">
        <f>-48275000-7122000</f>
        <v>-55397000</v>
      </c>
      <c r="R24" s="13">
        <v>-79899000</v>
      </c>
      <c r="S24" s="13">
        <v>-92330000</v>
      </c>
      <c r="T24" s="13">
        <v>-106808000</v>
      </c>
      <c r="U24" s="13">
        <v>-122012000</v>
      </c>
      <c r="V24" s="13">
        <v>-138330000</v>
      </c>
      <c r="W24" s="13">
        <v>-150197000</v>
      </c>
      <c r="X24" s="13">
        <v>-166446000</v>
      </c>
      <c r="Y24" s="13">
        <v>-182894000</v>
      </c>
      <c r="Z24" s="13">
        <v>-194702000</v>
      </c>
      <c r="AA24" s="13">
        <v>-207122000</v>
      </c>
      <c r="AB24" s="13">
        <v>-220422000</v>
      </c>
      <c r="AC24" s="13">
        <v>-233389000</v>
      </c>
      <c r="AD24" s="13">
        <v>-246820000</v>
      </c>
      <c r="AE24" s="13">
        <v>-261132000</v>
      </c>
      <c r="AF24" s="13">
        <v>-275918000</v>
      </c>
      <c r="AG24" s="13">
        <v>-292575000</v>
      </c>
      <c r="AH24" s="13">
        <v>-308747000</v>
      </c>
      <c r="AI24" s="13">
        <v>-325641000</v>
      </c>
    </row>
    <row r="25" spans="1:35">
      <c r="A25" s="1" t="s">
        <v>169</v>
      </c>
      <c r="B25" s="1" t="s">
        <v>170</v>
      </c>
      <c r="C25" s="1" t="s">
        <v>882</v>
      </c>
      <c r="D25" s="19" t="s">
        <v>885</v>
      </c>
      <c r="E25" s="15"/>
      <c r="F25" s="23">
        <v>37132000</v>
      </c>
      <c r="G25" s="23">
        <v>47837000</v>
      </c>
      <c r="H25" s="23">
        <f>45643000</f>
        <v>45643000</v>
      </c>
      <c r="I25" s="23">
        <v>37536000</v>
      </c>
      <c r="J25" s="23"/>
      <c r="K25" s="23">
        <v>46307000</v>
      </c>
      <c r="L25" s="23"/>
      <c r="M25" s="23">
        <v>44120000</v>
      </c>
      <c r="N25" s="23"/>
      <c r="O25" s="23"/>
      <c r="P25" s="23"/>
      <c r="Q25" s="23">
        <v>39355000</v>
      </c>
      <c r="R25" s="23">
        <v>42163000</v>
      </c>
      <c r="S25" s="23">
        <v>14783000</v>
      </c>
      <c r="T25" s="23">
        <v>21655000</v>
      </c>
      <c r="U25" s="23">
        <v>17413000</v>
      </c>
      <c r="V25" s="23">
        <v>9843000</v>
      </c>
      <c r="W25" s="23">
        <v>16658000</v>
      </c>
      <c r="X25" s="23">
        <v>22901000</v>
      </c>
      <c r="Y25" s="23">
        <v>27307000</v>
      </c>
      <c r="Z25" s="23">
        <v>25548000</v>
      </c>
      <c r="AA25" s="23">
        <v>41328000</v>
      </c>
      <c r="AB25" s="23">
        <v>62461000</v>
      </c>
      <c r="AC25" s="23">
        <v>50870000</v>
      </c>
      <c r="AD25" s="23">
        <v>24105000</v>
      </c>
      <c r="AE25" s="23">
        <v>31233000</v>
      </c>
      <c r="AF25" s="23">
        <v>70204000</v>
      </c>
      <c r="AG25" s="23">
        <v>88861000</v>
      </c>
      <c r="AH25" s="23">
        <v>100240000</v>
      </c>
      <c r="AI25" s="23">
        <f>139303000</f>
        <v>139303000</v>
      </c>
    </row>
    <row r="26" spans="1:35">
      <c r="A26" s="1" t="s">
        <v>169</v>
      </c>
      <c r="B26" s="1" t="s">
        <v>170</v>
      </c>
      <c r="C26" s="1" t="s">
        <v>882</v>
      </c>
      <c r="D26" s="19" t="s">
        <v>886</v>
      </c>
      <c r="E26" s="16"/>
      <c r="F26" s="10" t="s">
        <v>174</v>
      </c>
      <c r="G26" s="10" t="s">
        <v>174</v>
      </c>
      <c r="H26" s="10" t="s">
        <v>174</v>
      </c>
      <c r="I26" s="10" t="s">
        <v>174</v>
      </c>
      <c r="J26" s="16"/>
      <c r="K26" s="10" t="s">
        <v>174</v>
      </c>
      <c r="L26" s="16"/>
      <c r="M26" s="24">
        <v>97077000</v>
      </c>
      <c r="N26" s="16"/>
      <c r="O26" s="16"/>
      <c r="P26" s="16"/>
      <c r="Q26" s="24">
        <v>88419000</v>
      </c>
      <c r="R26" s="13" t="s">
        <v>174</v>
      </c>
      <c r="S26" s="13" t="s">
        <v>174</v>
      </c>
      <c r="T26" s="13" t="s">
        <v>174</v>
      </c>
      <c r="U26" s="13" t="s">
        <v>174</v>
      </c>
      <c r="V26" s="10" t="s">
        <v>174</v>
      </c>
      <c r="W26" s="10" t="s">
        <v>174</v>
      </c>
      <c r="X26" s="10" t="s">
        <v>174</v>
      </c>
      <c r="Y26" s="10" t="s">
        <v>174</v>
      </c>
      <c r="Z26" s="10" t="s">
        <v>174</v>
      </c>
      <c r="AA26" s="10" t="s">
        <v>174</v>
      </c>
      <c r="AB26" s="10" t="s">
        <v>174</v>
      </c>
      <c r="AC26" s="10" t="s">
        <v>174</v>
      </c>
      <c r="AD26" s="10" t="s">
        <v>174</v>
      </c>
      <c r="AE26" s="10" t="s">
        <v>174</v>
      </c>
      <c r="AF26" s="10" t="s">
        <v>174</v>
      </c>
      <c r="AG26" s="10" t="s">
        <v>174</v>
      </c>
      <c r="AH26" s="10" t="s">
        <v>174</v>
      </c>
      <c r="AI26" s="10">
        <v>4750000</v>
      </c>
    </row>
    <row r="27" spans="1:35" s="1" customFormat="1">
      <c r="A27" s="1" t="s">
        <v>169</v>
      </c>
      <c r="B27" s="1" t="s">
        <v>170</v>
      </c>
      <c r="C27" s="7" t="s">
        <v>882</v>
      </c>
      <c r="D27" s="7" t="s">
        <v>603</v>
      </c>
      <c r="E27" s="13"/>
      <c r="F27" s="16">
        <f>SUM(F23:F26)</f>
        <v>96340000</v>
      </c>
      <c r="G27" s="16">
        <f>SUM(G23:G26)</f>
        <v>117805000</v>
      </c>
      <c r="H27" s="29">
        <v>133302000</v>
      </c>
      <c r="I27" s="16">
        <f>SUM(I23:I26)</f>
        <v>146774000</v>
      </c>
      <c r="J27" s="13"/>
      <c r="K27" s="16">
        <f>SUM(K23:K26)</f>
        <v>172456000</v>
      </c>
      <c r="L27" s="13"/>
      <c r="M27" s="16">
        <f>SUM(M23:M26)</f>
        <v>294671000</v>
      </c>
      <c r="N27" s="13"/>
      <c r="O27" s="13"/>
      <c r="P27" s="13"/>
      <c r="Q27" s="16">
        <f>SUM(Q23:Q26)</f>
        <v>348217000</v>
      </c>
      <c r="R27" s="16">
        <v>379267000</v>
      </c>
      <c r="S27" s="16">
        <v>410535000</v>
      </c>
      <c r="T27" s="16">
        <v>425451000</v>
      </c>
      <c r="U27" s="16">
        <v>441722000</v>
      </c>
      <c r="V27" s="16">
        <f>SUM(V23:V26)</f>
        <v>434551000</v>
      </c>
      <c r="W27" s="16">
        <f>SUM(W23:W26)</f>
        <v>436117000</v>
      </c>
      <c r="X27" s="16">
        <f>SUM(X23:X26)</f>
        <v>443021000</v>
      </c>
      <c r="Y27" s="16">
        <f>SUM(Y23:Y26)</f>
        <v>443720000</v>
      </c>
      <c r="Z27" s="16">
        <f>SUM(Z23:Z26)</f>
        <v>470352000</v>
      </c>
      <c r="AA27" s="16">
        <f>SUM(AA23:AA26)</f>
        <v>517029000</v>
      </c>
      <c r="AB27" s="16">
        <f>SUM(AB23:AB26)</f>
        <v>543603000</v>
      </c>
      <c r="AC27" s="16">
        <f>SUM(AC23:AC26)</f>
        <v>565794000</v>
      </c>
      <c r="AD27" s="16">
        <f>SUM(AD23:AD26)</f>
        <v>571831000</v>
      </c>
      <c r="AE27" s="16">
        <f>SUM(AE23:AE26)</f>
        <v>595182000</v>
      </c>
      <c r="AF27" s="16">
        <f>SUM(AF23:AF26)</f>
        <v>653548000</v>
      </c>
      <c r="AG27" s="16">
        <f>SUM(AG23:AG26)</f>
        <v>676798000</v>
      </c>
      <c r="AH27" s="16">
        <f>SUM(AH23:AH26)</f>
        <v>689807000</v>
      </c>
      <c r="AI27" s="16">
        <f>SUM(AI23:AI26)</f>
        <v>762230000</v>
      </c>
    </row>
    <row r="28" spans="1:35" s="1" customFormat="1">
      <c r="A28" s="1" t="s">
        <v>169</v>
      </c>
      <c r="B28" s="1" t="s">
        <v>170</v>
      </c>
      <c r="C28" s="19" t="s">
        <v>887</v>
      </c>
      <c r="D28" s="1" t="s">
        <v>888</v>
      </c>
      <c r="E28" s="13"/>
      <c r="F28" s="13">
        <v>5024000</v>
      </c>
      <c r="G28" s="13">
        <v>3960000</v>
      </c>
      <c r="H28" s="13">
        <v>2465000</v>
      </c>
      <c r="I28" s="13">
        <v>2310000</v>
      </c>
      <c r="J28" s="13"/>
      <c r="K28" s="13">
        <v>2660000</v>
      </c>
      <c r="L28" s="13"/>
      <c r="M28" s="13">
        <v>5150000</v>
      </c>
      <c r="N28" s="13"/>
      <c r="O28" s="13"/>
      <c r="P28" s="13"/>
      <c r="Q28" s="13">
        <v>3172000</v>
      </c>
      <c r="R28" s="13">
        <v>2905000</v>
      </c>
      <c r="S28" s="13">
        <v>3786000</v>
      </c>
      <c r="T28" s="13">
        <v>6384000</v>
      </c>
      <c r="U28" s="13">
        <v>7357000</v>
      </c>
      <c r="V28" s="13">
        <v>7357000</v>
      </c>
      <c r="W28" s="13">
        <v>7035000</v>
      </c>
      <c r="X28" s="13">
        <v>7073000</v>
      </c>
      <c r="Y28" s="23">
        <v>22561000</v>
      </c>
      <c r="Z28" s="13">
        <v>25626000</v>
      </c>
      <c r="AA28" s="13">
        <v>25011000</v>
      </c>
      <c r="AB28" s="13">
        <v>24176000</v>
      </c>
      <c r="AC28" s="13">
        <v>23242000</v>
      </c>
      <c r="AD28" s="13">
        <v>0</v>
      </c>
      <c r="AE28" s="13">
        <v>0</v>
      </c>
      <c r="AF28" s="13" t="s">
        <v>174</v>
      </c>
      <c r="AG28" s="13" t="s">
        <v>174</v>
      </c>
      <c r="AH28" s="13" t="s">
        <v>174</v>
      </c>
      <c r="AI28" s="13" t="s">
        <v>174</v>
      </c>
    </row>
    <row r="29" spans="1:35" s="1" customFormat="1">
      <c r="A29" s="1" t="s">
        <v>169</v>
      </c>
      <c r="B29" s="1" t="s">
        <v>170</v>
      </c>
      <c r="C29" s="19" t="s">
        <v>887</v>
      </c>
      <c r="D29" s="1" t="s">
        <v>889</v>
      </c>
      <c r="F29" s="13">
        <v>0</v>
      </c>
      <c r="G29" s="13">
        <v>752000</v>
      </c>
      <c r="H29" s="13">
        <v>1223000</v>
      </c>
      <c r="I29" s="13">
        <v>0</v>
      </c>
      <c r="J29" s="13"/>
      <c r="K29" s="13">
        <v>0</v>
      </c>
      <c r="L29" s="13"/>
      <c r="M29" s="13">
        <v>0</v>
      </c>
      <c r="N29" s="13"/>
      <c r="O29" s="13"/>
      <c r="P29" s="13"/>
      <c r="Q29" s="13" t="s">
        <v>174</v>
      </c>
      <c r="R29" s="13" t="s">
        <v>174</v>
      </c>
      <c r="S29" s="13" t="s">
        <v>174</v>
      </c>
      <c r="T29" s="13" t="s">
        <v>174</v>
      </c>
      <c r="U29" s="13" t="s">
        <v>174</v>
      </c>
      <c r="V29" s="10" t="s">
        <v>174</v>
      </c>
      <c r="W29" s="10" t="s">
        <v>174</v>
      </c>
      <c r="X29" s="10" t="s">
        <v>174</v>
      </c>
      <c r="Y29" s="10" t="s">
        <v>174</v>
      </c>
      <c r="Z29" s="10" t="s">
        <v>174</v>
      </c>
      <c r="AA29" s="10" t="s">
        <v>174</v>
      </c>
      <c r="AB29" s="10" t="s">
        <v>174</v>
      </c>
      <c r="AC29" s="10" t="s">
        <v>174</v>
      </c>
      <c r="AD29" s="10" t="s">
        <v>174</v>
      </c>
      <c r="AE29" s="10" t="s">
        <v>174</v>
      </c>
      <c r="AF29" s="10" t="s">
        <v>174</v>
      </c>
      <c r="AG29" s="10" t="s">
        <v>174</v>
      </c>
      <c r="AH29" s="10" t="s">
        <v>174</v>
      </c>
      <c r="AI29" s="10" t="s">
        <v>174</v>
      </c>
    </row>
    <row r="30" spans="1:35" s="1" customFormat="1">
      <c r="A30" s="1" t="s">
        <v>169</v>
      </c>
      <c r="B30" s="1" t="s">
        <v>170</v>
      </c>
      <c r="C30" s="19" t="s">
        <v>887</v>
      </c>
      <c r="E30" s="13"/>
      <c r="F30" s="10" t="s">
        <v>174</v>
      </c>
      <c r="G30" s="10" t="s">
        <v>174</v>
      </c>
      <c r="H30" s="10" t="s">
        <v>174</v>
      </c>
      <c r="I30" s="10" t="s">
        <v>174</v>
      </c>
      <c r="J30" s="13"/>
      <c r="K30" s="10" t="s">
        <v>174</v>
      </c>
      <c r="L30" s="13"/>
      <c r="M30" s="10" t="s">
        <v>174</v>
      </c>
      <c r="N30" s="13"/>
      <c r="O30" s="13"/>
      <c r="P30" s="13"/>
      <c r="Q30" s="13" t="s">
        <v>174</v>
      </c>
      <c r="R30" s="13" t="s">
        <v>174</v>
      </c>
      <c r="S30" s="13" t="s">
        <v>174</v>
      </c>
      <c r="T30" s="13" t="s">
        <v>174</v>
      </c>
      <c r="U30" s="13" t="s">
        <v>174</v>
      </c>
      <c r="V30" s="10" t="s">
        <v>174</v>
      </c>
      <c r="W30" s="10" t="s">
        <v>174</v>
      </c>
      <c r="X30" s="10" t="s">
        <v>174</v>
      </c>
      <c r="Y30" s="10" t="s">
        <v>174</v>
      </c>
      <c r="Z30" s="10" t="s">
        <v>174</v>
      </c>
      <c r="AA30" s="10" t="s">
        <v>174</v>
      </c>
      <c r="AB30" s="10" t="s">
        <v>174</v>
      </c>
      <c r="AC30" s="10" t="s">
        <v>174</v>
      </c>
      <c r="AD30" s="10" t="s">
        <v>174</v>
      </c>
      <c r="AE30" s="10" t="s">
        <v>174</v>
      </c>
      <c r="AF30" s="10" t="s">
        <v>174</v>
      </c>
      <c r="AG30" s="10" t="s">
        <v>174</v>
      </c>
      <c r="AH30" s="10" t="s">
        <v>174</v>
      </c>
      <c r="AI30" s="10" t="s">
        <v>174</v>
      </c>
    </row>
    <row r="31" spans="1:35" s="1" customFormat="1">
      <c r="A31" s="1" t="s">
        <v>169</v>
      </c>
      <c r="B31" s="1" t="s">
        <v>170</v>
      </c>
      <c r="C31" s="7" t="s">
        <v>887</v>
      </c>
      <c r="D31" s="7" t="s">
        <v>603</v>
      </c>
      <c r="E31" s="13"/>
      <c r="F31" s="16">
        <f>SUM(F28:F30)</f>
        <v>5024000</v>
      </c>
      <c r="G31" s="16">
        <f>SUM(G28:G30)</f>
        <v>4712000</v>
      </c>
      <c r="H31" s="16">
        <f>SUM(H28:H30)</f>
        <v>3688000</v>
      </c>
      <c r="I31" s="16">
        <f>SUM(I28:I30)</f>
        <v>2310000</v>
      </c>
      <c r="J31" s="13"/>
      <c r="K31" s="16">
        <f>SUM(K28:K30)</f>
        <v>2660000</v>
      </c>
      <c r="L31" s="13"/>
      <c r="M31" s="16">
        <f>SUM(M28:M30)</f>
        <v>5150000</v>
      </c>
      <c r="N31" s="13"/>
      <c r="O31" s="13"/>
      <c r="P31" s="13"/>
      <c r="Q31" s="16">
        <f>SUM(Q28:Q30)</f>
        <v>3172000</v>
      </c>
      <c r="R31" s="16">
        <f>SUM(R28:R30)</f>
        <v>2905000</v>
      </c>
      <c r="S31" s="16">
        <f>SUM(S28:S30)</f>
        <v>3786000</v>
      </c>
      <c r="T31" s="16">
        <f>SUM(T28:T30)</f>
        <v>6384000</v>
      </c>
      <c r="U31" s="16">
        <f>SUM(U28:U30)</f>
        <v>7357000</v>
      </c>
      <c r="V31" s="16">
        <f>SUM(V28:V30)</f>
        <v>7357000</v>
      </c>
      <c r="W31" s="16">
        <f>SUM(W28:W30)</f>
        <v>7035000</v>
      </c>
      <c r="X31" s="16">
        <f>SUM(X28:X30)</f>
        <v>7073000</v>
      </c>
      <c r="Y31" s="16">
        <f>SUM(Y28:Y30)</f>
        <v>22561000</v>
      </c>
      <c r="Z31" s="16">
        <f>SUM(Z28:Z30)</f>
        <v>25626000</v>
      </c>
      <c r="AA31" s="16">
        <f>SUM(AA28:AA30)</f>
        <v>25011000</v>
      </c>
      <c r="AB31" s="16">
        <f>SUM(AB28:AB30)</f>
        <v>24176000</v>
      </c>
      <c r="AC31" s="16">
        <f>SUM(AC28:AC30)</f>
        <v>23242000</v>
      </c>
      <c r="AD31" s="16">
        <f>SUM(AD28:AD30)</f>
        <v>0</v>
      </c>
      <c r="AE31" s="16">
        <f>SUM(AE28:AE30)</f>
        <v>0</v>
      </c>
      <c r="AF31" s="16">
        <f>SUM(AF28:AF30)</f>
        <v>0</v>
      </c>
      <c r="AG31" s="16">
        <f>SUM(AG28:AG30)</f>
        <v>0</v>
      </c>
      <c r="AH31" s="16">
        <f>SUM(AH28:AH30)</f>
        <v>0</v>
      </c>
      <c r="AI31" s="16">
        <f>SUM(AI28:AI30)</f>
        <v>0</v>
      </c>
    </row>
    <row r="32" spans="1:35" s="1" customFormat="1">
      <c r="A32" s="1" t="s">
        <v>169</v>
      </c>
      <c r="B32" s="1" t="s">
        <v>170</v>
      </c>
      <c r="C32" s="19" t="s">
        <v>890</v>
      </c>
      <c r="D32" s="7"/>
      <c r="E32" s="15"/>
      <c r="F32" s="23">
        <v>0</v>
      </c>
      <c r="G32" s="23">
        <v>0</v>
      </c>
      <c r="H32" s="15">
        <v>0</v>
      </c>
      <c r="I32" s="15">
        <v>0</v>
      </c>
      <c r="J32" s="15"/>
      <c r="K32" s="15">
        <v>0</v>
      </c>
      <c r="L32" s="15"/>
      <c r="M32" s="15">
        <v>0</v>
      </c>
      <c r="N32" s="15"/>
      <c r="O32" s="15"/>
      <c r="P32" s="15"/>
      <c r="Q32" s="15">
        <v>0</v>
      </c>
      <c r="R32" s="15">
        <v>0</v>
      </c>
      <c r="S32" s="15">
        <v>0</v>
      </c>
      <c r="T32" s="15">
        <v>0</v>
      </c>
      <c r="U32" s="15">
        <v>0</v>
      </c>
      <c r="V32" s="15">
        <v>0</v>
      </c>
      <c r="W32" s="15">
        <v>0</v>
      </c>
      <c r="X32" s="15">
        <v>0</v>
      </c>
      <c r="Y32" s="15">
        <v>0</v>
      </c>
      <c r="Z32" s="15">
        <v>0</v>
      </c>
      <c r="AA32" s="19">
        <v>31447000</v>
      </c>
      <c r="AB32" s="19">
        <v>100118000</v>
      </c>
      <c r="AC32" s="23">
        <v>100782000</v>
      </c>
      <c r="AD32" s="23">
        <v>59146000</v>
      </c>
      <c r="AE32" s="23">
        <v>100681000</v>
      </c>
      <c r="AF32" s="23">
        <v>106228000</v>
      </c>
      <c r="AG32" s="23">
        <v>95905000</v>
      </c>
      <c r="AH32" s="23">
        <v>113605000</v>
      </c>
      <c r="AI32" s="23">
        <v>103291000</v>
      </c>
    </row>
    <row r="33" spans="1:35" s="1" customFormat="1">
      <c r="A33" s="1" t="s">
        <v>169</v>
      </c>
      <c r="B33" s="1" t="s">
        <v>170</v>
      </c>
      <c r="C33" s="7" t="s">
        <v>891</v>
      </c>
      <c r="D33" s="7" t="s">
        <v>603</v>
      </c>
      <c r="E33" s="15"/>
      <c r="F33" s="15">
        <f>F31+F27+F22+F16+F32</f>
        <v>254154000</v>
      </c>
      <c r="G33" s="15">
        <f>G31+G27+G22+G16+G32</f>
        <v>255419000</v>
      </c>
      <c r="H33" s="15">
        <f>H31+H27+H22+H16+H32</f>
        <v>238822000</v>
      </c>
      <c r="I33" s="15">
        <f>I31+I27+I22+I16+I32</f>
        <v>231394000</v>
      </c>
      <c r="J33" s="15"/>
      <c r="K33" s="15">
        <f>K31+K27+K22+K16+K32</f>
        <v>237086000</v>
      </c>
      <c r="L33" s="15"/>
      <c r="M33" s="15">
        <f>M31+M27+M22+M16+M32</f>
        <v>475302000</v>
      </c>
      <c r="N33" s="15"/>
      <c r="O33" s="15"/>
      <c r="P33" s="15"/>
      <c r="Q33" s="15">
        <f>Q31+Q27+Q22+Q16+Q32</f>
        <v>479017000</v>
      </c>
      <c r="R33" s="15">
        <f>R31+R27+R22+R16+R32</f>
        <v>458093000</v>
      </c>
      <c r="S33" s="15">
        <f>S31+S27+S22+S16+S32</f>
        <v>553657000</v>
      </c>
      <c r="T33" s="15">
        <f>T31+T27+T22+T16+T32</f>
        <v>535876000</v>
      </c>
      <c r="U33" s="15">
        <f>U31+U27+U22+U16+U32</f>
        <v>535536000</v>
      </c>
      <c r="V33" s="15">
        <f>V31+V27+V22+V16+V32</f>
        <v>576456000</v>
      </c>
      <c r="W33" s="15">
        <f>W31+W27+W22+W16+W32</f>
        <v>569191000</v>
      </c>
      <c r="X33" s="15">
        <f>X31+X27+X22+X16+X32</f>
        <v>563543000</v>
      </c>
      <c r="Y33" s="15">
        <f>Y31+Y27+Y22+Y16+Y32</f>
        <v>670562000</v>
      </c>
      <c r="Z33" s="15">
        <f>Z31+Z27+Z22+Z16+Z32</f>
        <v>670014000</v>
      </c>
      <c r="AA33" s="15">
        <f>AA31+AA27+AA22+AA16+AA32</f>
        <v>718712000</v>
      </c>
      <c r="AB33" s="15">
        <f>AB31+AB27+AB22+AB16+AB32</f>
        <v>785882000</v>
      </c>
      <c r="AC33" s="15">
        <f>AC31+AC27+AC22+AC16+AC32</f>
        <v>780766000</v>
      </c>
      <c r="AD33" s="15">
        <f>AD31+AD27+AD22+AD16+AD32</f>
        <v>786239000</v>
      </c>
      <c r="AE33" s="15">
        <f>AE31+AE27+AE22+AE16+AE32</f>
        <v>840661000</v>
      </c>
      <c r="AF33" s="15">
        <f>AF31+AF27+AF22+AF16+AF32</f>
        <v>866376000</v>
      </c>
      <c r="AG33" s="15">
        <f>AG31+AG27+AG22+AG16+AG32</f>
        <v>850577000</v>
      </c>
      <c r="AH33" s="15">
        <f>AH31+AH27+AH22+AH16+AH32</f>
        <v>879777000</v>
      </c>
      <c r="AI33" s="15">
        <f>AI31+AI27+AI22+AI16+AI32</f>
        <v>967634000</v>
      </c>
    </row>
    <row r="34" spans="1:35">
      <c r="A34" s="1" t="s">
        <v>169</v>
      </c>
      <c r="B34" s="1" t="s">
        <v>170</v>
      </c>
      <c r="C34" s="1" t="s">
        <v>892</v>
      </c>
      <c r="D34" s="19" t="s">
        <v>893</v>
      </c>
      <c r="E34" s="23"/>
      <c r="F34" s="23">
        <v>55000</v>
      </c>
      <c r="G34" s="23">
        <v>232000</v>
      </c>
      <c r="H34" s="23">
        <v>100000</v>
      </c>
      <c r="I34" s="23">
        <v>120000</v>
      </c>
      <c r="J34" s="23"/>
      <c r="K34" s="23">
        <v>11000</v>
      </c>
      <c r="L34" s="23"/>
      <c r="M34" s="10" t="s">
        <v>174</v>
      </c>
      <c r="N34" s="23"/>
      <c r="O34" s="23"/>
      <c r="P34" s="23"/>
      <c r="Q34" s="10" t="s">
        <v>174</v>
      </c>
      <c r="R34" s="10" t="s">
        <v>174</v>
      </c>
      <c r="S34" s="10" t="s">
        <v>174</v>
      </c>
      <c r="T34" s="10" t="s">
        <v>174</v>
      </c>
      <c r="U34" s="10" t="s">
        <v>174</v>
      </c>
      <c r="V34" s="10" t="s">
        <v>174</v>
      </c>
      <c r="W34" s="10" t="s">
        <v>174</v>
      </c>
      <c r="X34" s="10" t="s">
        <v>174</v>
      </c>
      <c r="Y34" s="10" t="s">
        <v>174</v>
      </c>
      <c r="Z34" s="10" t="s">
        <v>174</v>
      </c>
      <c r="AA34" s="10" t="s">
        <v>174</v>
      </c>
      <c r="AB34" s="10" t="s">
        <v>174</v>
      </c>
      <c r="AC34" s="10" t="s">
        <v>174</v>
      </c>
      <c r="AD34" s="10" t="s">
        <v>174</v>
      </c>
      <c r="AE34" s="10" t="s">
        <v>174</v>
      </c>
      <c r="AF34" s="10" t="s">
        <v>174</v>
      </c>
      <c r="AG34" s="10" t="s">
        <v>174</v>
      </c>
      <c r="AH34" s="10" t="s">
        <v>174</v>
      </c>
      <c r="AI34" s="10" t="s">
        <v>174</v>
      </c>
    </row>
    <row r="35" spans="1:35">
      <c r="A35" s="1" t="s">
        <v>169</v>
      </c>
      <c r="B35" s="1" t="s">
        <v>170</v>
      </c>
      <c r="C35" s="1" t="s">
        <v>892</v>
      </c>
      <c r="D35" s="19" t="s">
        <v>894</v>
      </c>
      <c r="E35" s="23"/>
      <c r="F35" s="10" t="s">
        <v>174</v>
      </c>
      <c r="G35" s="10" t="s">
        <v>174</v>
      </c>
      <c r="H35" s="10" t="s">
        <v>174</v>
      </c>
      <c r="I35" s="10" t="s">
        <v>174</v>
      </c>
      <c r="K35" s="10" t="s">
        <v>174</v>
      </c>
      <c r="L35" s="23"/>
      <c r="M35" s="23">
        <v>1562000</v>
      </c>
      <c r="N35" s="23"/>
      <c r="O35" s="23"/>
      <c r="P35" s="23"/>
      <c r="Q35" s="23">
        <v>1574000</v>
      </c>
      <c r="R35" s="23">
        <v>1565000</v>
      </c>
      <c r="S35" s="23">
        <v>783000</v>
      </c>
      <c r="T35" s="23">
        <v>743000</v>
      </c>
      <c r="U35" s="23">
        <v>810000</v>
      </c>
      <c r="V35" s="23">
        <v>912000</v>
      </c>
      <c r="W35" s="23">
        <v>1081000</v>
      </c>
      <c r="X35" s="23">
        <v>940000</v>
      </c>
      <c r="Y35" s="23">
        <v>673000</v>
      </c>
      <c r="Z35" s="23">
        <v>683000</v>
      </c>
      <c r="AA35" s="23">
        <v>672000</v>
      </c>
      <c r="AB35" s="23">
        <v>662000</v>
      </c>
      <c r="AC35" s="23">
        <v>706000</v>
      </c>
      <c r="AD35" s="23">
        <v>747000</v>
      </c>
      <c r="AE35" s="23">
        <v>656000</v>
      </c>
      <c r="AF35" s="23">
        <v>764000</v>
      </c>
      <c r="AG35" s="23">
        <v>924000</v>
      </c>
      <c r="AH35" s="23">
        <v>1217000</v>
      </c>
      <c r="AI35" s="23">
        <v>1373000</v>
      </c>
    </row>
    <row r="36" spans="1:35">
      <c r="A36" s="1" t="s">
        <v>169</v>
      </c>
      <c r="B36" s="1" t="s">
        <v>170</v>
      </c>
      <c r="C36" s="1" t="s">
        <v>892</v>
      </c>
      <c r="D36" s="19" t="s">
        <v>895</v>
      </c>
      <c r="E36" s="23"/>
      <c r="F36" s="10" t="s">
        <v>174</v>
      </c>
      <c r="G36" s="10" t="s">
        <v>174</v>
      </c>
      <c r="H36" s="10" t="s">
        <v>174</v>
      </c>
      <c r="I36" s="10" t="s">
        <v>174</v>
      </c>
      <c r="K36" s="10" t="s">
        <v>174</v>
      </c>
      <c r="L36" s="23"/>
      <c r="M36" s="23">
        <v>3165000</v>
      </c>
      <c r="N36" s="23"/>
      <c r="O36" s="23"/>
      <c r="P36" s="23"/>
      <c r="Q36" s="23">
        <v>2041000</v>
      </c>
      <c r="R36" s="23">
        <v>4671000</v>
      </c>
      <c r="S36" s="23">
        <v>3248000</v>
      </c>
      <c r="T36" s="23">
        <v>6900000</v>
      </c>
      <c r="U36" s="23">
        <v>6186000</v>
      </c>
      <c r="V36" s="23">
        <v>4998000</v>
      </c>
      <c r="W36" s="23">
        <v>6348000</v>
      </c>
      <c r="X36" s="23">
        <v>4323000</v>
      </c>
      <c r="Y36" s="23">
        <v>3326000</v>
      </c>
      <c r="Z36" s="23">
        <v>4101000</v>
      </c>
      <c r="AA36" s="23">
        <v>11700000</v>
      </c>
      <c r="AB36" s="23">
        <v>10195000</v>
      </c>
      <c r="AC36" s="23">
        <v>12974000</v>
      </c>
      <c r="AD36" s="23">
        <v>5900000</v>
      </c>
      <c r="AE36" s="23">
        <v>6595000</v>
      </c>
      <c r="AF36" s="23">
        <v>6530000</v>
      </c>
      <c r="AG36" s="23">
        <v>17936000</v>
      </c>
      <c r="AH36" s="23">
        <v>15506000</v>
      </c>
      <c r="AI36" s="23">
        <v>20911000</v>
      </c>
    </row>
    <row r="37" spans="1:35">
      <c r="A37" s="1" t="s">
        <v>169</v>
      </c>
      <c r="B37" s="1" t="s">
        <v>170</v>
      </c>
      <c r="C37" s="1" t="s">
        <v>892</v>
      </c>
      <c r="D37" s="19" t="s">
        <v>896</v>
      </c>
      <c r="E37" s="23"/>
      <c r="F37" s="23">
        <v>0</v>
      </c>
      <c r="G37" s="23">
        <v>5183000</v>
      </c>
      <c r="H37" s="23">
        <v>6883000</v>
      </c>
      <c r="I37" s="23">
        <v>4877000</v>
      </c>
      <c r="J37" s="23"/>
      <c r="K37" s="23">
        <v>0</v>
      </c>
      <c r="L37" s="23"/>
      <c r="M37" s="10" t="s">
        <v>174</v>
      </c>
      <c r="N37" s="23"/>
      <c r="O37" s="23"/>
      <c r="P37" s="23"/>
      <c r="Q37" s="10" t="s">
        <v>174</v>
      </c>
      <c r="R37" s="10" t="s">
        <v>174</v>
      </c>
      <c r="S37" s="10" t="s">
        <v>174</v>
      </c>
      <c r="T37" s="10" t="s">
        <v>174</v>
      </c>
      <c r="U37" s="10" t="s">
        <v>174</v>
      </c>
      <c r="V37" s="10" t="s">
        <v>174</v>
      </c>
      <c r="W37" s="10" t="s">
        <v>174</v>
      </c>
      <c r="X37" s="10" t="s">
        <v>174</v>
      </c>
      <c r="Y37" s="10" t="s">
        <v>174</v>
      </c>
      <c r="Z37" s="10" t="s">
        <v>174</v>
      </c>
      <c r="AA37" s="10" t="s">
        <v>174</v>
      </c>
      <c r="AB37" s="10" t="s">
        <v>174</v>
      </c>
      <c r="AC37" s="10" t="s">
        <v>174</v>
      </c>
      <c r="AD37" s="10" t="s">
        <v>174</v>
      </c>
      <c r="AE37" s="10" t="s">
        <v>174</v>
      </c>
      <c r="AF37" s="10" t="s">
        <v>174</v>
      </c>
      <c r="AG37" s="10" t="s">
        <v>174</v>
      </c>
      <c r="AH37" s="10" t="s">
        <v>174</v>
      </c>
      <c r="AI37" s="10" t="s">
        <v>174</v>
      </c>
    </row>
    <row r="38" spans="1:35">
      <c r="A38" s="1" t="s">
        <v>169</v>
      </c>
      <c r="B38" s="1" t="s">
        <v>170</v>
      </c>
      <c r="C38" s="1" t="s">
        <v>892</v>
      </c>
      <c r="D38" s="19" t="s">
        <v>897</v>
      </c>
      <c r="F38" s="10" t="s">
        <v>174</v>
      </c>
      <c r="G38" s="10" t="s">
        <v>174</v>
      </c>
      <c r="H38" s="10" t="s">
        <v>174</v>
      </c>
      <c r="I38" s="10" t="s">
        <v>174</v>
      </c>
      <c r="K38" s="10" t="s">
        <v>174</v>
      </c>
      <c r="M38" s="10">
        <v>3550000</v>
      </c>
      <c r="Q38" s="19">
        <v>1885000</v>
      </c>
      <c r="R38" s="19" t="s">
        <v>174</v>
      </c>
      <c r="S38" s="19" t="s">
        <v>174</v>
      </c>
      <c r="T38" s="19" t="s">
        <v>174</v>
      </c>
      <c r="U38" s="19" t="s">
        <v>174</v>
      </c>
      <c r="V38" s="10" t="s">
        <v>174</v>
      </c>
      <c r="W38" s="10" t="s">
        <v>174</v>
      </c>
      <c r="X38" s="10" t="s">
        <v>174</v>
      </c>
      <c r="Y38" s="10" t="s">
        <v>174</v>
      </c>
      <c r="Z38" s="10" t="s">
        <v>174</v>
      </c>
      <c r="AA38" s="10" t="s">
        <v>174</v>
      </c>
      <c r="AB38" s="10" t="s">
        <v>174</v>
      </c>
      <c r="AC38" s="10" t="s">
        <v>174</v>
      </c>
      <c r="AD38" s="10" t="s">
        <v>174</v>
      </c>
      <c r="AE38" s="10" t="s">
        <v>174</v>
      </c>
      <c r="AF38" s="10" t="s">
        <v>174</v>
      </c>
      <c r="AG38" s="10" t="s">
        <v>174</v>
      </c>
      <c r="AH38" s="10" t="s">
        <v>174</v>
      </c>
      <c r="AI38" s="10" t="s">
        <v>174</v>
      </c>
    </row>
    <row r="39" spans="1:35">
      <c r="A39" s="1" t="s">
        <v>169</v>
      </c>
      <c r="B39" s="1" t="s">
        <v>170</v>
      </c>
      <c r="C39" s="1" t="s">
        <v>892</v>
      </c>
      <c r="D39" s="19" t="s">
        <v>898</v>
      </c>
      <c r="F39" s="10" t="s">
        <v>174</v>
      </c>
      <c r="G39" s="10" t="s">
        <v>174</v>
      </c>
      <c r="H39" s="10" t="s">
        <v>174</v>
      </c>
      <c r="I39" s="10" t="s">
        <v>174</v>
      </c>
      <c r="K39" s="10" t="s">
        <v>174</v>
      </c>
      <c r="M39" s="10" t="s">
        <v>174</v>
      </c>
      <c r="Q39" s="19">
        <v>8096000</v>
      </c>
      <c r="R39" s="19">
        <v>5237000</v>
      </c>
      <c r="S39" s="19">
        <v>8040000</v>
      </c>
      <c r="T39" s="19">
        <v>3598000</v>
      </c>
      <c r="U39" s="19">
        <v>11965000</v>
      </c>
      <c r="V39" s="19">
        <v>10104000</v>
      </c>
      <c r="W39" s="19">
        <v>10590000</v>
      </c>
      <c r="X39" s="19">
        <v>12168000</v>
      </c>
      <c r="Y39" s="19">
        <v>13757000</v>
      </c>
      <c r="Z39" s="19">
        <v>15703000</v>
      </c>
      <c r="AA39" s="19">
        <v>17631000</v>
      </c>
      <c r="AB39" s="19">
        <v>16305000</v>
      </c>
      <c r="AC39" s="19">
        <v>17241000</v>
      </c>
      <c r="AD39" s="19">
        <v>16068000</v>
      </c>
      <c r="AE39" s="19">
        <v>18148000</v>
      </c>
      <c r="AF39" s="19">
        <v>19788000</v>
      </c>
      <c r="AG39" s="19">
        <v>15283000</v>
      </c>
      <c r="AH39" s="19">
        <v>17863000</v>
      </c>
      <c r="AI39" s="19">
        <v>19349000</v>
      </c>
    </row>
    <row r="40" spans="1:35">
      <c r="A40" s="1" t="s">
        <v>169</v>
      </c>
      <c r="B40" s="1" t="s">
        <v>170</v>
      </c>
      <c r="C40" s="1" t="s">
        <v>892</v>
      </c>
      <c r="D40" s="19" t="s">
        <v>899</v>
      </c>
      <c r="F40" s="10" t="s">
        <v>174</v>
      </c>
      <c r="G40" s="10" t="s">
        <v>174</v>
      </c>
      <c r="H40" s="10" t="s">
        <v>174</v>
      </c>
      <c r="I40" s="10" t="s">
        <v>174</v>
      </c>
      <c r="K40" s="10" t="s">
        <v>174</v>
      </c>
      <c r="M40" s="10" t="s">
        <v>174</v>
      </c>
      <c r="Q40" s="10" t="s">
        <v>174</v>
      </c>
      <c r="R40" s="19">
        <v>10065000</v>
      </c>
      <c r="S40" s="19">
        <v>10704000</v>
      </c>
      <c r="T40" s="19">
        <v>11975000</v>
      </c>
      <c r="U40" s="19">
        <v>16180000</v>
      </c>
      <c r="V40" s="19">
        <v>17600000</v>
      </c>
      <c r="W40" s="19">
        <v>17995000</v>
      </c>
      <c r="X40" s="19">
        <v>17936000</v>
      </c>
      <c r="Y40" s="19">
        <v>14625000</v>
      </c>
      <c r="Z40" s="19">
        <v>16435000</v>
      </c>
      <c r="AA40" s="19">
        <v>15711000</v>
      </c>
      <c r="AB40" s="19">
        <v>14888000</v>
      </c>
      <c r="AC40" s="19">
        <v>16615000</v>
      </c>
      <c r="AD40" s="19">
        <v>19264000</v>
      </c>
      <c r="AE40" s="19">
        <v>20993000</v>
      </c>
      <c r="AF40" s="19">
        <v>22099000</v>
      </c>
      <c r="AG40" s="19">
        <v>22492000</v>
      </c>
      <c r="AH40" s="19">
        <v>24603000</v>
      </c>
      <c r="AI40" s="19">
        <v>23400000</v>
      </c>
    </row>
    <row r="41" spans="1:35">
      <c r="A41" s="1" t="s">
        <v>169</v>
      </c>
      <c r="B41" s="1" t="s">
        <v>170</v>
      </c>
      <c r="C41" s="1" t="s">
        <v>892</v>
      </c>
      <c r="D41" s="19" t="s">
        <v>900</v>
      </c>
      <c r="F41" s="10" t="s">
        <v>174</v>
      </c>
      <c r="G41" s="10" t="s">
        <v>174</v>
      </c>
      <c r="H41" s="10" t="s">
        <v>174</v>
      </c>
      <c r="I41" s="10" t="s">
        <v>174</v>
      </c>
      <c r="K41" s="10" t="s">
        <v>174</v>
      </c>
      <c r="M41" s="10" t="s">
        <v>174</v>
      </c>
      <c r="Q41" s="10" t="s">
        <v>174</v>
      </c>
      <c r="R41" s="10" t="s">
        <v>174</v>
      </c>
      <c r="S41" s="10" t="s">
        <v>174</v>
      </c>
      <c r="T41" s="19">
        <v>4939000</v>
      </c>
      <c r="U41" s="19">
        <v>2357000</v>
      </c>
      <c r="V41" s="19">
        <v>1324000</v>
      </c>
      <c r="W41" s="19">
        <v>2518000</v>
      </c>
      <c r="X41" s="19">
        <v>3319000</v>
      </c>
      <c r="Y41" s="19">
        <v>1610000</v>
      </c>
      <c r="Z41" s="19">
        <v>3359000</v>
      </c>
      <c r="AA41" s="19">
        <v>6308000</v>
      </c>
      <c r="AB41" s="19">
        <v>5325000</v>
      </c>
      <c r="AC41" s="19">
        <v>2872000</v>
      </c>
      <c r="AD41" s="19">
        <v>3579000</v>
      </c>
      <c r="AE41" s="19">
        <v>4457000</v>
      </c>
      <c r="AF41" s="19">
        <v>4856000</v>
      </c>
      <c r="AG41" s="19">
        <v>0</v>
      </c>
      <c r="AH41" s="19" t="s">
        <v>174</v>
      </c>
      <c r="AI41" s="19" t="s">
        <v>174</v>
      </c>
    </row>
    <row r="42" spans="1:35">
      <c r="A42" s="1" t="s">
        <v>169</v>
      </c>
      <c r="B42" s="1" t="s">
        <v>170</v>
      </c>
      <c r="C42" s="1" t="s">
        <v>892</v>
      </c>
      <c r="D42" s="19" t="s">
        <v>901</v>
      </c>
      <c r="F42" s="10" t="s">
        <v>174</v>
      </c>
      <c r="G42" s="10" t="s">
        <v>174</v>
      </c>
      <c r="H42" s="10" t="s">
        <v>174</v>
      </c>
      <c r="I42" s="10" t="s">
        <v>174</v>
      </c>
      <c r="K42" s="10" t="s">
        <v>174</v>
      </c>
      <c r="M42" s="10" t="s">
        <v>174</v>
      </c>
      <c r="Q42" s="10" t="s">
        <v>174</v>
      </c>
      <c r="R42" s="19">
        <v>7233000</v>
      </c>
      <c r="S42" s="19">
        <v>7531000</v>
      </c>
      <c r="T42" s="19">
        <v>6230000</v>
      </c>
      <c r="U42" s="19">
        <v>6551000</v>
      </c>
      <c r="V42" s="19">
        <v>6671000</v>
      </c>
      <c r="W42" s="19">
        <v>6574000</v>
      </c>
      <c r="X42" s="19">
        <v>8007000</v>
      </c>
      <c r="Y42" s="19">
        <v>9704000</v>
      </c>
      <c r="Z42" s="19">
        <v>10052000</v>
      </c>
      <c r="AA42" s="19">
        <v>11563000</v>
      </c>
      <c r="AB42" s="19">
        <v>11279000</v>
      </c>
      <c r="AC42" s="19">
        <v>11218000</v>
      </c>
      <c r="AD42" s="19">
        <v>7436000</v>
      </c>
      <c r="AE42" s="19">
        <v>9639000</v>
      </c>
      <c r="AF42" s="19">
        <v>9875000</v>
      </c>
      <c r="AG42" s="19">
        <v>10650000</v>
      </c>
      <c r="AH42" s="19">
        <v>3773000</v>
      </c>
      <c r="AI42" s="19">
        <v>4629000</v>
      </c>
    </row>
    <row r="43" spans="1:35">
      <c r="A43" s="1" t="s">
        <v>169</v>
      </c>
      <c r="B43" s="1" t="s">
        <v>170</v>
      </c>
      <c r="C43" s="7" t="s">
        <v>892</v>
      </c>
      <c r="D43" s="7" t="s">
        <v>603</v>
      </c>
      <c r="F43" s="25">
        <f>SUM(F34:F42)</f>
        <v>55000</v>
      </c>
      <c r="G43" s="25">
        <f>SUM(G34:G42)</f>
        <v>5415000</v>
      </c>
      <c r="H43" s="25">
        <f>SUM(H34:H42)</f>
        <v>6983000</v>
      </c>
      <c r="I43" s="25">
        <f>SUM(I34:I42)</f>
        <v>4997000</v>
      </c>
      <c r="K43" s="25">
        <f>SUM(K34:K42)</f>
        <v>11000</v>
      </c>
      <c r="M43" s="25">
        <f>SUM(M34:M42)</f>
        <v>8277000</v>
      </c>
      <c r="Q43" s="25">
        <f>SUM(Q34:Q42)</f>
        <v>13596000</v>
      </c>
      <c r="R43" s="25">
        <f>SUM(R34:R42)</f>
        <v>28771000</v>
      </c>
      <c r="S43" s="25">
        <f>SUM(S34:S42)</f>
        <v>30306000</v>
      </c>
      <c r="T43" s="25">
        <f>SUM(T34:T42)</f>
        <v>34385000</v>
      </c>
      <c r="U43" s="25">
        <f>SUM(U34:U42)</f>
        <v>44049000</v>
      </c>
      <c r="V43" s="25">
        <f>SUM(V34:V42)</f>
        <v>41609000</v>
      </c>
      <c r="W43" s="25">
        <f>SUM(W34:W42)</f>
        <v>45106000</v>
      </c>
      <c r="X43" s="25">
        <f>SUM(X34:X42)</f>
        <v>46693000</v>
      </c>
      <c r="Y43" s="25">
        <f>SUM(Y34:Y42)</f>
        <v>43695000</v>
      </c>
      <c r="Z43" s="25">
        <f>SUM(Z34:Z42)</f>
        <v>50333000</v>
      </c>
      <c r="AA43" s="25">
        <f>SUM(AA34:AA42)</f>
        <v>63585000</v>
      </c>
      <c r="AB43" s="25">
        <f>SUM(AB34:AB42)</f>
        <v>58654000</v>
      </c>
      <c r="AC43" s="25">
        <f>SUM(AC34:AC42)</f>
        <v>61626000</v>
      </c>
      <c r="AD43" s="25">
        <f>SUM(AD34:AD42)</f>
        <v>52994000</v>
      </c>
      <c r="AE43" s="25">
        <f>SUM(AE34:AE42)</f>
        <v>60488000</v>
      </c>
      <c r="AF43" s="25">
        <f>SUM(AF34:AF42)</f>
        <v>63912000</v>
      </c>
      <c r="AG43" s="25">
        <f>SUM(AG34:AG42)</f>
        <v>67285000</v>
      </c>
      <c r="AH43" s="25">
        <f>SUM(AH34:AH42)</f>
        <v>62962000</v>
      </c>
      <c r="AI43" s="25">
        <f>SUM(AI34:AI42)</f>
        <v>69662000</v>
      </c>
    </row>
    <row r="44" spans="1:35">
      <c r="A44" s="1" t="s">
        <v>169</v>
      </c>
      <c r="B44" s="1" t="s">
        <v>170</v>
      </c>
      <c r="C44" s="1" t="s">
        <v>902</v>
      </c>
      <c r="D44" s="19" t="s">
        <v>903</v>
      </c>
      <c r="F44" s="19">
        <v>2686000</v>
      </c>
      <c r="G44" s="19">
        <v>4010000</v>
      </c>
      <c r="H44" s="19">
        <v>2064000</v>
      </c>
      <c r="I44" s="19">
        <v>1402000</v>
      </c>
      <c r="K44" s="19">
        <v>980000</v>
      </c>
      <c r="M44" s="23">
        <v>1667000</v>
      </c>
      <c r="Q44" s="19">
        <v>4609000</v>
      </c>
      <c r="R44" s="19">
        <v>1767000</v>
      </c>
      <c r="S44" s="19">
        <v>1264000</v>
      </c>
      <c r="T44" s="19">
        <v>1209000</v>
      </c>
      <c r="U44" s="19">
        <v>962000</v>
      </c>
      <c r="V44" s="19">
        <v>830000</v>
      </c>
      <c r="W44" s="19">
        <v>907000</v>
      </c>
      <c r="X44" s="19">
        <v>1183000</v>
      </c>
      <c r="Y44" s="19">
        <v>1150000</v>
      </c>
      <c r="Z44" s="19">
        <v>1149000</v>
      </c>
      <c r="AA44" s="19">
        <v>1045000</v>
      </c>
      <c r="AB44" s="19">
        <v>972000</v>
      </c>
      <c r="AC44" s="19">
        <v>757000</v>
      </c>
      <c r="AD44" s="19">
        <v>614000</v>
      </c>
      <c r="AE44" s="19">
        <v>1129000</v>
      </c>
      <c r="AF44" s="19">
        <v>750000</v>
      </c>
      <c r="AG44" s="19">
        <v>575000</v>
      </c>
      <c r="AH44" s="19">
        <v>594000</v>
      </c>
      <c r="AI44" s="19">
        <v>558000</v>
      </c>
    </row>
    <row r="45" spans="1:35">
      <c r="A45" s="1" t="s">
        <v>169</v>
      </c>
      <c r="B45" s="1" t="s">
        <v>170</v>
      </c>
      <c r="C45" s="1" t="s">
        <v>902</v>
      </c>
      <c r="D45" s="19" t="s">
        <v>865</v>
      </c>
      <c r="F45" s="10" t="s">
        <v>174</v>
      </c>
      <c r="G45" s="10" t="s">
        <v>174</v>
      </c>
      <c r="H45" s="10" t="s">
        <v>174</v>
      </c>
      <c r="I45" s="10" t="s">
        <v>174</v>
      </c>
      <c r="K45" s="10" t="s">
        <v>174</v>
      </c>
      <c r="M45" s="23">
        <v>7886000</v>
      </c>
      <c r="Q45" s="19">
        <v>7375000</v>
      </c>
      <c r="R45" s="19" t="s">
        <v>174</v>
      </c>
      <c r="S45" s="19" t="s">
        <v>174</v>
      </c>
      <c r="T45" s="19" t="s">
        <v>174</v>
      </c>
      <c r="U45" s="19" t="s">
        <v>174</v>
      </c>
      <c r="V45" s="10" t="s">
        <v>174</v>
      </c>
      <c r="W45" s="10" t="s">
        <v>174</v>
      </c>
      <c r="X45" s="10" t="s">
        <v>174</v>
      </c>
      <c r="Y45" s="10" t="s">
        <v>174</v>
      </c>
      <c r="Z45" s="10" t="s">
        <v>174</v>
      </c>
      <c r="AA45" s="10" t="s">
        <v>174</v>
      </c>
      <c r="AB45" s="10" t="s">
        <v>174</v>
      </c>
      <c r="AC45" s="10" t="s">
        <v>174</v>
      </c>
      <c r="AD45" s="10" t="s">
        <v>174</v>
      </c>
      <c r="AE45" s="10" t="s">
        <v>174</v>
      </c>
      <c r="AF45" s="10" t="s">
        <v>174</v>
      </c>
      <c r="AG45" s="10" t="s">
        <v>174</v>
      </c>
      <c r="AH45" s="10" t="s">
        <v>174</v>
      </c>
      <c r="AI45" s="10" t="s">
        <v>174</v>
      </c>
    </row>
    <row r="46" spans="1:35">
      <c r="A46" s="1" t="s">
        <v>169</v>
      </c>
      <c r="B46" s="1" t="s">
        <v>170</v>
      </c>
      <c r="C46" s="1" t="s">
        <v>902</v>
      </c>
      <c r="D46" s="19" t="s">
        <v>896</v>
      </c>
      <c r="F46" s="19">
        <v>0</v>
      </c>
      <c r="G46" s="19">
        <v>7350000</v>
      </c>
      <c r="H46" s="19">
        <v>3350000</v>
      </c>
      <c r="I46" s="19">
        <v>0</v>
      </c>
      <c r="M46" s="19">
        <v>21017000</v>
      </c>
      <c r="Q46" s="19" t="s">
        <v>174</v>
      </c>
      <c r="R46" s="19" t="s">
        <v>174</v>
      </c>
      <c r="S46" s="19" t="s">
        <v>174</v>
      </c>
      <c r="T46" s="19" t="s">
        <v>174</v>
      </c>
      <c r="U46" s="19" t="s">
        <v>174</v>
      </c>
      <c r="V46" s="10" t="s">
        <v>174</v>
      </c>
      <c r="W46" s="10" t="s">
        <v>174</v>
      </c>
      <c r="X46" s="10" t="s">
        <v>174</v>
      </c>
      <c r="Y46" s="10" t="s">
        <v>174</v>
      </c>
      <c r="Z46" s="10" t="s">
        <v>174</v>
      </c>
      <c r="AA46" s="10" t="s">
        <v>174</v>
      </c>
      <c r="AB46" s="10" t="s">
        <v>174</v>
      </c>
      <c r="AC46" s="10" t="s">
        <v>174</v>
      </c>
      <c r="AD46" s="10" t="s">
        <v>174</v>
      </c>
      <c r="AE46" s="10" t="s">
        <v>174</v>
      </c>
      <c r="AF46" s="10" t="s">
        <v>174</v>
      </c>
      <c r="AG46" s="10" t="s">
        <v>174</v>
      </c>
      <c r="AH46" s="10" t="s">
        <v>174</v>
      </c>
      <c r="AI46" s="10" t="s">
        <v>174</v>
      </c>
    </row>
    <row r="47" spans="1:35">
      <c r="A47" s="1" t="s">
        <v>169</v>
      </c>
      <c r="B47" s="1" t="s">
        <v>170</v>
      </c>
      <c r="C47" s="1" t="s">
        <v>902</v>
      </c>
      <c r="D47" s="19" t="s">
        <v>904</v>
      </c>
      <c r="F47" s="19">
        <v>251982000</v>
      </c>
      <c r="G47" s="19">
        <v>251210000</v>
      </c>
      <c r="H47" s="19">
        <v>238228000</v>
      </c>
      <c r="I47" s="19">
        <v>238701000</v>
      </c>
      <c r="K47" s="19">
        <v>248734000</v>
      </c>
      <c r="M47" s="19">
        <v>431994000</v>
      </c>
      <c r="Q47" s="19">
        <v>447781000</v>
      </c>
      <c r="R47" s="19">
        <v>432912000</v>
      </c>
      <c r="S47" s="19">
        <v>538390000</v>
      </c>
      <c r="T47" s="19">
        <v>533863000</v>
      </c>
      <c r="U47" s="19">
        <v>531673000</v>
      </c>
      <c r="V47" s="19">
        <v>573171000</v>
      </c>
      <c r="W47" s="19">
        <v>560711000</v>
      </c>
      <c r="X47" s="19">
        <v>549892000</v>
      </c>
      <c r="Y47" s="19">
        <v>660358000</v>
      </c>
      <c r="Z47" s="19">
        <v>648635000</v>
      </c>
      <c r="AA47" s="19">
        <v>647079000</v>
      </c>
      <c r="AB47" s="19">
        <v>651562000</v>
      </c>
      <c r="AC47" s="19">
        <v>641695000</v>
      </c>
      <c r="AD47" s="19">
        <v>755112000</v>
      </c>
      <c r="AE47" s="19">
        <v>750749000</v>
      </c>
      <c r="AF47" s="19">
        <v>741187000</v>
      </c>
      <c r="AG47" s="19">
        <v>733283000</v>
      </c>
      <c r="AH47" s="19">
        <v>841574000</v>
      </c>
      <c r="AI47" s="19">
        <v>883626000</v>
      </c>
    </row>
    <row r="48" spans="1:35">
      <c r="A48" s="1" t="s">
        <v>169</v>
      </c>
      <c r="B48" s="1" t="s">
        <v>170</v>
      </c>
      <c r="C48" s="1" t="s">
        <v>902</v>
      </c>
      <c r="D48" s="19" t="s">
        <v>905</v>
      </c>
      <c r="F48" s="10" t="s">
        <v>174</v>
      </c>
      <c r="G48" s="10" t="s">
        <v>174</v>
      </c>
      <c r="H48" s="10" t="s">
        <v>174</v>
      </c>
      <c r="I48" s="10" t="s">
        <v>174</v>
      </c>
      <c r="K48" s="10" t="s">
        <v>174</v>
      </c>
      <c r="M48" s="19" t="s">
        <v>174</v>
      </c>
      <c r="Q48" s="19" t="s">
        <v>174</v>
      </c>
      <c r="R48" s="19" t="s">
        <v>174</v>
      </c>
      <c r="S48" s="19" t="s">
        <v>174</v>
      </c>
      <c r="T48" s="19" t="s">
        <v>174</v>
      </c>
      <c r="U48" s="19" t="s">
        <v>174</v>
      </c>
      <c r="V48" s="10" t="s">
        <v>174</v>
      </c>
      <c r="W48" s="10" t="s">
        <v>174</v>
      </c>
      <c r="X48" s="10" t="s">
        <v>174</v>
      </c>
      <c r="Y48" s="10" t="s">
        <v>174</v>
      </c>
      <c r="Z48" s="10" t="s">
        <v>174</v>
      </c>
      <c r="AA48" s="10">
        <v>36856000</v>
      </c>
      <c r="AB48" s="10">
        <v>117907000</v>
      </c>
      <c r="AC48" s="10">
        <v>118933000</v>
      </c>
      <c r="AD48" s="10">
        <v>32404000</v>
      </c>
      <c r="AE48" s="10">
        <v>87197000</v>
      </c>
      <c r="AF48" s="10">
        <v>96065000</v>
      </c>
      <c r="AG48" s="10">
        <v>86772000</v>
      </c>
      <c r="AH48" s="10">
        <v>18319000</v>
      </c>
      <c r="AI48" s="10">
        <v>13254000</v>
      </c>
    </row>
    <row r="49" spans="1:35">
      <c r="A49" s="1" t="s">
        <v>169</v>
      </c>
      <c r="B49" s="1" t="s">
        <v>170</v>
      </c>
      <c r="C49" s="7" t="s">
        <v>902</v>
      </c>
      <c r="D49" s="7" t="s">
        <v>603</v>
      </c>
      <c r="F49" s="7">
        <f>SUM(F44:F48)</f>
        <v>254668000</v>
      </c>
      <c r="G49" s="7">
        <f>SUM(G44:G48)</f>
        <v>262570000</v>
      </c>
      <c r="H49" s="7">
        <f>SUM(H44:H48)</f>
        <v>243642000</v>
      </c>
      <c r="I49" s="7">
        <f>SUM(I44:I48)</f>
        <v>240103000</v>
      </c>
      <c r="K49" s="7">
        <f>SUM(K44:K48)</f>
        <v>249714000</v>
      </c>
      <c r="M49" s="7">
        <f>SUM(M44:M48)</f>
        <v>462564000</v>
      </c>
      <c r="Q49" s="7">
        <f>SUM(Q44:Q48)</f>
        <v>459765000</v>
      </c>
      <c r="R49" s="7">
        <f>SUM(R44:R48)</f>
        <v>434679000</v>
      </c>
      <c r="S49" s="7">
        <f>SUM(S44:S48)</f>
        <v>539654000</v>
      </c>
      <c r="T49" s="7">
        <f>SUM(T44:T48)</f>
        <v>535072000</v>
      </c>
      <c r="U49" s="7">
        <f>SUM(U44:U48)</f>
        <v>532635000</v>
      </c>
      <c r="V49" s="7">
        <f>SUM(V44:V48)</f>
        <v>574001000</v>
      </c>
      <c r="W49" s="7">
        <f>SUM(W44:W48)</f>
        <v>561618000</v>
      </c>
      <c r="X49" s="7">
        <f>SUM(X44:X48)</f>
        <v>551075000</v>
      </c>
      <c r="Y49" s="7">
        <f>SUM(Y44:Y48)</f>
        <v>661508000</v>
      </c>
      <c r="Z49" s="7">
        <f>SUM(Z44:Z48)</f>
        <v>649784000</v>
      </c>
      <c r="AA49" s="7">
        <f>SUM(AA44:AA48)</f>
        <v>684980000</v>
      </c>
      <c r="AB49" s="7">
        <f>SUM(AB44:AB48)</f>
        <v>770441000</v>
      </c>
      <c r="AC49" s="7">
        <f>SUM(AC44:AC48)</f>
        <v>761385000</v>
      </c>
      <c r="AD49" s="7">
        <f>SUM(AD44:AD48)</f>
        <v>788130000</v>
      </c>
      <c r="AE49" s="7">
        <f>SUM(AE44:AE48)</f>
        <v>839075000</v>
      </c>
      <c r="AF49" s="7">
        <f>SUM(AF44:AF48)</f>
        <v>838002000</v>
      </c>
      <c r="AG49" s="7">
        <f>SUM(AG44:AG48)</f>
        <v>820630000</v>
      </c>
      <c r="AH49" s="7">
        <f>SUM(AH44:AH48)</f>
        <v>860487000</v>
      </c>
      <c r="AI49" s="7">
        <f>SUM(AI44:AI48)</f>
        <v>897438000</v>
      </c>
    </row>
    <row r="50" spans="1:35">
      <c r="A50" s="1" t="s">
        <v>169</v>
      </c>
      <c r="B50" s="1" t="s">
        <v>170</v>
      </c>
      <c r="C50" s="7" t="s">
        <v>906</v>
      </c>
      <c r="D50" s="7" t="s">
        <v>603</v>
      </c>
      <c r="F50" s="25">
        <f>F49+F43</f>
        <v>254723000</v>
      </c>
      <c r="G50" s="25">
        <f>G49+G43</f>
        <v>267985000</v>
      </c>
      <c r="H50" s="25">
        <f>H49+H43</f>
        <v>250625000</v>
      </c>
      <c r="I50" s="25">
        <f>I49+I43</f>
        <v>245100000</v>
      </c>
      <c r="K50" s="25">
        <f>K49+K43</f>
        <v>249725000</v>
      </c>
      <c r="M50" s="25">
        <f>M49+M43</f>
        <v>470841000</v>
      </c>
      <c r="Q50" s="25">
        <f>Q49+Q43</f>
        <v>473361000</v>
      </c>
      <c r="R50" s="25">
        <f>R49+R43</f>
        <v>463450000</v>
      </c>
      <c r="S50" s="25">
        <f>S49+S43</f>
        <v>569960000</v>
      </c>
      <c r="T50" s="25">
        <f>T49+T43</f>
        <v>569457000</v>
      </c>
      <c r="U50" s="25">
        <f>U49+U43</f>
        <v>576684000</v>
      </c>
      <c r="V50" s="25">
        <f>V49+V43</f>
        <v>615610000</v>
      </c>
      <c r="W50" s="25">
        <f>W49+W43</f>
        <v>606724000</v>
      </c>
      <c r="X50" s="25">
        <f>X49+X43</f>
        <v>597768000</v>
      </c>
      <c r="Y50" s="25">
        <f>Y49+Y43</f>
        <v>705203000</v>
      </c>
      <c r="Z50" s="25">
        <f>Z49+Z43</f>
        <v>700117000</v>
      </c>
      <c r="AA50" s="25">
        <f>AA49+AA43</f>
        <v>748565000</v>
      </c>
      <c r="AB50" s="25">
        <f>AB49+AB43</f>
        <v>829095000</v>
      </c>
      <c r="AC50" s="25">
        <f>AC49+AC43</f>
        <v>823011000</v>
      </c>
      <c r="AD50" s="25">
        <f>AD49+AD43</f>
        <v>841124000</v>
      </c>
      <c r="AE50" s="25">
        <f>AE49+AE43</f>
        <v>899563000</v>
      </c>
      <c r="AF50" s="25">
        <f>AF49+AF43</f>
        <v>901914000</v>
      </c>
      <c r="AG50" s="25">
        <f>AG49+AG43</f>
        <v>887915000</v>
      </c>
      <c r="AH50" s="25">
        <f>AH49+AH43</f>
        <v>923449000</v>
      </c>
      <c r="AI50" s="25">
        <f>AI49+AI43</f>
        <v>967100000</v>
      </c>
    </row>
    <row r="51" spans="1:35">
      <c r="A51" s="1" t="s">
        <v>169</v>
      </c>
      <c r="B51" s="1" t="s">
        <v>170</v>
      </c>
      <c r="C51" s="19" t="s">
        <v>907</v>
      </c>
      <c r="D51" s="19" t="s">
        <v>908</v>
      </c>
      <c r="F51" s="19">
        <v>5277000</v>
      </c>
      <c r="G51" s="19">
        <v>5277000</v>
      </c>
      <c r="H51" s="19">
        <v>5277000</v>
      </c>
      <c r="I51" s="19">
        <v>5277000</v>
      </c>
      <c r="K51" s="19">
        <v>5277000</v>
      </c>
      <c r="M51" s="19">
        <v>5277000</v>
      </c>
      <c r="Q51" s="19">
        <v>5277000</v>
      </c>
      <c r="R51" s="19">
        <v>7412000</v>
      </c>
      <c r="S51" s="19">
        <v>7273000</v>
      </c>
      <c r="T51" s="19">
        <v>9254000</v>
      </c>
      <c r="U51" s="19">
        <v>7726000</v>
      </c>
      <c r="V51" s="19">
        <v>9393000</v>
      </c>
      <c r="W51" s="19">
        <v>8401000</v>
      </c>
      <c r="X51" s="19">
        <v>8837000</v>
      </c>
      <c r="Y51" s="19">
        <v>15988000</v>
      </c>
      <c r="Z51" s="19">
        <v>13954000</v>
      </c>
      <c r="AA51" s="19">
        <v>11053000</v>
      </c>
      <c r="AB51" s="19">
        <v>9112000</v>
      </c>
      <c r="AC51" s="19">
        <v>9121000</v>
      </c>
      <c r="AD51" s="19">
        <v>9125000</v>
      </c>
      <c r="AE51" s="19">
        <v>9130000</v>
      </c>
      <c r="AF51" s="19">
        <v>9134000</v>
      </c>
      <c r="AG51" s="19">
        <v>9999000</v>
      </c>
      <c r="AH51" s="19">
        <v>13240000</v>
      </c>
      <c r="AI51" s="19">
        <v>16388000</v>
      </c>
    </row>
    <row r="52" spans="1:35">
      <c r="A52" s="1" t="s">
        <v>169</v>
      </c>
      <c r="B52" s="1" t="s">
        <v>170</v>
      </c>
      <c r="C52" s="1" t="s">
        <v>907</v>
      </c>
      <c r="D52" s="19" t="s">
        <v>909</v>
      </c>
      <c r="F52" s="19">
        <v>-5846000</v>
      </c>
      <c r="G52" s="19">
        <v>-17843000</v>
      </c>
      <c r="H52" s="19">
        <v>-17080000</v>
      </c>
      <c r="I52" s="19">
        <v>-18983000</v>
      </c>
      <c r="K52" s="19">
        <v>-19181000</v>
      </c>
      <c r="M52" s="19">
        <v>-4067000</v>
      </c>
      <c r="Q52" s="19">
        <v>-801000</v>
      </c>
      <c r="R52" s="19">
        <v>-20178000</v>
      </c>
      <c r="S52" s="19">
        <v>-34974000</v>
      </c>
      <c r="T52" s="19">
        <v>-44789000</v>
      </c>
      <c r="U52" s="19">
        <v>-52022000</v>
      </c>
      <c r="V52" s="19">
        <v>-65381000</v>
      </c>
      <c r="W52" s="19">
        <v>-69075000</v>
      </c>
      <c r="X52" s="19">
        <v>-64959000</v>
      </c>
      <c r="Y52" s="19">
        <v>-81338000</v>
      </c>
      <c r="Z52" s="19">
        <v>-57456000</v>
      </c>
      <c r="AA52" s="19">
        <v>-40489000</v>
      </c>
      <c r="AB52" s="19">
        <v>-52350000</v>
      </c>
      <c r="AC52" s="19">
        <v>-43740000</v>
      </c>
      <c r="AD52" s="19">
        <v>-55316000</v>
      </c>
      <c r="AE52" s="19">
        <v>-51220000</v>
      </c>
      <c r="AF52" s="19">
        <v>-25097000</v>
      </c>
      <c r="AG52" s="19">
        <v>-5395000</v>
      </c>
      <c r="AH52" s="19">
        <v>-29609000</v>
      </c>
      <c r="AI52" s="19">
        <v>-14892000</v>
      </c>
    </row>
    <row r="53" spans="1:35">
      <c r="A53" s="1" t="s">
        <v>169</v>
      </c>
      <c r="B53" s="1" t="s">
        <v>170</v>
      </c>
      <c r="C53" s="1" t="s">
        <v>907</v>
      </c>
      <c r="D53" s="19" t="s">
        <v>910</v>
      </c>
      <c r="F53" s="10" t="s">
        <v>174</v>
      </c>
      <c r="G53" s="10" t="s">
        <v>174</v>
      </c>
      <c r="H53" s="10" t="s">
        <v>174</v>
      </c>
      <c r="I53" s="10" t="s">
        <v>174</v>
      </c>
      <c r="K53" s="10" t="s">
        <v>174</v>
      </c>
      <c r="M53" s="10" t="s">
        <v>174</v>
      </c>
      <c r="Q53" s="19" t="s">
        <v>174</v>
      </c>
      <c r="R53" s="19">
        <v>6554000</v>
      </c>
      <c r="S53" s="19">
        <v>10695000</v>
      </c>
      <c r="T53" s="19">
        <v>1403000</v>
      </c>
      <c r="U53" s="19">
        <v>2706000</v>
      </c>
      <c r="V53" s="19">
        <v>16719000</v>
      </c>
      <c r="W53" s="19">
        <v>22742000</v>
      </c>
      <c r="X53" s="19">
        <v>21519000</v>
      </c>
      <c r="Y53" s="19">
        <v>30353000</v>
      </c>
      <c r="Z53" s="19">
        <v>13064000</v>
      </c>
      <c r="AA53" s="19">
        <v>-731000</v>
      </c>
      <c r="AB53" s="19">
        <v>-267000</v>
      </c>
      <c r="AC53" s="19">
        <v>-7897000</v>
      </c>
      <c r="AD53" s="19">
        <v>-8943000</v>
      </c>
      <c r="AE53" s="19">
        <v>-17040000</v>
      </c>
      <c r="AF53" s="19">
        <v>-19782000</v>
      </c>
      <c r="AG53" s="19">
        <v>-42127000</v>
      </c>
      <c r="AH53" s="19">
        <v>-27467000</v>
      </c>
      <c r="AI53" s="19">
        <v>-5855000</v>
      </c>
    </row>
    <row r="54" spans="1:35">
      <c r="A54" s="1" t="s">
        <v>169</v>
      </c>
      <c r="B54" s="1" t="s">
        <v>170</v>
      </c>
      <c r="C54" s="7" t="s">
        <v>907</v>
      </c>
      <c r="D54" s="7" t="s">
        <v>603</v>
      </c>
      <c r="F54" s="7">
        <f>SUM(F51:F53)</f>
        <v>-569000</v>
      </c>
      <c r="G54" s="7">
        <f>SUM(G51:G53)</f>
        <v>-12566000</v>
      </c>
      <c r="H54" s="7">
        <f>SUM(H51:H53)</f>
        <v>-11803000</v>
      </c>
      <c r="I54" s="7">
        <f>SUM(I51:I53)</f>
        <v>-13706000</v>
      </c>
      <c r="K54" s="7">
        <f>SUM(K51:K53)</f>
        <v>-13904000</v>
      </c>
      <c r="M54" s="7">
        <f>SUM(M51:M53)</f>
        <v>1210000</v>
      </c>
      <c r="Q54" s="7">
        <f>SUM(Q51:Q53)</f>
        <v>4476000</v>
      </c>
      <c r="R54" s="7">
        <f>SUM(R51:R53)</f>
        <v>-6212000</v>
      </c>
      <c r="S54" s="7">
        <f>SUM(S51:S53)</f>
        <v>-17006000</v>
      </c>
      <c r="T54" s="7">
        <f>SUM(T51:T53)</f>
        <v>-34132000</v>
      </c>
      <c r="U54" s="7">
        <f>SUM(U51:U53)</f>
        <v>-41590000</v>
      </c>
      <c r="V54" s="7">
        <f>SUM(V51:V53)</f>
        <v>-39269000</v>
      </c>
      <c r="W54" s="7">
        <f>SUM(W51:W53)</f>
        <v>-37932000</v>
      </c>
      <c r="X54" s="7">
        <f>SUM(X51:X53)</f>
        <v>-34603000</v>
      </c>
      <c r="Y54" s="7">
        <f>SUM(Y51:Y53)</f>
        <v>-34997000</v>
      </c>
      <c r="Z54" s="7">
        <f>SUM(Z51:Z53)</f>
        <v>-30438000</v>
      </c>
      <c r="AA54" s="7">
        <f>SUM(AA51:AA53)</f>
        <v>-30167000</v>
      </c>
      <c r="AB54" s="7">
        <f>SUM(AB51:AB53)</f>
        <v>-43505000</v>
      </c>
      <c r="AC54" s="7">
        <f>SUM(AC51:AC53)</f>
        <v>-42516000</v>
      </c>
      <c r="AD54" s="7">
        <f>SUM(AD51:AD53)</f>
        <v>-55134000</v>
      </c>
      <c r="AE54" s="7">
        <f>SUM(AE51:AE53)</f>
        <v>-59130000</v>
      </c>
      <c r="AF54" s="7">
        <f>SUM(AF51:AF53)</f>
        <v>-35745000</v>
      </c>
      <c r="AG54" s="7">
        <f>SUM(AG51:AG53)</f>
        <v>-37523000</v>
      </c>
      <c r="AH54" s="7">
        <f>SUM(AH51:AH53)</f>
        <v>-43836000</v>
      </c>
      <c r="AI54" s="7">
        <f>SUM(AI51:AI53)</f>
        <v>-4359000</v>
      </c>
    </row>
    <row r="55" spans="1:35">
      <c r="A55" s="1" t="s">
        <v>169</v>
      </c>
      <c r="B55" s="1" t="s">
        <v>170</v>
      </c>
      <c r="C55" s="1" t="s">
        <v>911</v>
      </c>
      <c r="F55" s="19">
        <v>0</v>
      </c>
      <c r="G55" s="19">
        <v>0</v>
      </c>
      <c r="H55" s="19">
        <v>0</v>
      </c>
      <c r="I55" s="19">
        <v>0</v>
      </c>
      <c r="K55" s="19">
        <v>1265000</v>
      </c>
      <c r="M55" s="19">
        <f>3251000</f>
        <v>3251000</v>
      </c>
      <c r="Q55" s="19">
        <f>1008000+172000</f>
        <v>1180000</v>
      </c>
      <c r="R55" s="19">
        <v>855000</v>
      </c>
      <c r="S55" s="19">
        <v>703000</v>
      </c>
      <c r="T55" s="19">
        <v>551000</v>
      </c>
      <c r="U55" s="19">
        <v>442000</v>
      </c>
      <c r="V55" s="19">
        <v>420000</v>
      </c>
      <c r="W55" s="19">
        <v>399000</v>
      </c>
      <c r="X55" s="19">
        <v>378000</v>
      </c>
      <c r="Y55" s="19">
        <v>356000</v>
      </c>
      <c r="Z55" s="19">
        <v>335000</v>
      </c>
      <c r="AA55" s="19">
        <v>314000</v>
      </c>
      <c r="AB55" s="19">
        <v>292000</v>
      </c>
      <c r="AC55" s="19">
        <v>271000</v>
      </c>
      <c r="AD55" s="10">
        <v>249000</v>
      </c>
      <c r="AE55" s="10">
        <v>228000</v>
      </c>
      <c r="AF55" s="19">
        <v>207000</v>
      </c>
      <c r="AG55" s="19">
        <v>185000</v>
      </c>
      <c r="AH55" s="19">
        <f>164000</f>
        <v>164000</v>
      </c>
      <c r="AI55" s="19">
        <f>143000+4750000</f>
        <v>4893000</v>
      </c>
    </row>
    <row r="56" spans="1:35">
      <c r="A56" s="1" t="s">
        <v>169</v>
      </c>
      <c r="B56" s="1" t="s">
        <v>170</v>
      </c>
      <c r="C56" s="7" t="s">
        <v>912</v>
      </c>
      <c r="F56" s="25">
        <f>F55+F54+F50</f>
        <v>254154000</v>
      </c>
      <c r="G56" s="25">
        <f>G55+G54+G50</f>
        <v>255419000</v>
      </c>
      <c r="H56" s="25">
        <f>H55+H54+H50</f>
        <v>238822000</v>
      </c>
      <c r="I56" s="25">
        <f>I55+I54+I50</f>
        <v>231394000</v>
      </c>
      <c r="K56" s="25">
        <f>K55+K54+K50</f>
        <v>237086000</v>
      </c>
      <c r="M56" s="25">
        <f>M55+M54+M50</f>
        <v>475302000</v>
      </c>
      <c r="Q56" s="25">
        <f>Q55+Q54+Q50</f>
        <v>479017000</v>
      </c>
      <c r="R56" s="25">
        <f>R55+R54+R50</f>
        <v>458093000</v>
      </c>
      <c r="S56" s="25">
        <f>S55+S54+S50</f>
        <v>553657000</v>
      </c>
      <c r="T56" s="25">
        <f>T55+T54+T50</f>
        <v>535876000</v>
      </c>
      <c r="U56" s="25">
        <f>U55+U54+U50</f>
        <v>535536000</v>
      </c>
      <c r="V56" s="25">
        <f>V55+V54+V50</f>
        <v>576761000</v>
      </c>
      <c r="W56" s="25">
        <f>W55+W54+W50</f>
        <v>569191000</v>
      </c>
      <c r="X56" s="25">
        <f>X55+X54+X50</f>
        <v>563543000</v>
      </c>
      <c r="Y56" s="25">
        <f>Y55+Y54+Y50</f>
        <v>670562000</v>
      </c>
      <c r="Z56" s="25">
        <f>Z55+Z54+Z50</f>
        <v>670014000</v>
      </c>
      <c r="AA56" s="25">
        <f>AA55+AA54+AA50</f>
        <v>718712000</v>
      </c>
      <c r="AB56" s="25">
        <f>AB55+AB54+AB50</f>
        <v>785882000</v>
      </c>
      <c r="AC56" s="25">
        <f>AC55+AC54+AC50</f>
        <v>780766000</v>
      </c>
      <c r="AD56" s="25">
        <f>AD55+AD54+AD50</f>
        <v>786239000</v>
      </c>
      <c r="AE56" s="25">
        <f>AE55+AE54+AE50</f>
        <v>840661000</v>
      </c>
      <c r="AF56" s="25">
        <f>AF55+AF54+AF50</f>
        <v>866376000</v>
      </c>
      <c r="AG56" s="25">
        <f>AG55+AG54+AG50</f>
        <v>850577000</v>
      </c>
      <c r="AH56" s="25">
        <f>AH55+AH54+AH50</f>
        <v>879777000</v>
      </c>
      <c r="AI56" s="25">
        <f>AI55+AI54+AI50</f>
        <v>967634000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2"/>
  <sheetViews>
    <sheetView topLeftCell="D1" workbookViewId="0">
      <selection activeCell="N32" sqref="N32:O32"/>
    </sheetView>
  </sheetViews>
  <sheetFormatPr defaultColWidth="8.85546875" defaultRowHeight="14.45"/>
  <cols>
    <col min="1" max="1" width="10.140625" style="1" bestFit="1" customWidth="1"/>
    <col min="2" max="4" width="8.85546875" style="1"/>
    <col min="5" max="5" width="17" style="1" bestFit="1" customWidth="1"/>
    <col min="6" max="6" width="12.85546875" style="1" bestFit="1" customWidth="1"/>
    <col min="7" max="8" width="8.85546875" style="1"/>
    <col min="9" max="9" width="10" style="1" bestFit="1" customWidth="1"/>
    <col min="10" max="12" width="8.85546875" style="1"/>
    <col min="13" max="13" width="11.140625" style="1" bestFit="1" customWidth="1"/>
    <col min="14" max="15" width="11.140625" style="1" customWidth="1"/>
    <col min="16" max="16" width="17.7109375" style="1" customWidth="1"/>
    <col min="17" max="18" width="8.85546875" style="21"/>
    <col min="19" max="16384" width="8.85546875" style="1"/>
  </cols>
  <sheetData>
    <row r="1" spans="1:20">
      <c r="A1" s="18" t="s">
        <v>149</v>
      </c>
      <c r="B1" s="18" t="s">
        <v>150</v>
      </c>
      <c r="C1" s="18" t="s">
        <v>151</v>
      </c>
      <c r="D1" s="18" t="s">
        <v>152</v>
      </c>
      <c r="E1" s="18" t="s">
        <v>153</v>
      </c>
      <c r="F1" s="18" t="s">
        <v>154</v>
      </c>
      <c r="G1" s="18" t="s">
        <v>155</v>
      </c>
      <c r="H1" s="18" t="s">
        <v>156</v>
      </c>
      <c r="I1" s="18" t="s">
        <v>157</v>
      </c>
      <c r="J1" s="18" t="s">
        <v>158</v>
      </c>
      <c r="K1" s="18" t="s">
        <v>159</v>
      </c>
      <c r="L1" s="18" t="s">
        <v>160</v>
      </c>
      <c r="M1" s="18" t="s">
        <v>161</v>
      </c>
      <c r="N1" s="18" t="s">
        <v>162</v>
      </c>
      <c r="O1" s="18" t="s">
        <v>163</v>
      </c>
      <c r="P1" s="18" t="s">
        <v>164</v>
      </c>
      <c r="Q1" s="22" t="s">
        <v>165</v>
      </c>
      <c r="R1" s="22" t="s">
        <v>166</v>
      </c>
      <c r="S1" s="18" t="s">
        <v>167</v>
      </c>
      <c r="T1" s="18" t="s">
        <v>168</v>
      </c>
    </row>
    <row r="2" spans="1:20">
      <c r="A2" s="1" t="s">
        <v>169</v>
      </c>
      <c r="B2" s="1" t="s">
        <v>170</v>
      </c>
      <c r="C2" s="1">
        <v>1991</v>
      </c>
      <c r="D2" s="1" t="s">
        <v>171</v>
      </c>
      <c r="E2" s="1" t="s">
        <v>172</v>
      </c>
      <c r="F2" s="1" t="s">
        <v>173</v>
      </c>
      <c r="G2" s="1" t="s">
        <v>174</v>
      </c>
      <c r="H2" s="1" t="s">
        <v>174</v>
      </c>
      <c r="I2" s="1">
        <v>248329024</v>
      </c>
      <c r="J2" s="1">
        <v>1991</v>
      </c>
      <c r="K2" s="1">
        <v>2016</v>
      </c>
      <c r="L2" s="1" t="s">
        <v>175</v>
      </c>
      <c r="M2" s="1" t="s">
        <v>176</v>
      </c>
      <c r="N2" s="1">
        <v>120</v>
      </c>
      <c r="O2" s="1">
        <v>100</v>
      </c>
      <c r="P2" s="1" t="s">
        <v>177</v>
      </c>
      <c r="Q2" s="21" t="s">
        <v>178</v>
      </c>
      <c r="R2" s="21" t="s">
        <v>179</v>
      </c>
      <c r="S2" s="1" t="s">
        <v>180</v>
      </c>
    </row>
    <row r="3" spans="1:20">
      <c r="A3" s="1" t="s">
        <v>169</v>
      </c>
      <c r="B3" s="1" t="s">
        <v>170</v>
      </c>
      <c r="C3" s="1">
        <v>1993</v>
      </c>
      <c r="D3" s="1" t="s">
        <v>171</v>
      </c>
      <c r="E3" s="1" t="s">
        <v>172</v>
      </c>
      <c r="F3" s="1" t="s">
        <v>173</v>
      </c>
      <c r="G3" s="1" t="s">
        <v>174</v>
      </c>
      <c r="H3" s="1" t="s">
        <v>174</v>
      </c>
      <c r="I3" s="1">
        <v>278970000</v>
      </c>
      <c r="J3" s="1">
        <v>1993</v>
      </c>
      <c r="K3" s="1">
        <v>2016</v>
      </c>
      <c r="L3" s="1" t="s">
        <v>175</v>
      </c>
      <c r="M3" s="1" t="s">
        <v>181</v>
      </c>
      <c r="N3" s="1">
        <v>120</v>
      </c>
      <c r="O3" s="1">
        <v>100</v>
      </c>
      <c r="P3" s="1" t="s">
        <v>177</v>
      </c>
      <c r="Q3" s="21" t="s">
        <v>178</v>
      </c>
      <c r="R3" s="21" t="s">
        <v>179</v>
      </c>
      <c r="S3" s="1" t="s">
        <v>180</v>
      </c>
    </row>
    <row r="4" spans="1:20">
      <c r="A4" s="1" t="s">
        <v>169</v>
      </c>
      <c r="B4" s="1" t="s">
        <v>170</v>
      </c>
      <c r="C4" s="1">
        <v>1993</v>
      </c>
      <c r="D4" s="1" t="s">
        <v>171</v>
      </c>
      <c r="E4" s="1" t="s">
        <v>172</v>
      </c>
      <c r="F4" s="1" t="s">
        <v>173</v>
      </c>
      <c r="G4" s="1" t="s">
        <v>174</v>
      </c>
      <c r="H4" s="1" t="s">
        <v>174</v>
      </c>
      <c r="I4" s="1">
        <v>10785000</v>
      </c>
      <c r="J4" s="1">
        <v>1993</v>
      </c>
      <c r="K4" s="1">
        <v>2023</v>
      </c>
      <c r="L4" s="1" t="s">
        <v>182</v>
      </c>
      <c r="M4" s="1" t="s">
        <v>181</v>
      </c>
      <c r="N4" s="1">
        <v>100</v>
      </c>
      <c r="O4" s="1">
        <v>100</v>
      </c>
      <c r="P4" s="1" t="s">
        <v>177</v>
      </c>
      <c r="Q4" s="21" t="s">
        <v>178</v>
      </c>
      <c r="R4" s="21" t="s">
        <v>179</v>
      </c>
      <c r="S4" s="1" t="s">
        <v>180</v>
      </c>
    </row>
    <row r="5" spans="1:20">
      <c r="A5" s="1" t="s">
        <v>169</v>
      </c>
      <c r="B5" s="1" t="s">
        <v>170</v>
      </c>
      <c r="C5" s="1">
        <v>1995</v>
      </c>
      <c r="D5" s="1" t="s">
        <v>171</v>
      </c>
      <c r="E5" s="1" t="s">
        <v>172</v>
      </c>
      <c r="F5" s="1" t="s">
        <v>173</v>
      </c>
      <c r="G5" s="1" t="s">
        <v>174</v>
      </c>
      <c r="H5" s="1" t="s">
        <v>174</v>
      </c>
      <c r="I5" s="1">
        <v>89850000</v>
      </c>
      <c r="J5" s="1">
        <v>1995</v>
      </c>
      <c r="K5" s="1">
        <v>2025</v>
      </c>
      <c r="L5" s="1" t="s">
        <v>175</v>
      </c>
      <c r="M5" s="1" t="s">
        <v>176</v>
      </c>
      <c r="N5" s="1">
        <v>120</v>
      </c>
      <c r="O5" s="1">
        <v>100</v>
      </c>
      <c r="P5" s="1" t="s">
        <v>177</v>
      </c>
      <c r="Q5" s="21" t="s">
        <v>178</v>
      </c>
      <c r="R5" s="21" t="s">
        <v>179</v>
      </c>
      <c r="S5" s="1" t="s">
        <v>180</v>
      </c>
    </row>
    <row r="6" spans="1:20">
      <c r="A6" s="1" t="s">
        <v>169</v>
      </c>
      <c r="B6" s="1" t="s">
        <v>170</v>
      </c>
      <c r="C6" s="1">
        <v>1995</v>
      </c>
      <c r="D6" s="1" t="s">
        <v>171</v>
      </c>
      <c r="E6" s="1" t="s">
        <v>172</v>
      </c>
      <c r="F6" s="1" t="s">
        <v>173</v>
      </c>
      <c r="G6" s="1" t="s">
        <v>174</v>
      </c>
      <c r="H6" s="1" t="s">
        <v>174</v>
      </c>
      <c r="I6" s="1">
        <v>103020000</v>
      </c>
      <c r="J6" s="1">
        <v>1995</v>
      </c>
      <c r="K6" s="1">
        <v>2025</v>
      </c>
      <c r="L6" s="1" t="s">
        <v>182</v>
      </c>
      <c r="M6" s="1" t="s">
        <v>176</v>
      </c>
      <c r="N6" s="1">
        <v>100</v>
      </c>
      <c r="O6" s="1">
        <v>100</v>
      </c>
      <c r="P6" s="1" t="s">
        <v>177</v>
      </c>
      <c r="Q6" s="21" t="s">
        <v>178</v>
      </c>
      <c r="R6" s="21" t="s">
        <v>179</v>
      </c>
      <c r="S6" s="1" t="s">
        <v>183</v>
      </c>
    </row>
    <row r="7" spans="1:20">
      <c r="A7" s="1" t="s">
        <v>169</v>
      </c>
      <c r="B7" s="1" t="s">
        <v>170</v>
      </c>
      <c r="C7" s="1">
        <v>1998</v>
      </c>
      <c r="D7" s="1" t="s">
        <v>171</v>
      </c>
      <c r="E7" s="1" t="s">
        <v>172</v>
      </c>
      <c r="F7" s="1" t="s">
        <v>173</v>
      </c>
      <c r="G7" s="1" t="s">
        <v>174</v>
      </c>
      <c r="H7" s="1" t="s">
        <v>174</v>
      </c>
      <c r="I7" s="1">
        <v>93355000</v>
      </c>
      <c r="J7" s="1">
        <v>1998</v>
      </c>
      <c r="K7" s="1">
        <v>2025</v>
      </c>
      <c r="L7" s="1" t="s">
        <v>175</v>
      </c>
      <c r="M7" s="1" t="s">
        <v>176</v>
      </c>
      <c r="N7" s="1">
        <v>120</v>
      </c>
      <c r="O7" s="1">
        <v>100</v>
      </c>
      <c r="P7" s="1" t="s">
        <v>177</v>
      </c>
      <c r="Q7" s="21" t="s">
        <v>178</v>
      </c>
      <c r="R7" s="21" t="s">
        <v>179</v>
      </c>
      <c r="S7" s="1" t="s">
        <v>180</v>
      </c>
    </row>
    <row r="8" spans="1:20">
      <c r="A8" s="1" t="s">
        <v>169</v>
      </c>
      <c r="B8" s="1" t="s">
        <v>170</v>
      </c>
      <c r="C8" s="1">
        <v>1998</v>
      </c>
      <c r="D8" s="1" t="s">
        <v>171</v>
      </c>
      <c r="E8" s="1" t="s">
        <v>172</v>
      </c>
      <c r="F8" s="1" t="s">
        <v>173</v>
      </c>
      <c r="G8" s="1" t="s">
        <v>174</v>
      </c>
      <c r="H8" s="1" t="s">
        <v>174</v>
      </c>
      <c r="I8" s="1">
        <v>36440070</v>
      </c>
      <c r="J8" s="1">
        <v>1998</v>
      </c>
      <c r="K8" s="1">
        <v>2030</v>
      </c>
      <c r="L8" s="1" t="s">
        <v>182</v>
      </c>
      <c r="M8" s="1" t="s">
        <v>176</v>
      </c>
      <c r="N8" s="1">
        <v>100</v>
      </c>
      <c r="O8" s="1">
        <v>100</v>
      </c>
      <c r="P8" s="1" t="s">
        <v>177</v>
      </c>
      <c r="Q8" s="21" t="s">
        <v>178</v>
      </c>
      <c r="R8" s="21" t="s">
        <v>179</v>
      </c>
      <c r="S8" s="1" t="s">
        <v>180</v>
      </c>
    </row>
    <row r="9" spans="1:20">
      <c r="A9" s="1" t="s">
        <v>169</v>
      </c>
      <c r="B9" s="1" t="s">
        <v>170</v>
      </c>
      <c r="C9" s="1">
        <v>1998</v>
      </c>
      <c r="D9" s="1" t="s">
        <v>171</v>
      </c>
      <c r="E9" s="1" t="s">
        <v>172</v>
      </c>
      <c r="F9" s="1" t="s">
        <v>173</v>
      </c>
      <c r="G9" s="1" t="s">
        <v>174</v>
      </c>
      <c r="H9" s="1" t="s">
        <v>174</v>
      </c>
      <c r="I9" s="1">
        <v>101970000</v>
      </c>
      <c r="J9" s="1">
        <v>1998</v>
      </c>
      <c r="K9" s="1">
        <v>2025</v>
      </c>
      <c r="L9" s="1" t="s">
        <v>184</v>
      </c>
      <c r="M9" s="1" t="s">
        <v>176</v>
      </c>
      <c r="N9" s="1">
        <v>100</v>
      </c>
      <c r="O9" s="1">
        <v>100</v>
      </c>
      <c r="P9" s="1" t="s">
        <v>177</v>
      </c>
      <c r="Q9" s="21" t="s">
        <v>178</v>
      </c>
      <c r="R9" s="21" t="s">
        <v>179</v>
      </c>
      <c r="S9" s="1" t="s">
        <v>183</v>
      </c>
    </row>
    <row r="10" spans="1:20">
      <c r="A10" s="1" t="s">
        <v>169</v>
      </c>
      <c r="B10" s="1" t="s">
        <v>170</v>
      </c>
      <c r="C10" s="1">
        <v>2002</v>
      </c>
      <c r="D10" s="1" t="s">
        <v>171</v>
      </c>
      <c r="E10" s="1" t="s">
        <v>172</v>
      </c>
      <c r="F10" s="1" t="s">
        <v>173</v>
      </c>
      <c r="G10" s="1" t="s">
        <v>174</v>
      </c>
      <c r="H10" s="1" t="s">
        <v>174</v>
      </c>
      <c r="I10" s="1">
        <v>107500000</v>
      </c>
      <c r="J10" s="1">
        <v>2002</v>
      </c>
      <c r="K10" s="1">
        <v>2031</v>
      </c>
      <c r="L10" s="1" t="s">
        <v>175</v>
      </c>
      <c r="M10" s="1" t="s">
        <v>176</v>
      </c>
      <c r="N10" s="1">
        <v>120</v>
      </c>
      <c r="O10" s="1">
        <v>100</v>
      </c>
      <c r="P10" s="1" t="s">
        <v>177</v>
      </c>
      <c r="Q10" s="21" t="s">
        <v>178</v>
      </c>
      <c r="R10" s="21" t="s">
        <v>179</v>
      </c>
      <c r="S10" s="1" t="s">
        <v>185</v>
      </c>
    </row>
    <row r="11" spans="1:20">
      <c r="A11" s="1" t="s">
        <v>169</v>
      </c>
      <c r="B11" s="1" t="s">
        <v>170</v>
      </c>
      <c r="C11" s="1">
        <v>2003</v>
      </c>
      <c r="D11" s="1" t="s">
        <v>171</v>
      </c>
      <c r="E11" s="1" t="s">
        <v>172</v>
      </c>
      <c r="F11" s="1" t="s">
        <v>173</v>
      </c>
      <c r="G11" s="1" t="s">
        <v>174</v>
      </c>
      <c r="H11" s="1" t="s">
        <v>174</v>
      </c>
      <c r="I11" s="1">
        <v>167390000</v>
      </c>
      <c r="J11" s="1">
        <v>2003</v>
      </c>
      <c r="K11" s="1">
        <v>2023</v>
      </c>
      <c r="L11" s="1" t="s">
        <v>175</v>
      </c>
      <c r="M11" s="1" t="s">
        <v>176</v>
      </c>
      <c r="N11" s="1">
        <v>120</v>
      </c>
      <c r="O11" s="1">
        <v>100</v>
      </c>
      <c r="P11" s="1" t="s">
        <v>177</v>
      </c>
      <c r="Q11" s="21" t="s">
        <v>178</v>
      </c>
      <c r="R11" s="21" t="s">
        <v>179</v>
      </c>
      <c r="S11" s="1" t="s">
        <v>183</v>
      </c>
    </row>
    <row r="12" spans="1:20">
      <c r="A12" s="1" t="s">
        <v>169</v>
      </c>
      <c r="B12" s="1" t="s">
        <v>170</v>
      </c>
      <c r="C12" s="1">
        <v>2005</v>
      </c>
      <c r="D12" s="1" t="s">
        <v>171</v>
      </c>
      <c r="E12" s="1" t="s">
        <v>172</v>
      </c>
      <c r="F12" s="1" t="s">
        <v>173</v>
      </c>
      <c r="G12" s="1" t="s">
        <v>174</v>
      </c>
      <c r="H12" s="1" t="s">
        <v>174</v>
      </c>
      <c r="I12" s="1">
        <v>50385000</v>
      </c>
      <c r="J12" s="1">
        <v>2005</v>
      </c>
      <c r="K12" s="1">
        <v>2033</v>
      </c>
      <c r="L12" s="1" t="s">
        <v>175</v>
      </c>
      <c r="M12" s="1" t="s">
        <v>181</v>
      </c>
      <c r="N12" s="1">
        <v>120</v>
      </c>
      <c r="O12" s="1">
        <v>100</v>
      </c>
      <c r="P12" s="1" t="s">
        <v>177</v>
      </c>
      <c r="Q12" s="21" t="s">
        <v>178</v>
      </c>
      <c r="R12" s="21" t="s">
        <v>179</v>
      </c>
      <c r="S12" s="1" t="s">
        <v>186</v>
      </c>
    </row>
    <row r="13" spans="1:20">
      <c r="A13" s="1" t="s">
        <v>169</v>
      </c>
      <c r="B13" s="1" t="s">
        <v>170</v>
      </c>
      <c r="C13" s="1">
        <v>2007</v>
      </c>
      <c r="D13" s="1" t="s">
        <v>171</v>
      </c>
      <c r="E13" s="1" t="s">
        <v>172</v>
      </c>
      <c r="F13" s="1" t="s">
        <v>173</v>
      </c>
      <c r="G13" s="1" t="s">
        <v>174</v>
      </c>
      <c r="H13" s="1" t="s">
        <v>174</v>
      </c>
      <c r="I13" s="1">
        <v>43720000</v>
      </c>
      <c r="J13" s="1">
        <v>2007</v>
      </c>
      <c r="K13" s="1">
        <v>2017</v>
      </c>
      <c r="L13" s="1" t="s">
        <v>175</v>
      </c>
      <c r="M13" s="1" t="s">
        <v>176</v>
      </c>
      <c r="N13" s="1">
        <v>120</v>
      </c>
      <c r="O13" s="1">
        <v>100</v>
      </c>
      <c r="P13" s="1" t="s">
        <v>177</v>
      </c>
      <c r="Q13" s="21" t="s">
        <v>178</v>
      </c>
      <c r="R13" s="21" t="s">
        <v>179</v>
      </c>
      <c r="S13" s="1" t="s">
        <v>183</v>
      </c>
      <c r="T13" s="1" t="s">
        <v>187</v>
      </c>
    </row>
    <row r="14" spans="1:20">
      <c r="A14" s="1" t="s">
        <v>169</v>
      </c>
      <c r="B14" s="1" t="s">
        <v>170</v>
      </c>
      <c r="C14" s="1">
        <v>2007</v>
      </c>
      <c r="D14" s="1" t="s">
        <v>171</v>
      </c>
      <c r="E14" s="1" t="s">
        <v>188</v>
      </c>
      <c r="F14" s="1" t="s">
        <v>189</v>
      </c>
      <c r="G14" s="1" t="s">
        <v>174</v>
      </c>
      <c r="H14" s="1" t="s">
        <v>174</v>
      </c>
      <c r="I14" s="1">
        <v>57858000</v>
      </c>
      <c r="J14" s="1">
        <v>2007</v>
      </c>
      <c r="K14" s="1">
        <v>2033</v>
      </c>
      <c r="L14" s="1" t="s">
        <v>190</v>
      </c>
      <c r="M14" s="1" t="s">
        <v>191</v>
      </c>
      <c r="N14" s="1">
        <v>120</v>
      </c>
      <c r="O14" s="1">
        <v>100</v>
      </c>
      <c r="P14" s="1" t="s">
        <v>177</v>
      </c>
      <c r="Q14" s="21" t="s">
        <v>178</v>
      </c>
      <c r="R14" s="21" t="s">
        <v>179</v>
      </c>
      <c r="S14" s="1" t="s">
        <v>183</v>
      </c>
      <c r="T14" s="1" t="s">
        <v>192</v>
      </c>
    </row>
    <row r="15" spans="1:20">
      <c r="A15" s="1" t="s">
        <v>169</v>
      </c>
      <c r="B15" s="1" t="s">
        <v>170</v>
      </c>
      <c r="C15" s="1">
        <v>2007</v>
      </c>
      <c r="D15" s="1" t="s">
        <v>171</v>
      </c>
      <c r="E15" s="1" t="s">
        <v>188</v>
      </c>
      <c r="F15" s="1" t="s">
        <v>189</v>
      </c>
      <c r="G15" s="1" t="s">
        <v>174</v>
      </c>
      <c r="H15" s="1" t="s">
        <v>174</v>
      </c>
      <c r="I15" s="1">
        <v>57590000</v>
      </c>
      <c r="J15" s="1">
        <v>2007</v>
      </c>
      <c r="K15" s="1">
        <v>2033</v>
      </c>
      <c r="L15" s="1" t="s">
        <v>193</v>
      </c>
      <c r="M15" s="1" t="s">
        <v>191</v>
      </c>
      <c r="N15" s="1">
        <v>120</v>
      </c>
      <c r="O15" s="1">
        <v>100</v>
      </c>
      <c r="P15" s="1" t="s">
        <v>177</v>
      </c>
      <c r="Q15" s="21" t="s">
        <v>178</v>
      </c>
      <c r="R15" s="21" t="s">
        <v>179</v>
      </c>
      <c r="S15" s="1" t="s">
        <v>183</v>
      </c>
      <c r="T15" s="1" t="s">
        <v>192</v>
      </c>
    </row>
    <row r="16" spans="1:20">
      <c r="A16" s="1" t="s">
        <v>169</v>
      </c>
      <c r="B16" s="1" t="s">
        <v>170</v>
      </c>
      <c r="C16" s="1">
        <v>2008</v>
      </c>
      <c r="D16" s="1" t="s">
        <v>171</v>
      </c>
      <c r="E16" s="1" t="s">
        <v>172</v>
      </c>
      <c r="F16" s="1" t="s">
        <v>173</v>
      </c>
      <c r="G16" s="1" t="s">
        <v>194</v>
      </c>
      <c r="H16" s="1" t="s">
        <v>175</v>
      </c>
      <c r="I16" s="1">
        <v>68970000</v>
      </c>
      <c r="J16" s="1">
        <v>2008</v>
      </c>
      <c r="K16" s="1">
        <v>2024</v>
      </c>
      <c r="L16" s="1" t="s">
        <v>175</v>
      </c>
      <c r="M16" s="1" t="s">
        <v>176</v>
      </c>
      <c r="N16" s="1">
        <v>120</v>
      </c>
      <c r="O16" s="1">
        <v>100</v>
      </c>
      <c r="P16" s="1" t="s">
        <v>177</v>
      </c>
      <c r="Q16" s="21" t="s">
        <v>178</v>
      </c>
      <c r="R16" s="21" t="s">
        <v>195</v>
      </c>
      <c r="S16" s="1" t="s">
        <v>183</v>
      </c>
      <c r="T16" s="1" t="s">
        <v>196</v>
      </c>
    </row>
    <row r="17" spans="1:20">
      <c r="A17" s="1" t="s">
        <v>169</v>
      </c>
      <c r="B17" s="1" t="s">
        <v>170</v>
      </c>
      <c r="C17" s="1">
        <v>2008</v>
      </c>
      <c r="D17" s="1" t="s">
        <v>171</v>
      </c>
      <c r="E17" s="1" t="s">
        <v>172</v>
      </c>
      <c r="F17" s="1" t="s">
        <v>173</v>
      </c>
      <c r="G17" s="1" t="s">
        <v>194</v>
      </c>
      <c r="H17" s="1" t="s">
        <v>175</v>
      </c>
      <c r="I17" s="1">
        <v>24665000</v>
      </c>
      <c r="J17" s="1">
        <v>2008</v>
      </c>
      <c r="K17" s="1">
        <v>2031</v>
      </c>
      <c r="L17" s="1" t="s">
        <v>197</v>
      </c>
      <c r="M17" s="1" t="s">
        <v>176</v>
      </c>
      <c r="N17" s="1">
        <v>120</v>
      </c>
      <c r="O17" s="1">
        <v>100</v>
      </c>
      <c r="P17" s="1" t="s">
        <v>177</v>
      </c>
      <c r="Q17" s="21" t="s">
        <v>178</v>
      </c>
      <c r="R17" s="21" t="s">
        <v>179</v>
      </c>
      <c r="S17" s="1" t="s">
        <v>183</v>
      </c>
      <c r="T17" s="1" t="s">
        <v>196</v>
      </c>
    </row>
    <row r="18" spans="1:20">
      <c r="A18" s="1" t="s">
        <v>169</v>
      </c>
      <c r="B18" s="1" t="s">
        <v>170</v>
      </c>
      <c r="C18" s="1">
        <v>2008</v>
      </c>
      <c r="D18" s="1" t="s">
        <v>171</v>
      </c>
      <c r="E18" s="1" t="s">
        <v>172</v>
      </c>
      <c r="F18" s="1" t="s">
        <v>173</v>
      </c>
      <c r="G18" s="1" t="s">
        <v>194</v>
      </c>
      <c r="H18" s="1" t="s">
        <v>175</v>
      </c>
      <c r="I18" s="1">
        <v>72750000</v>
      </c>
      <c r="J18" s="1">
        <v>2008</v>
      </c>
      <c r="K18" s="1">
        <v>2039</v>
      </c>
      <c r="L18" s="1" t="s">
        <v>190</v>
      </c>
      <c r="M18" s="1" t="s">
        <v>191</v>
      </c>
      <c r="N18" s="1">
        <v>120</v>
      </c>
      <c r="O18" s="1">
        <v>100</v>
      </c>
      <c r="P18" s="1" t="s">
        <v>177</v>
      </c>
      <c r="Q18" s="21" t="s">
        <v>178</v>
      </c>
      <c r="R18" s="21" t="s">
        <v>179</v>
      </c>
      <c r="S18" s="1" t="s">
        <v>198</v>
      </c>
      <c r="T18" s="1" t="s">
        <v>192</v>
      </c>
    </row>
    <row r="19" spans="1:20">
      <c r="A19" s="1" t="s">
        <v>169</v>
      </c>
      <c r="B19" s="1" t="s">
        <v>170</v>
      </c>
      <c r="C19" s="1">
        <v>2008</v>
      </c>
      <c r="D19" s="1" t="s">
        <v>171</v>
      </c>
      <c r="E19" s="1" t="s">
        <v>188</v>
      </c>
      <c r="F19" s="1" t="s">
        <v>189</v>
      </c>
      <c r="G19" s="1" t="s">
        <v>194</v>
      </c>
      <c r="H19" s="1" t="s">
        <v>175</v>
      </c>
      <c r="I19" s="1">
        <v>72745000</v>
      </c>
      <c r="J19" s="1">
        <v>2008</v>
      </c>
      <c r="K19" s="1">
        <v>2039</v>
      </c>
      <c r="L19" s="1" t="s">
        <v>193</v>
      </c>
      <c r="M19" s="1" t="s">
        <v>191</v>
      </c>
      <c r="N19" s="1">
        <v>120</v>
      </c>
      <c r="O19" s="1">
        <v>100</v>
      </c>
      <c r="P19" s="1" t="s">
        <v>177</v>
      </c>
      <c r="Q19" s="21" t="s">
        <v>178</v>
      </c>
      <c r="R19" s="21" t="s">
        <v>179</v>
      </c>
      <c r="S19" s="1" t="s">
        <v>199</v>
      </c>
      <c r="T19" s="1" t="s">
        <v>192</v>
      </c>
    </row>
    <row r="20" spans="1:20">
      <c r="A20" s="1" t="s">
        <v>169</v>
      </c>
      <c r="B20" s="1" t="s">
        <v>170</v>
      </c>
      <c r="C20" s="1">
        <v>2008</v>
      </c>
      <c r="D20" s="1" t="s">
        <v>171</v>
      </c>
      <c r="E20" s="1" t="s">
        <v>174</v>
      </c>
      <c r="F20" s="1" t="s">
        <v>200</v>
      </c>
      <c r="G20" s="1" t="s">
        <v>194</v>
      </c>
      <c r="H20" s="1" t="s">
        <v>175</v>
      </c>
      <c r="I20" s="1">
        <v>10000000</v>
      </c>
      <c r="J20" s="1">
        <v>2008</v>
      </c>
      <c r="K20" s="1">
        <v>2035</v>
      </c>
      <c r="L20" s="1" t="s">
        <v>201</v>
      </c>
      <c r="M20" s="1" t="s">
        <v>176</v>
      </c>
      <c r="N20" s="1">
        <v>120</v>
      </c>
      <c r="O20" s="1">
        <v>100</v>
      </c>
      <c r="P20" s="1" t="s">
        <v>177</v>
      </c>
      <c r="Q20" s="21" t="s">
        <v>178</v>
      </c>
      <c r="R20" s="21" t="s">
        <v>179</v>
      </c>
      <c r="S20" s="1" t="s">
        <v>202</v>
      </c>
      <c r="T20" s="1" t="s">
        <v>203</v>
      </c>
    </row>
    <row r="21" spans="1:20">
      <c r="A21" s="1" t="s">
        <v>169</v>
      </c>
      <c r="B21" s="1" t="s">
        <v>170</v>
      </c>
      <c r="C21" s="1">
        <v>2008</v>
      </c>
      <c r="D21" s="1" t="s">
        <v>171</v>
      </c>
      <c r="E21" s="1" t="s">
        <v>174</v>
      </c>
      <c r="F21" s="1" t="s">
        <v>200</v>
      </c>
      <c r="G21" s="1" t="s">
        <v>194</v>
      </c>
      <c r="H21" s="1" t="s">
        <v>175</v>
      </c>
      <c r="I21" s="1">
        <v>10000000</v>
      </c>
      <c r="J21" s="1">
        <v>2008</v>
      </c>
      <c r="K21" s="1">
        <v>2035</v>
      </c>
      <c r="L21" s="1" t="s">
        <v>204</v>
      </c>
      <c r="M21" s="1" t="s">
        <v>176</v>
      </c>
      <c r="N21" s="1">
        <v>120</v>
      </c>
      <c r="O21" s="1">
        <v>100</v>
      </c>
      <c r="P21" s="1" t="s">
        <v>177</v>
      </c>
      <c r="Q21" s="21" t="s">
        <v>178</v>
      </c>
      <c r="R21" s="21" t="s">
        <v>179</v>
      </c>
      <c r="S21" s="1" t="s">
        <v>205</v>
      </c>
      <c r="T21" s="1" t="s">
        <v>203</v>
      </c>
    </row>
    <row r="22" spans="1:20">
      <c r="A22" s="1" t="s">
        <v>169</v>
      </c>
      <c r="B22" s="1" t="s">
        <v>170</v>
      </c>
      <c r="C22" s="1">
        <v>2008</v>
      </c>
      <c r="D22" s="1" t="s">
        <v>171</v>
      </c>
      <c r="E22" s="1" t="s">
        <v>174</v>
      </c>
      <c r="F22" s="1" t="s">
        <v>200</v>
      </c>
      <c r="G22" s="1" t="s">
        <v>194</v>
      </c>
      <c r="H22" s="1" t="s">
        <v>175</v>
      </c>
      <c r="I22" s="1">
        <v>5000000</v>
      </c>
      <c r="J22" s="1">
        <v>2008</v>
      </c>
      <c r="K22" s="1">
        <v>2035</v>
      </c>
      <c r="L22" s="1" t="s">
        <v>206</v>
      </c>
      <c r="M22" s="1" t="s">
        <v>176</v>
      </c>
      <c r="N22" s="1">
        <v>120</v>
      </c>
      <c r="O22" s="1">
        <v>100</v>
      </c>
      <c r="P22" s="1" t="s">
        <v>177</v>
      </c>
      <c r="Q22" s="21" t="s">
        <v>178</v>
      </c>
      <c r="R22" s="21" t="s">
        <v>179</v>
      </c>
      <c r="S22" s="1" t="s">
        <v>207</v>
      </c>
      <c r="T22" s="1" t="s">
        <v>203</v>
      </c>
    </row>
    <row r="23" spans="1:20">
      <c r="A23" s="1" t="s">
        <v>169</v>
      </c>
      <c r="B23" s="1" t="s">
        <v>170</v>
      </c>
      <c r="C23" s="1">
        <v>2012</v>
      </c>
      <c r="D23" s="1" t="s">
        <v>171</v>
      </c>
      <c r="E23" s="1" t="s">
        <v>174</v>
      </c>
      <c r="F23" s="1" t="s">
        <v>208</v>
      </c>
      <c r="G23" s="1" t="s">
        <v>174</v>
      </c>
      <c r="H23" s="1" t="s">
        <v>175</v>
      </c>
      <c r="I23" s="1">
        <v>26870000</v>
      </c>
      <c r="J23" s="1">
        <v>2008</v>
      </c>
      <c r="K23" s="1">
        <v>2035</v>
      </c>
      <c r="L23" s="1" t="s">
        <v>209</v>
      </c>
      <c r="M23" s="1" t="s">
        <v>176</v>
      </c>
      <c r="N23" s="1">
        <v>120</v>
      </c>
      <c r="O23" s="1">
        <v>100</v>
      </c>
      <c r="P23" s="1" t="s">
        <v>177</v>
      </c>
      <c r="Q23" s="21" t="s">
        <v>178</v>
      </c>
      <c r="R23" s="21" t="s">
        <v>179</v>
      </c>
      <c r="S23" s="1" t="s">
        <v>210</v>
      </c>
      <c r="T23" s="1" t="s">
        <v>211</v>
      </c>
    </row>
    <row r="24" spans="1:20">
      <c r="A24" s="1" t="s">
        <v>169</v>
      </c>
      <c r="B24" s="1" t="s">
        <v>170</v>
      </c>
      <c r="C24" s="1">
        <v>2012</v>
      </c>
      <c r="D24" s="1" t="s">
        <v>171</v>
      </c>
      <c r="E24" s="1" t="s">
        <v>174</v>
      </c>
      <c r="F24" s="1" t="s">
        <v>174</v>
      </c>
      <c r="G24" s="1" t="s">
        <v>174</v>
      </c>
      <c r="H24" s="1" t="s">
        <v>175</v>
      </c>
      <c r="I24" s="1">
        <v>51885000</v>
      </c>
      <c r="J24" s="1">
        <v>2008</v>
      </c>
      <c r="K24" s="1">
        <v>2035</v>
      </c>
      <c r="L24" s="1" t="s">
        <v>212</v>
      </c>
      <c r="Q24" s="21" t="s">
        <v>178</v>
      </c>
      <c r="R24" s="21" t="s">
        <v>179</v>
      </c>
      <c r="T24" s="1" t="s">
        <v>213</v>
      </c>
    </row>
    <row r="25" spans="1:20">
      <c r="A25" s="1" t="s">
        <v>169</v>
      </c>
      <c r="B25" s="1" t="s">
        <v>170</v>
      </c>
      <c r="C25" s="1">
        <v>2012</v>
      </c>
      <c r="D25" s="1" t="s">
        <v>171</v>
      </c>
      <c r="E25" s="1" t="s">
        <v>174</v>
      </c>
      <c r="F25" s="1" t="s">
        <v>174</v>
      </c>
      <c r="G25" s="1" t="s">
        <v>174</v>
      </c>
      <c r="H25" s="1" t="s">
        <v>175</v>
      </c>
      <c r="I25" s="1">
        <v>71225000</v>
      </c>
      <c r="J25" s="1">
        <v>2008</v>
      </c>
      <c r="K25" s="1">
        <v>2040</v>
      </c>
      <c r="L25" s="1" t="s">
        <v>214</v>
      </c>
      <c r="Q25" s="21" t="s">
        <v>178</v>
      </c>
      <c r="R25" s="21" t="s">
        <v>179</v>
      </c>
      <c r="T25" s="1" t="s">
        <v>213</v>
      </c>
    </row>
    <row r="26" spans="1:20">
      <c r="A26" s="1" t="s">
        <v>169</v>
      </c>
      <c r="B26" s="1" t="s">
        <v>170</v>
      </c>
      <c r="C26" s="1">
        <v>2013</v>
      </c>
      <c r="D26" s="1" t="s">
        <v>171</v>
      </c>
      <c r="E26" s="1" t="s">
        <v>215</v>
      </c>
      <c r="F26" s="1" t="s">
        <v>208</v>
      </c>
      <c r="G26" s="1" t="s">
        <v>174</v>
      </c>
      <c r="H26" s="1" t="s">
        <v>175</v>
      </c>
      <c r="I26" s="1">
        <v>130215000</v>
      </c>
      <c r="J26" s="1">
        <v>2013</v>
      </c>
      <c r="K26" s="1">
        <v>2033</v>
      </c>
      <c r="L26" s="1" t="s">
        <v>175</v>
      </c>
      <c r="M26" s="1" t="s">
        <v>176</v>
      </c>
      <c r="N26" s="1">
        <v>120</v>
      </c>
      <c r="O26" s="1">
        <v>100</v>
      </c>
      <c r="P26" s="1" t="s">
        <v>216</v>
      </c>
      <c r="Q26" s="21" t="s">
        <v>178</v>
      </c>
      <c r="R26" s="21" t="s">
        <v>179</v>
      </c>
      <c r="S26" s="1" t="s">
        <v>210</v>
      </c>
      <c r="T26" s="1" t="s">
        <v>196</v>
      </c>
    </row>
    <row r="27" spans="1:20">
      <c r="A27" s="1" t="s">
        <v>169</v>
      </c>
      <c r="B27" s="1" t="s">
        <v>170</v>
      </c>
      <c r="C27" s="1">
        <v>2013</v>
      </c>
      <c r="D27" s="1" t="s">
        <v>171</v>
      </c>
      <c r="E27" s="1" t="s">
        <v>215</v>
      </c>
      <c r="F27" s="1" t="s">
        <v>208</v>
      </c>
      <c r="G27" s="1" t="s">
        <v>174</v>
      </c>
      <c r="H27" s="1" t="s">
        <v>182</v>
      </c>
      <c r="I27" s="1">
        <v>86695000</v>
      </c>
      <c r="J27" s="1">
        <v>2013</v>
      </c>
      <c r="K27" s="1">
        <v>2040</v>
      </c>
      <c r="L27" s="1" t="s">
        <v>182</v>
      </c>
      <c r="M27" s="1" t="s">
        <v>176</v>
      </c>
      <c r="N27" s="1">
        <v>120</v>
      </c>
      <c r="O27" s="1">
        <v>100</v>
      </c>
      <c r="P27" s="1" t="s">
        <v>216</v>
      </c>
      <c r="Q27" s="21" t="s">
        <v>178</v>
      </c>
      <c r="R27" s="21" t="s">
        <v>179</v>
      </c>
      <c r="S27" s="1" t="s">
        <v>210</v>
      </c>
      <c r="T27" s="1" t="s">
        <v>196</v>
      </c>
    </row>
    <row r="28" spans="1:20">
      <c r="A28" s="1" t="s">
        <v>169</v>
      </c>
      <c r="B28" s="1" t="s">
        <v>170</v>
      </c>
      <c r="C28" s="1">
        <v>2017</v>
      </c>
      <c r="D28" s="1" t="s">
        <v>171</v>
      </c>
      <c r="E28" s="1" t="s">
        <v>215</v>
      </c>
      <c r="F28" s="1" t="s">
        <v>217</v>
      </c>
      <c r="G28" s="1" t="s">
        <v>215</v>
      </c>
      <c r="H28" s="1" t="s">
        <v>175</v>
      </c>
      <c r="I28" s="1">
        <v>159795000</v>
      </c>
      <c r="J28" s="1">
        <v>2017</v>
      </c>
      <c r="K28" s="1">
        <v>2032</v>
      </c>
      <c r="L28" s="1" t="s">
        <v>175</v>
      </c>
      <c r="M28" s="1" t="s">
        <v>176</v>
      </c>
      <c r="N28" s="1">
        <v>120</v>
      </c>
      <c r="O28" s="1">
        <v>100</v>
      </c>
      <c r="P28" s="1" t="s">
        <v>216</v>
      </c>
      <c r="Q28" s="21" t="s">
        <v>178</v>
      </c>
      <c r="R28" s="21" t="s">
        <v>179</v>
      </c>
      <c r="S28" s="1" t="s">
        <v>210</v>
      </c>
      <c r="T28" s="1" t="s">
        <v>196</v>
      </c>
    </row>
    <row r="29" spans="1:20">
      <c r="A29" s="1" t="s">
        <v>169</v>
      </c>
      <c r="B29" s="1" t="s">
        <v>170</v>
      </c>
      <c r="C29" s="1">
        <v>2017</v>
      </c>
      <c r="D29" s="1" t="s">
        <v>171</v>
      </c>
      <c r="E29" s="1" t="s">
        <v>215</v>
      </c>
      <c r="F29" s="1" t="s">
        <v>217</v>
      </c>
      <c r="G29" s="1" t="s">
        <v>215</v>
      </c>
      <c r="H29" s="1" t="s">
        <v>175</v>
      </c>
      <c r="I29" s="1">
        <v>5595000</v>
      </c>
      <c r="J29" s="1">
        <v>2017</v>
      </c>
      <c r="K29" s="1">
        <v>2018</v>
      </c>
      <c r="L29" s="1" t="s">
        <v>182</v>
      </c>
      <c r="M29" s="1" t="s">
        <v>176</v>
      </c>
      <c r="N29" s="1">
        <v>120</v>
      </c>
      <c r="O29" s="1">
        <v>100</v>
      </c>
      <c r="P29" s="1" t="s">
        <v>216</v>
      </c>
      <c r="Q29" s="21" t="s">
        <v>178</v>
      </c>
      <c r="R29" s="21" t="s">
        <v>195</v>
      </c>
      <c r="S29" s="1" t="s">
        <v>210</v>
      </c>
      <c r="T29" s="1" t="s">
        <v>218</v>
      </c>
    </row>
    <row r="30" spans="1:20">
      <c r="A30" s="1" t="s">
        <v>169</v>
      </c>
      <c r="B30" s="1" t="s">
        <v>170</v>
      </c>
      <c r="C30" s="1">
        <v>2017</v>
      </c>
      <c r="D30" s="1" t="s">
        <v>171</v>
      </c>
      <c r="E30" s="1" t="s">
        <v>215</v>
      </c>
      <c r="F30" s="1" t="s">
        <v>217</v>
      </c>
      <c r="G30" s="1" t="s">
        <v>215</v>
      </c>
      <c r="H30" s="1" t="s">
        <v>175</v>
      </c>
      <c r="I30" s="1">
        <v>218805000</v>
      </c>
      <c r="J30" s="1">
        <v>2017</v>
      </c>
      <c r="K30" s="1">
        <v>2040</v>
      </c>
      <c r="L30" s="1" t="s">
        <v>184</v>
      </c>
      <c r="M30" s="1" t="s">
        <v>176</v>
      </c>
      <c r="N30" s="1">
        <v>120</v>
      </c>
      <c r="O30" s="1">
        <v>100</v>
      </c>
      <c r="P30" s="1" t="s">
        <v>216</v>
      </c>
      <c r="Q30" s="21" t="s">
        <v>178</v>
      </c>
      <c r="R30" s="21" t="s">
        <v>179</v>
      </c>
      <c r="S30" s="1" t="s">
        <v>210</v>
      </c>
      <c r="T30" s="1" t="s">
        <v>219</v>
      </c>
    </row>
    <row r="31" spans="1:20">
      <c r="A31" s="1" t="s">
        <v>169</v>
      </c>
      <c r="B31" s="1" t="s">
        <v>170</v>
      </c>
      <c r="C31" s="1">
        <v>2019</v>
      </c>
      <c r="D31" s="1" t="s">
        <v>171</v>
      </c>
      <c r="E31" s="1" t="s">
        <v>215</v>
      </c>
      <c r="F31" s="1" t="s">
        <v>217</v>
      </c>
      <c r="G31" s="1" t="s">
        <v>220</v>
      </c>
      <c r="H31" s="1" t="s">
        <v>175</v>
      </c>
      <c r="I31" s="1">
        <v>109855000</v>
      </c>
      <c r="J31" s="1">
        <v>2019</v>
      </c>
      <c r="K31" s="1">
        <v>2044</v>
      </c>
      <c r="L31" s="1" t="s">
        <v>175</v>
      </c>
      <c r="M31" s="1" t="s">
        <v>176</v>
      </c>
      <c r="N31" s="1">
        <v>125</v>
      </c>
      <c r="O31" s="1">
        <v>110</v>
      </c>
      <c r="P31" s="1" t="s">
        <v>221</v>
      </c>
      <c r="Q31" s="21" t="s">
        <v>178</v>
      </c>
      <c r="R31" s="21" t="s">
        <v>179</v>
      </c>
      <c r="S31" s="1" t="s">
        <v>210</v>
      </c>
    </row>
    <row r="32" spans="1:20">
      <c r="A32" s="1" t="s">
        <v>169</v>
      </c>
      <c r="B32" s="1" t="s">
        <v>170</v>
      </c>
      <c r="C32" s="1">
        <v>2019</v>
      </c>
      <c r="D32" s="1" t="s">
        <v>171</v>
      </c>
      <c r="E32" s="1" t="s">
        <v>215</v>
      </c>
      <c r="F32" s="1" t="s">
        <v>217</v>
      </c>
      <c r="G32" s="1" t="s">
        <v>220</v>
      </c>
      <c r="H32" s="1" t="s">
        <v>222</v>
      </c>
      <c r="I32" s="1">
        <v>104290000</v>
      </c>
      <c r="J32" s="1">
        <v>2019</v>
      </c>
      <c r="K32" s="1">
        <v>2035</v>
      </c>
      <c r="L32" s="1" t="s">
        <v>182</v>
      </c>
      <c r="M32" s="1" t="s">
        <v>176</v>
      </c>
      <c r="N32" s="1">
        <v>125</v>
      </c>
      <c r="O32" s="1">
        <v>110</v>
      </c>
      <c r="P32" s="1" t="s">
        <v>221</v>
      </c>
      <c r="Q32" s="21" t="s">
        <v>178</v>
      </c>
      <c r="R32" s="21" t="s">
        <v>179</v>
      </c>
      <c r="S32" s="1" t="s">
        <v>210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5"/>
  <sheetViews>
    <sheetView workbookViewId="0">
      <selection activeCell="E5" sqref="E5"/>
    </sheetView>
  </sheetViews>
  <sheetFormatPr defaultColWidth="8.85546875" defaultRowHeight="14.45"/>
  <cols>
    <col min="1" max="1" width="10.140625" style="1" bestFit="1" customWidth="1"/>
    <col min="2" max="16384" width="8.85546875" style="1"/>
  </cols>
  <sheetData>
    <row r="1" spans="1:9">
      <c r="A1" s="2" t="s">
        <v>149</v>
      </c>
      <c r="B1" s="2" t="s">
        <v>150</v>
      </c>
      <c r="C1" s="2" t="s">
        <v>151</v>
      </c>
      <c r="D1" s="2" t="s">
        <v>152</v>
      </c>
      <c r="E1" s="8" t="s">
        <v>395</v>
      </c>
      <c r="F1" s="5" t="s">
        <v>913</v>
      </c>
      <c r="G1" s="9" t="s">
        <v>914</v>
      </c>
      <c r="H1" s="2" t="s">
        <v>915</v>
      </c>
      <c r="I1" s="4" t="s">
        <v>168</v>
      </c>
    </row>
    <row r="2" spans="1:9">
      <c r="A2" s="1" t="s">
        <v>169</v>
      </c>
      <c r="B2" s="1" t="s">
        <v>170</v>
      </c>
      <c r="C2" s="1">
        <v>1991</v>
      </c>
      <c r="D2" s="1" t="s">
        <v>322</v>
      </c>
      <c r="E2" s="1">
        <v>1990</v>
      </c>
      <c r="H2" s="1">
        <v>93</v>
      </c>
      <c r="I2" s="1" t="s">
        <v>916</v>
      </c>
    </row>
    <row r="3" spans="1:9">
      <c r="A3" s="1" t="s">
        <v>169</v>
      </c>
      <c r="B3" s="1" t="s">
        <v>170</v>
      </c>
      <c r="C3" s="1">
        <v>1995</v>
      </c>
      <c r="D3" s="1" t="s">
        <v>322</v>
      </c>
      <c r="E3" s="1">
        <v>1995</v>
      </c>
      <c r="H3" s="1">
        <v>94</v>
      </c>
      <c r="I3" s="1" t="s">
        <v>917</v>
      </c>
    </row>
    <row r="4" spans="1:9">
      <c r="A4" s="1" t="s">
        <v>169</v>
      </c>
      <c r="B4" s="1" t="s">
        <v>170</v>
      </c>
      <c r="C4" s="1">
        <v>2017</v>
      </c>
      <c r="D4" s="1" t="s">
        <v>322</v>
      </c>
      <c r="E4" s="1">
        <v>2016</v>
      </c>
      <c r="H4" s="1">
        <v>98</v>
      </c>
    </row>
    <row r="5" spans="1:9">
      <c r="A5" s="1" t="s">
        <v>169</v>
      </c>
      <c r="B5" s="1" t="s">
        <v>170</v>
      </c>
      <c r="C5" s="1">
        <v>2019</v>
      </c>
      <c r="D5" s="1" t="s">
        <v>322</v>
      </c>
      <c r="E5" s="1">
        <v>2018</v>
      </c>
      <c r="H5" s="1">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20"/>
  <sheetViews>
    <sheetView workbookViewId="0">
      <pane ySplit="1" topLeftCell="A675" activePane="bottomLeft" state="frozen"/>
      <selection pane="bottomLeft" activeCell="K678" sqref="K678:K696"/>
    </sheetView>
  </sheetViews>
  <sheetFormatPr defaultColWidth="8.85546875" defaultRowHeight="14.45"/>
  <cols>
    <col min="1" max="1" width="10.140625" style="1" bestFit="1" customWidth="1"/>
    <col min="2" max="6" width="8.85546875" style="1"/>
    <col min="7" max="7" width="6.7109375" style="1" bestFit="1" customWidth="1"/>
    <col min="8" max="8" width="8.85546875" style="1"/>
    <col min="9" max="9" width="8.85546875" style="21"/>
    <col min="10" max="10" width="10" style="1" bestFit="1" customWidth="1"/>
    <col min="11" max="13" width="8.85546875" style="21"/>
    <col min="14" max="16384" width="8.85546875" style="1"/>
  </cols>
  <sheetData>
    <row r="1" spans="1:13">
      <c r="A1" s="2" t="s">
        <v>149</v>
      </c>
      <c r="B1" s="2" t="s">
        <v>150</v>
      </c>
      <c r="C1" s="2" t="s">
        <v>151</v>
      </c>
      <c r="D1" s="2" t="s">
        <v>223</v>
      </c>
      <c r="E1" s="2" t="s">
        <v>224</v>
      </c>
      <c r="F1" s="2" t="s">
        <v>225</v>
      </c>
      <c r="G1" s="2" t="s">
        <v>226</v>
      </c>
      <c r="H1" s="5" t="s">
        <v>227</v>
      </c>
      <c r="I1" s="2" t="s">
        <v>228</v>
      </c>
      <c r="J1" s="2" t="s">
        <v>229</v>
      </c>
      <c r="K1" s="2" t="s">
        <v>230</v>
      </c>
      <c r="L1" s="2" t="s">
        <v>231</v>
      </c>
      <c r="M1" s="2" t="s">
        <v>232</v>
      </c>
    </row>
    <row r="2" spans="1:13">
      <c r="A2" s="1" t="s">
        <v>169</v>
      </c>
      <c r="B2" s="1" t="s">
        <v>170</v>
      </c>
      <c r="C2" s="1">
        <v>1991</v>
      </c>
      <c r="D2" s="1" t="s">
        <v>175</v>
      </c>
      <c r="E2" s="1" t="s">
        <v>233</v>
      </c>
      <c r="F2" s="1">
        <v>1991</v>
      </c>
      <c r="G2" s="1" t="s">
        <v>234</v>
      </c>
      <c r="H2" s="1">
        <v>0</v>
      </c>
      <c r="I2" s="21" t="s">
        <v>174</v>
      </c>
      <c r="J2" s="1">
        <f>248329024-H2</f>
        <v>248329024</v>
      </c>
      <c r="K2" s="21" t="s">
        <v>174</v>
      </c>
      <c r="L2" s="21" t="s">
        <v>174</v>
      </c>
      <c r="M2" s="21" t="s">
        <v>174</v>
      </c>
    </row>
    <row r="3" spans="1:13">
      <c r="A3" s="1" t="s">
        <v>169</v>
      </c>
      <c r="B3" s="1" t="s">
        <v>170</v>
      </c>
      <c r="C3" s="1">
        <v>1991</v>
      </c>
      <c r="D3" s="1" t="s">
        <v>175</v>
      </c>
      <c r="E3" s="1" t="s">
        <v>233</v>
      </c>
      <c r="F3" s="1">
        <v>1992</v>
      </c>
      <c r="G3" s="1" t="s">
        <v>234</v>
      </c>
      <c r="H3" s="1">
        <v>0</v>
      </c>
      <c r="I3" s="21" t="s">
        <v>174</v>
      </c>
      <c r="J3" s="1">
        <f>J2-H3</f>
        <v>248329024</v>
      </c>
      <c r="K3" s="21" t="s">
        <v>174</v>
      </c>
      <c r="L3" s="21" t="s">
        <v>174</v>
      </c>
      <c r="M3" s="21" t="s">
        <v>174</v>
      </c>
    </row>
    <row r="4" spans="1:13">
      <c r="A4" s="1" t="s">
        <v>169</v>
      </c>
      <c r="B4" s="1" t="s">
        <v>170</v>
      </c>
      <c r="C4" s="1">
        <v>1991</v>
      </c>
      <c r="D4" s="1" t="s">
        <v>175</v>
      </c>
      <c r="E4" s="1" t="s">
        <v>233</v>
      </c>
      <c r="F4" s="1">
        <v>1993</v>
      </c>
      <c r="G4" s="1" t="s">
        <v>234</v>
      </c>
      <c r="H4" s="1">
        <v>4445000</v>
      </c>
      <c r="I4" s="21">
        <v>5.25</v>
      </c>
      <c r="J4" s="1">
        <f t="shared" ref="J4:J27" si="0">J3-H4</f>
        <v>243884024</v>
      </c>
      <c r="K4" s="21" t="s">
        <v>174</v>
      </c>
      <c r="L4" s="21">
        <v>5.25</v>
      </c>
      <c r="M4" s="21">
        <v>100</v>
      </c>
    </row>
    <row r="5" spans="1:13">
      <c r="A5" s="1" t="s">
        <v>169</v>
      </c>
      <c r="B5" s="1" t="s">
        <v>170</v>
      </c>
      <c r="C5" s="1">
        <v>1991</v>
      </c>
      <c r="D5" s="1" t="s">
        <v>175</v>
      </c>
      <c r="E5" s="1" t="s">
        <v>233</v>
      </c>
      <c r="F5" s="1">
        <v>1994</v>
      </c>
      <c r="G5" s="1" t="s">
        <v>234</v>
      </c>
      <c r="H5" s="1">
        <v>5685000</v>
      </c>
      <c r="I5" s="21">
        <v>5.5</v>
      </c>
      <c r="J5" s="1">
        <f t="shared" si="0"/>
        <v>238199024</v>
      </c>
      <c r="K5" s="21" t="s">
        <v>174</v>
      </c>
      <c r="L5" s="21">
        <v>5.5</v>
      </c>
      <c r="M5" s="21">
        <v>100</v>
      </c>
    </row>
    <row r="6" spans="1:13">
      <c r="A6" s="1" t="s">
        <v>169</v>
      </c>
      <c r="B6" s="1" t="s">
        <v>170</v>
      </c>
      <c r="C6" s="1">
        <v>1991</v>
      </c>
      <c r="D6" s="1" t="s">
        <v>175</v>
      </c>
      <c r="E6" s="1" t="s">
        <v>233</v>
      </c>
      <c r="F6" s="1">
        <v>1995</v>
      </c>
      <c r="G6" s="1" t="s">
        <v>234</v>
      </c>
      <c r="H6" s="1">
        <v>7990000</v>
      </c>
      <c r="I6" s="21">
        <v>5.75</v>
      </c>
      <c r="J6" s="1">
        <f t="shared" si="0"/>
        <v>230209024</v>
      </c>
      <c r="K6" s="21" t="s">
        <v>174</v>
      </c>
      <c r="L6" s="21">
        <v>5.8</v>
      </c>
      <c r="M6" s="21" t="s">
        <v>174</v>
      </c>
    </row>
    <row r="7" spans="1:13">
      <c r="A7" s="1" t="s">
        <v>169</v>
      </c>
      <c r="B7" s="1" t="s">
        <v>170</v>
      </c>
      <c r="C7" s="1">
        <v>1991</v>
      </c>
      <c r="D7" s="1" t="s">
        <v>175</v>
      </c>
      <c r="E7" s="1" t="s">
        <v>233</v>
      </c>
      <c r="F7" s="1">
        <v>1996</v>
      </c>
      <c r="G7" s="1" t="s">
        <v>234</v>
      </c>
      <c r="H7" s="1">
        <v>8455000</v>
      </c>
      <c r="I7" s="21">
        <v>5.9</v>
      </c>
      <c r="J7" s="1">
        <f t="shared" si="0"/>
        <v>221754024</v>
      </c>
      <c r="K7" s="21" t="s">
        <v>174</v>
      </c>
      <c r="L7" s="21">
        <v>5.95</v>
      </c>
      <c r="M7" s="21" t="s">
        <v>174</v>
      </c>
    </row>
    <row r="8" spans="1:13">
      <c r="A8" s="1" t="s">
        <v>169</v>
      </c>
      <c r="B8" s="1" t="s">
        <v>170</v>
      </c>
      <c r="C8" s="1">
        <v>1991</v>
      </c>
      <c r="D8" s="1" t="s">
        <v>175</v>
      </c>
      <c r="E8" s="1" t="s">
        <v>233</v>
      </c>
      <c r="F8" s="1">
        <v>1997</v>
      </c>
      <c r="G8" s="1" t="s">
        <v>234</v>
      </c>
      <c r="H8" s="1">
        <v>8950000</v>
      </c>
      <c r="I8" s="21">
        <v>6</v>
      </c>
      <c r="J8" s="1">
        <f t="shared" si="0"/>
        <v>212804024</v>
      </c>
      <c r="K8" s="21" t="s">
        <v>174</v>
      </c>
      <c r="L8" s="21">
        <v>6.1</v>
      </c>
      <c r="M8" s="21" t="s">
        <v>174</v>
      </c>
    </row>
    <row r="9" spans="1:13">
      <c r="A9" s="1" t="s">
        <v>169</v>
      </c>
      <c r="B9" s="1" t="s">
        <v>170</v>
      </c>
      <c r="C9" s="1">
        <v>1991</v>
      </c>
      <c r="D9" s="1" t="s">
        <v>175</v>
      </c>
      <c r="E9" s="1" t="s">
        <v>233</v>
      </c>
      <c r="F9" s="1">
        <v>1998</v>
      </c>
      <c r="G9" s="1" t="s">
        <v>234</v>
      </c>
      <c r="H9" s="1">
        <v>9485000</v>
      </c>
      <c r="I9" s="21">
        <v>6.2</v>
      </c>
      <c r="J9" s="1">
        <f t="shared" si="0"/>
        <v>203319024</v>
      </c>
      <c r="K9" s="21" t="s">
        <v>174</v>
      </c>
      <c r="L9" s="21">
        <v>6.25</v>
      </c>
      <c r="M9" s="21" t="s">
        <v>174</v>
      </c>
    </row>
    <row r="10" spans="1:13">
      <c r="A10" s="1" t="s">
        <v>169</v>
      </c>
      <c r="B10" s="1" t="s">
        <v>170</v>
      </c>
      <c r="C10" s="1">
        <v>1991</v>
      </c>
      <c r="D10" s="1" t="s">
        <v>175</v>
      </c>
      <c r="E10" s="1" t="s">
        <v>233</v>
      </c>
      <c r="F10" s="1">
        <v>1999</v>
      </c>
      <c r="G10" s="1" t="s">
        <v>234</v>
      </c>
      <c r="H10" s="1">
        <v>10075000</v>
      </c>
      <c r="I10" s="21">
        <v>6.3</v>
      </c>
      <c r="J10" s="1">
        <f t="shared" si="0"/>
        <v>193244024</v>
      </c>
      <c r="K10" s="21" t="s">
        <v>174</v>
      </c>
      <c r="L10" s="21">
        <v>6.4</v>
      </c>
      <c r="M10" s="21" t="s">
        <v>174</v>
      </c>
    </row>
    <row r="11" spans="1:13">
      <c r="A11" s="1" t="s">
        <v>169</v>
      </c>
      <c r="B11" s="1" t="s">
        <v>170</v>
      </c>
      <c r="C11" s="1">
        <v>1991</v>
      </c>
      <c r="D11" s="1" t="s">
        <v>175</v>
      </c>
      <c r="E11" s="1" t="s">
        <v>233</v>
      </c>
      <c r="F11" s="1">
        <v>2000</v>
      </c>
      <c r="G11" s="1" t="s">
        <v>234</v>
      </c>
      <c r="H11" s="1">
        <v>10715000</v>
      </c>
      <c r="I11" s="21">
        <v>6.4</v>
      </c>
      <c r="J11" s="1">
        <f t="shared" si="0"/>
        <v>182529024</v>
      </c>
      <c r="K11" s="21" t="s">
        <v>174</v>
      </c>
      <c r="L11" s="21">
        <v>6.5</v>
      </c>
      <c r="M11" s="21" t="s">
        <v>174</v>
      </c>
    </row>
    <row r="12" spans="1:13">
      <c r="A12" s="1" t="s">
        <v>169</v>
      </c>
      <c r="B12" s="1" t="s">
        <v>170</v>
      </c>
      <c r="C12" s="1">
        <v>1991</v>
      </c>
      <c r="D12" s="1" t="s">
        <v>175</v>
      </c>
      <c r="E12" s="1" t="s">
        <v>233</v>
      </c>
      <c r="F12" s="1">
        <v>2001</v>
      </c>
      <c r="G12" s="1" t="s">
        <v>234</v>
      </c>
      <c r="H12" s="1">
        <v>11395000</v>
      </c>
      <c r="I12" s="21">
        <v>6.5</v>
      </c>
      <c r="J12" s="1">
        <f t="shared" si="0"/>
        <v>171134024</v>
      </c>
      <c r="K12" s="21" t="s">
        <v>174</v>
      </c>
      <c r="L12" s="21">
        <v>6.6</v>
      </c>
      <c r="M12" s="21" t="s">
        <v>174</v>
      </c>
    </row>
    <row r="13" spans="1:13">
      <c r="A13" s="1" t="s">
        <v>169</v>
      </c>
      <c r="B13" s="1" t="s">
        <v>170</v>
      </c>
      <c r="C13" s="1">
        <v>1991</v>
      </c>
      <c r="D13" s="1" t="s">
        <v>175</v>
      </c>
      <c r="E13" s="1" t="s">
        <v>233</v>
      </c>
      <c r="F13" s="1">
        <v>2002</v>
      </c>
      <c r="G13" s="1" t="s">
        <v>234</v>
      </c>
      <c r="H13" s="1">
        <v>12140000</v>
      </c>
      <c r="I13" s="21">
        <v>6.6</v>
      </c>
      <c r="J13" s="1">
        <f t="shared" si="0"/>
        <v>158994024</v>
      </c>
      <c r="K13" s="21" t="s">
        <v>174</v>
      </c>
      <c r="L13" s="21">
        <v>6.7</v>
      </c>
      <c r="M13" s="21" t="s">
        <v>174</v>
      </c>
    </row>
    <row r="14" spans="1:13">
      <c r="A14" s="1" t="s">
        <v>169</v>
      </c>
      <c r="B14" s="1" t="s">
        <v>170</v>
      </c>
      <c r="C14" s="1">
        <v>1991</v>
      </c>
      <c r="D14" s="1" t="s">
        <v>175</v>
      </c>
      <c r="E14" s="1" t="s">
        <v>235</v>
      </c>
      <c r="F14" s="1">
        <v>2003</v>
      </c>
      <c r="G14" s="1" t="s">
        <v>234</v>
      </c>
      <c r="H14" s="1">
        <v>5675106</v>
      </c>
      <c r="I14" s="21">
        <v>6.9</v>
      </c>
      <c r="J14" s="1">
        <f t="shared" si="0"/>
        <v>153318918</v>
      </c>
      <c r="K14" s="21" t="s">
        <v>174</v>
      </c>
      <c r="L14" s="21" t="s">
        <v>174</v>
      </c>
      <c r="M14" s="21">
        <v>96.75</v>
      </c>
    </row>
    <row r="15" spans="1:13">
      <c r="A15" s="1" t="s">
        <v>169</v>
      </c>
      <c r="B15" s="1" t="s">
        <v>170</v>
      </c>
      <c r="C15" s="1">
        <v>1991</v>
      </c>
      <c r="D15" s="1" t="s">
        <v>175</v>
      </c>
      <c r="E15" s="1" t="s">
        <v>235</v>
      </c>
      <c r="F15" s="1">
        <v>2004</v>
      </c>
      <c r="G15" s="1" t="s">
        <v>234</v>
      </c>
      <c r="H15" s="1">
        <v>5239924</v>
      </c>
      <c r="I15" s="21">
        <v>7</v>
      </c>
      <c r="J15" s="1">
        <f t="shared" si="0"/>
        <v>148078994</v>
      </c>
      <c r="K15" s="21" t="s">
        <v>174</v>
      </c>
      <c r="L15" s="21" t="s">
        <v>174</v>
      </c>
      <c r="M15" s="21">
        <v>96.75</v>
      </c>
    </row>
    <row r="16" spans="1:13">
      <c r="A16" s="1" t="s">
        <v>169</v>
      </c>
      <c r="B16" s="1" t="s">
        <v>170</v>
      </c>
      <c r="C16" s="1">
        <v>1991</v>
      </c>
      <c r="D16" s="1" t="s">
        <v>175</v>
      </c>
      <c r="E16" s="1" t="s">
        <v>235</v>
      </c>
      <c r="F16" s="1">
        <v>2005</v>
      </c>
      <c r="G16" s="1" t="s">
        <v>234</v>
      </c>
      <c r="H16" s="1">
        <v>4825197</v>
      </c>
      <c r="I16" s="21">
        <v>7.1</v>
      </c>
      <c r="J16" s="1">
        <f t="shared" si="0"/>
        <v>143253797</v>
      </c>
      <c r="K16" s="21" t="s">
        <v>174</v>
      </c>
      <c r="L16" s="21" t="s">
        <v>174</v>
      </c>
      <c r="M16" s="21">
        <v>96.75</v>
      </c>
    </row>
    <row r="17" spans="1:13">
      <c r="A17" s="1" t="s">
        <v>169</v>
      </c>
      <c r="B17" s="1" t="s">
        <v>170</v>
      </c>
      <c r="C17" s="1">
        <v>1991</v>
      </c>
      <c r="D17" s="1" t="s">
        <v>175</v>
      </c>
      <c r="E17" s="1" t="s">
        <v>235</v>
      </c>
      <c r="F17" s="1">
        <v>2006</v>
      </c>
      <c r="G17" s="1" t="s">
        <v>234</v>
      </c>
      <c r="H17" s="1">
        <v>4467276</v>
      </c>
      <c r="I17" s="21">
        <v>7.15</v>
      </c>
      <c r="J17" s="1">
        <f t="shared" si="0"/>
        <v>138786521</v>
      </c>
      <c r="K17" s="21" t="s">
        <v>174</v>
      </c>
      <c r="L17" s="21" t="s">
        <v>174</v>
      </c>
      <c r="M17" s="21">
        <v>96.75</v>
      </c>
    </row>
    <row r="18" spans="1:13">
      <c r="A18" s="1" t="s">
        <v>169</v>
      </c>
      <c r="B18" s="1" t="s">
        <v>170</v>
      </c>
      <c r="C18" s="1">
        <v>1991</v>
      </c>
      <c r="D18" s="1" t="s">
        <v>175</v>
      </c>
      <c r="E18" s="1" t="s">
        <v>235</v>
      </c>
      <c r="F18" s="1">
        <v>2007</v>
      </c>
      <c r="G18" s="1" t="s">
        <v>234</v>
      </c>
      <c r="H18" s="1">
        <v>4131871</v>
      </c>
      <c r="I18" s="21">
        <v>7.2</v>
      </c>
      <c r="J18" s="1">
        <f t="shared" si="0"/>
        <v>134654650</v>
      </c>
      <c r="K18" s="21" t="s">
        <v>174</v>
      </c>
      <c r="L18" s="21" t="s">
        <v>174</v>
      </c>
      <c r="M18" s="21">
        <v>96.75</v>
      </c>
    </row>
    <row r="19" spans="1:13">
      <c r="A19" s="1" t="s">
        <v>169</v>
      </c>
      <c r="B19" s="1" t="s">
        <v>170</v>
      </c>
      <c r="C19" s="1">
        <v>1991</v>
      </c>
      <c r="D19" s="1" t="s">
        <v>175</v>
      </c>
      <c r="E19" s="1" t="s">
        <v>235</v>
      </c>
      <c r="F19" s="1">
        <v>2008</v>
      </c>
      <c r="G19" s="1" t="s">
        <v>234</v>
      </c>
      <c r="H19" s="1">
        <v>3849650</v>
      </c>
      <c r="I19" s="21">
        <v>7.2</v>
      </c>
      <c r="J19" s="1">
        <f t="shared" si="0"/>
        <v>130805000</v>
      </c>
      <c r="K19" s="21" t="s">
        <v>174</v>
      </c>
      <c r="L19" s="21" t="s">
        <v>174</v>
      </c>
      <c r="M19" s="21">
        <v>96.75</v>
      </c>
    </row>
    <row r="20" spans="1:13">
      <c r="A20" s="1" t="s">
        <v>169</v>
      </c>
      <c r="B20" s="1" t="s">
        <v>170</v>
      </c>
      <c r="C20" s="1">
        <v>1991</v>
      </c>
      <c r="D20" s="1" t="s">
        <v>175</v>
      </c>
      <c r="E20" s="1" t="s">
        <v>235</v>
      </c>
      <c r="F20" s="1">
        <v>2009</v>
      </c>
      <c r="G20" s="1" t="s">
        <v>234</v>
      </c>
      <c r="H20" s="1">
        <v>12935000</v>
      </c>
      <c r="I20" s="21">
        <v>6.75</v>
      </c>
      <c r="J20" s="1">
        <f t="shared" si="0"/>
        <v>117870000</v>
      </c>
      <c r="K20" s="21" t="s">
        <v>174</v>
      </c>
      <c r="L20" s="21" t="s">
        <v>174</v>
      </c>
      <c r="M20" s="21">
        <v>96.75</v>
      </c>
    </row>
    <row r="21" spans="1:13">
      <c r="A21" s="1" t="s">
        <v>169</v>
      </c>
      <c r="B21" s="1" t="s">
        <v>170</v>
      </c>
      <c r="C21" s="1">
        <v>1991</v>
      </c>
      <c r="D21" s="1" t="s">
        <v>175</v>
      </c>
      <c r="E21" s="1" t="s">
        <v>235</v>
      </c>
      <c r="F21" s="1">
        <v>2010</v>
      </c>
      <c r="G21" s="1" t="s">
        <v>234</v>
      </c>
      <c r="H21" s="1">
        <v>13815000</v>
      </c>
      <c r="I21" s="21">
        <v>6.75</v>
      </c>
      <c r="J21" s="1">
        <f t="shared" si="0"/>
        <v>104055000</v>
      </c>
      <c r="K21" s="21" t="s">
        <v>174</v>
      </c>
      <c r="L21" s="21" t="s">
        <v>174</v>
      </c>
      <c r="M21" s="21">
        <v>96.75</v>
      </c>
    </row>
    <row r="22" spans="1:13">
      <c r="A22" s="1" t="s">
        <v>169</v>
      </c>
      <c r="B22" s="1" t="s">
        <v>170</v>
      </c>
      <c r="C22" s="1">
        <v>1991</v>
      </c>
      <c r="D22" s="1" t="s">
        <v>175</v>
      </c>
      <c r="E22" s="1" t="s">
        <v>235</v>
      </c>
      <c r="F22" s="1">
        <v>2011</v>
      </c>
      <c r="G22" s="1" t="s">
        <v>234</v>
      </c>
      <c r="H22" s="1">
        <v>14745000</v>
      </c>
      <c r="I22" s="21">
        <v>6.5</v>
      </c>
      <c r="J22" s="1">
        <f t="shared" si="0"/>
        <v>89310000</v>
      </c>
      <c r="K22" s="21" t="s">
        <v>174</v>
      </c>
      <c r="L22" s="21" t="s">
        <v>174</v>
      </c>
      <c r="M22" s="21">
        <f>93+3/8</f>
        <v>93.375</v>
      </c>
    </row>
    <row r="23" spans="1:13">
      <c r="A23" s="1" t="s">
        <v>169</v>
      </c>
      <c r="B23" s="1" t="s">
        <v>170</v>
      </c>
      <c r="C23" s="1">
        <v>1991</v>
      </c>
      <c r="D23" s="1" t="s">
        <v>175</v>
      </c>
      <c r="E23" s="1" t="s">
        <v>235</v>
      </c>
      <c r="F23" s="1">
        <v>2012</v>
      </c>
      <c r="G23" s="1" t="s">
        <v>234</v>
      </c>
      <c r="H23" s="1">
        <v>15700000</v>
      </c>
      <c r="I23" s="21">
        <v>6.5</v>
      </c>
      <c r="J23" s="1">
        <f t="shared" si="0"/>
        <v>73610000</v>
      </c>
      <c r="K23" s="21" t="s">
        <v>174</v>
      </c>
      <c r="L23" s="21" t="s">
        <v>174</v>
      </c>
      <c r="M23" s="21">
        <f>93+3/8</f>
        <v>93.375</v>
      </c>
    </row>
    <row r="24" spans="1:13">
      <c r="A24" s="1" t="s">
        <v>169</v>
      </c>
      <c r="B24" s="1" t="s">
        <v>170</v>
      </c>
      <c r="C24" s="1">
        <v>1991</v>
      </c>
      <c r="D24" s="1" t="s">
        <v>175</v>
      </c>
      <c r="E24" s="1" t="s">
        <v>235</v>
      </c>
      <c r="F24" s="1">
        <v>2013</v>
      </c>
      <c r="G24" s="1" t="s">
        <v>234</v>
      </c>
      <c r="H24" s="1">
        <v>16725000</v>
      </c>
      <c r="I24" s="21">
        <v>6.5</v>
      </c>
      <c r="J24" s="1">
        <f t="shared" si="0"/>
        <v>56885000</v>
      </c>
      <c r="K24" s="21" t="s">
        <v>174</v>
      </c>
      <c r="L24" s="21" t="s">
        <v>174</v>
      </c>
      <c r="M24" s="21">
        <f>93+3/8</f>
        <v>93.375</v>
      </c>
    </row>
    <row r="25" spans="1:13">
      <c r="A25" s="1" t="s">
        <v>169</v>
      </c>
      <c r="B25" s="1" t="s">
        <v>170</v>
      </c>
      <c r="C25" s="1">
        <v>1991</v>
      </c>
      <c r="D25" s="1" t="s">
        <v>175</v>
      </c>
      <c r="E25" s="1" t="s">
        <v>235</v>
      </c>
      <c r="F25" s="1">
        <v>2014</v>
      </c>
      <c r="G25" s="1" t="s">
        <v>234</v>
      </c>
      <c r="H25" s="1">
        <v>17810000</v>
      </c>
      <c r="I25" s="21">
        <v>6.5</v>
      </c>
      <c r="J25" s="1">
        <f t="shared" si="0"/>
        <v>39075000</v>
      </c>
      <c r="K25" s="21" t="s">
        <v>174</v>
      </c>
      <c r="L25" s="21" t="s">
        <v>174</v>
      </c>
      <c r="M25" s="21">
        <f>93+3/8</f>
        <v>93.375</v>
      </c>
    </row>
    <row r="26" spans="1:13">
      <c r="A26" s="1" t="s">
        <v>169</v>
      </c>
      <c r="B26" s="1" t="s">
        <v>170</v>
      </c>
      <c r="C26" s="1">
        <v>1991</v>
      </c>
      <c r="D26" s="1" t="s">
        <v>175</v>
      </c>
      <c r="E26" s="1" t="s">
        <v>235</v>
      </c>
      <c r="F26" s="1">
        <v>2015</v>
      </c>
      <c r="G26" s="1" t="s">
        <v>234</v>
      </c>
      <c r="H26" s="1">
        <v>18970000</v>
      </c>
      <c r="I26" s="21">
        <v>6</v>
      </c>
      <c r="J26" s="1">
        <f t="shared" si="0"/>
        <v>20105000</v>
      </c>
      <c r="K26" s="21" t="s">
        <v>174</v>
      </c>
      <c r="L26" s="21" t="s">
        <v>174</v>
      </c>
      <c r="M26" s="21">
        <v>88</v>
      </c>
    </row>
    <row r="27" spans="1:13">
      <c r="A27" s="1" t="s">
        <v>169</v>
      </c>
      <c r="B27" s="1" t="s">
        <v>170</v>
      </c>
      <c r="C27" s="1">
        <v>1991</v>
      </c>
      <c r="D27" s="1" t="s">
        <v>175</v>
      </c>
      <c r="E27" s="1" t="s">
        <v>235</v>
      </c>
      <c r="F27" s="1">
        <v>2016</v>
      </c>
      <c r="G27" s="1" t="s">
        <v>234</v>
      </c>
      <c r="H27" s="1">
        <v>20105000</v>
      </c>
      <c r="I27" s="21">
        <v>6</v>
      </c>
      <c r="J27" s="1">
        <f t="shared" si="0"/>
        <v>0</v>
      </c>
      <c r="K27" s="21" t="s">
        <v>174</v>
      </c>
      <c r="L27" s="21" t="s">
        <v>174</v>
      </c>
      <c r="M27" s="21">
        <v>88</v>
      </c>
    </row>
    <row r="28" spans="1:13">
      <c r="A28" s="1" t="s">
        <v>169</v>
      </c>
      <c r="B28" s="1" t="s">
        <v>170</v>
      </c>
      <c r="C28" s="1">
        <v>1993</v>
      </c>
      <c r="D28" s="1" t="s">
        <v>175</v>
      </c>
      <c r="E28" s="1" t="s">
        <v>233</v>
      </c>
      <c r="F28" s="1">
        <v>1994</v>
      </c>
      <c r="G28" s="1" t="s">
        <v>234</v>
      </c>
      <c r="H28" s="1">
        <v>8495000</v>
      </c>
      <c r="I28" s="21">
        <v>3.5</v>
      </c>
      <c r="J28" s="1">
        <f>278970000-H28</f>
        <v>270475000</v>
      </c>
      <c r="K28" s="1">
        <v>12469299</v>
      </c>
      <c r="L28" s="21">
        <v>2.7</v>
      </c>
      <c r="M28" s="21" t="s">
        <v>174</v>
      </c>
    </row>
    <row r="29" spans="1:13">
      <c r="A29" s="1" t="s">
        <v>169</v>
      </c>
      <c r="B29" s="1" t="s">
        <v>170</v>
      </c>
      <c r="C29" s="1">
        <v>1993</v>
      </c>
      <c r="D29" s="1" t="s">
        <v>175</v>
      </c>
      <c r="E29" s="1" t="s">
        <v>233</v>
      </c>
      <c r="F29" s="1">
        <v>1995</v>
      </c>
      <c r="G29" s="1" t="s">
        <v>234</v>
      </c>
      <c r="H29" s="1">
        <v>4355000</v>
      </c>
      <c r="I29" s="21">
        <v>3.4</v>
      </c>
      <c r="J29" s="1">
        <f>J28-H29</f>
        <v>266120000</v>
      </c>
      <c r="K29" s="1">
        <v>13908205</v>
      </c>
      <c r="L29" s="21">
        <v>3.4</v>
      </c>
      <c r="M29" s="21" t="s">
        <v>174</v>
      </c>
    </row>
    <row r="30" spans="1:13">
      <c r="A30" s="1" t="s">
        <v>169</v>
      </c>
      <c r="B30" s="1" t="s">
        <v>170</v>
      </c>
      <c r="C30" s="1">
        <v>1993</v>
      </c>
      <c r="D30" s="1" t="s">
        <v>175</v>
      </c>
      <c r="E30" s="1" t="s">
        <v>233</v>
      </c>
      <c r="F30" s="1">
        <v>1996</v>
      </c>
      <c r="G30" s="1" t="s">
        <v>234</v>
      </c>
      <c r="H30" s="1">
        <v>5945000</v>
      </c>
      <c r="I30" s="21">
        <v>3.5</v>
      </c>
      <c r="J30" s="1">
        <f t="shared" ref="J30:J80" si="1">J29-H30</f>
        <v>260175000</v>
      </c>
      <c r="K30" s="1">
        <v>13760135</v>
      </c>
      <c r="L30" s="21">
        <v>3.6</v>
      </c>
      <c r="M30" s="21" t="s">
        <v>174</v>
      </c>
    </row>
    <row r="31" spans="1:13">
      <c r="A31" s="1" t="s">
        <v>169</v>
      </c>
      <c r="B31" s="1" t="s">
        <v>170</v>
      </c>
      <c r="C31" s="1">
        <v>1993</v>
      </c>
      <c r="D31" s="1" t="s">
        <v>175</v>
      </c>
      <c r="E31" s="1" t="s">
        <v>233</v>
      </c>
      <c r="F31" s="1">
        <v>1997</v>
      </c>
      <c r="G31" s="1" t="s">
        <v>234</v>
      </c>
      <c r="H31" s="1">
        <v>6865000</v>
      </c>
      <c r="I31" s="21">
        <v>3.75</v>
      </c>
      <c r="J31" s="1">
        <f t="shared" si="1"/>
        <v>253310000</v>
      </c>
      <c r="K31" s="1">
        <v>13552060</v>
      </c>
      <c r="L31" s="21">
        <v>3.8</v>
      </c>
      <c r="M31" s="21" t="s">
        <v>174</v>
      </c>
    </row>
    <row r="32" spans="1:13">
      <c r="A32" s="1" t="s">
        <v>169</v>
      </c>
      <c r="B32" s="1" t="s">
        <v>170</v>
      </c>
      <c r="C32" s="1">
        <v>1993</v>
      </c>
      <c r="D32" s="1" t="s">
        <v>175</v>
      </c>
      <c r="E32" s="1" t="s">
        <v>233</v>
      </c>
      <c r="F32" s="1">
        <v>1998</v>
      </c>
      <c r="G32" s="1" t="s">
        <v>234</v>
      </c>
      <c r="H32" s="1">
        <v>8550000</v>
      </c>
      <c r="I32" s="21">
        <v>3.9</v>
      </c>
      <c r="J32" s="1">
        <f t="shared" si="1"/>
        <v>244760000</v>
      </c>
      <c r="K32" s="1">
        <v>13294622</v>
      </c>
      <c r="L32" s="21">
        <v>4</v>
      </c>
      <c r="M32" s="21" t="s">
        <v>174</v>
      </c>
    </row>
    <row r="33" spans="1:13">
      <c r="A33" s="1" t="s">
        <v>169</v>
      </c>
      <c r="B33" s="1" t="s">
        <v>170</v>
      </c>
      <c r="C33" s="1">
        <v>1993</v>
      </c>
      <c r="D33" s="1" t="s">
        <v>175</v>
      </c>
      <c r="E33" s="1" t="s">
        <v>233</v>
      </c>
      <c r="F33" s="1">
        <v>1999</v>
      </c>
      <c r="G33" s="1" t="s">
        <v>234</v>
      </c>
      <c r="H33" s="1">
        <v>8885000</v>
      </c>
      <c r="I33" s="21">
        <v>4</v>
      </c>
      <c r="J33" s="1">
        <f t="shared" si="1"/>
        <v>235875000</v>
      </c>
      <c r="K33" s="1">
        <v>12961173</v>
      </c>
      <c r="L33" s="21">
        <v>4.2</v>
      </c>
      <c r="M33" s="21" t="s">
        <v>174</v>
      </c>
    </row>
    <row r="34" spans="1:13">
      <c r="A34" s="1" t="s">
        <v>169</v>
      </c>
      <c r="B34" s="1" t="s">
        <v>170</v>
      </c>
      <c r="C34" s="1">
        <v>1993</v>
      </c>
      <c r="D34" s="1" t="s">
        <v>175</v>
      </c>
      <c r="E34" s="1" t="s">
        <v>233</v>
      </c>
      <c r="F34" s="1">
        <v>2000</v>
      </c>
      <c r="G34" s="1" t="s">
        <v>234</v>
      </c>
      <c r="H34" s="1">
        <v>9245000</v>
      </c>
      <c r="I34" s="21">
        <v>4.25</v>
      </c>
      <c r="J34" s="1">
        <f t="shared" si="1"/>
        <v>226630000</v>
      </c>
      <c r="K34" s="1">
        <v>12605772</v>
      </c>
      <c r="L34" s="21">
        <v>4.4000000000000004</v>
      </c>
      <c r="M34" s="21" t="s">
        <v>174</v>
      </c>
    </row>
    <row r="35" spans="1:13">
      <c r="A35" s="1" t="s">
        <v>169</v>
      </c>
      <c r="B35" s="1" t="s">
        <v>170</v>
      </c>
      <c r="C35" s="1">
        <v>1993</v>
      </c>
      <c r="D35" s="1" t="s">
        <v>175</v>
      </c>
      <c r="E35" s="1" t="s">
        <v>233</v>
      </c>
      <c r="F35" s="1">
        <v>2001</v>
      </c>
      <c r="G35" s="1" t="s">
        <v>234</v>
      </c>
      <c r="H35" s="1">
        <v>9635000</v>
      </c>
      <c r="I35" s="21">
        <v>4.4000000000000004</v>
      </c>
      <c r="J35" s="1">
        <f t="shared" si="1"/>
        <v>216995000</v>
      </c>
      <c r="K35" s="1">
        <v>12212860</v>
      </c>
      <c r="L35" s="21">
        <v>4.5</v>
      </c>
      <c r="M35" s="21" t="s">
        <v>174</v>
      </c>
    </row>
    <row r="36" spans="1:13">
      <c r="A36" s="1" t="s">
        <v>169</v>
      </c>
      <c r="B36" s="1" t="s">
        <v>170</v>
      </c>
      <c r="C36" s="1">
        <v>1993</v>
      </c>
      <c r="D36" s="1" t="s">
        <v>175</v>
      </c>
      <c r="E36" s="1" t="s">
        <v>233</v>
      </c>
      <c r="F36" s="1">
        <v>2002</v>
      </c>
      <c r="G36" s="1" t="s">
        <v>234</v>
      </c>
      <c r="H36" s="1">
        <v>10065000</v>
      </c>
      <c r="I36" s="21">
        <v>4.5</v>
      </c>
      <c r="J36" s="1">
        <f t="shared" si="1"/>
        <v>206930000</v>
      </c>
      <c r="K36" s="1">
        <v>11788920</v>
      </c>
      <c r="L36" s="21">
        <v>4.5999999999999996</v>
      </c>
      <c r="M36" s="21" t="s">
        <v>174</v>
      </c>
    </row>
    <row r="37" spans="1:13">
      <c r="A37" s="1" t="s">
        <v>169</v>
      </c>
      <c r="B37" s="1" t="s">
        <v>170</v>
      </c>
      <c r="C37" s="1">
        <v>1993</v>
      </c>
      <c r="D37" s="1" t="s">
        <v>175</v>
      </c>
      <c r="E37" s="1" t="s">
        <v>233</v>
      </c>
      <c r="F37" s="1">
        <v>2003</v>
      </c>
      <c r="G37" s="1" t="s">
        <v>234</v>
      </c>
      <c r="H37" s="1">
        <v>10505000</v>
      </c>
      <c r="I37" s="21">
        <v>4.5999999999999996</v>
      </c>
      <c r="J37" s="1">
        <f t="shared" si="1"/>
        <v>196425000</v>
      </c>
      <c r="K37" s="1">
        <v>11335995</v>
      </c>
      <c r="L37" s="21">
        <v>4.7</v>
      </c>
      <c r="M37" s="21" t="s">
        <v>174</v>
      </c>
    </row>
    <row r="38" spans="1:13">
      <c r="A38" s="1" t="s">
        <v>169</v>
      </c>
      <c r="B38" s="1" t="s">
        <v>170</v>
      </c>
      <c r="C38" s="1">
        <v>1993</v>
      </c>
      <c r="D38" s="1" t="s">
        <v>175</v>
      </c>
      <c r="E38" s="1" t="s">
        <v>233</v>
      </c>
      <c r="F38" s="1">
        <v>2004</v>
      </c>
      <c r="G38" s="1" t="s">
        <v>234</v>
      </c>
      <c r="H38" s="1">
        <v>11000000</v>
      </c>
      <c r="I38" s="21">
        <v>4.7</v>
      </c>
      <c r="J38" s="1">
        <f t="shared" si="1"/>
        <v>185425000</v>
      </c>
      <c r="K38" s="1">
        <v>10852765</v>
      </c>
      <c r="L38" s="21">
        <v>4.8</v>
      </c>
      <c r="M38" s="21" t="s">
        <v>174</v>
      </c>
    </row>
    <row r="39" spans="1:13">
      <c r="A39" s="1" t="s">
        <v>169</v>
      </c>
      <c r="B39" s="1" t="s">
        <v>170</v>
      </c>
      <c r="C39" s="1">
        <v>1993</v>
      </c>
      <c r="D39" s="1" t="s">
        <v>175</v>
      </c>
      <c r="E39" s="1" t="s">
        <v>233</v>
      </c>
      <c r="F39" s="1">
        <v>2005</v>
      </c>
      <c r="G39" s="1" t="s">
        <v>234</v>
      </c>
      <c r="H39" s="1">
        <v>11515000</v>
      </c>
      <c r="I39" s="21">
        <v>4.75</v>
      </c>
      <c r="J39" s="1">
        <f t="shared" si="1"/>
        <v>173910000</v>
      </c>
      <c r="K39" s="1">
        <v>10335765</v>
      </c>
      <c r="L39" s="21">
        <v>4.8499999999999996</v>
      </c>
      <c r="M39" s="21" t="s">
        <v>174</v>
      </c>
    </row>
    <row r="40" spans="1:13">
      <c r="A40" s="1" t="s">
        <v>169</v>
      </c>
      <c r="B40" s="1" t="s">
        <v>170</v>
      </c>
      <c r="C40" s="1">
        <v>1993</v>
      </c>
      <c r="D40" s="1" t="s">
        <v>175</v>
      </c>
      <c r="E40" s="1" t="s">
        <v>233</v>
      </c>
      <c r="F40" s="1">
        <v>2006</v>
      </c>
      <c r="G40" s="1" t="s">
        <v>234</v>
      </c>
      <c r="H40" s="1">
        <v>12060000</v>
      </c>
      <c r="I40" s="21">
        <v>4.8</v>
      </c>
      <c r="J40" s="1">
        <f t="shared" si="1"/>
        <v>161850000</v>
      </c>
      <c r="K40" s="1">
        <v>9788803</v>
      </c>
      <c r="L40" s="21">
        <v>4.95</v>
      </c>
      <c r="M40" s="21" t="s">
        <v>174</v>
      </c>
    </row>
    <row r="41" spans="1:13">
      <c r="A41" s="1" t="s">
        <v>169</v>
      </c>
      <c r="B41" s="1" t="s">
        <v>170</v>
      </c>
      <c r="C41" s="1">
        <v>1993</v>
      </c>
      <c r="D41" s="1" t="s">
        <v>175</v>
      </c>
      <c r="E41" s="1" t="s">
        <v>233</v>
      </c>
      <c r="F41" s="1">
        <v>2007</v>
      </c>
      <c r="G41" s="1" t="s">
        <v>234</v>
      </c>
      <c r="H41" s="1">
        <v>12640000</v>
      </c>
      <c r="I41" s="21">
        <v>4.9000000000000004</v>
      </c>
      <c r="J41" s="1">
        <f t="shared" si="1"/>
        <v>149210000</v>
      </c>
      <c r="K41" s="1">
        <v>9209922</v>
      </c>
      <c r="L41" s="21">
        <v>5.05</v>
      </c>
      <c r="M41" s="21" t="s">
        <v>174</v>
      </c>
    </row>
    <row r="42" spans="1:13">
      <c r="A42" s="1" t="s">
        <v>169</v>
      </c>
      <c r="B42" s="1" t="s">
        <v>170</v>
      </c>
      <c r="C42" s="1">
        <v>1993</v>
      </c>
      <c r="D42" s="1" t="s">
        <v>175</v>
      </c>
      <c r="E42" s="1" t="s">
        <v>233</v>
      </c>
      <c r="F42" s="1">
        <v>2008</v>
      </c>
      <c r="G42" s="1" t="s">
        <v>234</v>
      </c>
      <c r="H42" s="1">
        <v>13260000</v>
      </c>
      <c r="I42" s="21">
        <v>5</v>
      </c>
      <c r="J42" s="1">
        <f t="shared" si="1"/>
        <v>135950000</v>
      </c>
      <c r="K42" s="1">
        <v>8590563</v>
      </c>
      <c r="L42" s="21">
        <v>5.15</v>
      </c>
      <c r="M42" s="21" t="s">
        <v>174</v>
      </c>
    </row>
    <row r="43" spans="1:13">
      <c r="A43" s="1" t="s">
        <v>169</v>
      </c>
      <c r="B43" s="1" t="s">
        <v>170</v>
      </c>
      <c r="C43" s="1">
        <v>1993</v>
      </c>
      <c r="D43" s="1" t="s">
        <v>175</v>
      </c>
      <c r="E43" s="1" t="s">
        <v>233</v>
      </c>
      <c r="F43" s="1">
        <v>2009</v>
      </c>
      <c r="G43" s="1" t="s">
        <v>234</v>
      </c>
      <c r="H43" s="1">
        <v>13920000</v>
      </c>
      <c r="I43" s="21">
        <v>5</v>
      </c>
      <c r="J43" s="1">
        <f t="shared" si="1"/>
        <v>122030000</v>
      </c>
      <c r="K43" s="1">
        <v>7927562</v>
      </c>
      <c r="L43" s="21">
        <v>5.2</v>
      </c>
      <c r="M43" s="21" t="s">
        <v>174</v>
      </c>
    </row>
    <row r="44" spans="1:13">
      <c r="A44" s="1" t="s">
        <v>169</v>
      </c>
      <c r="B44" s="1" t="s">
        <v>170</v>
      </c>
      <c r="C44" s="1">
        <v>1993</v>
      </c>
      <c r="D44" s="1" t="s">
        <v>175</v>
      </c>
      <c r="E44" s="1" t="s">
        <v>233</v>
      </c>
      <c r="F44" s="1">
        <v>2010</v>
      </c>
      <c r="G44" s="1" t="s">
        <v>234</v>
      </c>
      <c r="H44" s="1">
        <v>14620000</v>
      </c>
      <c r="I44" s="21">
        <v>5</v>
      </c>
      <c r="J44" s="1">
        <f t="shared" si="1"/>
        <v>107410000</v>
      </c>
      <c r="K44" s="1">
        <v>7231563</v>
      </c>
      <c r="L44" s="21">
        <v>5.25</v>
      </c>
      <c r="M44" s="21" t="s">
        <v>174</v>
      </c>
    </row>
    <row r="45" spans="1:13">
      <c r="A45" s="1" t="s">
        <v>169</v>
      </c>
      <c r="B45" s="1" t="s">
        <v>170</v>
      </c>
      <c r="C45" s="1">
        <v>1993</v>
      </c>
      <c r="D45" s="1" t="s">
        <v>175</v>
      </c>
      <c r="E45" s="1" t="s">
        <v>235</v>
      </c>
      <c r="F45" s="1">
        <v>2011</v>
      </c>
      <c r="G45" s="1" t="s">
        <v>234</v>
      </c>
      <c r="H45" s="1">
        <v>15350000</v>
      </c>
      <c r="I45" s="21">
        <v>6.5</v>
      </c>
      <c r="J45" s="1">
        <f t="shared" si="1"/>
        <v>92060000</v>
      </c>
      <c r="K45" s="1">
        <v>6500562</v>
      </c>
      <c r="L45" s="21">
        <v>5.25</v>
      </c>
      <c r="M45" s="21" t="s">
        <v>174</v>
      </c>
    </row>
    <row r="46" spans="1:13">
      <c r="A46" s="1" t="s">
        <v>169</v>
      </c>
      <c r="B46" s="1" t="s">
        <v>170</v>
      </c>
      <c r="C46" s="1">
        <v>1993</v>
      </c>
      <c r="D46" s="1" t="s">
        <v>175</v>
      </c>
      <c r="E46" s="1" t="s">
        <v>235</v>
      </c>
      <c r="F46" s="1">
        <v>2012</v>
      </c>
      <c r="G46" s="1" t="s">
        <v>234</v>
      </c>
      <c r="H46" s="1">
        <v>16345000</v>
      </c>
      <c r="I46" s="21">
        <v>6.5</v>
      </c>
      <c r="J46" s="1">
        <f t="shared" si="1"/>
        <v>75715000</v>
      </c>
      <c r="K46" s="1">
        <v>5502813</v>
      </c>
      <c r="L46" s="21">
        <v>5.25</v>
      </c>
      <c r="M46" s="21" t="s">
        <v>174</v>
      </c>
    </row>
    <row r="47" spans="1:13">
      <c r="A47" s="1" t="s">
        <v>169</v>
      </c>
      <c r="B47" s="1" t="s">
        <v>170</v>
      </c>
      <c r="C47" s="1">
        <v>1993</v>
      </c>
      <c r="D47" s="1" t="s">
        <v>175</v>
      </c>
      <c r="E47" s="1" t="s">
        <v>235</v>
      </c>
      <c r="F47" s="1">
        <v>2013</v>
      </c>
      <c r="G47" s="1" t="s">
        <v>234</v>
      </c>
      <c r="H47" s="1">
        <v>17410000</v>
      </c>
      <c r="I47" s="21">
        <v>6.5</v>
      </c>
      <c r="J47" s="1">
        <f t="shared" si="1"/>
        <v>58305000</v>
      </c>
      <c r="K47" s="1">
        <v>4440387</v>
      </c>
      <c r="L47" s="21">
        <v>5.25</v>
      </c>
      <c r="M47" s="21" t="s">
        <v>174</v>
      </c>
    </row>
    <row r="48" spans="1:13">
      <c r="A48" s="1" t="s">
        <v>169</v>
      </c>
      <c r="B48" s="1" t="s">
        <v>170</v>
      </c>
      <c r="C48" s="1">
        <v>1993</v>
      </c>
      <c r="D48" s="1" t="s">
        <v>175</v>
      </c>
      <c r="E48" s="1" t="s">
        <v>235</v>
      </c>
      <c r="F48" s="1">
        <v>2014</v>
      </c>
      <c r="G48" s="1" t="s">
        <v>234</v>
      </c>
      <c r="H48" s="1">
        <v>18540000</v>
      </c>
      <c r="I48" s="21">
        <v>4.75</v>
      </c>
      <c r="J48" s="1">
        <f t="shared" si="1"/>
        <v>39765000</v>
      </c>
      <c r="K48" s="1">
        <v>3308737</v>
      </c>
      <c r="L48" s="21">
        <v>5.35</v>
      </c>
      <c r="M48" s="21" t="s">
        <v>174</v>
      </c>
    </row>
    <row r="49" spans="1:13">
      <c r="A49" s="1" t="s">
        <v>169</v>
      </c>
      <c r="B49" s="1" t="s">
        <v>170</v>
      </c>
      <c r="C49" s="1">
        <v>1993</v>
      </c>
      <c r="D49" s="1" t="s">
        <v>175</v>
      </c>
      <c r="E49" s="1" t="s">
        <v>235</v>
      </c>
      <c r="F49" s="1">
        <v>2015</v>
      </c>
      <c r="G49" s="1" t="s">
        <v>234</v>
      </c>
      <c r="H49" s="1">
        <v>19425000</v>
      </c>
      <c r="I49" s="21">
        <v>4.75</v>
      </c>
      <c r="J49" s="1">
        <f t="shared" si="1"/>
        <v>20340000</v>
      </c>
      <c r="K49" s="1">
        <v>2428088</v>
      </c>
      <c r="L49" s="21">
        <v>5.35</v>
      </c>
      <c r="M49" s="21" t="s">
        <v>174</v>
      </c>
    </row>
    <row r="50" spans="1:13">
      <c r="A50" s="1" t="s">
        <v>169</v>
      </c>
      <c r="B50" s="1" t="s">
        <v>170</v>
      </c>
      <c r="C50" s="1">
        <v>1993</v>
      </c>
      <c r="D50" s="1" t="s">
        <v>175</v>
      </c>
      <c r="E50" s="1" t="s">
        <v>235</v>
      </c>
      <c r="F50" s="1">
        <v>2016</v>
      </c>
      <c r="G50" s="1" t="s">
        <v>234</v>
      </c>
      <c r="H50" s="1">
        <v>20340000</v>
      </c>
      <c r="I50" s="21">
        <v>4.75</v>
      </c>
      <c r="J50" s="1">
        <f t="shared" si="1"/>
        <v>0</v>
      </c>
      <c r="K50" s="1">
        <v>1505400</v>
      </c>
      <c r="L50" s="21">
        <v>5.35</v>
      </c>
      <c r="M50" s="21" t="s">
        <v>174</v>
      </c>
    </row>
    <row r="51" spans="1:13">
      <c r="A51" s="1" t="s">
        <v>169</v>
      </c>
      <c r="B51" s="1" t="s">
        <v>170</v>
      </c>
      <c r="C51" s="1">
        <v>1993</v>
      </c>
      <c r="D51" s="19" t="s">
        <v>182</v>
      </c>
      <c r="E51" s="1" t="s">
        <v>235</v>
      </c>
      <c r="F51" s="1">
        <v>1994</v>
      </c>
      <c r="G51" s="1" t="s">
        <v>234</v>
      </c>
      <c r="H51" s="1">
        <v>0</v>
      </c>
      <c r="I51" s="21" t="s">
        <v>174</v>
      </c>
      <c r="J51" s="1">
        <f>10785000-H51</f>
        <v>10785000</v>
      </c>
      <c r="K51" s="21" t="s">
        <v>174</v>
      </c>
      <c r="L51" s="21" t="s">
        <v>174</v>
      </c>
      <c r="M51" s="21" t="s">
        <v>174</v>
      </c>
    </row>
    <row r="52" spans="1:13">
      <c r="A52" s="1" t="s">
        <v>169</v>
      </c>
      <c r="B52" s="1" t="s">
        <v>170</v>
      </c>
      <c r="C52" s="1">
        <v>1993</v>
      </c>
      <c r="D52" s="19" t="s">
        <v>182</v>
      </c>
      <c r="E52" s="1" t="s">
        <v>235</v>
      </c>
      <c r="F52" s="1">
        <v>1995</v>
      </c>
      <c r="G52" s="1" t="s">
        <v>234</v>
      </c>
      <c r="H52" s="1">
        <v>0</v>
      </c>
      <c r="I52" s="21" t="s">
        <v>174</v>
      </c>
      <c r="J52" s="1">
        <f t="shared" si="1"/>
        <v>10785000</v>
      </c>
      <c r="K52" s="21" t="s">
        <v>174</v>
      </c>
      <c r="L52" s="21" t="s">
        <v>174</v>
      </c>
      <c r="M52" s="21" t="s">
        <v>174</v>
      </c>
    </row>
    <row r="53" spans="1:13">
      <c r="A53" s="1" t="s">
        <v>169</v>
      </c>
      <c r="B53" s="1" t="s">
        <v>170</v>
      </c>
      <c r="C53" s="1">
        <v>1993</v>
      </c>
      <c r="D53" s="19" t="s">
        <v>182</v>
      </c>
      <c r="E53" s="1" t="s">
        <v>235</v>
      </c>
      <c r="F53" s="1">
        <v>1996</v>
      </c>
      <c r="G53" s="1" t="s">
        <v>234</v>
      </c>
      <c r="H53" s="1">
        <v>0</v>
      </c>
      <c r="I53" s="21" t="s">
        <v>174</v>
      </c>
      <c r="J53" s="1">
        <f t="shared" si="1"/>
        <v>10785000</v>
      </c>
      <c r="K53" s="21" t="s">
        <v>174</v>
      </c>
      <c r="L53" s="21" t="s">
        <v>174</v>
      </c>
      <c r="M53" s="21" t="s">
        <v>174</v>
      </c>
    </row>
    <row r="54" spans="1:13">
      <c r="A54" s="1" t="s">
        <v>169</v>
      </c>
      <c r="B54" s="1" t="s">
        <v>170</v>
      </c>
      <c r="C54" s="1">
        <v>1993</v>
      </c>
      <c r="D54" s="19" t="s">
        <v>182</v>
      </c>
      <c r="E54" s="1" t="s">
        <v>235</v>
      </c>
      <c r="F54" s="1">
        <v>1997</v>
      </c>
      <c r="G54" s="1" t="s">
        <v>234</v>
      </c>
      <c r="H54" s="1">
        <v>0</v>
      </c>
      <c r="I54" s="21" t="s">
        <v>174</v>
      </c>
      <c r="J54" s="1">
        <f t="shared" si="1"/>
        <v>10785000</v>
      </c>
      <c r="K54" s="21" t="s">
        <v>174</v>
      </c>
      <c r="L54" s="21" t="s">
        <v>174</v>
      </c>
      <c r="M54" s="21" t="s">
        <v>174</v>
      </c>
    </row>
    <row r="55" spans="1:13">
      <c r="A55" s="1" t="s">
        <v>169</v>
      </c>
      <c r="B55" s="1" t="s">
        <v>170</v>
      </c>
      <c r="C55" s="1">
        <v>1993</v>
      </c>
      <c r="D55" s="19" t="s">
        <v>182</v>
      </c>
      <c r="E55" s="1" t="s">
        <v>235</v>
      </c>
      <c r="F55" s="1">
        <v>1998</v>
      </c>
      <c r="G55" s="1" t="s">
        <v>234</v>
      </c>
      <c r="H55" s="1">
        <v>0</v>
      </c>
      <c r="I55" s="21" t="s">
        <v>174</v>
      </c>
      <c r="J55" s="1">
        <f t="shared" si="1"/>
        <v>10785000</v>
      </c>
      <c r="K55" s="21" t="s">
        <v>174</v>
      </c>
      <c r="L55" s="21" t="s">
        <v>174</v>
      </c>
      <c r="M55" s="21" t="s">
        <v>174</v>
      </c>
    </row>
    <row r="56" spans="1:13">
      <c r="A56" s="1" t="s">
        <v>169</v>
      </c>
      <c r="B56" s="1" t="s">
        <v>170</v>
      </c>
      <c r="C56" s="1">
        <v>1993</v>
      </c>
      <c r="D56" s="19" t="s">
        <v>182</v>
      </c>
      <c r="E56" s="1" t="s">
        <v>235</v>
      </c>
      <c r="F56" s="1">
        <v>1999</v>
      </c>
      <c r="G56" s="1" t="s">
        <v>234</v>
      </c>
      <c r="H56" s="1">
        <v>0</v>
      </c>
      <c r="I56" s="21" t="s">
        <v>174</v>
      </c>
      <c r="J56" s="1">
        <f t="shared" si="1"/>
        <v>10785000</v>
      </c>
      <c r="K56" s="21" t="s">
        <v>174</v>
      </c>
      <c r="L56" s="21" t="s">
        <v>174</v>
      </c>
      <c r="M56" s="21" t="s">
        <v>174</v>
      </c>
    </row>
    <row r="57" spans="1:13">
      <c r="A57" s="1" t="s">
        <v>169</v>
      </c>
      <c r="B57" s="1" t="s">
        <v>170</v>
      </c>
      <c r="C57" s="1">
        <v>1993</v>
      </c>
      <c r="D57" s="19" t="s">
        <v>182</v>
      </c>
      <c r="E57" s="1" t="s">
        <v>235</v>
      </c>
      <c r="F57" s="1">
        <v>2000</v>
      </c>
      <c r="G57" s="1" t="s">
        <v>234</v>
      </c>
      <c r="H57" s="1">
        <v>0</v>
      </c>
      <c r="I57" s="21" t="s">
        <v>174</v>
      </c>
      <c r="J57" s="1">
        <f t="shared" si="1"/>
        <v>10785000</v>
      </c>
      <c r="K57" s="21" t="s">
        <v>174</v>
      </c>
      <c r="L57" s="21" t="s">
        <v>174</v>
      </c>
      <c r="M57" s="21" t="s">
        <v>174</v>
      </c>
    </row>
    <row r="58" spans="1:13">
      <c r="A58" s="1" t="s">
        <v>169</v>
      </c>
      <c r="B58" s="1" t="s">
        <v>170</v>
      </c>
      <c r="C58" s="1">
        <v>1993</v>
      </c>
      <c r="D58" s="19" t="s">
        <v>182</v>
      </c>
      <c r="E58" s="1" t="s">
        <v>235</v>
      </c>
      <c r="F58" s="1">
        <v>2001</v>
      </c>
      <c r="G58" s="1" t="s">
        <v>234</v>
      </c>
      <c r="H58" s="1">
        <v>0</v>
      </c>
      <c r="I58" s="21" t="s">
        <v>174</v>
      </c>
      <c r="J58" s="1">
        <f t="shared" si="1"/>
        <v>10785000</v>
      </c>
      <c r="K58" s="21" t="s">
        <v>174</v>
      </c>
      <c r="L58" s="21" t="s">
        <v>174</v>
      </c>
      <c r="M58" s="21" t="s">
        <v>174</v>
      </c>
    </row>
    <row r="59" spans="1:13">
      <c r="A59" s="1" t="s">
        <v>169</v>
      </c>
      <c r="B59" s="1" t="s">
        <v>170</v>
      </c>
      <c r="C59" s="1">
        <v>1993</v>
      </c>
      <c r="D59" s="19" t="s">
        <v>182</v>
      </c>
      <c r="E59" s="1" t="s">
        <v>235</v>
      </c>
      <c r="F59" s="1">
        <v>2002</v>
      </c>
      <c r="G59" s="1" t="s">
        <v>234</v>
      </c>
      <c r="H59" s="1">
        <v>0</v>
      </c>
      <c r="I59" s="21" t="s">
        <v>174</v>
      </c>
      <c r="J59" s="1">
        <f t="shared" si="1"/>
        <v>10785000</v>
      </c>
      <c r="K59" s="21" t="s">
        <v>174</v>
      </c>
      <c r="L59" s="21" t="s">
        <v>174</v>
      </c>
      <c r="M59" s="21" t="s">
        <v>174</v>
      </c>
    </row>
    <row r="60" spans="1:13">
      <c r="A60" s="1" t="s">
        <v>169</v>
      </c>
      <c r="B60" s="1" t="s">
        <v>170</v>
      </c>
      <c r="C60" s="1">
        <v>1993</v>
      </c>
      <c r="D60" s="19" t="s">
        <v>182</v>
      </c>
      <c r="E60" s="1" t="s">
        <v>235</v>
      </c>
      <c r="F60" s="1">
        <v>2003</v>
      </c>
      <c r="G60" s="1" t="s">
        <v>234</v>
      </c>
      <c r="H60" s="1">
        <v>0</v>
      </c>
      <c r="I60" s="21" t="s">
        <v>174</v>
      </c>
      <c r="J60" s="1">
        <f t="shared" si="1"/>
        <v>10785000</v>
      </c>
      <c r="K60" s="21" t="s">
        <v>174</v>
      </c>
      <c r="L60" s="21" t="s">
        <v>174</v>
      </c>
      <c r="M60" s="21" t="s">
        <v>174</v>
      </c>
    </row>
    <row r="61" spans="1:13">
      <c r="A61" s="1" t="s">
        <v>169</v>
      </c>
      <c r="B61" s="1" t="s">
        <v>170</v>
      </c>
      <c r="C61" s="1">
        <v>1993</v>
      </c>
      <c r="D61" s="19" t="s">
        <v>182</v>
      </c>
      <c r="E61" s="1" t="s">
        <v>235</v>
      </c>
      <c r="F61" s="1">
        <v>2004</v>
      </c>
      <c r="G61" s="1" t="s">
        <v>234</v>
      </c>
      <c r="H61" s="1">
        <v>0</v>
      </c>
      <c r="I61" s="21" t="s">
        <v>174</v>
      </c>
      <c r="J61" s="1">
        <f t="shared" si="1"/>
        <v>10785000</v>
      </c>
      <c r="K61" s="21" t="s">
        <v>174</v>
      </c>
      <c r="L61" s="21" t="s">
        <v>174</v>
      </c>
      <c r="M61" s="21" t="s">
        <v>174</v>
      </c>
    </row>
    <row r="62" spans="1:13">
      <c r="A62" s="1" t="s">
        <v>169</v>
      </c>
      <c r="B62" s="1" t="s">
        <v>170</v>
      </c>
      <c r="C62" s="1">
        <v>1993</v>
      </c>
      <c r="D62" s="19" t="s">
        <v>182</v>
      </c>
      <c r="E62" s="1" t="s">
        <v>235</v>
      </c>
      <c r="F62" s="1">
        <v>2005</v>
      </c>
      <c r="G62" s="1" t="s">
        <v>234</v>
      </c>
      <c r="H62" s="1">
        <v>0</v>
      </c>
      <c r="I62" s="21" t="s">
        <v>174</v>
      </c>
      <c r="J62" s="1">
        <f t="shared" si="1"/>
        <v>10785000</v>
      </c>
      <c r="K62" s="21" t="s">
        <v>174</v>
      </c>
      <c r="L62" s="21" t="s">
        <v>174</v>
      </c>
      <c r="M62" s="21" t="s">
        <v>174</v>
      </c>
    </row>
    <row r="63" spans="1:13">
      <c r="A63" s="1" t="s">
        <v>169</v>
      </c>
      <c r="B63" s="1" t="s">
        <v>170</v>
      </c>
      <c r="C63" s="1">
        <v>1993</v>
      </c>
      <c r="D63" s="19" t="s">
        <v>182</v>
      </c>
      <c r="E63" s="1" t="s">
        <v>235</v>
      </c>
      <c r="F63" s="1">
        <v>2006</v>
      </c>
      <c r="G63" s="1" t="s">
        <v>234</v>
      </c>
      <c r="H63" s="1">
        <v>0</v>
      </c>
      <c r="I63" s="21" t="s">
        <v>174</v>
      </c>
      <c r="J63" s="1">
        <f t="shared" si="1"/>
        <v>10785000</v>
      </c>
      <c r="K63" s="21" t="s">
        <v>174</v>
      </c>
      <c r="L63" s="21" t="s">
        <v>174</v>
      </c>
      <c r="M63" s="21" t="s">
        <v>174</v>
      </c>
    </row>
    <row r="64" spans="1:13">
      <c r="A64" s="1" t="s">
        <v>169</v>
      </c>
      <c r="B64" s="1" t="s">
        <v>170</v>
      </c>
      <c r="C64" s="1">
        <v>1993</v>
      </c>
      <c r="D64" s="19" t="s">
        <v>182</v>
      </c>
      <c r="E64" s="1" t="s">
        <v>235</v>
      </c>
      <c r="F64" s="1">
        <v>2007</v>
      </c>
      <c r="G64" s="1" t="s">
        <v>234</v>
      </c>
      <c r="H64" s="1">
        <v>0</v>
      </c>
      <c r="I64" s="21" t="s">
        <v>174</v>
      </c>
      <c r="J64" s="1">
        <f t="shared" si="1"/>
        <v>10785000</v>
      </c>
      <c r="K64" s="21" t="s">
        <v>174</v>
      </c>
      <c r="L64" s="21" t="s">
        <v>174</v>
      </c>
      <c r="M64" s="21" t="s">
        <v>174</v>
      </c>
    </row>
    <row r="65" spans="1:13">
      <c r="A65" s="1" t="s">
        <v>169</v>
      </c>
      <c r="B65" s="1" t="s">
        <v>170</v>
      </c>
      <c r="C65" s="1">
        <v>1993</v>
      </c>
      <c r="D65" s="19" t="s">
        <v>182</v>
      </c>
      <c r="E65" s="1" t="s">
        <v>235</v>
      </c>
      <c r="F65" s="1">
        <v>2008</v>
      </c>
      <c r="G65" s="1" t="s">
        <v>234</v>
      </c>
      <c r="H65" s="1">
        <v>0</v>
      </c>
      <c r="I65" s="21" t="s">
        <v>174</v>
      </c>
      <c r="J65" s="1">
        <f t="shared" si="1"/>
        <v>10785000</v>
      </c>
      <c r="K65" s="21" t="s">
        <v>174</v>
      </c>
      <c r="L65" s="21" t="s">
        <v>174</v>
      </c>
      <c r="M65" s="21" t="s">
        <v>174</v>
      </c>
    </row>
    <row r="66" spans="1:13">
      <c r="A66" s="1" t="s">
        <v>169</v>
      </c>
      <c r="B66" s="1" t="s">
        <v>170</v>
      </c>
      <c r="C66" s="1">
        <v>1993</v>
      </c>
      <c r="D66" s="19" t="s">
        <v>182</v>
      </c>
      <c r="E66" s="1" t="s">
        <v>235</v>
      </c>
      <c r="F66" s="1">
        <v>2009</v>
      </c>
      <c r="G66" s="1" t="s">
        <v>234</v>
      </c>
      <c r="H66" s="1">
        <v>0</v>
      </c>
      <c r="I66" s="21" t="s">
        <v>174</v>
      </c>
      <c r="J66" s="1">
        <f t="shared" si="1"/>
        <v>10785000</v>
      </c>
      <c r="K66" s="21" t="s">
        <v>174</v>
      </c>
      <c r="L66" s="21" t="s">
        <v>174</v>
      </c>
      <c r="M66" s="21" t="s">
        <v>174</v>
      </c>
    </row>
    <row r="67" spans="1:13">
      <c r="A67" s="1" t="s">
        <v>169</v>
      </c>
      <c r="B67" s="1" t="s">
        <v>170</v>
      </c>
      <c r="C67" s="1">
        <v>1993</v>
      </c>
      <c r="D67" s="19" t="s">
        <v>182</v>
      </c>
      <c r="E67" s="1" t="s">
        <v>235</v>
      </c>
      <c r="F67" s="1">
        <v>2010</v>
      </c>
      <c r="G67" s="1" t="s">
        <v>234</v>
      </c>
      <c r="H67" s="1">
        <v>0</v>
      </c>
      <c r="I67" s="21" t="s">
        <v>174</v>
      </c>
      <c r="J67" s="1">
        <f t="shared" si="1"/>
        <v>10785000</v>
      </c>
      <c r="K67" s="21" t="s">
        <v>174</v>
      </c>
      <c r="L67" s="21" t="s">
        <v>174</v>
      </c>
      <c r="M67" s="21" t="s">
        <v>174</v>
      </c>
    </row>
    <row r="68" spans="1:13">
      <c r="A68" s="1" t="s">
        <v>169</v>
      </c>
      <c r="B68" s="1" t="s">
        <v>170</v>
      </c>
      <c r="C68" s="1">
        <v>1993</v>
      </c>
      <c r="D68" s="19" t="s">
        <v>182</v>
      </c>
      <c r="E68" s="1" t="s">
        <v>235</v>
      </c>
      <c r="F68" s="1">
        <v>2011</v>
      </c>
      <c r="G68" s="1" t="s">
        <v>234</v>
      </c>
      <c r="H68" s="1">
        <v>0</v>
      </c>
      <c r="I68" s="21" t="s">
        <v>174</v>
      </c>
      <c r="J68" s="1">
        <f t="shared" si="1"/>
        <v>10785000</v>
      </c>
      <c r="K68" s="21" t="s">
        <v>174</v>
      </c>
      <c r="L68" s="21" t="s">
        <v>174</v>
      </c>
      <c r="M68" s="21" t="s">
        <v>174</v>
      </c>
    </row>
    <row r="69" spans="1:13">
      <c r="A69" s="1" t="s">
        <v>169</v>
      </c>
      <c r="B69" s="1" t="s">
        <v>170</v>
      </c>
      <c r="C69" s="1">
        <v>1993</v>
      </c>
      <c r="D69" s="19" t="s">
        <v>182</v>
      </c>
      <c r="E69" s="1" t="s">
        <v>235</v>
      </c>
      <c r="F69" s="1">
        <v>2012</v>
      </c>
      <c r="G69" s="1" t="s">
        <v>234</v>
      </c>
      <c r="H69" s="1">
        <v>0</v>
      </c>
      <c r="I69" s="21" t="s">
        <v>174</v>
      </c>
      <c r="J69" s="1">
        <f t="shared" si="1"/>
        <v>10785000</v>
      </c>
      <c r="K69" s="21" t="s">
        <v>174</v>
      </c>
      <c r="L69" s="21" t="s">
        <v>174</v>
      </c>
      <c r="M69" s="21" t="s">
        <v>174</v>
      </c>
    </row>
    <row r="70" spans="1:13">
      <c r="A70" s="1" t="s">
        <v>169</v>
      </c>
      <c r="B70" s="1" t="s">
        <v>170</v>
      </c>
      <c r="C70" s="1">
        <v>1993</v>
      </c>
      <c r="D70" s="19" t="s">
        <v>182</v>
      </c>
      <c r="E70" s="1" t="s">
        <v>235</v>
      </c>
      <c r="F70" s="1">
        <v>2013</v>
      </c>
      <c r="G70" s="1" t="s">
        <v>234</v>
      </c>
      <c r="H70" s="1">
        <v>0</v>
      </c>
      <c r="I70" s="21" t="s">
        <v>174</v>
      </c>
      <c r="J70" s="1">
        <f t="shared" si="1"/>
        <v>10785000</v>
      </c>
      <c r="K70" s="21" t="s">
        <v>174</v>
      </c>
      <c r="L70" s="21" t="s">
        <v>174</v>
      </c>
      <c r="M70" s="21" t="s">
        <v>174</v>
      </c>
    </row>
    <row r="71" spans="1:13">
      <c r="A71" s="1" t="s">
        <v>169</v>
      </c>
      <c r="B71" s="1" t="s">
        <v>170</v>
      </c>
      <c r="C71" s="1">
        <v>1993</v>
      </c>
      <c r="D71" s="19" t="s">
        <v>182</v>
      </c>
      <c r="E71" s="1" t="s">
        <v>235</v>
      </c>
      <c r="F71" s="1">
        <v>2014</v>
      </c>
      <c r="G71" s="1" t="s">
        <v>234</v>
      </c>
      <c r="H71" s="1">
        <v>0</v>
      </c>
      <c r="I71" s="21" t="s">
        <v>174</v>
      </c>
      <c r="J71" s="1">
        <f t="shared" si="1"/>
        <v>10785000</v>
      </c>
      <c r="K71" s="21" t="s">
        <v>174</v>
      </c>
      <c r="L71" s="21" t="s">
        <v>174</v>
      </c>
      <c r="M71" s="21" t="s">
        <v>174</v>
      </c>
    </row>
    <row r="72" spans="1:13">
      <c r="A72" s="1" t="s">
        <v>169</v>
      </c>
      <c r="B72" s="1" t="s">
        <v>170</v>
      </c>
      <c r="C72" s="1">
        <v>1993</v>
      </c>
      <c r="D72" s="19" t="s">
        <v>182</v>
      </c>
      <c r="E72" s="1" t="s">
        <v>235</v>
      </c>
      <c r="F72" s="1">
        <v>2015</v>
      </c>
      <c r="G72" s="1" t="s">
        <v>234</v>
      </c>
      <c r="H72" s="1">
        <v>0</v>
      </c>
      <c r="I72" s="21" t="s">
        <v>174</v>
      </c>
      <c r="J72" s="1">
        <f t="shared" si="1"/>
        <v>10785000</v>
      </c>
      <c r="K72" s="21" t="s">
        <v>174</v>
      </c>
      <c r="L72" s="21" t="s">
        <v>174</v>
      </c>
      <c r="M72" s="21" t="s">
        <v>174</v>
      </c>
    </row>
    <row r="73" spans="1:13">
      <c r="A73" s="1" t="s">
        <v>169</v>
      </c>
      <c r="B73" s="1" t="s">
        <v>170</v>
      </c>
      <c r="C73" s="1">
        <v>1993</v>
      </c>
      <c r="D73" s="19" t="s">
        <v>182</v>
      </c>
      <c r="E73" s="1" t="s">
        <v>235</v>
      </c>
      <c r="F73" s="1">
        <v>2016</v>
      </c>
      <c r="G73" s="1" t="s">
        <v>234</v>
      </c>
      <c r="H73" s="1">
        <v>0</v>
      </c>
      <c r="I73" s="21" t="s">
        <v>174</v>
      </c>
      <c r="J73" s="1">
        <f t="shared" si="1"/>
        <v>10785000</v>
      </c>
      <c r="K73" s="21" t="s">
        <v>174</v>
      </c>
      <c r="L73" s="21" t="s">
        <v>174</v>
      </c>
      <c r="M73" s="21" t="s">
        <v>174</v>
      </c>
    </row>
    <row r="74" spans="1:13">
      <c r="A74" s="1" t="s">
        <v>169</v>
      </c>
      <c r="B74" s="1" t="s">
        <v>170</v>
      </c>
      <c r="C74" s="1">
        <v>1993</v>
      </c>
      <c r="D74" s="19" t="s">
        <v>182</v>
      </c>
      <c r="E74" s="1" t="s">
        <v>235</v>
      </c>
      <c r="F74" s="1">
        <v>2017</v>
      </c>
      <c r="G74" s="1" t="s">
        <v>234</v>
      </c>
      <c r="H74" s="1">
        <v>1325000</v>
      </c>
      <c r="I74" s="21">
        <v>5</v>
      </c>
      <c r="J74" s="1">
        <f t="shared" si="1"/>
        <v>9460000</v>
      </c>
      <c r="K74" s="1">
        <v>539250</v>
      </c>
      <c r="L74" s="21">
        <v>5.4</v>
      </c>
      <c r="M74" s="21" t="s">
        <v>174</v>
      </c>
    </row>
    <row r="75" spans="1:13">
      <c r="A75" s="1" t="s">
        <v>169</v>
      </c>
      <c r="B75" s="1" t="s">
        <v>170</v>
      </c>
      <c r="C75" s="1">
        <v>1993</v>
      </c>
      <c r="D75" s="19" t="s">
        <v>182</v>
      </c>
      <c r="E75" s="1" t="s">
        <v>235</v>
      </c>
      <c r="F75" s="1">
        <v>2018</v>
      </c>
      <c r="G75" s="1" t="s">
        <v>234</v>
      </c>
      <c r="H75" s="1">
        <v>1390000</v>
      </c>
      <c r="I75" s="21">
        <v>5</v>
      </c>
      <c r="J75" s="1">
        <f t="shared" si="1"/>
        <v>8070000</v>
      </c>
      <c r="K75" s="1">
        <v>473000</v>
      </c>
      <c r="L75" s="21">
        <v>5.4</v>
      </c>
      <c r="M75" s="21" t="s">
        <v>174</v>
      </c>
    </row>
    <row r="76" spans="1:13">
      <c r="A76" s="1" t="s">
        <v>169</v>
      </c>
      <c r="B76" s="1" t="s">
        <v>170</v>
      </c>
      <c r="C76" s="1">
        <v>1993</v>
      </c>
      <c r="D76" s="19" t="s">
        <v>182</v>
      </c>
      <c r="E76" s="1" t="s">
        <v>235</v>
      </c>
      <c r="F76" s="1">
        <v>2019</v>
      </c>
      <c r="G76" s="1" t="s">
        <v>234</v>
      </c>
      <c r="H76" s="1">
        <v>1460000</v>
      </c>
      <c r="I76" s="21">
        <v>5</v>
      </c>
      <c r="J76" s="1">
        <f t="shared" si="1"/>
        <v>6610000</v>
      </c>
      <c r="K76" s="1">
        <v>403500</v>
      </c>
      <c r="L76" s="21">
        <v>5.4</v>
      </c>
      <c r="M76" s="21" t="s">
        <v>174</v>
      </c>
    </row>
    <row r="77" spans="1:13">
      <c r="A77" s="1" t="s">
        <v>169</v>
      </c>
      <c r="B77" s="1" t="s">
        <v>170</v>
      </c>
      <c r="C77" s="1">
        <v>1993</v>
      </c>
      <c r="D77" s="19" t="s">
        <v>182</v>
      </c>
      <c r="E77" s="1" t="s">
        <v>235</v>
      </c>
      <c r="F77" s="1">
        <v>2020</v>
      </c>
      <c r="G77" s="1" t="s">
        <v>234</v>
      </c>
      <c r="H77" s="1">
        <v>1535000</v>
      </c>
      <c r="I77" s="21">
        <v>5</v>
      </c>
      <c r="J77" s="1">
        <f t="shared" si="1"/>
        <v>5075000</v>
      </c>
      <c r="K77" s="1">
        <v>330500</v>
      </c>
      <c r="L77" s="21">
        <v>5.4</v>
      </c>
      <c r="M77" s="21" t="s">
        <v>174</v>
      </c>
    </row>
    <row r="78" spans="1:13">
      <c r="A78" s="1" t="s">
        <v>169</v>
      </c>
      <c r="B78" s="1" t="s">
        <v>170</v>
      </c>
      <c r="C78" s="1">
        <v>1993</v>
      </c>
      <c r="D78" s="19" t="s">
        <v>182</v>
      </c>
      <c r="E78" s="1" t="s">
        <v>235</v>
      </c>
      <c r="F78" s="1">
        <v>2021</v>
      </c>
      <c r="G78" s="1" t="s">
        <v>234</v>
      </c>
      <c r="H78" s="1">
        <v>1610000</v>
      </c>
      <c r="I78" s="21">
        <v>5</v>
      </c>
      <c r="J78" s="1">
        <f t="shared" si="1"/>
        <v>3465000</v>
      </c>
      <c r="K78" s="1">
        <v>253750</v>
      </c>
      <c r="L78" s="21">
        <v>5.4</v>
      </c>
      <c r="M78" s="21" t="s">
        <v>174</v>
      </c>
    </row>
    <row r="79" spans="1:13">
      <c r="A79" s="1" t="s">
        <v>169</v>
      </c>
      <c r="B79" s="1" t="s">
        <v>170</v>
      </c>
      <c r="C79" s="1">
        <v>1993</v>
      </c>
      <c r="D79" s="19" t="s">
        <v>182</v>
      </c>
      <c r="E79" s="1" t="s">
        <v>235</v>
      </c>
      <c r="F79" s="1">
        <v>2022</v>
      </c>
      <c r="G79" s="1" t="s">
        <v>234</v>
      </c>
      <c r="H79" s="1">
        <v>1690000</v>
      </c>
      <c r="I79" s="21">
        <v>5</v>
      </c>
      <c r="J79" s="1">
        <f t="shared" si="1"/>
        <v>1775000</v>
      </c>
      <c r="K79" s="1">
        <v>173250</v>
      </c>
      <c r="L79" s="21">
        <v>5.4</v>
      </c>
      <c r="M79" s="21" t="s">
        <v>174</v>
      </c>
    </row>
    <row r="80" spans="1:13">
      <c r="A80" s="1" t="s">
        <v>169</v>
      </c>
      <c r="B80" s="1" t="s">
        <v>170</v>
      </c>
      <c r="C80" s="1">
        <v>1993</v>
      </c>
      <c r="D80" s="19" t="s">
        <v>182</v>
      </c>
      <c r="E80" s="1" t="s">
        <v>235</v>
      </c>
      <c r="F80" s="1">
        <v>2023</v>
      </c>
      <c r="G80" s="1" t="s">
        <v>234</v>
      </c>
      <c r="H80" s="1">
        <v>1775000</v>
      </c>
      <c r="I80" s="21">
        <v>5</v>
      </c>
      <c r="J80" s="1">
        <f t="shared" si="1"/>
        <v>0</v>
      </c>
      <c r="K80" s="1">
        <v>88750</v>
      </c>
      <c r="L80" s="21">
        <v>5.4</v>
      </c>
      <c r="M80" s="21" t="s">
        <v>174</v>
      </c>
    </row>
    <row r="81" spans="1:13">
      <c r="A81" s="1" t="s">
        <v>169</v>
      </c>
      <c r="B81" s="1" t="s">
        <v>170</v>
      </c>
      <c r="C81" s="1">
        <v>1995</v>
      </c>
      <c r="D81" s="1" t="s">
        <v>175</v>
      </c>
      <c r="E81" s="1" t="s">
        <v>233</v>
      </c>
      <c r="F81" s="1">
        <v>1995</v>
      </c>
      <c r="G81" s="1" t="s">
        <v>234</v>
      </c>
      <c r="H81" s="1">
        <v>0</v>
      </c>
      <c r="I81" s="21" t="s">
        <v>174</v>
      </c>
      <c r="J81" s="1">
        <f>89850000-H81</f>
        <v>89850000</v>
      </c>
      <c r="K81" s="21">
        <v>0</v>
      </c>
      <c r="L81" s="21" t="s">
        <v>174</v>
      </c>
      <c r="M81" s="21" t="s">
        <v>174</v>
      </c>
    </row>
    <row r="82" spans="1:13">
      <c r="A82" s="1" t="s">
        <v>169</v>
      </c>
      <c r="B82" s="1" t="s">
        <v>170</v>
      </c>
      <c r="C82" s="1">
        <v>1995</v>
      </c>
      <c r="D82" s="1" t="s">
        <v>175</v>
      </c>
      <c r="E82" s="1" t="s">
        <v>233</v>
      </c>
      <c r="F82" s="1">
        <v>1996</v>
      </c>
      <c r="G82" s="1" t="s">
        <v>234</v>
      </c>
      <c r="H82" s="1">
        <v>0</v>
      </c>
      <c r="I82" s="21" t="s">
        <v>174</v>
      </c>
      <c r="J82" s="1">
        <f>J81-H82</f>
        <v>89850000</v>
      </c>
      <c r="K82" s="21">
        <v>5406798</v>
      </c>
      <c r="L82" s="21" t="s">
        <v>174</v>
      </c>
      <c r="M82" s="21" t="s">
        <v>174</v>
      </c>
    </row>
    <row r="83" spans="1:13">
      <c r="A83" s="1" t="s">
        <v>169</v>
      </c>
      <c r="B83" s="1" t="s">
        <v>170</v>
      </c>
      <c r="C83" s="1">
        <v>1995</v>
      </c>
      <c r="D83" s="1" t="s">
        <v>175</v>
      </c>
      <c r="E83" s="1" t="s">
        <v>233</v>
      </c>
      <c r="F83" s="1">
        <v>1997</v>
      </c>
      <c r="G83" s="1" t="s">
        <v>234</v>
      </c>
      <c r="H83" s="1">
        <v>0</v>
      </c>
      <c r="I83" s="21" t="s">
        <v>174</v>
      </c>
      <c r="J83" s="1">
        <f t="shared" ref="J83:J109" si="2">J82-H83</f>
        <v>89850000</v>
      </c>
      <c r="K83" s="21">
        <v>4794205</v>
      </c>
      <c r="L83" s="21" t="s">
        <v>174</v>
      </c>
      <c r="M83" s="21" t="s">
        <v>174</v>
      </c>
    </row>
    <row r="84" spans="1:13">
      <c r="A84" s="1" t="s">
        <v>169</v>
      </c>
      <c r="B84" s="1" t="s">
        <v>170</v>
      </c>
      <c r="C84" s="1">
        <v>1995</v>
      </c>
      <c r="D84" s="1" t="s">
        <v>175</v>
      </c>
      <c r="E84" s="1" t="s">
        <v>233</v>
      </c>
      <c r="F84" s="1">
        <v>1998</v>
      </c>
      <c r="G84" s="1" t="s">
        <v>234</v>
      </c>
      <c r="H84" s="1">
        <v>1555000</v>
      </c>
      <c r="I84" s="21">
        <v>4</v>
      </c>
      <c r="J84" s="1">
        <f t="shared" si="2"/>
        <v>88295000</v>
      </c>
      <c r="K84" s="21">
        <v>4794205</v>
      </c>
      <c r="L84" s="21">
        <v>4</v>
      </c>
      <c r="M84" s="21">
        <v>100</v>
      </c>
    </row>
    <row r="85" spans="1:13">
      <c r="A85" s="1" t="s">
        <v>169</v>
      </c>
      <c r="B85" s="1" t="s">
        <v>170</v>
      </c>
      <c r="C85" s="1">
        <v>1995</v>
      </c>
      <c r="D85" s="1" t="s">
        <v>175</v>
      </c>
      <c r="E85" s="1" t="s">
        <v>233</v>
      </c>
      <c r="F85" s="1">
        <v>1999</v>
      </c>
      <c r="G85" s="1" t="s">
        <v>234</v>
      </c>
      <c r="H85" s="1">
        <v>1615000</v>
      </c>
      <c r="I85" s="21">
        <v>4.125</v>
      </c>
      <c r="J85" s="1">
        <f t="shared" si="2"/>
        <v>86680000</v>
      </c>
      <c r="K85" s="21">
        <v>4732005</v>
      </c>
      <c r="L85" s="21">
        <v>4.1500000000000004</v>
      </c>
      <c r="M85" s="21">
        <v>99.903000000000006</v>
      </c>
    </row>
    <row r="86" spans="1:13">
      <c r="A86" s="1" t="s">
        <v>169</v>
      </c>
      <c r="B86" s="1" t="s">
        <v>170</v>
      </c>
      <c r="C86" s="1">
        <v>1995</v>
      </c>
      <c r="D86" s="1" t="s">
        <v>175</v>
      </c>
      <c r="E86" s="1" t="s">
        <v>233</v>
      </c>
      <c r="F86" s="1">
        <v>2000</v>
      </c>
      <c r="G86" s="1" t="s">
        <v>234</v>
      </c>
      <c r="H86" s="1">
        <v>1685000</v>
      </c>
      <c r="I86" s="21">
        <v>4.25</v>
      </c>
      <c r="J86" s="1">
        <f t="shared" si="2"/>
        <v>84995000</v>
      </c>
      <c r="K86" s="21">
        <v>4665386</v>
      </c>
      <c r="L86" s="21">
        <v>4.3</v>
      </c>
      <c r="M86" s="21">
        <v>99.769000000000005</v>
      </c>
    </row>
    <row r="87" spans="1:13">
      <c r="A87" s="1" t="s">
        <v>169</v>
      </c>
      <c r="B87" s="1" t="s">
        <v>170</v>
      </c>
      <c r="C87" s="1">
        <v>1995</v>
      </c>
      <c r="D87" s="1" t="s">
        <v>175</v>
      </c>
      <c r="E87" s="1" t="s">
        <v>233</v>
      </c>
      <c r="F87" s="1">
        <v>2001</v>
      </c>
      <c r="G87" s="1" t="s">
        <v>234</v>
      </c>
      <c r="H87" s="1">
        <v>1755000</v>
      </c>
      <c r="I87" s="21">
        <v>4.375</v>
      </c>
      <c r="J87" s="1">
        <f t="shared" si="2"/>
        <v>83240000</v>
      </c>
      <c r="K87" s="21">
        <v>4593774</v>
      </c>
      <c r="L87" s="21">
        <v>4.4000000000000004</v>
      </c>
      <c r="M87" s="21">
        <v>998.86300000000006</v>
      </c>
    </row>
    <row r="88" spans="1:13">
      <c r="A88" s="1" t="s">
        <v>169</v>
      </c>
      <c r="B88" s="1" t="s">
        <v>170</v>
      </c>
      <c r="C88" s="1">
        <v>1995</v>
      </c>
      <c r="D88" s="1" t="s">
        <v>175</v>
      </c>
      <c r="E88" s="1" t="s">
        <v>233</v>
      </c>
      <c r="F88" s="1">
        <v>2002</v>
      </c>
      <c r="G88" s="1" t="s">
        <v>234</v>
      </c>
      <c r="H88" s="1">
        <v>1830000</v>
      </c>
      <c r="I88" s="21">
        <v>4.4000000000000004</v>
      </c>
      <c r="J88" s="1">
        <f t="shared" si="2"/>
        <v>81410000</v>
      </c>
      <c r="K88" s="21">
        <v>4516992</v>
      </c>
      <c r="L88" s="21">
        <v>4.5</v>
      </c>
      <c r="M88" s="21">
        <v>99.394000000000005</v>
      </c>
    </row>
    <row r="89" spans="1:13">
      <c r="A89" s="1" t="s">
        <v>169</v>
      </c>
      <c r="B89" s="1" t="s">
        <v>170</v>
      </c>
      <c r="C89" s="1">
        <v>1995</v>
      </c>
      <c r="D89" s="1" t="s">
        <v>175</v>
      </c>
      <c r="E89" s="1" t="s">
        <v>233</v>
      </c>
      <c r="F89" s="1">
        <v>2003</v>
      </c>
      <c r="G89" s="1" t="s">
        <v>234</v>
      </c>
      <c r="H89" s="1">
        <v>1915000</v>
      </c>
      <c r="I89" s="21">
        <v>4.5</v>
      </c>
      <c r="J89" s="1">
        <f t="shared" si="2"/>
        <v>79495000</v>
      </c>
      <c r="K89" s="21">
        <v>4436473</v>
      </c>
      <c r="L89" s="21">
        <v>4.5999999999999996</v>
      </c>
      <c r="M89" s="21">
        <v>99.325999999999993</v>
      </c>
    </row>
    <row r="90" spans="1:13">
      <c r="A90" s="1" t="s">
        <v>169</v>
      </c>
      <c r="B90" s="1" t="s">
        <v>170</v>
      </c>
      <c r="C90" s="1">
        <v>1995</v>
      </c>
      <c r="D90" s="1" t="s">
        <v>175</v>
      </c>
      <c r="E90" s="1" t="s">
        <v>233</v>
      </c>
      <c r="F90" s="1">
        <v>2004</v>
      </c>
      <c r="G90" s="1" t="s">
        <v>234</v>
      </c>
      <c r="H90" s="1">
        <v>2000000</v>
      </c>
      <c r="I90" s="21">
        <v>4.625</v>
      </c>
      <c r="J90" s="1">
        <f t="shared" si="2"/>
        <v>77495000</v>
      </c>
      <c r="K90" s="21">
        <v>4350297</v>
      </c>
      <c r="L90" s="21">
        <v>4.7</v>
      </c>
      <c r="M90" s="21">
        <v>99.444999999999993</v>
      </c>
    </row>
    <row r="91" spans="1:13">
      <c r="A91" s="1" t="s">
        <v>169</v>
      </c>
      <c r="B91" s="1" t="s">
        <v>170</v>
      </c>
      <c r="C91" s="1">
        <v>1995</v>
      </c>
      <c r="D91" s="1" t="s">
        <v>175</v>
      </c>
      <c r="E91" s="1" t="s">
        <v>233</v>
      </c>
      <c r="F91" s="1">
        <v>2005</v>
      </c>
      <c r="G91" s="1" t="s">
        <v>234</v>
      </c>
      <c r="H91" s="1">
        <v>2090000</v>
      </c>
      <c r="I91" s="21">
        <v>4.8</v>
      </c>
      <c r="J91" s="1">
        <f t="shared" si="2"/>
        <v>75405000</v>
      </c>
      <c r="K91" s="21">
        <v>4257798</v>
      </c>
      <c r="L91" s="21">
        <v>4.8499999999999996</v>
      </c>
      <c r="M91" s="21">
        <v>99.6</v>
      </c>
    </row>
    <row r="92" spans="1:13">
      <c r="A92" s="1" t="s">
        <v>169</v>
      </c>
      <c r="B92" s="1" t="s">
        <v>170</v>
      </c>
      <c r="C92" s="1">
        <v>1995</v>
      </c>
      <c r="D92" s="1" t="s">
        <v>175</v>
      </c>
      <c r="E92" s="1" t="s">
        <v>233</v>
      </c>
      <c r="F92" s="1">
        <v>2006</v>
      </c>
      <c r="G92" s="1" t="s">
        <v>234</v>
      </c>
      <c r="H92" s="1">
        <v>2190000</v>
      </c>
      <c r="I92" s="21">
        <v>5</v>
      </c>
      <c r="J92" s="1">
        <f t="shared" si="2"/>
        <v>73215000</v>
      </c>
      <c r="K92" s="21">
        <v>4157477</v>
      </c>
      <c r="L92" s="21">
        <v>5</v>
      </c>
      <c r="M92" s="21">
        <v>100</v>
      </c>
    </row>
    <row r="93" spans="1:13">
      <c r="A93" s="1" t="s">
        <v>169</v>
      </c>
      <c r="B93" s="1" t="s">
        <v>170</v>
      </c>
      <c r="C93" s="1">
        <v>1995</v>
      </c>
      <c r="D93" s="1" t="s">
        <v>175</v>
      </c>
      <c r="E93" s="1" t="s">
        <v>233</v>
      </c>
      <c r="F93" s="1">
        <v>2007</v>
      </c>
      <c r="G93" s="1" t="s">
        <v>234</v>
      </c>
      <c r="H93" s="1">
        <v>2300000</v>
      </c>
      <c r="I93" s="21">
        <v>5</v>
      </c>
      <c r="J93" s="1">
        <f t="shared" si="2"/>
        <v>70915000</v>
      </c>
      <c r="K93" s="21">
        <v>4047978</v>
      </c>
      <c r="L93" s="21">
        <v>5.0999999999999996</v>
      </c>
      <c r="M93" s="21">
        <v>99.1</v>
      </c>
    </row>
    <row r="94" spans="1:13">
      <c r="A94" s="1" t="s">
        <v>169</v>
      </c>
      <c r="B94" s="1" t="s">
        <v>170</v>
      </c>
      <c r="C94" s="1">
        <v>1995</v>
      </c>
      <c r="D94" s="1" t="s">
        <v>175</v>
      </c>
      <c r="E94" s="1" t="s">
        <v>233</v>
      </c>
      <c r="F94" s="1">
        <v>2008</v>
      </c>
      <c r="G94" s="1" t="s">
        <v>234</v>
      </c>
      <c r="H94" s="1">
        <v>2415000</v>
      </c>
      <c r="I94" s="21">
        <v>5.2</v>
      </c>
      <c r="J94" s="1">
        <f t="shared" si="2"/>
        <v>68500000</v>
      </c>
      <c r="K94" s="21">
        <v>3932977</v>
      </c>
      <c r="L94" s="21">
        <v>5.2</v>
      </c>
      <c r="M94" s="21">
        <v>100</v>
      </c>
    </row>
    <row r="95" spans="1:13">
      <c r="A95" s="1" t="s">
        <v>169</v>
      </c>
      <c r="B95" s="1" t="s">
        <v>170</v>
      </c>
      <c r="C95" s="1">
        <v>1995</v>
      </c>
      <c r="D95" s="1" t="s">
        <v>175</v>
      </c>
      <c r="E95" s="1" t="s">
        <v>233</v>
      </c>
      <c r="F95" s="1">
        <v>2009</v>
      </c>
      <c r="G95" s="1" t="s">
        <v>234</v>
      </c>
      <c r="H95" s="1">
        <v>2540000</v>
      </c>
      <c r="I95" s="21">
        <v>5.3</v>
      </c>
      <c r="J95" s="1">
        <f t="shared" si="2"/>
        <v>65960000</v>
      </c>
      <c r="K95" s="21">
        <v>3807398</v>
      </c>
      <c r="L95" s="21">
        <v>5.3</v>
      </c>
      <c r="M95" s="21">
        <v>100</v>
      </c>
    </row>
    <row r="96" spans="1:13">
      <c r="A96" s="1" t="s">
        <v>169</v>
      </c>
      <c r="B96" s="1" t="s">
        <v>170</v>
      </c>
      <c r="C96" s="1">
        <v>1995</v>
      </c>
      <c r="D96" s="1" t="s">
        <v>175</v>
      </c>
      <c r="E96" s="1" t="s">
        <v>233</v>
      </c>
      <c r="F96" s="1">
        <v>2010</v>
      </c>
      <c r="G96" s="1" t="s">
        <v>234</v>
      </c>
      <c r="H96" s="1">
        <v>2675000</v>
      </c>
      <c r="I96" s="21">
        <v>5.3</v>
      </c>
      <c r="J96" s="1">
        <f t="shared" si="2"/>
        <v>63285000</v>
      </c>
      <c r="K96" s="21">
        <v>3672777</v>
      </c>
      <c r="L96" s="21">
        <v>5.4</v>
      </c>
      <c r="M96" s="21">
        <v>98.971000000000004</v>
      </c>
    </row>
    <row r="97" spans="1:13">
      <c r="A97" s="1" t="s">
        <v>169</v>
      </c>
      <c r="B97" s="1" t="s">
        <v>170</v>
      </c>
      <c r="C97" s="1">
        <v>1995</v>
      </c>
      <c r="D97" s="1" t="s">
        <v>175</v>
      </c>
      <c r="E97" s="1" t="s">
        <v>233</v>
      </c>
      <c r="F97" s="1">
        <v>2011</v>
      </c>
      <c r="G97" s="1" t="s">
        <v>234</v>
      </c>
      <c r="H97" s="1">
        <v>2820000</v>
      </c>
      <c r="I97" s="21">
        <v>5.4</v>
      </c>
      <c r="J97" s="1">
        <f t="shared" si="2"/>
        <v>60465000</v>
      </c>
      <c r="K97" s="21">
        <v>3531003</v>
      </c>
      <c r="L97" s="21">
        <v>5.5</v>
      </c>
      <c r="M97" s="21">
        <v>98.935000000000002</v>
      </c>
    </row>
    <row r="98" spans="1:13">
      <c r="A98" s="1" t="s">
        <v>169</v>
      </c>
      <c r="B98" s="1" t="s">
        <v>170</v>
      </c>
      <c r="C98" s="1">
        <v>1995</v>
      </c>
      <c r="D98" s="1" t="s">
        <v>175</v>
      </c>
      <c r="E98" s="1" t="s">
        <v>233</v>
      </c>
      <c r="F98" s="1">
        <v>2012</v>
      </c>
      <c r="G98" s="1" t="s">
        <v>234</v>
      </c>
      <c r="H98" s="1">
        <v>2970000</v>
      </c>
      <c r="I98" s="21">
        <v>5.4</v>
      </c>
      <c r="J98" s="1">
        <f t="shared" si="2"/>
        <v>57495000</v>
      </c>
      <c r="K98" s="21">
        <v>3378722</v>
      </c>
      <c r="L98" s="21">
        <v>5.55</v>
      </c>
      <c r="M98" s="21">
        <v>98.350999999999999</v>
      </c>
    </row>
    <row r="99" spans="1:13">
      <c r="A99" s="1" t="s">
        <v>169</v>
      </c>
      <c r="B99" s="1" t="s">
        <v>170</v>
      </c>
      <c r="C99" s="1">
        <v>1995</v>
      </c>
      <c r="D99" s="1" t="s">
        <v>175</v>
      </c>
      <c r="E99" s="1" t="s">
        <v>233</v>
      </c>
      <c r="F99" s="1">
        <v>2013</v>
      </c>
      <c r="G99" s="1" t="s">
        <v>234</v>
      </c>
      <c r="H99" s="1">
        <v>3130000</v>
      </c>
      <c r="I99" s="21">
        <v>5.5</v>
      </c>
      <c r="J99" s="1">
        <f t="shared" si="2"/>
        <v>54365000</v>
      </c>
      <c r="K99" s="21">
        <v>3218343</v>
      </c>
      <c r="L99" s="21">
        <v>5.6</v>
      </c>
      <c r="M99" s="21">
        <v>98.864999999999995</v>
      </c>
    </row>
    <row r="100" spans="1:13">
      <c r="A100" s="1" t="s">
        <v>169</v>
      </c>
      <c r="B100" s="1" t="s">
        <v>170</v>
      </c>
      <c r="C100" s="1">
        <v>1995</v>
      </c>
      <c r="D100" s="1" t="s">
        <v>175</v>
      </c>
      <c r="E100" s="1" t="s">
        <v>233</v>
      </c>
      <c r="F100" s="1">
        <v>2014</v>
      </c>
      <c r="G100" s="1" t="s">
        <v>234</v>
      </c>
      <c r="H100" s="1">
        <v>3305000</v>
      </c>
      <c r="I100" s="21">
        <v>5.5</v>
      </c>
      <c r="J100" s="1">
        <f t="shared" si="2"/>
        <v>51060000</v>
      </c>
      <c r="K100" s="21">
        <v>3046192</v>
      </c>
      <c r="L100" s="21">
        <v>5.65</v>
      </c>
      <c r="M100" s="21">
        <v>98.254999999999995</v>
      </c>
    </row>
    <row r="101" spans="1:13">
      <c r="A101" s="1" t="s">
        <v>169</v>
      </c>
      <c r="B101" s="1" t="s">
        <v>170</v>
      </c>
      <c r="C101" s="1">
        <v>1995</v>
      </c>
      <c r="D101" s="1" t="s">
        <v>175</v>
      </c>
      <c r="E101" s="1" t="s">
        <v>233</v>
      </c>
      <c r="F101" s="1">
        <v>2015</v>
      </c>
      <c r="G101" s="1" t="s">
        <v>234</v>
      </c>
      <c r="H101" s="1">
        <v>3485000</v>
      </c>
      <c r="I101" s="21">
        <v>5.5</v>
      </c>
      <c r="J101" s="1">
        <f t="shared" si="2"/>
        <v>47575000</v>
      </c>
      <c r="K101" s="21">
        <v>2864418</v>
      </c>
      <c r="L101" s="21">
        <v>5.65</v>
      </c>
      <c r="M101" s="21">
        <v>98.204999999999998</v>
      </c>
    </row>
    <row r="102" spans="1:13">
      <c r="A102" s="1" t="s">
        <v>169</v>
      </c>
      <c r="B102" s="1" t="s">
        <v>170</v>
      </c>
      <c r="C102" s="1">
        <v>1995</v>
      </c>
      <c r="D102" s="1" t="s">
        <v>175</v>
      </c>
      <c r="E102" s="1" t="s">
        <v>235</v>
      </c>
      <c r="F102" s="1">
        <v>2016</v>
      </c>
      <c r="G102" s="1" t="s">
        <v>234</v>
      </c>
      <c r="H102" s="1">
        <v>3675000</v>
      </c>
      <c r="I102" s="21">
        <v>5.6</v>
      </c>
      <c r="J102" s="1">
        <f t="shared" si="2"/>
        <v>43900000</v>
      </c>
      <c r="K102" s="21">
        <v>2672742</v>
      </c>
      <c r="L102" s="21">
        <v>5.7370000000000001</v>
      </c>
      <c r="M102" s="21">
        <v>98.25</v>
      </c>
    </row>
    <row r="103" spans="1:13">
      <c r="A103" s="1" t="s">
        <v>169</v>
      </c>
      <c r="B103" s="1" t="s">
        <v>170</v>
      </c>
      <c r="C103" s="1">
        <v>1995</v>
      </c>
      <c r="D103" s="1" t="s">
        <v>175</v>
      </c>
      <c r="E103" s="1" t="s">
        <v>235</v>
      </c>
      <c r="F103" s="1">
        <v>2017</v>
      </c>
      <c r="G103" s="1" t="s">
        <v>234</v>
      </c>
      <c r="H103" s="1">
        <v>3885000</v>
      </c>
      <c r="I103" s="21">
        <v>5.6</v>
      </c>
      <c r="J103" s="1">
        <f t="shared" ref="J103:J104" si="3">J102-H103</f>
        <v>40015000</v>
      </c>
      <c r="K103" s="21">
        <v>2466943</v>
      </c>
      <c r="L103" s="21">
        <v>5.7370000000000001</v>
      </c>
      <c r="M103" s="21">
        <v>98.25</v>
      </c>
    </row>
    <row r="104" spans="1:13">
      <c r="A104" s="1" t="s">
        <v>169</v>
      </c>
      <c r="B104" s="1" t="s">
        <v>170</v>
      </c>
      <c r="C104" s="1">
        <v>1995</v>
      </c>
      <c r="D104" s="1" t="s">
        <v>175</v>
      </c>
      <c r="E104" s="1" t="s">
        <v>235</v>
      </c>
      <c r="F104" s="1">
        <v>2018</v>
      </c>
      <c r="G104" s="1" t="s">
        <v>234</v>
      </c>
      <c r="H104" s="1">
        <v>4100000</v>
      </c>
      <c r="I104" s="21">
        <v>5.6</v>
      </c>
      <c r="J104" s="1">
        <f t="shared" si="3"/>
        <v>35915000</v>
      </c>
      <c r="K104" s="21">
        <v>2249382</v>
      </c>
      <c r="L104" s="21">
        <v>5.7370000000000001</v>
      </c>
      <c r="M104" s="21">
        <v>98.25</v>
      </c>
    </row>
    <row r="105" spans="1:13">
      <c r="A105" s="1" t="s">
        <v>169</v>
      </c>
      <c r="B105" s="1" t="s">
        <v>170</v>
      </c>
      <c r="C105" s="1">
        <v>1995</v>
      </c>
      <c r="D105" s="1" t="s">
        <v>175</v>
      </c>
      <c r="E105" s="1" t="s">
        <v>235</v>
      </c>
      <c r="F105" s="1">
        <v>2019</v>
      </c>
      <c r="G105" s="1" t="s">
        <v>234</v>
      </c>
      <c r="H105" s="1">
        <v>4330000</v>
      </c>
      <c r="I105" s="21">
        <v>5.6</v>
      </c>
      <c r="J105" s="1">
        <f t="shared" si="2"/>
        <v>31585000</v>
      </c>
      <c r="K105" s="21">
        <v>2019783</v>
      </c>
      <c r="L105" s="21">
        <v>5.7460000000000004</v>
      </c>
      <c r="M105" s="21">
        <v>98</v>
      </c>
    </row>
    <row r="106" spans="1:13">
      <c r="A106" s="1" t="s">
        <v>169</v>
      </c>
      <c r="B106" s="1" t="s">
        <v>170</v>
      </c>
      <c r="C106" s="1">
        <v>1995</v>
      </c>
      <c r="D106" s="1" t="s">
        <v>175</v>
      </c>
      <c r="E106" s="1" t="s">
        <v>235</v>
      </c>
      <c r="F106" s="1">
        <v>2020</v>
      </c>
      <c r="G106" s="1" t="s">
        <v>234</v>
      </c>
      <c r="H106" s="1">
        <v>4570000</v>
      </c>
      <c r="I106" s="21">
        <v>5.6</v>
      </c>
      <c r="J106" s="1">
        <f t="shared" ref="J106:J108" si="4">J105-H106</f>
        <v>27015000</v>
      </c>
      <c r="K106" s="21">
        <v>1777302</v>
      </c>
      <c r="L106" s="21">
        <v>5.7460000000000004</v>
      </c>
      <c r="M106" s="21">
        <v>98</v>
      </c>
    </row>
    <row r="107" spans="1:13">
      <c r="A107" s="1" t="s">
        <v>169</v>
      </c>
      <c r="B107" s="1" t="s">
        <v>170</v>
      </c>
      <c r="C107" s="1">
        <v>1995</v>
      </c>
      <c r="D107" s="1" t="s">
        <v>175</v>
      </c>
      <c r="E107" s="1" t="s">
        <v>235</v>
      </c>
      <c r="F107" s="1">
        <v>2021</v>
      </c>
      <c r="G107" s="1" t="s">
        <v>234</v>
      </c>
      <c r="H107" s="1">
        <v>4830000</v>
      </c>
      <c r="I107" s="21">
        <v>5.6</v>
      </c>
      <c r="J107" s="1">
        <f t="shared" si="4"/>
        <v>22185000</v>
      </c>
      <c r="K107" s="21">
        <v>1521383</v>
      </c>
      <c r="L107" s="21">
        <v>5.7460000000000004</v>
      </c>
      <c r="M107" s="21">
        <v>98</v>
      </c>
    </row>
    <row r="108" spans="1:13">
      <c r="A108" s="1" t="s">
        <v>169</v>
      </c>
      <c r="B108" s="1" t="s">
        <v>170</v>
      </c>
      <c r="C108" s="1">
        <v>1995</v>
      </c>
      <c r="D108" s="1" t="s">
        <v>175</v>
      </c>
      <c r="E108" s="1" t="s">
        <v>235</v>
      </c>
      <c r="F108" s="1">
        <v>2022</v>
      </c>
      <c r="G108" s="1" t="s">
        <v>234</v>
      </c>
      <c r="H108" s="1">
        <v>5100000</v>
      </c>
      <c r="I108" s="21">
        <v>5.6</v>
      </c>
      <c r="J108" s="1">
        <f t="shared" si="4"/>
        <v>17085000</v>
      </c>
      <c r="K108" s="21">
        <v>1250902</v>
      </c>
      <c r="L108" s="21">
        <v>5.7460000000000004</v>
      </c>
      <c r="M108" s="21">
        <v>98</v>
      </c>
    </row>
    <row r="109" spans="1:13">
      <c r="A109" s="1" t="s">
        <v>169</v>
      </c>
      <c r="B109" s="1" t="s">
        <v>170</v>
      </c>
      <c r="C109" s="1">
        <v>1995</v>
      </c>
      <c r="D109" s="1" t="s">
        <v>175</v>
      </c>
      <c r="E109" s="1" t="s">
        <v>235</v>
      </c>
      <c r="F109" s="1">
        <v>2023</v>
      </c>
      <c r="G109" s="1" t="s">
        <v>234</v>
      </c>
      <c r="H109" s="1">
        <v>5385000</v>
      </c>
      <c r="I109" s="21">
        <v>5.65</v>
      </c>
      <c r="J109" s="1">
        <f t="shared" si="2"/>
        <v>11700000</v>
      </c>
      <c r="K109" s="21">
        <v>965303</v>
      </c>
      <c r="L109" s="21">
        <v>5.79</v>
      </c>
      <c r="M109" s="21">
        <v>98</v>
      </c>
    </row>
    <row r="110" spans="1:13">
      <c r="A110" s="1" t="s">
        <v>169</v>
      </c>
      <c r="B110" s="1" t="s">
        <v>170</v>
      </c>
      <c r="C110" s="1">
        <v>1995</v>
      </c>
      <c r="D110" s="1" t="s">
        <v>175</v>
      </c>
      <c r="E110" s="1" t="s">
        <v>235</v>
      </c>
      <c r="F110" s="1">
        <v>2024</v>
      </c>
      <c r="G110" s="1" t="s">
        <v>234</v>
      </c>
      <c r="H110" s="1">
        <v>5690000</v>
      </c>
      <c r="I110" s="21">
        <v>5.65</v>
      </c>
      <c r="J110" s="1">
        <f t="shared" ref="J110:J138" si="5">J109-H110</f>
        <v>6010000</v>
      </c>
      <c r="K110" s="21">
        <v>661050</v>
      </c>
      <c r="L110" s="21">
        <v>5.79</v>
      </c>
      <c r="M110" s="21">
        <v>98</v>
      </c>
    </row>
    <row r="111" spans="1:13">
      <c r="A111" s="1" t="s">
        <v>169</v>
      </c>
      <c r="B111" s="1" t="s">
        <v>170</v>
      </c>
      <c r="C111" s="1">
        <v>1995</v>
      </c>
      <c r="D111" s="1" t="s">
        <v>175</v>
      </c>
      <c r="E111" s="1" t="s">
        <v>235</v>
      </c>
      <c r="F111" s="1">
        <v>2025</v>
      </c>
      <c r="G111" s="1" t="s">
        <v>234</v>
      </c>
      <c r="H111" s="1">
        <v>6010000</v>
      </c>
      <c r="I111" s="21">
        <v>5.65</v>
      </c>
      <c r="J111" s="1">
        <f t="shared" si="5"/>
        <v>0</v>
      </c>
      <c r="K111" s="21">
        <v>339565</v>
      </c>
      <c r="L111" s="21">
        <v>5.79</v>
      </c>
      <c r="M111" s="21">
        <v>98</v>
      </c>
    </row>
    <row r="112" spans="1:13">
      <c r="A112" s="1" t="s">
        <v>169</v>
      </c>
      <c r="B112" s="1" t="s">
        <v>170</v>
      </c>
      <c r="C112" s="1">
        <v>1995</v>
      </c>
      <c r="D112" s="1" t="s">
        <v>182</v>
      </c>
      <c r="E112" s="1" t="s">
        <v>233</v>
      </c>
      <c r="F112" s="1">
        <v>1995</v>
      </c>
      <c r="G112" s="1" t="s">
        <v>234</v>
      </c>
      <c r="H112" s="1">
        <v>0</v>
      </c>
      <c r="I112" s="21" t="s">
        <v>174</v>
      </c>
      <c r="J112" s="1">
        <f>103020000-H112</f>
        <v>103020000</v>
      </c>
      <c r="K112" s="21">
        <v>0</v>
      </c>
      <c r="L112" s="21" t="s">
        <v>174</v>
      </c>
      <c r="M112" s="21" t="s">
        <v>174</v>
      </c>
    </row>
    <row r="113" spans="1:13">
      <c r="A113" s="1" t="s">
        <v>169</v>
      </c>
      <c r="B113" s="1" t="s">
        <v>170</v>
      </c>
      <c r="C113" s="1">
        <v>1995</v>
      </c>
      <c r="D113" s="1" t="s">
        <v>182</v>
      </c>
      <c r="E113" s="1" t="s">
        <v>233</v>
      </c>
      <c r="F113" s="1">
        <v>1996</v>
      </c>
      <c r="G113" s="1" t="s">
        <v>234</v>
      </c>
      <c r="H113" s="1">
        <v>2035000</v>
      </c>
      <c r="I113" s="21">
        <v>4</v>
      </c>
      <c r="J113" s="1">
        <f t="shared" si="5"/>
        <v>100985000</v>
      </c>
      <c r="K113" s="21">
        <v>6081333</v>
      </c>
      <c r="L113" s="21">
        <v>3.6</v>
      </c>
      <c r="M113" s="21">
        <v>100.422</v>
      </c>
    </row>
    <row r="114" spans="1:13">
      <c r="A114" s="1" t="s">
        <v>169</v>
      </c>
      <c r="B114" s="1" t="s">
        <v>170</v>
      </c>
      <c r="C114" s="1">
        <v>1995</v>
      </c>
      <c r="D114" s="1" t="s">
        <v>182</v>
      </c>
      <c r="E114" s="1" t="s">
        <v>233</v>
      </c>
      <c r="F114" s="1">
        <v>1997</v>
      </c>
      <c r="G114" s="1" t="s">
        <v>234</v>
      </c>
      <c r="H114" s="1">
        <v>2575000</v>
      </c>
      <c r="I114" s="21">
        <v>4</v>
      </c>
      <c r="J114" s="1">
        <f t="shared" si="5"/>
        <v>98410000</v>
      </c>
      <c r="K114" s="21">
        <v>5310915</v>
      </c>
      <c r="L114" s="21">
        <v>3.8</v>
      </c>
      <c r="M114" s="21">
        <v>100.396</v>
      </c>
    </row>
    <row r="115" spans="1:13">
      <c r="A115" s="1" t="s">
        <v>169</v>
      </c>
      <c r="B115" s="1" t="s">
        <v>170</v>
      </c>
      <c r="C115" s="1">
        <v>1995</v>
      </c>
      <c r="D115" s="1" t="s">
        <v>182</v>
      </c>
      <c r="E115" s="1" t="s">
        <v>233</v>
      </c>
      <c r="F115" s="1">
        <v>1998</v>
      </c>
      <c r="G115" s="1" t="s">
        <v>234</v>
      </c>
      <c r="H115" s="1">
        <v>2505000</v>
      </c>
      <c r="I115" s="21">
        <v>4</v>
      </c>
      <c r="J115" s="1">
        <f t="shared" si="5"/>
        <v>95905000</v>
      </c>
      <c r="K115" s="21">
        <v>5207915</v>
      </c>
      <c r="L115" s="21">
        <v>4</v>
      </c>
      <c r="M115" s="21">
        <v>100</v>
      </c>
    </row>
    <row r="116" spans="1:13">
      <c r="A116" s="1" t="s">
        <v>169</v>
      </c>
      <c r="B116" s="1" t="s">
        <v>170</v>
      </c>
      <c r="C116" s="1">
        <v>1995</v>
      </c>
      <c r="D116" s="1" t="s">
        <v>182</v>
      </c>
      <c r="E116" s="1" t="s">
        <v>233</v>
      </c>
      <c r="F116" s="1">
        <v>1999</v>
      </c>
      <c r="G116" s="1" t="s">
        <v>234</v>
      </c>
      <c r="H116" s="1">
        <v>2490000</v>
      </c>
      <c r="I116" s="21">
        <v>4.0999999999999996</v>
      </c>
      <c r="J116" s="1">
        <f t="shared" si="5"/>
        <v>93415000</v>
      </c>
      <c r="K116" s="21">
        <v>5107715</v>
      </c>
      <c r="L116" s="21">
        <v>4.1500000000000004</v>
      </c>
      <c r="M116" s="21">
        <v>99.81</v>
      </c>
    </row>
    <row r="117" spans="1:13">
      <c r="A117" s="1" t="s">
        <v>169</v>
      </c>
      <c r="B117" s="1" t="s">
        <v>170</v>
      </c>
      <c r="C117" s="1">
        <v>1995</v>
      </c>
      <c r="D117" s="1" t="s">
        <v>182</v>
      </c>
      <c r="E117" s="1" t="s">
        <v>233</v>
      </c>
      <c r="F117" s="1">
        <v>2000</v>
      </c>
      <c r="G117" s="1" t="s">
        <v>234</v>
      </c>
      <c r="H117" s="1">
        <v>2590000</v>
      </c>
      <c r="I117" s="21">
        <v>4.25</v>
      </c>
      <c r="J117" s="1">
        <f t="shared" si="5"/>
        <v>90825000</v>
      </c>
      <c r="K117" s="21">
        <v>5005625</v>
      </c>
      <c r="L117" s="21">
        <v>4.3</v>
      </c>
      <c r="M117" s="21">
        <v>99.769000000000005</v>
      </c>
    </row>
    <row r="118" spans="1:13">
      <c r="A118" s="1" t="s">
        <v>169</v>
      </c>
      <c r="B118" s="1" t="s">
        <v>170</v>
      </c>
      <c r="C118" s="1">
        <v>1995</v>
      </c>
      <c r="D118" s="1" t="s">
        <v>182</v>
      </c>
      <c r="E118" s="1" t="s">
        <v>233</v>
      </c>
      <c r="F118" s="1">
        <v>2001</v>
      </c>
      <c r="G118" s="1" t="s">
        <v>234</v>
      </c>
      <c r="H118" s="1">
        <v>3130000</v>
      </c>
      <c r="I118" s="21">
        <v>4.375</v>
      </c>
      <c r="J118" s="1">
        <f t="shared" si="5"/>
        <v>87695000</v>
      </c>
      <c r="K118" s="21">
        <v>4895550</v>
      </c>
      <c r="L118" s="21">
        <v>4.4000000000000004</v>
      </c>
      <c r="M118" s="21">
        <v>99.863</v>
      </c>
    </row>
    <row r="119" spans="1:13">
      <c r="A119" s="1" t="s">
        <v>169</v>
      </c>
      <c r="B119" s="1" t="s">
        <v>170</v>
      </c>
      <c r="C119" s="1">
        <v>1995</v>
      </c>
      <c r="D119" s="1" t="s">
        <v>182</v>
      </c>
      <c r="E119" s="1" t="s">
        <v>233</v>
      </c>
      <c r="F119" s="1">
        <v>2002</v>
      </c>
      <c r="G119" s="1" t="s">
        <v>234</v>
      </c>
      <c r="H119" s="1">
        <v>3490000</v>
      </c>
      <c r="I119" s="21">
        <v>4.5</v>
      </c>
      <c r="J119" s="1">
        <f t="shared" si="5"/>
        <v>84205000</v>
      </c>
      <c r="K119" s="21">
        <v>4758612</v>
      </c>
      <c r="L119" s="21">
        <v>4.5</v>
      </c>
      <c r="M119" s="21">
        <v>100</v>
      </c>
    </row>
    <row r="120" spans="1:13">
      <c r="A120" s="1" t="s">
        <v>169</v>
      </c>
      <c r="B120" s="1" t="s">
        <v>170</v>
      </c>
      <c r="C120" s="1">
        <v>1995</v>
      </c>
      <c r="D120" s="1" t="s">
        <v>182</v>
      </c>
      <c r="E120" s="1" t="s">
        <v>233</v>
      </c>
      <c r="F120" s="1">
        <v>2003</v>
      </c>
      <c r="G120" s="1" t="s">
        <v>234</v>
      </c>
      <c r="H120" s="1">
        <v>3650000</v>
      </c>
      <c r="I120" s="21">
        <v>4.5999999999999996</v>
      </c>
      <c r="J120" s="1">
        <f t="shared" si="5"/>
        <v>80555000</v>
      </c>
      <c r="K120" s="21">
        <v>4601563</v>
      </c>
      <c r="L120" s="21">
        <v>4.5999999999999996</v>
      </c>
      <c r="M120" s="21">
        <v>100</v>
      </c>
    </row>
    <row r="121" spans="1:13">
      <c r="A121" s="1" t="s">
        <v>169</v>
      </c>
      <c r="B121" s="1" t="s">
        <v>170</v>
      </c>
      <c r="C121" s="1">
        <v>1995</v>
      </c>
      <c r="D121" s="1" t="s">
        <v>182</v>
      </c>
      <c r="E121" s="1" t="s">
        <v>233</v>
      </c>
      <c r="F121" s="1">
        <v>2004</v>
      </c>
      <c r="G121" s="1" t="s">
        <v>234</v>
      </c>
      <c r="H121" s="1">
        <v>3830000</v>
      </c>
      <c r="I121" s="21">
        <v>4.7</v>
      </c>
      <c r="J121" s="1">
        <f t="shared" si="5"/>
        <v>76725000</v>
      </c>
      <c r="K121" s="21">
        <v>4433662</v>
      </c>
      <c r="L121" s="21">
        <v>4.7</v>
      </c>
      <c r="M121" s="21">
        <v>100</v>
      </c>
    </row>
    <row r="122" spans="1:13">
      <c r="A122" s="1" t="s">
        <v>169</v>
      </c>
      <c r="B122" s="1" t="s">
        <v>170</v>
      </c>
      <c r="C122" s="1">
        <v>1995</v>
      </c>
      <c r="D122" s="1" t="s">
        <v>182</v>
      </c>
      <c r="E122" s="1" t="s">
        <v>233</v>
      </c>
      <c r="F122" s="1">
        <v>2005</v>
      </c>
      <c r="G122" s="1" t="s">
        <v>234</v>
      </c>
      <c r="H122" s="1">
        <v>4025000</v>
      </c>
      <c r="I122" s="21">
        <v>4.8</v>
      </c>
      <c r="J122" s="1">
        <f t="shared" si="5"/>
        <v>72700000</v>
      </c>
      <c r="K122" s="21">
        <v>4253653</v>
      </c>
      <c r="L122" s="21">
        <v>4.8499999999999996</v>
      </c>
      <c r="M122" s="21">
        <v>99.6</v>
      </c>
    </row>
    <row r="123" spans="1:13">
      <c r="A123" s="1" t="s">
        <v>169</v>
      </c>
      <c r="B123" s="1" t="s">
        <v>170</v>
      </c>
      <c r="C123" s="1">
        <v>1995</v>
      </c>
      <c r="D123" s="1" t="s">
        <v>182</v>
      </c>
      <c r="E123" s="1" t="s">
        <v>233</v>
      </c>
      <c r="F123" s="1">
        <v>2006</v>
      </c>
      <c r="G123" s="1" t="s">
        <v>234</v>
      </c>
      <c r="H123" s="1">
        <v>4225000</v>
      </c>
      <c r="I123" s="21">
        <v>5</v>
      </c>
      <c r="J123" s="1">
        <f t="shared" si="5"/>
        <v>68475000</v>
      </c>
      <c r="K123" s="21">
        <v>4060452</v>
      </c>
      <c r="L123" s="21">
        <v>5</v>
      </c>
      <c r="M123" s="21">
        <v>100</v>
      </c>
    </row>
    <row r="124" spans="1:13">
      <c r="A124" s="1" t="s">
        <v>169</v>
      </c>
      <c r="B124" s="1" t="s">
        <v>170</v>
      </c>
      <c r="C124" s="1">
        <v>1995</v>
      </c>
      <c r="D124" s="1" t="s">
        <v>182</v>
      </c>
      <c r="E124" s="1" t="s">
        <v>233</v>
      </c>
      <c r="F124" s="1">
        <v>2007</v>
      </c>
      <c r="G124" s="1" t="s">
        <v>234</v>
      </c>
      <c r="H124" s="1">
        <v>3980000</v>
      </c>
      <c r="I124" s="21">
        <v>5.0999999999999996</v>
      </c>
      <c r="J124" s="1">
        <f t="shared" si="5"/>
        <v>64495000</v>
      </c>
      <c r="K124" s="21">
        <v>3849203</v>
      </c>
      <c r="L124" s="21">
        <v>5.15</v>
      </c>
      <c r="M124" s="21">
        <v>99.549000000000007</v>
      </c>
    </row>
    <row r="125" spans="1:13">
      <c r="A125" s="1" t="s">
        <v>169</v>
      </c>
      <c r="B125" s="1" t="s">
        <v>170</v>
      </c>
      <c r="C125" s="1">
        <v>1995</v>
      </c>
      <c r="D125" s="1" t="s">
        <v>182</v>
      </c>
      <c r="E125" s="1" t="s">
        <v>233</v>
      </c>
      <c r="F125" s="1">
        <v>2008</v>
      </c>
      <c r="G125" s="1" t="s">
        <v>234</v>
      </c>
      <c r="H125" s="1">
        <v>2800000</v>
      </c>
      <c r="I125" s="21">
        <v>5.2</v>
      </c>
      <c r="J125" s="1">
        <f t="shared" si="5"/>
        <v>61695000</v>
      </c>
      <c r="K125" s="21">
        <v>3646222</v>
      </c>
      <c r="L125" s="21">
        <v>5.3</v>
      </c>
      <c r="M125" s="21">
        <v>99.058999999999997</v>
      </c>
    </row>
    <row r="126" spans="1:13">
      <c r="A126" s="1" t="s">
        <v>169</v>
      </c>
      <c r="B126" s="1" t="s">
        <v>170</v>
      </c>
      <c r="C126" s="1">
        <v>1995</v>
      </c>
      <c r="D126" s="1" t="s">
        <v>182</v>
      </c>
      <c r="E126" s="1" t="s">
        <v>233</v>
      </c>
      <c r="F126" s="1">
        <v>2009</v>
      </c>
      <c r="G126" s="1" t="s">
        <v>234</v>
      </c>
      <c r="H126" s="1">
        <v>1965000</v>
      </c>
      <c r="I126" s="21">
        <v>5.3</v>
      </c>
      <c r="J126" s="1">
        <f t="shared" si="5"/>
        <v>59730000</v>
      </c>
      <c r="K126" s="21">
        <v>3500623</v>
      </c>
      <c r="L126" s="21">
        <v>5.4</v>
      </c>
      <c r="M126" s="21">
        <v>99.016000000000005</v>
      </c>
    </row>
    <row r="127" spans="1:13">
      <c r="A127" s="1" t="s">
        <v>169</v>
      </c>
      <c r="B127" s="1" t="s">
        <v>170</v>
      </c>
      <c r="C127" s="1">
        <v>1995</v>
      </c>
      <c r="D127" s="1" t="s">
        <v>182</v>
      </c>
      <c r="E127" s="1" t="s">
        <v>233</v>
      </c>
      <c r="F127" s="1">
        <v>2010</v>
      </c>
      <c r="G127" s="1" t="s">
        <v>234</v>
      </c>
      <c r="H127" s="1">
        <v>2070000</v>
      </c>
      <c r="I127" s="21">
        <v>5.4</v>
      </c>
      <c r="J127" s="1">
        <f t="shared" si="5"/>
        <v>57660000</v>
      </c>
      <c r="K127" s="21">
        <v>3396478</v>
      </c>
      <c r="L127" s="21">
        <v>5.5</v>
      </c>
      <c r="M127" s="21">
        <v>98.977000000000004</v>
      </c>
    </row>
    <row r="128" spans="1:13">
      <c r="A128" s="1" t="s">
        <v>169</v>
      </c>
      <c r="B128" s="1" t="s">
        <v>170</v>
      </c>
      <c r="C128" s="1">
        <v>1995</v>
      </c>
      <c r="D128" s="1" t="s">
        <v>182</v>
      </c>
      <c r="E128" s="1" t="s">
        <v>233</v>
      </c>
      <c r="F128" s="1">
        <v>2011</v>
      </c>
      <c r="G128" s="1" t="s">
        <v>234</v>
      </c>
      <c r="H128" s="1">
        <v>2180000</v>
      </c>
      <c r="I128" s="21">
        <v>5.5</v>
      </c>
      <c r="J128" s="1">
        <f t="shared" si="5"/>
        <v>55480000</v>
      </c>
      <c r="K128" s="21">
        <v>3284697</v>
      </c>
      <c r="L128" s="21">
        <v>5.6</v>
      </c>
      <c r="M128" s="21">
        <v>98.941999999999993</v>
      </c>
    </row>
    <row r="129" spans="1:13">
      <c r="A129" s="1" t="s">
        <v>169</v>
      </c>
      <c r="B129" s="1" t="s">
        <v>170</v>
      </c>
      <c r="C129" s="1">
        <v>1995</v>
      </c>
      <c r="D129" s="1" t="s">
        <v>182</v>
      </c>
      <c r="E129" s="1" t="s">
        <v>233</v>
      </c>
      <c r="F129" s="1">
        <v>2012</v>
      </c>
      <c r="G129" s="1" t="s">
        <v>234</v>
      </c>
      <c r="H129" s="1">
        <v>2300000</v>
      </c>
      <c r="I129" s="21">
        <v>5.5</v>
      </c>
      <c r="J129" s="1">
        <f t="shared" si="5"/>
        <v>53180000</v>
      </c>
      <c r="K129" s="21">
        <v>3164798</v>
      </c>
      <c r="L129" s="21">
        <v>5.65</v>
      </c>
      <c r="M129" s="21">
        <v>98.363</v>
      </c>
    </row>
    <row r="130" spans="1:13">
      <c r="A130" s="1" t="s">
        <v>169</v>
      </c>
      <c r="B130" s="1" t="s">
        <v>170</v>
      </c>
      <c r="C130" s="1">
        <v>1995</v>
      </c>
      <c r="D130" s="1" t="s">
        <v>182</v>
      </c>
      <c r="E130" s="1" t="s">
        <v>233</v>
      </c>
      <c r="F130" s="1">
        <v>2013</v>
      </c>
      <c r="G130" s="1" t="s">
        <v>234</v>
      </c>
      <c r="H130" s="1">
        <v>2425000</v>
      </c>
      <c r="I130" s="21">
        <v>5.6</v>
      </c>
      <c r="J130" s="1">
        <f t="shared" si="5"/>
        <v>50755000</v>
      </c>
      <c r="K130" s="21">
        <v>3038297</v>
      </c>
      <c r="L130" s="21">
        <v>5.7</v>
      </c>
      <c r="M130" s="21">
        <v>98.873999999999995</v>
      </c>
    </row>
    <row r="131" spans="1:13">
      <c r="A131" s="1" t="s">
        <v>169</v>
      </c>
      <c r="B131" s="1" t="s">
        <v>170</v>
      </c>
      <c r="C131" s="1">
        <v>1995</v>
      </c>
      <c r="D131" s="1" t="s">
        <v>182</v>
      </c>
      <c r="E131" s="1" t="s">
        <v>233</v>
      </c>
      <c r="F131" s="1">
        <v>2014</v>
      </c>
      <c r="G131" s="1" t="s">
        <v>234</v>
      </c>
      <c r="H131" s="1">
        <v>2565000</v>
      </c>
      <c r="I131" s="21">
        <v>5.6</v>
      </c>
      <c r="J131" s="1">
        <f t="shared" si="5"/>
        <v>48190000</v>
      </c>
      <c r="K131" s="21">
        <v>2902498</v>
      </c>
      <c r="L131" s="21">
        <v>5.75</v>
      </c>
      <c r="M131" s="21">
        <v>98.28</v>
      </c>
    </row>
    <row r="132" spans="1:13">
      <c r="A132" s="1" t="s">
        <v>169</v>
      </c>
      <c r="B132" s="1" t="s">
        <v>170</v>
      </c>
      <c r="C132" s="1">
        <v>1995</v>
      </c>
      <c r="D132" s="1" t="s">
        <v>182</v>
      </c>
      <c r="E132" s="1" t="s">
        <v>233</v>
      </c>
      <c r="F132" s="1">
        <v>2015</v>
      </c>
      <c r="G132" s="1" t="s">
        <v>234</v>
      </c>
      <c r="H132" s="1">
        <v>2705000</v>
      </c>
      <c r="I132" s="21">
        <v>5.6</v>
      </c>
      <c r="J132" s="1">
        <f t="shared" si="5"/>
        <v>45485000</v>
      </c>
      <c r="K132" s="21">
        <v>2758857</v>
      </c>
      <c r="L132" s="21">
        <v>5.75</v>
      </c>
      <c r="M132" s="21">
        <v>98.22</v>
      </c>
    </row>
    <row r="133" spans="1:13">
      <c r="A133" s="1" t="s">
        <v>169</v>
      </c>
      <c r="B133" s="1" t="s">
        <v>170</v>
      </c>
      <c r="C133" s="1">
        <v>1995</v>
      </c>
      <c r="D133" s="1" t="s">
        <v>182</v>
      </c>
      <c r="E133" s="1" t="s">
        <v>235</v>
      </c>
      <c r="F133" s="1">
        <v>2016</v>
      </c>
      <c r="G133" s="1" t="s">
        <v>234</v>
      </c>
      <c r="H133" s="1">
        <v>2860000</v>
      </c>
      <c r="I133" s="21">
        <v>5.7</v>
      </c>
      <c r="J133" s="1">
        <f t="shared" si="5"/>
        <v>42625000</v>
      </c>
      <c r="K133" s="21">
        <v>2607378</v>
      </c>
      <c r="L133" s="21">
        <v>5.8129999999999997</v>
      </c>
      <c r="M133" s="21">
        <v>98.5</v>
      </c>
    </row>
    <row r="134" spans="1:13">
      <c r="A134" s="1" t="s">
        <v>169</v>
      </c>
      <c r="B134" s="1" t="s">
        <v>170</v>
      </c>
      <c r="C134" s="1">
        <v>1995</v>
      </c>
      <c r="D134" s="1" t="s">
        <v>182</v>
      </c>
      <c r="E134" s="1" t="s">
        <v>235</v>
      </c>
      <c r="F134" s="1">
        <v>2017</v>
      </c>
      <c r="G134" s="1" t="s">
        <v>234</v>
      </c>
      <c r="H134" s="1">
        <v>3020000</v>
      </c>
      <c r="I134" s="21">
        <v>5.7</v>
      </c>
      <c r="J134" s="1">
        <f t="shared" ref="J134:J137" si="6">J133-H134</f>
        <v>39605000</v>
      </c>
      <c r="K134" s="21">
        <v>2444357</v>
      </c>
      <c r="L134" s="21">
        <v>5.8129999999999997</v>
      </c>
      <c r="M134" s="21">
        <v>98.5</v>
      </c>
    </row>
    <row r="135" spans="1:13">
      <c r="A135" s="1" t="s">
        <v>169</v>
      </c>
      <c r="B135" s="1" t="s">
        <v>170</v>
      </c>
      <c r="C135" s="1">
        <v>1995</v>
      </c>
      <c r="D135" s="1" t="s">
        <v>182</v>
      </c>
      <c r="E135" s="1" t="s">
        <v>235</v>
      </c>
      <c r="F135" s="1">
        <v>2018</v>
      </c>
      <c r="G135" s="1" t="s">
        <v>234</v>
      </c>
      <c r="H135" s="1">
        <v>3195000</v>
      </c>
      <c r="I135" s="21">
        <v>5.7</v>
      </c>
      <c r="J135" s="1">
        <f t="shared" si="6"/>
        <v>36410000</v>
      </c>
      <c r="K135" s="21">
        <v>2272218</v>
      </c>
      <c r="L135" s="21">
        <v>5.8129999999999997</v>
      </c>
      <c r="M135" s="21">
        <v>98.5</v>
      </c>
    </row>
    <row r="136" spans="1:13">
      <c r="A136" s="1" t="s">
        <v>169</v>
      </c>
      <c r="B136" s="1" t="s">
        <v>170</v>
      </c>
      <c r="C136" s="1">
        <v>1995</v>
      </c>
      <c r="D136" s="1" t="s">
        <v>182</v>
      </c>
      <c r="E136" s="1" t="s">
        <v>235</v>
      </c>
      <c r="F136" s="1">
        <v>2019</v>
      </c>
      <c r="G136" s="1" t="s">
        <v>234</v>
      </c>
      <c r="H136" s="1">
        <v>3375000</v>
      </c>
      <c r="I136" s="21">
        <v>5.7</v>
      </c>
      <c r="J136" s="1">
        <f t="shared" si="6"/>
        <v>33035000</v>
      </c>
      <c r="K136" s="21">
        <v>2090102</v>
      </c>
      <c r="L136" s="21">
        <v>5.8129999999999997</v>
      </c>
      <c r="M136" s="21">
        <v>98.5</v>
      </c>
    </row>
    <row r="137" spans="1:13">
      <c r="A137" s="1" t="s">
        <v>169</v>
      </c>
      <c r="B137" s="1" t="s">
        <v>170</v>
      </c>
      <c r="C137" s="1">
        <v>1995</v>
      </c>
      <c r="D137" s="1" t="s">
        <v>182</v>
      </c>
      <c r="E137" s="1" t="s">
        <v>235</v>
      </c>
      <c r="F137" s="1">
        <v>2020</v>
      </c>
      <c r="G137" s="1" t="s">
        <v>234</v>
      </c>
      <c r="H137" s="1">
        <v>3570000</v>
      </c>
      <c r="I137" s="21">
        <v>5.7</v>
      </c>
      <c r="J137" s="1">
        <f t="shared" si="6"/>
        <v>29465000</v>
      </c>
      <c r="K137" s="21">
        <v>1897728</v>
      </c>
      <c r="L137" s="21">
        <v>5.8129999999999997</v>
      </c>
      <c r="M137" s="21">
        <v>98.5</v>
      </c>
    </row>
    <row r="138" spans="1:13">
      <c r="A138" s="1" t="s">
        <v>169</v>
      </c>
      <c r="B138" s="1" t="s">
        <v>170</v>
      </c>
      <c r="C138" s="1">
        <v>1995</v>
      </c>
      <c r="D138" s="1" t="s">
        <v>182</v>
      </c>
      <c r="E138" s="1" t="s">
        <v>235</v>
      </c>
      <c r="F138" s="1">
        <v>2021</v>
      </c>
      <c r="G138" s="1" t="s">
        <v>234</v>
      </c>
      <c r="H138" s="1">
        <v>3770000</v>
      </c>
      <c r="I138" s="21">
        <v>5.75</v>
      </c>
      <c r="J138" s="1">
        <f t="shared" si="5"/>
        <v>25695000</v>
      </c>
      <c r="K138" s="21">
        <v>1694237</v>
      </c>
      <c r="L138" s="21">
        <v>5.8739999999999997</v>
      </c>
      <c r="M138" s="21">
        <v>98.25</v>
      </c>
    </row>
    <row r="139" spans="1:13">
      <c r="A139" s="1" t="s">
        <v>169</v>
      </c>
      <c r="B139" s="1" t="s">
        <v>170</v>
      </c>
      <c r="C139" s="1">
        <v>1995</v>
      </c>
      <c r="D139" s="1" t="s">
        <v>182</v>
      </c>
      <c r="E139" s="1" t="s">
        <v>235</v>
      </c>
      <c r="F139" s="1">
        <v>2022</v>
      </c>
      <c r="G139" s="1" t="s">
        <v>234</v>
      </c>
      <c r="H139" s="1">
        <v>3990000</v>
      </c>
      <c r="I139" s="21">
        <v>5.75</v>
      </c>
      <c r="J139" s="1">
        <f t="shared" ref="J139:J142" si="7">J138-H139</f>
        <v>21705000</v>
      </c>
      <c r="K139" s="21">
        <v>1477463</v>
      </c>
      <c r="L139" s="21">
        <v>5.8739999999999997</v>
      </c>
      <c r="M139" s="21">
        <v>98.25</v>
      </c>
    </row>
    <row r="140" spans="1:13">
      <c r="A140" s="1" t="s">
        <v>169</v>
      </c>
      <c r="B140" s="1" t="s">
        <v>170</v>
      </c>
      <c r="C140" s="1">
        <v>1995</v>
      </c>
      <c r="D140" s="1" t="s">
        <v>182</v>
      </c>
      <c r="E140" s="1" t="s">
        <v>235</v>
      </c>
      <c r="F140" s="1">
        <v>2023</v>
      </c>
      <c r="G140" s="1" t="s">
        <v>234</v>
      </c>
      <c r="H140" s="1">
        <v>4215000</v>
      </c>
      <c r="I140" s="21">
        <v>5.75</v>
      </c>
      <c r="J140" s="1">
        <f t="shared" si="7"/>
        <v>17490000</v>
      </c>
      <c r="K140" s="21">
        <v>1248037</v>
      </c>
      <c r="L140" s="21">
        <v>5.8739999999999997</v>
      </c>
      <c r="M140" s="21">
        <v>98.25</v>
      </c>
    </row>
    <row r="141" spans="1:13">
      <c r="A141" s="1" t="s">
        <v>169</v>
      </c>
      <c r="B141" s="1" t="s">
        <v>170</v>
      </c>
      <c r="C141" s="1">
        <v>1995</v>
      </c>
      <c r="D141" s="1" t="s">
        <v>182</v>
      </c>
      <c r="E141" s="1" t="s">
        <v>235</v>
      </c>
      <c r="F141" s="1">
        <v>2024</v>
      </c>
      <c r="G141" s="1" t="s">
        <v>234</v>
      </c>
      <c r="H141" s="1">
        <v>4460000</v>
      </c>
      <c r="I141" s="21">
        <v>5.75</v>
      </c>
      <c r="J141" s="1">
        <f t="shared" si="7"/>
        <v>13030000</v>
      </c>
      <c r="K141" s="21">
        <v>1005675</v>
      </c>
      <c r="L141" s="21">
        <v>5.8739999999999997</v>
      </c>
      <c r="M141" s="21">
        <v>98.25</v>
      </c>
    </row>
    <row r="142" spans="1:13">
      <c r="A142" s="1" t="s">
        <v>169</v>
      </c>
      <c r="B142" s="1" t="s">
        <v>170</v>
      </c>
      <c r="C142" s="1">
        <v>1995</v>
      </c>
      <c r="D142" s="1" t="s">
        <v>182</v>
      </c>
      <c r="E142" s="1" t="s">
        <v>235</v>
      </c>
      <c r="F142" s="1">
        <v>2025</v>
      </c>
      <c r="G142" s="1" t="s">
        <v>234</v>
      </c>
      <c r="H142" s="1">
        <v>13030000</v>
      </c>
      <c r="I142" s="21">
        <v>5.75</v>
      </c>
      <c r="J142" s="1">
        <f t="shared" si="7"/>
        <v>0</v>
      </c>
      <c r="K142" s="21">
        <v>749225</v>
      </c>
      <c r="L142" s="21">
        <v>5.8739999999999997</v>
      </c>
      <c r="M142" s="21">
        <v>98.25</v>
      </c>
    </row>
    <row r="143" spans="1:13">
      <c r="A143" s="1" t="s">
        <v>169</v>
      </c>
      <c r="B143" s="1" t="s">
        <v>170</v>
      </c>
      <c r="C143" s="1">
        <v>1998</v>
      </c>
      <c r="D143" s="1" t="s">
        <v>175</v>
      </c>
      <c r="E143" s="1" t="s">
        <v>233</v>
      </c>
      <c r="F143" s="1">
        <v>1998</v>
      </c>
      <c r="G143" s="1" t="s">
        <v>234</v>
      </c>
      <c r="H143" s="1" t="s">
        <v>174</v>
      </c>
      <c r="I143" s="21" t="s">
        <v>174</v>
      </c>
      <c r="J143" s="1">
        <f>93355000</f>
        <v>93355000</v>
      </c>
      <c r="K143" s="21">
        <v>2362559</v>
      </c>
      <c r="L143" s="21" t="s">
        <v>174</v>
      </c>
      <c r="M143" s="21" t="s">
        <v>174</v>
      </c>
    </row>
    <row r="144" spans="1:13">
      <c r="A144" s="1" t="s">
        <v>169</v>
      </c>
      <c r="B144" s="1" t="s">
        <v>170</v>
      </c>
      <c r="C144" s="1">
        <v>1998</v>
      </c>
      <c r="D144" s="1" t="s">
        <v>175</v>
      </c>
      <c r="E144" s="1" t="s">
        <v>233</v>
      </c>
      <c r="F144" s="1">
        <v>1999</v>
      </c>
      <c r="G144" s="1" t="s">
        <v>234</v>
      </c>
      <c r="H144" s="1" t="s">
        <v>174</v>
      </c>
      <c r="I144" s="21" t="s">
        <v>174</v>
      </c>
      <c r="J144" s="1">
        <f t="shared" ref="J144:J161" si="8">93355000</f>
        <v>93355000</v>
      </c>
      <c r="K144" s="21">
        <v>4725117</v>
      </c>
      <c r="L144" s="21" t="s">
        <v>174</v>
      </c>
      <c r="M144" s="21" t="s">
        <v>174</v>
      </c>
    </row>
    <row r="145" spans="1:13">
      <c r="A145" s="1" t="s">
        <v>169</v>
      </c>
      <c r="B145" s="1" t="s">
        <v>170</v>
      </c>
      <c r="C145" s="1">
        <v>1998</v>
      </c>
      <c r="D145" s="1" t="s">
        <v>175</v>
      </c>
      <c r="E145" s="1" t="s">
        <v>233</v>
      </c>
      <c r="F145" s="1">
        <v>2000</v>
      </c>
      <c r="G145" s="1" t="s">
        <v>234</v>
      </c>
      <c r="H145" s="1" t="s">
        <v>174</v>
      </c>
      <c r="I145" s="21" t="s">
        <v>174</v>
      </c>
      <c r="J145" s="1">
        <f t="shared" si="8"/>
        <v>93355000</v>
      </c>
      <c r="K145" s="21">
        <v>4725118</v>
      </c>
      <c r="L145" s="21" t="s">
        <v>174</v>
      </c>
      <c r="M145" s="21" t="s">
        <v>174</v>
      </c>
    </row>
    <row r="146" spans="1:13">
      <c r="A146" s="1" t="s">
        <v>169</v>
      </c>
      <c r="B146" s="1" t="s">
        <v>170</v>
      </c>
      <c r="C146" s="1">
        <v>1998</v>
      </c>
      <c r="D146" s="1" t="s">
        <v>175</v>
      </c>
      <c r="E146" s="1" t="s">
        <v>233</v>
      </c>
      <c r="F146" s="1">
        <v>2001</v>
      </c>
      <c r="G146" s="1" t="s">
        <v>234</v>
      </c>
      <c r="H146" s="1" t="s">
        <v>174</v>
      </c>
      <c r="I146" s="21" t="s">
        <v>174</v>
      </c>
      <c r="J146" s="1">
        <f t="shared" si="8"/>
        <v>93355000</v>
      </c>
      <c r="K146" s="21">
        <v>4725117</v>
      </c>
      <c r="L146" s="21" t="s">
        <v>174</v>
      </c>
      <c r="M146" s="21" t="s">
        <v>174</v>
      </c>
    </row>
    <row r="147" spans="1:13">
      <c r="A147" s="1" t="s">
        <v>169</v>
      </c>
      <c r="B147" s="1" t="s">
        <v>170</v>
      </c>
      <c r="C147" s="1">
        <v>1998</v>
      </c>
      <c r="D147" s="1" t="s">
        <v>175</v>
      </c>
      <c r="E147" s="1" t="s">
        <v>233</v>
      </c>
      <c r="F147" s="1">
        <v>2002</v>
      </c>
      <c r="G147" s="1" t="s">
        <v>234</v>
      </c>
      <c r="H147" s="1" t="s">
        <v>174</v>
      </c>
      <c r="I147" s="21" t="s">
        <v>174</v>
      </c>
      <c r="J147" s="1">
        <f t="shared" si="8"/>
        <v>93355000</v>
      </c>
      <c r="K147" s="21">
        <v>4725118</v>
      </c>
      <c r="L147" s="21" t="s">
        <v>174</v>
      </c>
      <c r="M147" s="21" t="s">
        <v>174</v>
      </c>
    </row>
    <row r="148" spans="1:13">
      <c r="A148" s="1" t="s">
        <v>169</v>
      </c>
      <c r="B148" s="1" t="s">
        <v>170</v>
      </c>
      <c r="C148" s="1">
        <v>1998</v>
      </c>
      <c r="D148" s="1" t="s">
        <v>175</v>
      </c>
      <c r="E148" s="1" t="s">
        <v>233</v>
      </c>
      <c r="F148" s="1">
        <v>2003</v>
      </c>
      <c r="G148" s="1" t="s">
        <v>234</v>
      </c>
      <c r="H148" s="1" t="s">
        <v>174</v>
      </c>
      <c r="I148" s="21" t="s">
        <v>174</v>
      </c>
      <c r="J148" s="1">
        <f t="shared" si="8"/>
        <v>93355000</v>
      </c>
      <c r="K148" s="21">
        <v>4725117</v>
      </c>
      <c r="L148" s="21" t="s">
        <v>174</v>
      </c>
      <c r="M148" s="21" t="s">
        <v>174</v>
      </c>
    </row>
    <row r="149" spans="1:13">
      <c r="A149" s="1" t="s">
        <v>169</v>
      </c>
      <c r="B149" s="1" t="s">
        <v>170</v>
      </c>
      <c r="C149" s="1">
        <v>1998</v>
      </c>
      <c r="D149" s="1" t="s">
        <v>175</v>
      </c>
      <c r="E149" s="1" t="s">
        <v>233</v>
      </c>
      <c r="F149" s="1">
        <v>2004</v>
      </c>
      <c r="G149" s="1" t="s">
        <v>234</v>
      </c>
      <c r="H149" s="1" t="s">
        <v>174</v>
      </c>
      <c r="I149" s="21" t="s">
        <v>174</v>
      </c>
      <c r="J149" s="1">
        <f t="shared" si="8"/>
        <v>93355000</v>
      </c>
      <c r="K149" s="21">
        <v>4725118</v>
      </c>
      <c r="L149" s="21" t="s">
        <v>174</v>
      </c>
      <c r="M149" s="21" t="s">
        <v>174</v>
      </c>
    </row>
    <row r="150" spans="1:13">
      <c r="A150" s="1" t="s">
        <v>169</v>
      </c>
      <c r="B150" s="1" t="s">
        <v>170</v>
      </c>
      <c r="C150" s="1">
        <v>1998</v>
      </c>
      <c r="D150" s="1" t="s">
        <v>175</v>
      </c>
      <c r="E150" s="1" t="s">
        <v>233</v>
      </c>
      <c r="F150" s="1">
        <v>2005</v>
      </c>
      <c r="G150" s="1" t="s">
        <v>234</v>
      </c>
      <c r="H150" s="1" t="s">
        <v>174</v>
      </c>
      <c r="I150" s="21" t="s">
        <v>174</v>
      </c>
      <c r="J150" s="1">
        <f t="shared" si="8"/>
        <v>93355000</v>
      </c>
      <c r="K150" s="21">
        <v>4725117</v>
      </c>
      <c r="L150" s="21" t="s">
        <v>174</v>
      </c>
      <c r="M150" s="21" t="s">
        <v>174</v>
      </c>
    </row>
    <row r="151" spans="1:13">
      <c r="A151" s="1" t="s">
        <v>169</v>
      </c>
      <c r="B151" s="1" t="s">
        <v>170</v>
      </c>
      <c r="C151" s="1">
        <v>1998</v>
      </c>
      <c r="D151" s="1" t="s">
        <v>175</v>
      </c>
      <c r="E151" s="1" t="s">
        <v>233</v>
      </c>
      <c r="F151" s="1">
        <v>2006</v>
      </c>
      <c r="G151" s="1" t="s">
        <v>234</v>
      </c>
      <c r="H151" s="1" t="s">
        <v>174</v>
      </c>
      <c r="I151" s="21" t="s">
        <v>174</v>
      </c>
      <c r="J151" s="1">
        <f t="shared" si="8"/>
        <v>93355000</v>
      </c>
      <c r="K151" s="21">
        <v>4725118</v>
      </c>
      <c r="L151" s="21" t="s">
        <v>174</v>
      </c>
      <c r="M151" s="21" t="s">
        <v>174</v>
      </c>
    </row>
    <row r="152" spans="1:13">
      <c r="A152" s="1" t="s">
        <v>169</v>
      </c>
      <c r="B152" s="1" t="s">
        <v>170</v>
      </c>
      <c r="C152" s="1">
        <v>1998</v>
      </c>
      <c r="D152" s="1" t="s">
        <v>175</v>
      </c>
      <c r="E152" s="1" t="s">
        <v>233</v>
      </c>
      <c r="F152" s="1">
        <v>2007</v>
      </c>
      <c r="G152" s="1" t="s">
        <v>234</v>
      </c>
      <c r="H152" s="1" t="s">
        <v>174</v>
      </c>
      <c r="I152" s="21" t="s">
        <v>174</v>
      </c>
      <c r="J152" s="1">
        <f t="shared" si="8"/>
        <v>93355000</v>
      </c>
      <c r="K152" s="21">
        <v>4725117</v>
      </c>
      <c r="L152" s="21" t="s">
        <v>174</v>
      </c>
      <c r="M152" s="21" t="s">
        <v>174</v>
      </c>
    </row>
    <row r="153" spans="1:13">
      <c r="A153" s="1" t="s">
        <v>169</v>
      </c>
      <c r="B153" s="1" t="s">
        <v>170</v>
      </c>
      <c r="C153" s="1">
        <v>1998</v>
      </c>
      <c r="D153" s="1" t="s">
        <v>175</v>
      </c>
      <c r="E153" s="1" t="s">
        <v>233</v>
      </c>
      <c r="F153" s="1">
        <v>2008</v>
      </c>
      <c r="G153" s="1" t="s">
        <v>234</v>
      </c>
      <c r="H153" s="1" t="s">
        <v>174</v>
      </c>
      <c r="I153" s="21" t="s">
        <v>174</v>
      </c>
      <c r="J153" s="1">
        <f t="shared" si="8"/>
        <v>93355000</v>
      </c>
      <c r="K153" s="21">
        <v>4725118</v>
      </c>
      <c r="L153" s="21" t="s">
        <v>174</v>
      </c>
      <c r="M153" s="21" t="s">
        <v>174</v>
      </c>
    </row>
    <row r="154" spans="1:13">
      <c r="A154" s="1" t="s">
        <v>169</v>
      </c>
      <c r="B154" s="1" t="s">
        <v>170</v>
      </c>
      <c r="C154" s="1">
        <v>1998</v>
      </c>
      <c r="D154" s="1" t="s">
        <v>175</v>
      </c>
      <c r="E154" s="1" t="s">
        <v>233</v>
      </c>
      <c r="F154" s="1">
        <v>2009</v>
      </c>
      <c r="G154" s="1" t="s">
        <v>234</v>
      </c>
      <c r="H154" s="1" t="s">
        <v>174</v>
      </c>
      <c r="I154" s="21" t="s">
        <v>174</v>
      </c>
      <c r="J154" s="1">
        <f t="shared" si="8"/>
        <v>93355000</v>
      </c>
      <c r="K154" s="21">
        <v>4725117</v>
      </c>
      <c r="L154" s="21" t="s">
        <v>174</v>
      </c>
      <c r="M154" s="21" t="s">
        <v>174</v>
      </c>
    </row>
    <row r="155" spans="1:13">
      <c r="A155" s="1" t="s">
        <v>169</v>
      </c>
      <c r="B155" s="1" t="s">
        <v>170</v>
      </c>
      <c r="C155" s="1">
        <v>1998</v>
      </c>
      <c r="D155" s="1" t="s">
        <v>175</v>
      </c>
      <c r="E155" s="1" t="s">
        <v>233</v>
      </c>
      <c r="F155" s="1">
        <v>2010</v>
      </c>
      <c r="G155" s="1" t="s">
        <v>234</v>
      </c>
      <c r="H155" s="1" t="s">
        <v>174</v>
      </c>
      <c r="I155" s="21" t="s">
        <v>174</v>
      </c>
      <c r="J155" s="1">
        <f t="shared" si="8"/>
        <v>93355000</v>
      </c>
      <c r="K155" s="21">
        <v>4725118</v>
      </c>
      <c r="L155" s="21" t="s">
        <v>174</v>
      </c>
      <c r="M155" s="21" t="s">
        <v>174</v>
      </c>
    </row>
    <row r="156" spans="1:13">
      <c r="A156" s="1" t="s">
        <v>169</v>
      </c>
      <c r="B156" s="1" t="s">
        <v>170</v>
      </c>
      <c r="C156" s="1">
        <v>1998</v>
      </c>
      <c r="D156" s="1" t="s">
        <v>175</v>
      </c>
      <c r="E156" s="1" t="s">
        <v>233</v>
      </c>
      <c r="F156" s="1">
        <v>2011</v>
      </c>
      <c r="G156" s="1" t="s">
        <v>234</v>
      </c>
      <c r="H156" s="1" t="s">
        <v>174</v>
      </c>
      <c r="I156" s="21" t="s">
        <v>174</v>
      </c>
      <c r="J156" s="1">
        <f t="shared" si="8"/>
        <v>93355000</v>
      </c>
      <c r="K156" s="21">
        <v>4725117</v>
      </c>
      <c r="L156" s="21" t="s">
        <v>174</v>
      </c>
      <c r="M156" s="21" t="s">
        <v>174</v>
      </c>
    </row>
    <row r="157" spans="1:13">
      <c r="A157" s="1" t="s">
        <v>169</v>
      </c>
      <c r="B157" s="1" t="s">
        <v>170</v>
      </c>
      <c r="C157" s="1">
        <v>1998</v>
      </c>
      <c r="D157" s="1" t="s">
        <v>175</v>
      </c>
      <c r="E157" s="1" t="s">
        <v>233</v>
      </c>
      <c r="F157" s="1">
        <v>2012</v>
      </c>
      <c r="G157" s="1" t="s">
        <v>234</v>
      </c>
      <c r="H157" s="1" t="s">
        <v>174</v>
      </c>
      <c r="I157" s="21" t="s">
        <v>174</v>
      </c>
      <c r="J157" s="1">
        <f t="shared" si="8"/>
        <v>93355000</v>
      </c>
      <c r="K157" s="21">
        <v>4725118</v>
      </c>
      <c r="L157" s="21" t="s">
        <v>174</v>
      </c>
      <c r="M157" s="21" t="s">
        <v>174</v>
      </c>
    </row>
    <row r="158" spans="1:13">
      <c r="A158" s="1" t="s">
        <v>169</v>
      </c>
      <c r="B158" s="1" t="s">
        <v>170</v>
      </c>
      <c r="C158" s="1">
        <v>1998</v>
      </c>
      <c r="D158" s="1" t="s">
        <v>175</v>
      </c>
      <c r="E158" s="1" t="s">
        <v>233</v>
      </c>
      <c r="F158" s="1">
        <v>2013</v>
      </c>
      <c r="G158" s="1" t="s">
        <v>234</v>
      </c>
      <c r="H158" s="1" t="s">
        <v>174</v>
      </c>
      <c r="I158" s="21" t="s">
        <v>174</v>
      </c>
      <c r="J158" s="1">
        <f t="shared" si="8"/>
        <v>93355000</v>
      </c>
      <c r="K158" s="21">
        <v>4725117</v>
      </c>
      <c r="L158" s="21" t="s">
        <v>174</v>
      </c>
      <c r="M158" s="21" t="s">
        <v>174</v>
      </c>
    </row>
    <row r="159" spans="1:13">
      <c r="A159" s="1" t="s">
        <v>169</v>
      </c>
      <c r="B159" s="1" t="s">
        <v>170</v>
      </c>
      <c r="C159" s="1">
        <v>1998</v>
      </c>
      <c r="D159" s="1" t="s">
        <v>175</v>
      </c>
      <c r="E159" s="1" t="s">
        <v>233</v>
      </c>
      <c r="F159" s="1">
        <v>2014</v>
      </c>
      <c r="G159" s="1" t="s">
        <v>234</v>
      </c>
      <c r="H159" s="1" t="s">
        <v>174</v>
      </c>
      <c r="I159" s="21" t="s">
        <v>174</v>
      </c>
      <c r="J159" s="1">
        <f t="shared" si="8"/>
        <v>93355000</v>
      </c>
      <c r="K159" s="21">
        <v>4725118</v>
      </c>
      <c r="L159" s="21" t="s">
        <v>174</v>
      </c>
      <c r="M159" s="21" t="s">
        <v>174</v>
      </c>
    </row>
    <row r="160" spans="1:13">
      <c r="A160" s="1" t="s">
        <v>169</v>
      </c>
      <c r="B160" s="1" t="s">
        <v>170</v>
      </c>
      <c r="C160" s="1">
        <v>1998</v>
      </c>
      <c r="D160" s="1" t="s">
        <v>175</v>
      </c>
      <c r="E160" s="1" t="s">
        <v>233</v>
      </c>
      <c r="F160" s="1">
        <v>2015</v>
      </c>
      <c r="G160" s="1" t="s">
        <v>234</v>
      </c>
      <c r="H160" s="1" t="s">
        <v>174</v>
      </c>
      <c r="I160" s="21" t="s">
        <v>174</v>
      </c>
      <c r="J160" s="1">
        <f t="shared" si="8"/>
        <v>93355000</v>
      </c>
      <c r="K160" s="21">
        <v>4725117</v>
      </c>
      <c r="L160" s="21" t="s">
        <v>174</v>
      </c>
      <c r="M160" s="21" t="s">
        <v>174</v>
      </c>
    </row>
    <row r="161" spans="1:13">
      <c r="A161" s="1" t="s">
        <v>169</v>
      </c>
      <c r="B161" s="1" t="s">
        <v>170</v>
      </c>
      <c r="C161" s="1">
        <v>1998</v>
      </c>
      <c r="D161" s="1" t="s">
        <v>175</v>
      </c>
      <c r="E161" s="1" t="s">
        <v>233</v>
      </c>
      <c r="F161" s="1">
        <v>2016</v>
      </c>
      <c r="G161" s="1" t="s">
        <v>234</v>
      </c>
      <c r="H161" s="1" t="s">
        <v>174</v>
      </c>
      <c r="I161" s="21" t="s">
        <v>174</v>
      </c>
      <c r="J161" s="1">
        <f t="shared" si="8"/>
        <v>93355000</v>
      </c>
      <c r="K161" s="21">
        <v>4725118</v>
      </c>
      <c r="L161" s="21" t="s">
        <v>174</v>
      </c>
      <c r="M161" s="21" t="s">
        <v>174</v>
      </c>
    </row>
    <row r="162" spans="1:13">
      <c r="A162" s="1" t="s">
        <v>169</v>
      </c>
      <c r="B162" s="1" t="s">
        <v>170</v>
      </c>
      <c r="C162" s="1">
        <v>1998</v>
      </c>
      <c r="D162" s="1" t="s">
        <v>175</v>
      </c>
      <c r="E162" s="1" t="s">
        <v>233</v>
      </c>
      <c r="F162" s="1">
        <v>2017</v>
      </c>
      <c r="G162" s="1" t="s">
        <v>234</v>
      </c>
      <c r="H162" s="1">
        <v>8455000</v>
      </c>
      <c r="I162" s="21">
        <v>5</v>
      </c>
      <c r="J162" s="1">
        <f>J161-H162</f>
        <v>84900000</v>
      </c>
      <c r="K162" s="21">
        <v>4725117</v>
      </c>
      <c r="L162" s="21">
        <v>5.0999999999999996</v>
      </c>
      <c r="M162" s="21" t="s">
        <v>174</v>
      </c>
    </row>
    <row r="163" spans="1:13">
      <c r="A163" s="1" t="s">
        <v>169</v>
      </c>
      <c r="B163" s="1" t="s">
        <v>170</v>
      </c>
      <c r="C163" s="1">
        <v>1998</v>
      </c>
      <c r="D163" s="1" t="s">
        <v>175</v>
      </c>
      <c r="E163" s="1" t="s">
        <v>233</v>
      </c>
      <c r="F163" s="1">
        <v>2018</v>
      </c>
      <c r="G163" s="1" t="s">
        <v>234</v>
      </c>
      <c r="H163" s="1">
        <v>8880000</v>
      </c>
      <c r="I163" s="21">
        <v>5</v>
      </c>
      <c r="J163" s="1">
        <f t="shared" ref="J163:J170" si="9">J162-H163</f>
        <v>76020000</v>
      </c>
      <c r="K163" s="21">
        <v>4302368</v>
      </c>
      <c r="L163" s="21">
        <v>5.12</v>
      </c>
      <c r="M163" s="21" t="s">
        <v>174</v>
      </c>
    </row>
    <row r="164" spans="1:13">
      <c r="A164" s="1" t="s">
        <v>169</v>
      </c>
      <c r="B164" s="1" t="s">
        <v>170</v>
      </c>
      <c r="C164" s="1">
        <v>1998</v>
      </c>
      <c r="D164" s="1" t="s">
        <v>175</v>
      </c>
      <c r="E164" s="1" t="s">
        <v>233</v>
      </c>
      <c r="F164" s="1">
        <v>2019</v>
      </c>
      <c r="G164" s="1" t="s">
        <v>234</v>
      </c>
      <c r="H164" s="1">
        <v>9325000</v>
      </c>
      <c r="I164" s="21">
        <v>5</v>
      </c>
      <c r="J164" s="1">
        <f t="shared" si="9"/>
        <v>66695000</v>
      </c>
      <c r="K164" s="21">
        <v>3858367</v>
      </c>
      <c r="L164" s="21">
        <v>5.1920000000000002</v>
      </c>
      <c r="M164" s="21" t="s">
        <v>174</v>
      </c>
    </row>
    <row r="165" spans="1:13">
      <c r="A165" s="1" t="s">
        <v>169</v>
      </c>
      <c r="B165" s="1" t="s">
        <v>170</v>
      </c>
      <c r="C165" s="1">
        <v>1998</v>
      </c>
      <c r="D165" s="1" t="s">
        <v>175</v>
      </c>
      <c r="E165" s="1" t="s">
        <v>233</v>
      </c>
      <c r="F165" s="1">
        <v>2020</v>
      </c>
      <c r="G165" s="1" t="s">
        <v>234</v>
      </c>
      <c r="H165" s="1">
        <v>9790000</v>
      </c>
      <c r="I165" s="21">
        <v>5</v>
      </c>
      <c r="J165" s="1">
        <f t="shared" si="9"/>
        <v>56905000</v>
      </c>
      <c r="K165" s="21">
        <v>3392118</v>
      </c>
      <c r="L165" s="21">
        <v>5.16</v>
      </c>
      <c r="M165" s="21" t="s">
        <v>174</v>
      </c>
    </row>
    <row r="166" spans="1:13">
      <c r="A166" s="1" t="s">
        <v>169</v>
      </c>
      <c r="B166" s="1" t="s">
        <v>170</v>
      </c>
      <c r="C166" s="1">
        <v>1998</v>
      </c>
      <c r="D166" s="1" t="s">
        <v>175</v>
      </c>
      <c r="E166" s="1" t="s">
        <v>233</v>
      </c>
      <c r="F166" s="1">
        <v>2021</v>
      </c>
      <c r="G166" s="1" t="s">
        <v>234</v>
      </c>
      <c r="H166" s="1">
        <v>10280000</v>
      </c>
      <c r="I166" s="21">
        <v>5</v>
      </c>
      <c r="J166" s="1">
        <f t="shared" si="9"/>
        <v>46625000</v>
      </c>
      <c r="K166" s="21">
        <v>2902617</v>
      </c>
      <c r="L166" s="21">
        <v>5.16</v>
      </c>
      <c r="M166" s="21" t="s">
        <v>174</v>
      </c>
    </row>
    <row r="167" spans="1:13">
      <c r="A167" s="1" t="s">
        <v>169</v>
      </c>
      <c r="B167" s="1" t="s">
        <v>170</v>
      </c>
      <c r="C167" s="1">
        <v>1998</v>
      </c>
      <c r="D167" s="1" t="s">
        <v>175</v>
      </c>
      <c r="E167" s="1" t="s">
        <v>233</v>
      </c>
      <c r="F167" s="1">
        <v>2022</v>
      </c>
      <c r="G167" s="1" t="s">
        <v>234</v>
      </c>
      <c r="H167" s="1">
        <v>10790000</v>
      </c>
      <c r="I167" s="21">
        <v>5.0999999999999996</v>
      </c>
      <c r="J167" s="1">
        <f t="shared" si="9"/>
        <v>35835000</v>
      </c>
      <c r="K167" s="21">
        <v>2388618</v>
      </c>
      <c r="L167" s="21">
        <v>5.2190000000000003</v>
      </c>
      <c r="M167" s="21" t="s">
        <v>174</v>
      </c>
    </row>
    <row r="168" spans="1:13">
      <c r="A168" s="1" t="s">
        <v>169</v>
      </c>
      <c r="B168" s="1" t="s">
        <v>170</v>
      </c>
      <c r="C168" s="1">
        <v>1998</v>
      </c>
      <c r="D168" s="1" t="s">
        <v>175</v>
      </c>
      <c r="E168" s="1" t="s">
        <v>233</v>
      </c>
      <c r="F168" s="1">
        <v>2023</v>
      </c>
      <c r="G168" s="1" t="s">
        <v>234</v>
      </c>
      <c r="H168" s="1">
        <v>11345000</v>
      </c>
      <c r="I168" s="21">
        <v>5.25</v>
      </c>
      <c r="J168" s="1">
        <f t="shared" si="9"/>
        <v>24490000</v>
      </c>
      <c r="K168" s="21">
        <v>1838327</v>
      </c>
      <c r="L168" s="21">
        <v>5.2320000000000002</v>
      </c>
      <c r="M168" s="21" t="s">
        <v>174</v>
      </c>
    </row>
    <row r="169" spans="1:13">
      <c r="A169" s="1" t="s">
        <v>169</v>
      </c>
      <c r="B169" s="1" t="s">
        <v>170</v>
      </c>
      <c r="C169" s="1">
        <v>1998</v>
      </c>
      <c r="D169" s="1" t="s">
        <v>175</v>
      </c>
      <c r="E169" s="1" t="s">
        <v>233</v>
      </c>
      <c r="F169" s="1">
        <v>2024</v>
      </c>
      <c r="G169" s="1" t="s">
        <v>234</v>
      </c>
      <c r="H169" s="1">
        <v>11940000</v>
      </c>
      <c r="I169" s="21">
        <v>5.0999999999999996</v>
      </c>
      <c r="J169" s="1">
        <f t="shared" si="9"/>
        <v>12550000</v>
      </c>
      <c r="K169" s="21">
        <v>1242715</v>
      </c>
      <c r="L169" s="21">
        <v>5.22</v>
      </c>
      <c r="M169" s="21" t="s">
        <v>174</v>
      </c>
    </row>
    <row r="170" spans="1:13">
      <c r="A170" s="1" t="s">
        <v>169</v>
      </c>
      <c r="B170" s="1" t="s">
        <v>170</v>
      </c>
      <c r="C170" s="1">
        <v>1998</v>
      </c>
      <c r="D170" s="1" t="s">
        <v>175</v>
      </c>
      <c r="E170" s="1" t="s">
        <v>233</v>
      </c>
      <c r="F170" s="1">
        <v>2025</v>
      </c>
      <c r="G170" s="1" t="s">
        <v>234</v>
      </c>
      <c r="H170" s="1">
        <v>12550000</v>
      </c>
      <c r="I170" s="21">
        <v>5.05</v>
      </c>
      <c r="J170" s="1">
        <f t="shared" si="9"/>
        <v>0</v>
      </c>
      <c r="K170" s="21">
        <v>633775</v>
      </c>
      <c r="L170" s="21">
        <v>5.1920000000000002</v>
      </c>
      <c r="M170" s="21" t="s">
        <v>174</v>
      </c>
    </row>
    <row r="171" spans="1:13">
      <c r="A171" s="1" t="s">
        <v>169</v>
      </c>
      <c r="B171" s="1" t="s">
        <v>170</v>
      </c>
      <c r="C171" s="1">
        <v>1998</v>
      </c>
      <c r="D171" s="1" t="s">
        <v>182</v>
      </c>
      <c r="E171" s="1" t="s">
        <v>233</v>
      </c>
      <c r="F171" s="1">
        <v>1998</v>
      </c>
      <c r="G171" s="1" t="s">
        <v>234</v>
      </c>
      <c r="H171" s="21" t="s">
        <v>174</v>
      </c>
      <c r="I171" s="21" t="s">
        <v>174</v>
      </c>
      <c r="J171" s="1">
        <v>36440070</v>
      </c>
      <c r="K171" s="21">
        <v>0</v>
      </c>
      <c r="L171" s="21" t="s">
        <v>174</v>
      </c>
      <c r="M171" s="21" t="s">
        <v>174</v>
      </c>
    </row>
    <row r="172" spans="1:13">
      <c r="A172" s="1" t="s">
        <v>169</v>
      </c>
      <c r="B172" s="1" t="s">
        <v>170</v>
      </c>
      <c r="C172" s="1">
        <v>1998</v>
      </c>
      <c r="D172" s="1" t="s">
        <v>182</v>
      </c>
      <c r="E172" s="1" t="s">
        <v>233</v>
      </c>
      <c r="F172" s="1">
        <v>1999</v>
      </c>
      <c r="G172" s="1" t="s">
        <v>234</v>
      </c>
      <c r="H172" s="21" t="s">
        <v>174</v>
      </c>
      <c r="I172" s="21" t="s">
        <v>174</v>
      </c>
      <c r="J172" s="1">
        <v>36440070</v>
      </c>
      <c r="K172" s="21">
        <v>0</v>
      </c>
      <c r="L172" s="21" t="s">
        <v>174</v>
      </c>
      <c r="M172" s="21" t="s">
        <v>174</v>
      </c>
    </row>
    <row r="173" spans="1:13">
      <c r="A173" s="1" t="s">
        <v>169</v>
      </c>
      <c r="B173" s="1" t="s">
        <v>170</v>
      </c>
      <c r="C173" s="1">
        <v>1998</v>
      </c>
      <c r="D173" s="1" t="s">
        <v>182</v>
      </c>
      <c r="E173" s="1" t="s">
        <v>233</v>
      </c>
      <c r="F173" s="1">
        <v>2000</v>
      </c>
      <c r="G173" s="1" t="s">
        <v>234</v>
      </c>
      <c r="H173" s="21" t="s">
        <v>174</v>
      </c>
      <c r="I173" s="21" t="s">
        <v>174</v>
      </c>
      <c r="J173" s="1">
        <v>36440070</v>
      </c>
      <c r="K173" s="21">
        <v>0</v>
      </c>
      <c r="L173" s="21" t="s">
        <v>174</v>
      </c>
      <c r="M173" s="21" t="s">
        <v>174</v>
      </c>
    </row>
    <row r="174" spans="1:13">
      <c r="A174" s="1" t="s">
        <v>169</v>
      </c>
      <c r="B174" s="1" t="s">
        <v>170</v>
      </c>
      <c r="C174" s="1">
        <v>1998</v>
      </c>
      <c r="D174" s="1" t="s">
        <v>182</v>
      </c>
      <c r="E174" s="1" t="s">
        <v>233</v>
      </c>
      <c r="F174" s="1">
        <v>2001</v>
      </c>
      <c r="G174" s="1" t="s">
        <v>234</v>
      </c>
      <c r="H174" s="21" t="s">
        <v>174</v>
      </c>
      <c r="I174" s="21" t="s">
        <v>174</v>
      </c>
      <c r="J174" s="1">
        <v>36440070</v>
      </c>
      <c r="K174" s="21">
        <v>0</v>
      </c>
      <c r="L174" s="21" t="s">
        <v>174</v>
      </c>
      <c r="M174" s="21" t="s">
        <v>174</v>
      </c>
    </row>
    <row r="175" spans="1:13">
      <c r="A175" s="1" t="s">
        <v>169</v>
      </c>
      <c r="B175" s="1" t="s">
        <v>170</v>
      </c>
      <c r="C175" s="1">
        <v>1998</v>
      </c>
      <c r="D175" s="1" t="s">
        <v>182</v>
      </c>
      <c r="E175" s="1" t="s">
        <v>233</v>
      </c>
      <c r="F175" s="1">
        <v>2002</v>
      </c>
      <c r="G175" s="1" t="s">
        <v>234</v>
      </c>
      <c r="H175" s="21" t="s">
        <v>174</v>
      </c>
      <c r="I175" s="21" t="s">
        <v>174</v>
      </c>
      <c r="J175" s="1">
        <v>36440070</v>
      </c>
      <c r="K175" s="21">
        <v>0</v>
      </c>
      <c r="L175" s="21" t="s">
        <v>174</v>
      </c>
      <c r="M175" s="21" t="s">
        <v>174</v>
      </c>
    </row>
    <row r="176" spans="1:13">
      <c r="A176" s="1" t="s">
        <v>169</v>
      </c>
      <c r="B176" s="1" t="s">
        <v>170</v>
      </c>
      <c r="C176" s="1">
        <v>1998</v>
      </c>
      <c r="D176" s="1" t="s">
        <v>182</v>
      </c>
      <c r="E176" s="1" t="s">
        <v>233</v>
      </c>
      <c r="F176" s="1">
        <v>2003</v>
      </c>
      <c r="G176" s="1" t="s">
        <v>234</v>
      </c>
      <c r="H176" s="21" t="s">
        <v>174</v>
      </c>
      <c r="I176" s="21" t="s">
        <v>174</v>
      </c>
      <c r="J176" s="1">
        <v>36440070</v>
      </c>
      <c r="K176" s="21">
        <v>0</v>
      </c>
      <c r="L176" s="21" t="s">
        <v>174</v>
      </c>
      <c r="M176" s="21" t="s">
        <v>174</v>
      </c>
    </row>
    <row r="177" spans="1:13">
      <c r="A177" s="1" t="s">
        <v>169</v>
      </c>
      <c r="B177" s="1" t="s">
        <v>170</v>
      </c>
      <c r="C177" s="1">
        <v>1998</v>
      </c>
      <c r="D177" s="1" t="s">
        <v>182</v>
      </c>
      <c r="E177" s="1" t="s">
        <v>233</v>
      </c>
      <c r="F177" s="1">
        <v>2004</v>
      </c>
      <c r="G177" s="1" t="s">
        <v>234</v>
      </c>
      <c r="H177" s="21" t="s">
        <v>174</v>
      </c>
      <c r="I177" s="21" t="s">
        <v>174</v>
      </c>
      <c r="J177" s="1">
        <v>36440070</v>
      </c>
      <c r="K177" s="21">
        <v>0</v>
      </c>
      <c r="L177" s="21" t="s">
        <v>174</v>
      </c>
      <c r="M177" s="21" t="s">
        <v>174</v>
      </c>
    </row>
    <row r="178" spans="1:13">
      <c r="A178" s="1" t="s">
        <v>169</v>
      </c>
      <c r="B178" s="1" t="s">
        <v>170</v>
      </c>
      <c r="C178" s="1">
        <v>1998</v>
      </c>
      <c r="D178" s="1" t="s">
        <v>182</v>
      </c>
      <c r="E178" s="1" t="s">
        <v>233</v>
      </c>
      <c r="F178" s="1">
        <v>2005</v>
      </c>
      <c r="G178" s="1" t="s">
        <v>234</v>
      </c>
      <c r="H178" s="21" t="s">
        <v>174</v>
      </c>
      <c r="I178" s="21" t="s">
        <v>174</v>
      </c>
      <c r="J178" s="1">
        <v>36440070</v>
      </c>
      <c r="K178" s="21">
        <v>0</v>
      </c>
      <c r="L178" s="21" t="s">
        <v>174</v>
      </c>
      <c r="M178" s="21" t="s">
        <v>174</v>
      </c>
    </row>
    <row r="179" spans="1:13">
      <c r="A179" s="1" t="s">
        <v>169</v>
      </c>
      <c r="B179" s="1" t="s">
        <v>170</v>
      </c>
      <c r="C179" s="1">
        <v>1998</v>
      </c>
      <c r="D179" s="1" t="s">
        <v>182</v>
      </c>
      <c r="E179" s="1" t="s">
        <v>233</v>
      </c>
      <c r="F179" s="1">
        <v>2006</v>
      </c>
      <c r="G179" s="1" t="s">
        <v>234</v>
      </c>
      <c r="H179" s="21" t="s">
        <v>174</v>
      </c>
      <c r="I179" s="21" t="s">
        <v>174</v>
      </c>
      <c r="J179" s="1">
        <v>36440070</v>
      </c>
      <c r="K179" s="21">
        <v>0</v>
      </c>
      <c r="L179" s="21" t="s">
        <v>174</v>
      </c>
      <c r="M179" s="21" t="s">
        <v>174</v>
      </c>
    </row>
    <row r="180" spans="1:13">
      <c r="A180" s="1" t="s">
        <v>169</v>
      </c>
      <c r="B180" s="1" t="s">
        <v>170</v>
      </c>
      <c r="C180" s="1">
        <v>1998</v>
      </c>
      <c r="D180" s="1" t="s">
        <v>182</v>
      </c>
      <c r="E180" s="1" t="s">
        <v>233</v>
      </c>
      <c r="F180" s="1">
        <v>2007</v>
      </c>
      <c r="G180" s="1" t="s">
        <v>234</v>
      </c>
      <c r="H180" s="21" t="s">
        <v>174</v>
      </c>
      <c r="I180" s="21" t="s">
        <v>174</v>
      </c>
      <c r="J180" s="1">
        <v>36440070</v>
      </c>
      <c r="K180" s="21">
        <v>0</v>
      </c>
      <c r="L180" s="21" t="s">
        <v>174</v>
      </c>
      <c r="M180" s="21" t="s">
        <v>174</v>
      </c>
    </row>
    <row r="181" spans="1:13">
      <c r="A181" s="1" t="s">
        <v>169</v>
      </c>
      <c r="B181" s="1" t="s">
        <v>170</v>
      </c>
      <c r="C181" s="1">
        <v>1998</v>
      </c>
      <c r="D181" s="1" t="s">
        <v>182</v>
      </c>
      <c r="E181" s="1" t="s">
        <v>233</v>
      </c>
      <c r="F181" s="1">
        <v>2008</v>
      </c>
      <c r="G181" s="1" t="s">
        <v>234</v>
      </c>
      <c r="H181" s="21" t="s">
        <v>174</v>
      </c>
      <c r="I181" s="21" t="s">
        <v>174</v>
      </c>
      <c r="J181" s="1">
        <v>36440070</v>
      </c>
      <c r="K181" s="21">
        <v>0</v>
      </c>
      <c r="L181" s="21" t="s">
        <v>174</v>
      </c>
      <c r="M181" s="21" t="s">
        <v>174</v>
      </c>
    </row>
    <row r="182" spans="1:13">
      <c r="A182" s="1" t="s">
        <v>169</v>
      </c>
      <c r="B182" s="1" t="s">
        <v>170</v>
      </c>
      <c r="C182" s="1">
        <v>1998</v>
      </c>
      <c r="D182" s="1" t="s">
        <v>182</v>
      </c>
      <c r="E182" s="1" t="s">
        <v>233</v>
      </c>
      <c r="F182" s="1">
        <v>2009</v>
      </c>
      <c r="G182" s="1" t="s">
        <v>234</v>
      </c>
      <c r="H182" s="21" t="s">
        <v>174</v>
      </c>
      <c r="I182" s="21" t="s">
        <v>174</v>
      </c>
      <c r="J182" s="1">
        <v>36440070</v>
      </c>
      <c r="K182" s="21">
        <v>0</v>
      </c>
      <c r="L182" s="21" t="s">
        <v>174</v>
      </c>
      <c r="M182" s="21" t="s">
        <v>174</v>
      </c>
    </row>
    <row r="183" spans="1:13">
      <c r="A183" s="1" t="s">
        <v>169</v>
      </c>
      <c r="B183" s="1" t="s">
        <v>170</v>
      </c>
      <c r="C183" s="1">
        <v>1998</v>
      </c>
      <c r="D183" s="1" t="s">
        <v>182</v>
      </c>
      <c r="E183" s="1" t="s">
        <v>233</v>
      </c>
      <c r="F183" s="1">
        <v>2010</v>
      </c>
      <c r="G183" s="1" t="s">
        <v>234</v>
      </c>
      <c r="H183" s="21" t="s">
        <v>174</v>
      </c>
      <c r="I183" s="21" t="s">
        <v>174</v>
      </c>
      <c r="J183" s="1">
        <v>36440070</v>
      </c>
      <c r="K183" s="21">
        <v>0</v>
      </c>
      <c r="L183" s="21" t="s">
        <v>174</v>
      </c>
      <c r="M183" s="21" t="s">
        <v>174</v>
      </c>
    </row>
    <row r="184" spans="1:13">
      <c r="A184" s="1" t="s">
        <v>169</v>
      </c>
      <c r="B184" s="1" t="s">
        <v>170</v>
      </c>
      <c r="C184" s="1">
        <v>1998</v>
      </c>
      <c r="D184" s="1" t="s">
        <v>182</v>
      </c>
      <c r="E184" s="1" t="s">
        <v>233</v>
      </c>
      <c r="F184" s="1">
        <v>2011</v>
      </c>
      <c r="G184" s="1" t="s">
        <v>234</v>
      </c>
      <c r="H184" s="21" t="s">
        <v>174</v>
      </c>
      <c r="I184" s="21" t="s">
        <v>174</v>
      </c>
      <c r="J184" s="1">
        <v>36440070</v>
      </c>
      <c r="K184" s="21">
        <v>0</v>
      </c>
      <c r="L184" s="21" t="s">
        <v>174</v>
      </c>
      <c r="M184" s="21" t="s">
        <v>174</v>
      </c>
    </row>
    <row r="185" spans="1:13">
      <c r="A185" s="1" t="s">
        <v>169</v>
      </c>
      <c r="B185" s="1" t="s">
        <v>170</v>
      </c>
      <c r="C185" s="1">
        <v>1998</v>
      </c>
      <c r="D185" s="1" t="s">
        <v>182</v>
      </c>
      <c r="E185" s="1" t="s">
        <v>233</v>
      </c>
      <c r="F185" s="1">
        <v>2012</v>
      </c>
      <c r="G185" s="1" t="s">
        <v>234</v>
      </c>
      <c r="H185" s="21" t="s">
        <v>174</v>
      </c>
      <c r="I185" s="21" t="s">
        <v>174</v>
      </c>
      <c r="J185" s="1">
        <v>36440070</v>
      </c>
      <c r="K185" s="21">
        <v>0</v>
      </c>
      <c r="L185" s="21" t="s">
        <v>174</v>
      </c>
      <c r="M185" s="21" t="s">
        <v>174</v>
      </c>
    </row>
    <row r="186" spans="1:13">
      <c r="A186" s="1" t="s">
        <v>169</v>
      </c>
      <c r="B186" s="1" t="s">
        <v>170</v>
      </c>
      <c r="C186" s="1">
        <v>1998</v>
      </c>
      <c r="D186" s="1" t="s">
        <v>182</v>
      </c>
      <c r="E186" s="1" t="s">
        <v>233</v>
      </c>
      <c r="F186" s="1">
        <v>2013</v>
      </c>
      <c r="G186" s="1" t="s">
        <v>234</v>
      </c>
      <c r="H186" s="21" t="s">
        <v>174</v>
      </c>
      <c r="I186" s="21" t="s">
        <v>174</v>
      </c>
      <c r="J186" s="1">
        <v>36440070</v>
      </c>
      <c r="K186" s="21">
        <v>0</v>
      </c>
      <c r="L186" s="21" t="s">
        <v>174</v>
      </c>
      <c r="M186" s="21" t="s">
        <v>174</v>
      </c>
    </row>
    <row r="187" spans="1:13">
      <c r="A187" s="1" t="s">
        <v>169</v>
      </c>
      <c r="B187" s="1" t="s">
        <v>170</v>
      </c>
      <c r="C187" s="1">
        <v>1998</v>
      </c>
      <c r="D187" s="1" t="s">
        <v>182</v>
      </c>
      <c r="E187" s="1" t="s">
        <v>233</v>
      </c>
      <c r="F187" s="1">
        <v>2014</v>
      </c>
      <c r="G187" s="1" t="s">
        <v>234</v>
      </c>
      <c r="H187" s="21" t="s">
        <v>174</v>
      </c>
      <c r="I187" s="21" t="s">
        <v>174</v>
      </c>
      <c r="J187" s="1">
        <v>36440070</v>
      </c>
      <c r="K187" s="21">
        <v>0</v>
      </c>
      <c r="L187" s="21" t="s">
        <v>174</v>
      </c>
      <c r="M187" s="21" t="s">
        <v>174</v>
      </c>
    </row>
    <row r="188" spans="1:13">
      <c r="A188" s="1" t="s">
        <v>169</v>
      </c>
      <c r="B188" s="1" t="s">
        <v>170</v>
      </c>
      <c r="C188" s="1">
        <v>1998</v>
      </c>
      <c r="D188" s="1" t="s">
        <v>182</v>
      </c>
      <c r="E188" s="1" t="s">
        <v>233</v>
      </c>
      <c r="F188" s="1">
        <v>2015</v>
      </c>
      <c r="G188" s="1" t="s">
        <v>234</v>
      </c>
      <c r="H188" s="21" t="s">
        <v>174</v>
      </c>
      <c r="I188" s="21" t="s">
        <v>174</v>
      </c>
      <c r="J188" s="1">
        <v>36440070</v>
      </c>
      <c r="K188" s="21">
        <v>0</v>
      </c>
      <c r="L188" s="21" t="s">
        <v>174</v>
      </c>
      <c r="M188" s="21" t="s">
        <v>174</v>
      </c>
    </row>
    <row r="189" spans="1:13">
      <c r="A189" s="1" t="s">
        <v>169</v>
      </c>
      <c r="B189" s="1" t="s">
        <v>170</v>
      </c>
      <c r="C189" s="1">
        <v>1998</v>
      </c>
      <c r="D189" s="1" t="s">
        <v>182</v>
      </c>
      <c r="E189" s="1" t="s">
        <v>233</v>
      </c>
      <c r="F189" s="1">
        <v>2016</v>
      </c>
      <c r="G189" s="1" t="s">
        <v>234</v>
      </c>
      <c r="H189" s="21" t="s">
        <v>174</v>
      </c>
      <c r="I189" s="21" t="s">
        <v>174</v>
      </c>
      <c r="J189" s="1">
        <v>36440070</v>
      </c>
      <c r="K189" s="21">
        <v>0</v>
      </c>
      <c r="L189" s="21" t="s">
        <v>174</v>
      </c>
      <c r="M189" s="21" t="s">
        <v>174</v>
      </c>
    </row>
    <row r="190" spans="1:13">
      <c r="A190" s="1" t="s">
        <v>169</v>
      </c>
      <c r="B190" s="1" t="s">
        <v>170</v>
      </c>
      <c r="C190" s="1">
        <v>1998</v>
      </c>
      <c r="D190" s="1" t="s">
        <v>182</v>
      </c>
      <c r="E190" s="1" t="s">
        <v>233</v>
      </c>
      <c r="F190" s="1">
        <v>2017</v>
      </c>
      <c r="G190" s="1" t="s">
        <v>234</v>
      </c>
      <c r="H190" s="1">
        <v>848723</v>
      </c>
      <c r="I190" s="21" t="s">
        <v>174</v>
      </c>
      <c r="J190" s="1">
        <f>J189-H190</f>
        <v>35591347</v>
      </c>
      <c r="K190" s="21">
        <f>2300000-H190</f>
        <v>1451277</v>
      </c>
      <c r="L190" s="21">
        <v>5.1790000000000003</v>
      </c>
      <c r="M190" s="21" t="s">
        <v>174</v>
      </c>
    </row>
    <row r="191" spans="1:13">
      <c r="A191" s="1" t="s">
        <v>169</v>
      </c>
      <c r="B191" s="1" t="s">
        <v>170</v>
      </c>
      <c r="C191" s="1">
        <v>1998</v>
      </c>
      <c r="D191" s="1" t="s">
        <v>182</v>
      </c>
      <c r="E191" s="1" t="s">
        <v>233</v>
      </c>
      <c r="F191" s="1">
        <v>2018</v>
      </c>
      <c r="G191" s="1" t="s">
        <v>234</v>
      </c>
      <c r="H191" s="1">
        <v>801757</v>
      </c>
      <c r="I191" s="21" t="s">
        <v>174</v>
      </c>
      <c r="J191" s="1">
        <f t="shared" ref="J191:J203" si="10">J190-H191</f>
        <v>34789590</v>
      </c>
      <c r="K191" s="21">
        <f>2300000-H191</f>
        <v>1498243</v>
      </c>
      <c r="L191" s="21">
        <v>5.2080000000000002</v>
      </c>
      <c r="M191" s="21" t="s">
        <v>174</v>
      </c>
    </row>
    <row r="192" spans="1:13">
      <c r="A192" s="1" t="s">
        <v>169</v>
      </c>
      <c r="B192" s="1" t="s">
        <v>170</v>
      </c>
      <c r="C192" s="1">
        <v>1998</v>
      </c>
      <c r="D192" s="1" t="s">
        <v>182</v>
      </c>
      <c r="E192" s="1" t="s">
        <v>233</v>
      </c>
      <c r="F192" s="1">
        <v>2019</v>
      </c>
      <c r="G192" s="1" t="s">
        <v>234</v>
      </c>
      <c r="H192" s="1">
        <v>759115</v>
      </c>
      <c r="I192" s="21" t="s">
        <v>174</v>
      </c>
      <c r="J192" s="1">
        <f t="shared" si="10"/>
        <v>34030475</v>
      </c>
      <c r="K192" s="21">
        <f>2300000-H192</f>
        <v>1540885</v>
      </c>
      <c r="L192" s="21">
        <v>5.22</v>
      </c>
      <c r="M192" s="21" t="s">
        <v>174</v>
      </c>
    </row>
    <row r="193" spans="1:13">
      <c r="A193" s="1" t="s">
        <v>169</v>
      </c>
      <c r="B193" s="1" t="s">
        <v>170</v>
      </c>
      <c r="C193" s="1">
        <v>1998</v>
      </c>
      <c r="D193" s="1" t="s">
        <v>182</v>
      </c>
      <c r="E193" s="1" t="s">
        <v>233</v>
      </c>
      <c r="F193" s="1">
        <v>2020</v>
      </c>
      <c r="G193" s="1" t="s">
        <v>234</v>
      </c>
      <c r="H193" s="1">
        <v>720958</v>
      </c>
      <c r="I193" s="21" t="s">
        <v>174</v>
      </c>
      <c r="J193" s="1">
        <f t="shared" si="10"/>
        <v>33309517</v>
      </c>
      <c r="K193" s="21">
        <f>2300000-H193</f>
        <v>1579042</v>
      </c>
      <c r="L193" s="21">
        <v>5.22</v>
      </c>
      <c r="M193" s="21" t="s">
        <v>174</v>
      </c>
    </row>
    <row r="194" spans="1:13">
      <c r="A194" s="1" t="s">
        <v>169</v>
      </c>
      <c r="B194" s="1" t="s">
        <v>170</v>
      </c>
      <c r="C194" s="1">
        <v>1998</v>
      </c>
      <c r="D194" s="1" t="s">
        <v>182</v>
      </c>
      <c r="E194" s="1" t="s">
        <v>233</v>
      </c>
      <c r="F194" s="1">
        <v>2021</v>
      </c>
      <c r="G194" s="1" t="s">
        <v>234</v>
      </c>
      <c r="H194" s="1">
        <v>679029</v>
      </c>
      <c r="I194" s="21" t="s">
        <v>174</v>
      </c>
      <c r="J194" s="1">
        <f t="shared" si="10"/>
        <v>32630488</v>
      </c>
      <c r="K194" s="21">
        <f>2300000-H194</f>
        <v>1620971</v>
      </c>
      <c r="L194" s="21">
        <v>5.26</v>
      </c>
      <c r="M194" s="21" t="s">
        <v>174</v>
      </c>
    </row>
    <row r="195" spans="1:13">
      <c r="A195" s="1" t="s">
        <v>169</v>
      </c>
      <c r="B195" s="1" t="s">
        <v>170</v>
      </c>
      <c r="C195" s="1">
        <v>1998</v>
      </c>
      <c r="D195" s="1" t="s">
        <v>182</v>
      </c>
      <c r="E195" s="1" t="s">
        <v>233</v>
      </c>
      <c r="F195" s="1">
        <v>2022</v>
      </c>
      <c r="G195" s="1" t="s">
        <v>234</v>
      </c>
      <c r="H195" s="1">
        <v>646068</v>
      </c>
      <c r="I195" s="21" t="s">
        <v>174</v>
      </c>
      <c r="J195" s="1">
        <f t="shared" si="10"/>
        <v>31984420</v>
      </c>
      <c r="K195" s="21">
        <f>2305000-H195</f>
        <v>1658932</v>
      </c>
      <c r="L195" s="21">
        <v>5.26</v>
      </c>
      <c r="M195" s="21" t="s">
        <v>174</v>
      </c>
    </row>
    <row r="196" spans="1:13">
      <c r="A196" s="1" t="s">
        <v>169</v>
      </c>
      <c r="B196" s="1" t="s">
        <v>170</v>
      </c>
      <c r="C196" s="1">
        <v>1998</v>
      </c>
      <c r="D196" s="1" t="s">
        <v>182</v>
      </c>
      <c r="E196" s="1" t="s">
        <v>233</v>
      </c>
      <c r="F196" s="1">
        <v>2023</v>
      </c>
      <c r="G196" s="1" t="s">
        <v>234</v>
      </c>
      <c r="H196" s="1">
        <v>612053</v>
      </c>
      <c r="I196" s="21" t="s">
        <v>174</v>
      </c>
      <c r="J196" s="1">
        <f t="shared" si="10"/>
        <v>31372367</v>
      </c>
      <c r="K196" s="21">
        <f>2300000-H196</f>
        <v>1687947</v>
      </c>
      <c r="L196" s="21">
        <v>5.26</v>
      </c>
      <c r="M196" s="21" t="s">
        <v>174</v>
      </c>
    </row>
    <row r="197" spans="1:13">
      <c r="A197" s="1" t="s">
        <v>169</v>
      </c>
      <c r="B197" s="1" t="s">
        <v>170</v>
      </c>
      <c r="C197" s="1">
        <v>1998</v>
      </c>
      <c r="D197" s="1" t="s">
        <v>182</v>
      </c>
      <c r="E197" s="1" t="s">
        <v>233</v>
      </c>
      <c r="F197" s="1">
        <v>2024</v>
      </c>
      <c r="G197" s="1" t="s">
        <v>234</v>
      </c>
      <c r="H197" s="1">
        <v>1049568</v>
      </c>
      <c r="I197" s="21" t="s">
        <v>174</v>
      </c>
      <c r="J197" s="1">
        <f t="shared" si="10"/>
        <v>30322799</v>
      </c>
      <c r="K197" s="21">
        <f>4160000-H197</f>
        <v>3110432</v>
      </c>
      <c r="L197" s="21">
        <v>5.25</v>
      </c>
      <c r="M197" s="21" t="s">
        <v>174</v>
      </c>
    </row>
    <row r="198" spans="1:13">
      <c r="A198" s="1" t="s">
        <v>169</v>
      </c>
      <c r="B198" s="1" t="s">
        <v>170</v>
      </c>
      <c r="C198" s="1">
        <v>1998</v>
      </c>
      <c r="D198" s="1" t="s">
        <v>182</v>
      </c>
      <c r="E198" s="1" t="s">
        <v>233</v>
      </c>
      <c r="F198" s="1">
        <v>2025</v>
      </c>
      <c r="G198" s="1" t="s">
        <v>234</v>
      </c>
      <c r="H198" s="1">
        <v>996362</v>
      </c>
      <c r="I198" s="21" t="s">
        <v>174</v>
      </c>
      <c r="J198" s="1">
        <f t="shared" si="10"/>
        <v>29326437</v>
      </c>
      <c r="K198" s="21">
        <f>4160000-H198</f>
        <v>3163638</v>
      </c>
      <c r="L198" s="21">
        <v>5.25</v>
      </c>
      <c r="M198" s="21" t="s">
        <v>174</v>
      </c>
    </row>
    <row r="199" spans="1:13">
      <c r="A199" s="1" t="s">
        <v>169</v>
      </c>
      <c r="B199" s="1" t="s">
        <v>170</v>
      </c>
      <c r="C199" s="1">
        <v>1998</v>
      </c>
      <c r="D199" s="1" t="s">
        <v>182</v>
      </c>
      <c r="E199" s="1" t="s">
        <v>233</v>
      </c>
      <c r="F199" s="1">
        <v>2026</v>
      </c>
      <c r="G199" s="1" t="s">
        <v>234</v>
      </c>
      <c r="H199" s="1">
        <v>7242045</v>
      </c>
      <c r="I199" s="21" t="s">
        <v>174</v>
      </c>
      <c r="J199" s="1">
        <f t="shared" si="10"/>
        <v>22084392</v>
      </c>
      <c r="K199" s="21">
        <f>31755000-H199</f>
        <v>24512955</v>
      </c>
      <c r="L199" s="21">
        <v>5.25</v>
      </c>
      <c r="M199" s="21" t="s">
        <v>174</v>
      </c>
    </row>
    <row r="200" spans="1:13">
      <c r="A200" s="1" t="s">
        <v>169</v>
      </c>
      <c r="B200" s="1" t="s">
        <v>170</v>
      </c>
      <c r="C200" s="1">
        <v>1998</v>
      </c>
      <c r="D200" s="1" t="s">
        <v>182</v>
      </c>
      <c r="E200" s="1" t="s">
        <v>233</v>
      </c>
      <c r="F200" s="1">
        <v>2027</v>
      </c>
      <c r="G200" s="1" t="s">
        <v>234</v>
      </c>
      <c r="H200" s="1">
        <v>6761910</v>
      </c>
      <c r="I200" s="21" t="s">
        <v>174</v>
      </c>
      <c r="J200" s="1">
        <f t="shared" si="10"/>
        <v>15322482</v>
      </c>
      <c r="K200" s="21">
        <f>31755000-H200</f>
        <v>24993090</v>
      </c>
      <c r="L200" s="21">
        <v>5.31</v>
      </c>
      <c r="M200" s="21" t="s">
        <v>174</v>
      </c>
    </row>
    <row r="201" spans="1:13">
      <c r="A201" s="1" t="s">
        <v>169</v>
      </c>
      <c r="B201" s="1" t="s">
        <v>170</v>
      </c>
      <c r="C201" s="1">
        <v>1998</v>
      </c>
      <c r="D201" s="1" t="s">
        <v>182</v>
      </c>
      <c r="E201" s="1" t="s">
        <v>233</v>
      </c>
      <c r="F201" s="1">
        <v>2028</v>
      </c>
      <c r="G201" s="1" t="s">
        <v>234</v>
      </c>
      <c r="H201" s="1">
        <v>6478020</v>
      </c>
      <c r="I201" s="21" t="s">
        <v>174</v>
      </c>
      <c r="J201" s="1">
        <f t="shared" si="10"/>
        <v>8844462</v>
      </c>
      <c r="K201" s="21">
        <f>31755000-H201</f>
        <v>25276980</v>
      </c>
      <c r="L201" s="21">
        <v>5.2750000000000004</v>
      </c>
      <c r="M201" s="21" t="s">
        <v>174</v>
      </c>
    </row>
    <row r="202" spans="1:13">
      <c r="A202" s="1" t="s">
        <v>169</v>
      </c>
      <c r="B202" s="1" t="s">
        <v>170</v>
      </c>
      <c r="C202" s="1">
        <v>1998</v>
      </c>
      <c r="D202" s="1" t="s">
        <v>182</v>
      </c>
      <c r="E202" s="1" t="s">
        <v>233</v>
      </c>
      <c r="F202" s="1">
        <v>2029</v>
      </c>
      <c r="G202" s="1" t="s">
        <v>234</v>
      </c>
      <c r="H202" s="1">
        <v>6105534</v>
      </c>
      <c r="I202" s="21" t="s">
        <v>174</v>
      </c>
      <c r="J202" s="1">
        <f t="shared" si="10"/>
        <v>2738928</v>
      </c>
      <c r="K202" s="21">
        <f>31755000-H202</f>
        <v>25649466</v>
      </c>
      <c r="L202" s="21">
        <v>5.3040000000000003</v>
      </c>
      <c r="M202" s="21" t="s">
        <v>174</v>
      </c>
    </row>
    <row r="203" spans="1:13">
      <c r="A203" s="1" t="s">
        <v>169</v>
      </c>
      <c r="B203" s="1" t="s">
        <v>170</v>
      </c>
      <c r="C203" s="1">
        <v>1998</v>
      </c>
      <c r="D203" s="1" t="s">
        <v>182</v>
      </c>
      <c r="E203" s="1" t="s">
        <v>233</v>
      </c>
      <c r="F203" s="1">
        <v>2030</v>
      </c>
      <c r="G203" s="1" t="s">
        <v>234</v>
      </c>
      <c r="H203" s="1">
        <v>2738928</v>
      </c>
      <c r="I203" s="21" t="s">
        <v>174</v>
      </c>
      <c r="J203" s="1">
        <f t="shared" si="10"/>
        <v>0</v>
      </c>
      <c r="K203" s="21">
        <f>14660000-H203</f>
        <v>11921072</v>
      </c>
      <c r="L203" s="21">
        <v>5.2249999999999996</v>
      </c>
      <c r="M203" s="21" t="s">
        <v>174</v>
      </c>
    </row>
    <row r="204" spans="1:13">
      <c r="A204" s="1" t="s">
        <v>169</v>
      </c>
      <c r="B204" s="1" t="s">
        <v>170</v>
      </c>
      <c r="C204" s="1">
        <v>1998</v>
      </c>
      <c r="D204" s="1" t="s">
        <v>184</v>
      </c>
      <c r="E204" s="1" t="s">
        <v>233</v>
      </c>
      <c r="F204" s="1">
        <v>1998</v>
      </c>
      <c r="G204" s="1" t="s">
        <v>234</v>
      </c>
      <c r="H204" s="21" t="s">
        <v>174</v>
      </c>
      <c r="I204" s="21" t="s">
        <v>174</v>
      </c>
      <c r="J204" s="1">
        <v>101970000</v>
      </c>
      <c r="K204" s="21">
        <v>2592663</v>
      </c>
      <c r="L204" s="21" t="s">
        <v>174</v>
      </c>
      <c r="M204" s="21" t="s">
        <v>174</v>
      </c>
    </row>
    <row r="205" spans="1:13">
      <c r="A205" s="1" t="s">
        <v>169</v>
      </c>
      <c r="B205" s="1" t="s">
        <v>170</v>
      </c>
      <c r="C205" s="1">
        <v>1998</v>
      </c>
      <c r="D205" s="1" t="s">
        <v>184</v>
      </c>
      <c r="E205" s="1" t="s">
        <v>233</v>
      </c>
      <c r="F205" s="1">
        <v>1999</v>
      </c>
      <c r="G205" s="1" t="s">
        <v>234</v>
      </c>
      <c r="H205" s="21" t="s">
        <v>174</v>
      </c>
      <c r="I205" s="21" t="s">
        <v>174</v>
      </c>
      <c r="J205" s="1">
        <v>101970000</v>
      </c>
      <c r="K205" s="21">
        <v>5185326</v>
      </c>
      <c r="L205" s="21" t="s">
        <v>174</v>
      </c>
      <c r="M205" s="21" t="s">
        <v>174</v>
      </c>
    </row>
    <row r="206" spans="1:13">
      <c r="A206" s="1" t="s">
        <v>169</v>
      </c>
      <c r="B206" s="1" t="s">
        <v>170</v>
      </c>
      <c r="C206" s="1">
        <v>1998</v>
      </c>
      <c r="D206" s="1" t="s">
        <v>184</v>
      </c>
      <c r="E206" s="1" t="s">
        <v>233</v>
      </c>
      <c r="F206" s="1">
        <v>2000</v>
      </c>
      <c r="G206" s="1" t="s">
        <v>234</v>
      </c>
      <c r="H206" s="21" t="s">
        <v>174</v>
      </c>
      <c r="I206" s="21" t="s">
        <v>174</v>
      </c>
      <c r="J206" s="1">
        <v>101970000</v>
      </c>
      <c r="K206" s="21">
        <v>5185326</v>
      </c>
      <c r="L206" s="21" t="s">
        <v>174</v>
      </c>
      <c r="M206" s="21" t="s">
        <v>174</v>
      </c>
    </row>
    <row r="207" spans="1:13">
      <c r="A207" s="1" t="s">
        <v>169</v>
      </c>
      <c r="B207" s="1" t="s">
        <v>170</v>
      </c>
      <c r="C207" s="1">
        <v>1998</v>
      </c>
      <c r="D207" s="1" t="s">
        <v>184</v>
      </c>
      <c r="E207" s="1" t="s">
        <v>233</v>
      </c>
      <c r="F207" s="1">
        <v>2001</v>
      </c>
      <c r="G207" s="1" t="s">
        <v>234</v>
      </c>
      <c r="H207" s="21" t="s">
        <v>174</v>
      </c>
      <c r="I207" s="21" t="s">
        <v>174</v>
      </c>
      <c r="J207" s="1">
        <v>101970000</v>
      </c>
      <c r="K207" s="21">
        <v>5185326</v>
      </c>
      <c r="L207" s="21" t="s">
        <v>174</v>
      </c>
      <c r="M207" s="21" t="s">
        <v>174</v>
      </c>
    </row>
    <row r="208" spans="1:13">
      <c r="A208" s="1" t="s">
        <v>169</v>
      </c>
      <c r="B208" s="1" t="s">
        <v>170</v>
      </c>
      <c r="C208" s="1">
        <v>1998</v>
      </c>
      <c r="D208" s="1" t="s">
        <v>184</v>
      </c>
      <c r="E208" s="1" t="s">
        <v>233</v>
      </c>
      <c r="F208" s="1">
        <v>2002</v>
      </c>
      <c r="G208" s="1" t="s">
        <v>234</v>
      </c>
      <c r="H208" s="21" t="s">
        <v>174</v>
      </c>
      <c r="I208" s="21" t="s">
        <v>174</v>
      </c>
      <c r="J208" s="1">
        <v>101970000</v>
      </c>
      <c r="K208" s="21">
        <v>5185327</v>
      </c>
      <c r="L208" s="21" t="s">
        <v>174</v>
      </c>
      <c r="M208" s="21" t="s">
        <v>174</v>
      </c>
    </row>
    <row r="209" spans="1:13">
      <c r="A209" s="1" t="s">
        <v>169</v>
      </c>
      <c r="B209" s="1" t="s">
        <v>170</v>
      </c>
      <c r="C209" s="1">
        <v>1998</v>
      </c>
      <c r="D209" s="1" t="s">
        <v>184</v>
      </c>
      <c r="E209" s="1" t="s">
        <v>233</v>
      </c>
      <c r="F209" s="1">
        <v>2003</v>
      </c>
      <c r="G209" s="1" t="s">
        <v>234</v>
      </c>
      <c r="H209" s="21" t="s">
        <v>174</v>
      </c>
      <c r="I209" s="21" t="s">
        <v>174</v>
      </c>
      <c r="J209" s="1">
        <v>101970000</v>
      </c>
      <c r="K209" s="21">
        <v>5185326</v>
      </c>
      <c r="L209" s="21" t="s">
        <v>174</v>
      </c>
      <c r="M209" s="21" t="s">
        <v>174</v>
      </c>
    </row>
    <row r="210" spans="1:13">
      <c r="A210" s="1" t="s">
        <v>169</v>
      </c>
      <c r="B210" s="1" t="s">
        <v>170</v>
      </c>
      <c r="C210" s="1">
        <v>1998</v>
      </c>
      <c r="D210" s="1" t="s">
        <v>184</v>
      </c>
      <c r="E210" s="1" t="s">
        <v>233</v>
      </c>
      <c r="F210" s="1">
        <v>2004</v>
      </c>
      <c r="G210" s="1" t="s">
        <v>234</v>
      </c>
      <c r="H210" s="21" t="s">
        <v>174</v>
      </c>
      <c r="I210" s="21" t="s">
        <v>174</v>
      </c>
      <c r="J210" s="1">
        <v>101970000</v>
      </c>
      <c r="K210" s="21">
        <v>5185326</v>
      </c>
      <c r="L210" s="21" t="s">
        <v>174</v>
      </c>
      <c r="M210" s="21" t="s">
        <v>174</v>
      </c>
    </row>
    <row r="211" spans="1:13">
      <c r="A211" s="1" t="s">
        <v>169</v>
      </c>
      <c r="B211" s="1" t="s">
        <v>170</v>
      </c>
      <c r="C211" s="1">
        <v>1998</v>
      </c>
      <c r="D211" s="1" t="s">
        <v>184</v>
      </c>
      <c r="E211" s="1" t="s">
        <v>233</v>
      </c>
      <c r="F211" s="1">
        <v>2005</v>
      </c>
      <c r="G211" s="1" t="s">
        <v>234</v>
      </c>
      <c r="H211" s="21" t="s">
        <v>174</v>
      </c>
      <c r="I211" s="21" t="s">
        <v>174</v>
      </c>
      <c r="J211" s="1">
        <v>101970000</v>
      </c>
      <c r="K211" s="21">
        <v>5185326</v>
      </c>
      <c r="L211" s="21" t="s">
        <v>174</v>
      </c>
      <c r="M211" s="21" t="s">
        <v>174</v>
      </c>
    </row>
    <row r="212" spans="1:13">
      <c r="A212" s="1" t="s">
        <v>169</v>
      </c>
      <c r="B212" s="1" t="s">
        <v>170</v>
      </c>
      <c r="C212" s="1">
        <v>1998</v>
      </c>
      <c r="D212" s="1" t="s">
        <v>184</v>
      </c>
      <c r="E212" s="1" t="s">
        <v>233</v>
      </c>
      <c r="F212" s="1">
        <v>2006</v>
      </c>
      <c r="G212" s="1" t="s">
        <v>234</v>
      </c>
      <c r="H212" s="21" t="s">
        <v>174</v>
      </c>
      <c r="I212" s="21" t="s">
        <v>174</v>
      </c>
      <c r="J212" s="1">
        <v>101970000</v>
      </c>
      <c r="K212" s="21">
        <v>5185327</v>
      </c>
      <c r="L212" s="21" t="s">
        <v>174</v>
      </c>
      <c r="M212" s="21" t="s">
        <v>174</v>
      </c>
    </row>
    <row r="213" spans="1:13">
      <c r="A213" s="1" t="s">
        <v>169</v>
      </c>
      <c r="B213" s="1" t="s">
        <v>170</v>
      </c>
      <c r="C213" s="1">
        <v>1998</v>
      </c>
      <c r="D213" s="1" t="s">
        <v>184</v>
      </c>
      <c r="E213" s="1" t="s">
        <v>233</v>
      </c>
      <c r="F213" s="1">
        <v>2007</v>
      </c>
      <c r="G213" s="1" t="s">
        <v>234</v>
      </c>
      <c r="H213" s="21" t="s">
        <v>174</v>
      </c>
      <c r="I213" s="21" t="s">
        <v>174</v>
      </c>
      <c r="J213" s="1">
        <v>101970000</v>
      </c>
      <c r="K213" s="21">
        <v>5185326</v>
      </c>
      <c r="L213" s="21" t="s">
        <v>174</v>
      </c>
      <c r="M213" s="21" t="s">
        <v>174</v>
      </c>
    </row>
    <row r="214" spans="1:13">
      <c r="A214" s="1" t="s">
        <v>169</v>
      </c>
      <c r="B214" s="1" t="s">
        <v>170</v>
      </c>
      <c r="C214" s="1">
        <v>1998</v>
      </c>
      <c r="D214" s="1" t="s">
        <v>184</v>
      </c>
      <c r="E214" s="1" t="s">
        <v>233</v>
      </c>
      <c r="F214" s="1">
        <v>2008</v>
      </c>
      <c r="G214" s="1" t="s">
        <v>234</v>
      </c>
      <c r="H214" s="21" t="s">
        <v>174</v>
      </c>
      <c r="I214" s="21" t="s">
        <v>174</v>
      </c>
      <c r="J214" s="1">
        <v>101970000</v>
      </c>
      <c r="K214" s="21">
        <v>5185326</v>
      </c>
      <c r="L214" s="21" t="s">
        <v>174</v>
      </c>
      <c r="M214" s="21" t="s">
        <v>174</v>
      </c>
    </row>
    <row r="215" spans="1:13">
      <c r="A215" s="1" t="s">
        <v>169</v>
      </c>
      <c r="B215" s="1" t="s">
        <v>170</v>
      </c>
      <c r="C215" s="1">
        <v>1998</v>
      </c>
      <c r="D215" s="1" t="s">
        <v>184</v>
      </c>
      <c r="E215" s="1" t="s">
        <v>233</v>
      </c>
      <c r="F215" s="1">
        <v>2009</v>
      </c>
      <c r="G215" s="1" t="s">
        <v>234</v>
      </c>
      <c r="H215" s="21" t="s">
        <v>174</v>
      </c>
      <c r="I215" s="21" t="s">
        <v>174</v>
      </c>
      <c r="J215" s="1">
        <v>101970000</v>
      </c>
      <c r="K215" s="21">
        <v>5185326</v>
      </c>
      <c r="L215" s="21" t="s">
        <v>174</v>
      </c>
      <c r="M215" s="21" t="s">
        <v>174</v>
      </c>
    </row>
    <row r="216" spans="1:13">
      <c r="A216" s="1" t="s">
        <v>169</v>
      </c>
      <c r="B216" s="1" t="s">
        <v>170</v>
      </c>
      <c r="C216" s="1">
        <v>1998</v>
      </c>
      <c r="D216" s="1" t="s">
        <v>184</v>
      </c>
      <c r="E216" s="1" t="s">
        <v>233</v>
      </c>
      <c r="F216" s="1">
        <v>2010</v>
      </c>
      <c r="G216" s="1" t="s">
        <v>234</v>
      </c>
      <c r="H216" s="21" t="s">
        <v>174</v>
      </c>
      <c r="I216" s="21" t="s">
        <v>174</v>
      </c>
      <c r="J216" s="1">
        <v>101970000</v>
      </c>
      <c r="K216" s="21">
        <v>5185327</v>
      </c>
      <c r="L216" s="21" t="s">
        <v>174</v>
      </c>
      <c r="M216" s="21" t="s">
        <v>174</v>
      </c>
    </row>
    <row r="217" spans="1:13">
      <c r="A217" s="1" t="s">
        <v>169</v>
      </c>
      <c r="B217" s="1" t="s">
        <v>170</v>
      </c>
      <c r="C217" s="1">
        <v>1998</v>
      </c>
      <c r="D217" s="1" t="s">
        <v>184</v>
      </c>
      <c r="E217" s="1" t="s">
        <v>233</v>
      </c>
      <c r="F217" s="1">
        <v>2011</v>
      </c>
      <c r="G217" s="1" t="s">
        <v>234</v>
      </c>
      <c r="H217" s="21" t="s">
        <v>174</v>
      </c>
      <c r="I217" s="21" t="s">
        <v>174</v>
      </c>
      <c r="J217" s="1">
        <v>101970000</v>
      </c>
      <c r="K217" s="21">
        <v>5185326</v>
      </c>
      <c r="L217" s="21" t="s">
        <v>174</v>
      </c>
      <c r="M217" s="21" t="s">
        <v>174</v>
      </c>
    </row>
    <row r="218" spans="1:13">
      <c r="A218" s="1" t="s">
        <v>169</v>
      </c>
      <c r="B218" s="1" t="s">
        <v>170</v>
      </c>
      <c r="C218" s="1">
        <v>1998</v>
      </c>
      <c r="D218" s="1" t="s">
        <v>184</v>
      </c>
      <c r="E218" s="1" t="s">
        <v>233</v>
      </c>
      <c r="F218" s="1">
        <v>2012</v>
      </c>
      <c r="G218" s="1" t="s">
        <v>234</v>
      </c>
      <c r="H218" s="21" t="s">
        <v>174</v>
      </c>
      <c r="I218" s="21" t="s">
        <v>174</v>
      </c>
      <c r="J218" s="1">
        <v>101970000</v>
      </c>
      <c r="K218" s="21">
        <v>5185326</v>
      </c>
      <c r="L218" s="21" t="s">
        <v>174</v>
      </c>
      <c r="M218" s="21" t="s">
        <v>174</v>
      </c>
    </row>
    <row r="219" spans="1:13">
      <c r="A219" s="1" t="s">
        <v>169</v>
      </c>
      <c r="B219" s="1" t="s">
        <v>170</v>
      </c>
      <c r="C219" s="1">
        <v>1998</v>
      </c>
      <c r="D219" s="1" t="s">
        <v>184</v>
      </c>
      <c r="E219" s="1" t="s">
        <v>233</v>
      </c>
      <c r="F219" s="1">
        <v>2013</v>
      </c>
      <c r="G219" s="1" t="s">
        <v>234</v>
      </c>
      <c r="H219" s="21" t="s">
        <v>174</v>
      </c>
      <c r="I219" s="21" t="s">
        <v>174</v>
      </c>
      <c r="J219" s="1">
        <v>101970000</v>
      </c>
      <c r="K219" s="21">
        <v>5185326</v>
      </c>
      <c r="L219" s="21" t="s">
        <v>174</v>
      </c>
      <c r="M219" s="21" t="s">
        <v>174</v>
      </c>
    </row>
    <row r="220" spans="1:13">
      <c r="A220" s="1" t="s">
        <v>169</v>
      </c>
      <c r="B220" s="1" t="s">
        <v>170</v>
      </c>
      <c r="C220" s="1">
        <v>1998</v>
      </c>
      <c r="D220" s="1" t="s">
        <v>184</v>
      </c>
      <c r="E220" s="1" t="s">
        <v>233</v>
      </c>
      <c r="F220" s="1">
        <v>2014</v>
      </c>
      <c r="G220" s="1" t="s">
        <v>234</v>
      </c>
      <c r="H220" s="21" t="s">
        <v>174</v>
      </c>
      <c r="I220" s="21" t="s">
        <v>174</v>
      </c>
      <c r="J220" s="1">
        <v>101970000</v>
      </c>
      <c r="K220" s="21">
        <v>5185327</v>
      </c>
      <c r="L220" s="21" t="s">
        <v>174</v>
      </c>
      <c r="M220" s="21" t="s">
        <v>174</v>
      </c>
    </row>
    <row r="221" spans="1:13">
      <c r="A221" s="1" t="s">
        <v>169</v>
      </c>
      <c r="B221" s="1" t="s">
        <v>170</v>
      </c>
      <c r="C221" s="1">
        <v>1998</v>
      </c>
      <c r="D221" s="1" t="s">
        <v>184</v>
      </c>
      <c r="E221" s="1" t="s">
        <v>233</v>
      </c>
      <c r="F221" s="1">
        <v>2015</v>
      </c>
      <c r="G221" s="1" t="s">
        <v>234</v>
      </c>
      <c r="H221" s="21" t="s">
        <v>174</v>
      </c>
      <c r="I221" s="21" t="s">
        <v>174</v>
      </c>
      <c r="J221" s="1">
        <v>101970000</v>
      </c>
      <c r="K221" s="21">
        <v>5185326</v>
      </c>
      <c r="L221" s="21" t="s">
        <v>174</v>
      </c>
      <c r="M221" s="21" t="s">
        <v>174</v>
      </c>
    </row>
    <row r="222" spans="1:13">
      <c r="A222" s="1" t="s">
        <v>169</v>
      </c>
      <c r="B222" s="1" t="s">
        <v>170</v>
      </c>
      <c r="C222" s="1">
        <v>1998</v>
      </c>
      <c r="D222" s="1" t="s">
        <v>184</v>
      </c>
      <c r="E222" s="1" t="s">
        <v>233</v>
      </c>
      <c r="F222" s="1">
        <v>2016</v>
      </c>
      <c r="G222" s="1" t="s">
        <v>234</v>
      </c>
      <c r="H222" s="21" t="s">
        <v>174</v>
      </c>
      <c r="I222" s="21" t="s">
        <v>174</v>
      </c>
      <c r="J222" s="1">
        <v>101970000</v>
      </c>
      <c r="K222" s="21">
        <v>5185326</v>
      </c>
      <c r="L222" s="21" t="s">
        <v>174</v>
      </c>
      <c r="M222" s="21" t="s">
        <v>174</v>
      </c>
    </row>
    <row r="223" spans="1:13">
      <c r="A223" s="1" t="s">
        <v>169</v>
      </c>
      <c r="B223" s="1" t="s">
        <v>170</v>
      </c>
      <c r="C223" s="1">
        <v>1998</v>
      </c>
      <c r="D223" s="1" t="s">
        <v>184</v>
      </c>
      <c r="E223" s="1" t="s">
        <v>233</v>
      </c>
      <c r="F223" s="1">
        <v>2017</v>
      </c>
      <c r="G223" s="1" t="s">
        <v>234</v>
      </c>
      <c r="H223" s="1">
        <v>9225000</v>
      </c>
      <c r="I223" s="21">
        <v>5</v>
      </c>
      <c r="J223" s="1">
        <f>J222-H223</f>
        <v>92745000</v>
      </c>
      <c r="K223" s="21">
        <v>5185326</v>
      </c>
      <c r="L223" s="21">
        <v>5.1539999999999999</v>
      </c>
      <c r="M223" s="21" t="s">
        <v>174</v>
      </c>
    </row>
    <row r="224" spans="1:13">
      <c r="A224" s="1" t="s">
        <v>169</v>
      </c>
      <c r="B224" s="1" t="s">
        <v>170</v>
      </c>
      <c r="C224" s="1">
        <v>1998</v>
      </c>
      <c r="D224" s="1" t="s">
        <v>184</v>
      </c>
      <c r="E224" s="1" t="s">
        <v>233</v>
      </c>
      <c r="F224" s="1">
        <v>2018</v>
      </c>
      <c r="G224" s="1" t="s">
        <v>234</v>
      </c>
      <c r="H224" s="1">
        <v>9685000</v>
      </c>
      <c r="I224" s="21">
        <v>5</v>
      </c>
      <c r="J224" s="1">
        <f t="shared" ref="J224:J258" si="11">J223-H224</f>
        <v>83060000</v>
      </c>
      <c r="K224" s="21">
        <v>4714077</v>
      </c>
      <c r="L224" s="21">
        <v>5.18</v>
      </c>
      <c r="M224" s="21" t="s">
        <v>174</v>
      </c>
    </row>
    <row r="225" spans="1:13">
      <c r="A225" s="1" t="s">
        <v>169</v>
      </c>
      <c r="B225" s="1" t="s">
        <v>170</v>
      </c>
      <c r="C225" s="1">
        <v>1998</v>
      </c>
      <c r="D225" s="1" t="s">
        <v>184</v>
      </c>
      <c r="E225" s="1" t="s">
        <v>233</v>
      </c>
      <c r="F225" s="1">
        <v>2019</v>
      </c>
      <c r="G225" s="1" t="s">
        <v>234</v>
      </c>
      <c r="H225" s="1">
        <v>10170000</v>
      </c>
      <c r="I225" s="21">
        <v>5</v>
      </c>
      <c r="J225" s="1">
        <f t="shared" si="11"/>
        <v>72890000</v>
      </c>
      <c r="K225" s="21">
        <v>4239826</v>
      </c>
      <c r="L225" s="21">
        <v>5.194</v>
      </c>
      <c r="M225" s="21" t="s">
        <v>174</v>
      </c>
    </row>
    <row r="226" spans="1:13">
      <c r="A226" s="1" t="s">
        <v>169</v>
      </c>
      <c r="B226" s="1" t="s">
        <v>170</v>
      </c>
      <c r="C226" s="1">
        <v>1998</v>
      </c>
      <c r="D226" s="1" t="s">
        <v>184</v>
      </c>
      <c r="E226" s="1" t="s">
        <v>233</v>
      </c>
      <c r="F226" s="1">
        <v>2020</v>
      </c>
      <c r="G226" s="1" t="s">
        <v>234</v>
      </c>
      <c r="H226" s="1">
        <v>10680000</v>
      </c>
      <c r="I226" s="21">
        <v>5.0999999999999996</v>
      </c>
      <c r="J226" s="1">
        <f t="shared" si="11"/>
        <v>62210000</v>
      </c>
      <c r="K226" s="21">
        <v>3731326</v>
      </c>
      <c r="L226" s="21">
        <v>5.22</v>
      </c>
      <c r="M226" s="21" t="s">
        <v>174</v>
      </c>
    </row>
    <row r="227" spans="1:13">
      <c r="A227" s="1" t="s">
        <v>169</v>
      </c>
      <c r="B227" s="1" t="s">
        <v>170</v>
      </c>
      <c r="C227" s="1">
        <v>1998</v>
      </c>
      <c r="D227" s="1" t="s">
        <v>184</v>
      </c>
      <c r="E227" s="1" t="s">
        <v>233</v>
      </c>
      <c r="F227" s="1">
        <v>2021</v>
      </c>
      <c r="G227" s="1" t="s">
        <v>234</v>
      </c>
      <c r="H227" s="1">
        <v>11225000</v>
      </c>
      <c r="I227" s="21">
        <v>5.0999999999999996</v>
      </c>
      <c r="J227" s="1">
        <f t="shared" si="11"/>
        <v>50985000</v>
      </c>
      <c r="K227" s="21">
        <v>3186646</v>
      </c>
      <c r="L227" s="21">
        <v>5.22</v>
      </c>
      <c r="M227" s="21" t="s">
        <v>174</v>
      </c>
    </row>
    <row r="228" spans="1:13">
      <c r="A228" s="1" t="s">
        <v>169</v>
      </c>
      <c r="B228" s="1" t="s">
        <v>170</v>
      </c>
      <c r="C228" s="1">
        <v>1998</v>
      </c>
      <c r="D228" s="1" t="s">
        <v>184</v>
      </c>
      <c r="E228" s="1" t="s">
        <v>233</v>
      </c>
      <c r="F228" s="1">
        <v>2022</v>
      </c>
      <c r="G228" s="1" t="s">
        <v>234</v>
      </c>
      <c r="H228" s="1">
        <v>11795000</v>
      </c>
      <c r="I228" s="21">
        <v>5.25</v>
      </c>
      <c r="J228" s="1">
        <f t="shared" si="11"/>
        <v>39190000</v>
      </c>
      <c r="K228" s="21">
        <v>2614172</v>
      </c>
      <c r="L228" s="21">
        <v>5.25</v>
      </c>
      <c r="M228" s="21" t="s">
        <v>174</v>
      </c>
    </row>
    <row r="229" spans="1:13">
      <c r="A229" s="1" t="s">
        <v>169</v>
      </c>
      <c r="B229" s="1" t="s">
        <v>170</v>
      </c>
      <c r="C229" s="1">
        <v>1998</v>
      </c>
      <c r="D229" s="1" t="s">
        <v>184</v>
      </c>
      <c r="E229" s="1" t="s">
        <v>233</v>
      </c>
      <c r="F229" s="1">
        <v>2023</v>
      </c>
      <c r="G229" s="1" t="s">
        <v>234</v>
      </c>
      <c r="H229" s="1">
        <v>12415000</v>
      </c>
      <c r="I229" s="21">
        <v>5.125</v>
      </c>
      <c r="J229" s="1">
        <f t="shared" si="11"/>
        <v>26775000</v>
      </c>
      <c r="K229" s="21">
        <v>1994934</v>
      </c>
      <c r="L229" s="21">
        <v>5.27</v>
      </c>
      <c r="M229" s="21" t="s">
        <v>174</v>
      </c>
    </row>
    <row r="230" spans="1:13">
      <c r="A230" s="1" t="s">
        <v>169</v>
      </c>
      <c r="B230" s="1" t="s">
        <v>170</v>
      </c>
      <c r="C230" s="1">
        <v>1998</v>
      </c>
      <c r="D230" s="1" t="s">
        <v>184</v>
      </c>
      <c r="E230" s="1" t="s">
        <v>233</v>
      </c>
      <c r="F230" s="1">
        <v>2024</v>
      </c>
      <c r="G230" s="1" t="s">
        <v>234</v>
      </c>
      <c r="H230" s="1">
        <v>13055000</v>
      </c>
      <c r="I230" s="21">
        <v>5.0999999999999996</v>
      </c>
      <c r="J230" s="1">
        <f t="shared" si="11"/>
        <v>13720000</v>
      </c>
      <c r="K230" s="21">
        <v>1358665</v>
      </c>
      <c r="L230" s="21">
        <v>5.26</v>
      </c>
      <c r="M230" s="21" t="s">
        <v>174</v>
      </c>
    </row>
    <row r="231" spans="1:13">
      <c r="A231" s="1" t="s">
        <v>169</v>
      </c>
      <c r="B231" s="1" t="s">
        <v>170</v>
      </c>
      <c r="C231" s="1">
        <v>1998</v>
      </c>
      <c r="D231" s="1" t="s">
        <v>184</v>
      </c>
      <c r="E231" s="1" t="s">
        <v>233</v>
      </c>
      <c r="F231" s="1">
        <v>2025</v>
      </c>
      <c r="G231" s="1" t="s">
        <v>234</v>
      </c>
      <c r="H231" s="1">
        <v>13720000</v>
      </c>
      <c r="I231" s="21">
        <v>5.05</v>
      </c>
      <c r="J231" s="1">
        <f t="shared" si="11"/>
        <v>0</v>
      </c>
      <c r="K231" s="21">
        <v>692860</v>
      </c>
      <c r="L231" s="21">
        <v>5.2149999999999999</v>
      </c>
      <c r="M231" s="21" t="s">
        <v>174</v>
      </c>
    </row>
    <row r="232" spans="1:13">
      <c r="A232" s="1" t="s">
        <v>169</v>
      </c>
      <c r="B232" s="1" t="s">
        <v>170</v>
      </c>
      <c r="C232" s="1">
        <v>2002</v>
      </c>
      <c r="D232" s="1" t="s">
        <v>175</v>
      </c>
      <c r="E232" s="1" t="s">
        <v>233</v>
      </c>
      <c r="F232" s="1">
        <v>2002</v>
      </c>
      <c r="G232" s="1" t="s">
        <v>236</v>
      </c>
      <c r="H232" s="1">
        <v>0</v>
      </c>
      <c r="I232" s="21" t="s">
        <v>174</v>
      </c>
      <c r="J232" s="1">
        <v>107500000</v>
      </c>
      <c r="K232" s="21">
        <v>4038647</v>
      </c>
      <c r="L232" s="21" t="s">
        <v>174</v>
      </c>
      <c r="M232" s="21" t="s">
        <v>174</v>
      </c>
    </row>
    <row r="233" spans="1:13">
      <c r="A233" s="1" t="s">
        <v>169</v>
      </c>
      <c r="B233" s="1" t="s">
        <v>170</v>
      </c>
      <c r="C233" s="1">
        <v>2002</v>
      </c>
      <c r="D233" s="1" t="s">
        <v>175</v>
      </c>
      <c r="E233" s="1" t="s">
        <v>233</v>
      </c>
      <c r="F233" s="1">
        <v>2003</v>
      </c>
      <c r="G233" s="1" t="s">
        <v>236</v>
      </c>
      <c r="H233" s="1">
        <v>0</v>
      </c>
      <c r="I233" s="21" t="s">
        <v>174</v>
      </c>
      <c r="J233" s="1">
        <f t="shared" si="11"/>
        <v>107500000</v>
      </c>
      <c r="K233" s="21">
        <v>5384863</v>
      </c>
      <c r="L233" s="21" t="s">
        <v>174</v>
      </c>
      <c r="M233" s="21" t="s">
        <v>174</v>
      </c>
    </row>
    <row r="234" spans="1:13">
      <c r="A234" s="1" t="s">
        <v>169</v>
      </c>
      <c r="B234" s="1" t="s">
        <v>170</v>
      </c>
      <c r="C234" s="1">
        <v>2002</v>
      </c>
      <c r="D234" s="1" t="s">
        <v>175</v>
      </c>
      <c r="E234" s="1" t="s">
        <v>233</v>
      </c>
      <c r="F234" s="1">
        <v>2004</v>
      </c>
      <c r="G234" s="1" t="s">
        <v>236</v>
      </c>
      <c r="H234" s="1">
        <v>1910000</v>
      </c>
      <c r="I234" s="21">
        <v>4</v>
      </c>
      <c r="J234" s="1">
        <f t="shared" si="11"/>
        <v>105590000</v>
      </c>
      <c r="K234" s="21">
        <v>5384862</v>
      </c>
      <c r="L234" s="21">
        <v>2.6</v>
      </c>
      <c r="M234" s="21" t="s">
        <v>174</v>
      </c>
    </row>
    <row r="235" spans="1:13">
      <c r="A235" s="1" t="s">
        <v>169</v>
      </c>
      <c r="B235" s="1" t="s">
        <v>170</v>
      </c>
      <c r="C235" s="1">
        <v>2002</v>
      </c>
      <c r="D235" s="1" t="s">
        <v>175</v>
      </c>
      <c r="E235" s="1" t="s">
        <v>233</v>
      </c>
      <c r="F235" s="1">
        <v>2005</v>
      </c>
      <c r="G235" s="1" t="s">
        <v>236</v>
      </c>
      <c r="H235" s="1">
        <v>1990000</v>
      </c>
      <c r="I235" s="21">
        <v>4</v>
      </c>
      <c r="J235" s="1">
        <f t="shared" si="11"/>
        <v>103600000</v>
      </c>
      <c r="K235" s="21">
        <v>5308463</v>
      </c>
      <c r="L235" s="21">
        <v>3.12</v>
      </c>
      <c r="M235" s="21" t="s">
        <v>174</v>
      </c>
    </row>
    <row r="236" spans="1:13">
      <c r="A236" s="1" t="s">
        <v>169</v>
      </c>
      <c r="B236" s="1" t="s">
        <v>170</v>
      </c>
      <c r="C236" s="1">
        <v>2002</v>
      </c>
      <c r="D236" s="1" t="s">
        <v>175</v>
      </c>
      <c r="E236" s="1" t="s">
        <v>233</v>
      </c>
      <c r="F236" s="1">
        <v>2006</v>
      </c>
      <c r="G236" s="1" t="s">
        <v>236</v>
      </c>
      <c r="H236" s="1">
        <v>2070000</v>
      </c>
      <c r="I236" s="21">
        <v>4</v>
      </c>
      <c r="J236" s="1">
        <f t="shared" si="11"/>
        <v>101530000</v>
      </c>
      <c r="K236" s="21">
        <v>5228862</v>
      </c>
      <c r="L236" s="21">
        <v>3.41</v>
      </c>
      <c r="M236" s="21" t="s">
        <v>174</v>
      </c>
    </row>
    <row r="237" spans="1:13">
      <c r="A237" s="1" t="s">
        <v>169</v>
      </c>
      <c r="B237" s="1" t="s">
        <v>170</v>
      </c>
      <c r="C237" s="1">
        <v>2002</v>
      </c>
      <c r="D237" s="1" t="s">
        <v>175</v>
      </c>
      <c r="E237" s="1" t="s">
        <v>233</v>
      </c>
      <c r="F237" s="1">
        <v>2007</v>
      </c>
      <c r="G237" s="1" t="s">
        <v>236</v>
      </c>
      <c r="H237" s="1">
        <v>2150000</v>
      </c>
      <c r="I237" s="21">
        <v>4</v>
      </c>
      <c r="J237" s="1">
        <f t="shared" si="11"/>
        <v>99380000</v>
      </c>
      <c r="K237" s="21">
        <v>5146063</v>
      </c>
      <c r="L237" s="21">
        <v>3.73</v>
      </c>
      <c r="M237" s="21" t="s">
        <v>174</v>
      </c>
    </row>
    <row r="238" spans="1:13">
      <c r="A238" s="1" t="s">
        <v>169</v>
      </c>
      <c r="B238" s="1" t="s">
        <v>170</v>
      </c>
      <c r="C238" s="1">
        <v>2002</v>
      </c>
      <c r="D238" s="1" t="s">
        <v>175</v>
      </c>
      <c r="E238" s="1" t="s">
        <v>233</v>
      </c>
      <c r="F238" s="1">
        <v>2008</v>
      </c>
      <c r="G238" s="1" t="s">
        <v>236</v>
      </c>
      <c r="H238" s="1">
        <v>2235000</v>
      </c>
      <c r="I238" s="21">
        <v>4.5</v>
      </c>
      <c r="J238" s="1">
        <f t="shared" si="11"/>
        <v>97145000</v>
      </c>
      <c r="K238" s="21">
        <v>5060062</v>
      </c>
      <c r="L238" s="21">
        <v>3.94</v>
      </c>
      <c r="M238" s="21" t="s">
        <v>174</v>
      </c>
    </row>
    <row r="239" spans="1:13">
      <c r="A239" s="1" t="s">
        <v>169</v>
      </c>
      <c r="B239" s="1" t="s">
        <v>170</v>
      </c>
      <c r="C239" s="1">
        <v>2002</v>
      </c>
      <c r="D239" s="1" t="s">
        <v>175</v>
      </c>
      <c r="E239" s="1" t="s">
        <v>233</v>
      </c>
      <c r="F239" s="1">
        <v>2009</v>
      </c>
      <c r="G239" s="1" t="s">
        <v>236</v>
      </c>
      <c r="H239" s="1">
        <v>2335000</v>
      </c>
      <c r="I239" s="21">
        <v>4.5</v>
      </c>
      <c r="J239" s="1">
        <f t="shared" si="11"/>
        <v>94810000</v>
      </c>
      <c r="K239" s="21">
        <v>4959488</v>
      </c>
      <c r="L239" s="21">
        <v>4.1500000000000004</v>
      </c>
      <c r="M239" s="21" t="s">
        <v>174</v>
      </c>
    </row>
    <row r="240" spans="1:13">
      <c r="A240" s="1" t="s">
        <v>169</v>
      </c>
      <c r="B240" s="1" t="s">
        <v>170</v>
      </c>
      <c r="C240" s="1">
        <v>2002</v>
      </c>
      <c r="D240" s="1" t="s">
        <v>175</v>
      </c>
      <c r="E240" s="1" t="s">
        <v>233</v>
      </c>
      <c r="F240" s="1">
        <v>2010</v>
      </c>
      <c r="G240" s="1" t="s">
        <v>236</v>
      </c>
      <c r="H240" s="1">
        <v>2440000</v>
      </c>
      <c r="I240" s="21">
        <v>4</v>
      </c>
      <c r="J240" s="1">
        <f t="shared" si="11"/>
        <v>92370000</v>
      </c>
      <c r="K240" s="21">
        <v>4854412</v>
      </c>
      <c r="L240" s="21">
        <v>4.25</v>
      </c>
      <c r="M240" s="21" t="s">
        <v>174</v>
      </c>
    </row>
    <row r="241" spans="1:13">
      <c r="A241" s="1" t="s">
        <v>169</v>
      </c>
      <c r="B241" s="1" t="s">
        <v>170</v>
      </c>
      <c r="C241" s="1">
        <v>2002</v>
      </c>
      <c r="D241" s="1" t="s">
        <v>175</v>
      </c>
      <c r="E241" s="1" t="s">
        <v>233</v>
      </c>
      <c r="F241" s="1">
        <v>2011</v>
      </c>
      <c r="G241" s="1" t="s">
        <v>236</v>
      </c>
      <c r="H241" s="1">
        <v>2540000</v>
      </c>
      <c r="I241" s="21">
        <v>5</v>
      </c>
      <c r="J241" s="1">
        <f t="shared" si="11"/>
        <v>89830000</v>
      </c>
      <c r="K241" s="21">
        <v>4756813</v>
      </c>
      <c r="L241" s="21">
        <v>4.3499999999999996</v>
      </c>
      <c r="M241" s="21" t="s">
        <v>174</v>
      </c>
    </row>
    <row r="242" spans="1:13">
      <c r="A242" s="1" t="s">
        <v>169</v>
      </c>
      <c r="B242" s="1" t="s">
        <v>170</v>
      </c>
      <c r="C242" s="1">
        <v>2002</v>
      </c>
      <c r="D242" s="1" t="s">
        <v>175</v>
      </c>
      <c r="E242" s="1" t="s">
        <v>233</v>
      </c>
      <c r="F242" s="1">
        <v>2012</v>
      </c>
      <c r="G242" s="1" t="s">
        <v>236</v>
      </c>
      <c r="H242" s="1">
        <v>2665000</v>
      </c>
      <c r="I242" s="21">
        <v>5.5</v>
      </c>
      <c r="J242" s="1">
        <f t="shared" si="11"/>
        <v>87165000</v>
      </c>
      <c r="K242" s="21">
        <v>4629812</v>
      </c>
      <c r="L242" s="21">
        <v>4.45</v>
      </c>
      <c r="M242" s="21" t="s">
        <v>174</v>
      </c>
    </row>
    <row r="243" spans="1:13">
      <c r="A243" s="1" t="s">
        <v>169</v>
      </c>
      <c r="B243" s="1" t="s">
        <v>170</v>
      </c>
      <c r="C243" s="1">
        <v>2002</v>
      </c>
      <c r="D243" s="1" t="s">
        <v>175</v>
      </c>
      <c r="E243" s="1" t="s">
        <v>233</v>
      </c>
      <c r="F243" s="1">
        <v>2013</v>
      </c>
      <c r="G243" s="1" t="s">
        <v>236</v>
      </c>
      <c r="H243" s="1">
        <v>2815000</v>
      </c>
      <c r="I243" s="21">
        <v>5</v>
      </c>
      <c r="J243" s="1">
        <f t="shared" si="11"/>
        <v>84350000</v>
      </c>
      <c r="K243" s="21">
        <v>4483238</v>
      </c>
      <c r="L243" s="21">
        <v>4.59</v>
      </c>
      <c r="M243" s="21" t="s">
        <v>174</v>
      </c>
    </row>
    <row r="244" spans="1:13">
      <c r="A244" s="1" t="s">
        <v>169</v>
      </c>
      <c r="B244" s="1" t="s">
        <v>170</v>
      </c>
      <c r="C244" s="1">
        <v>2002</v>
      </c>
      <c r="D244" s="1" t="s">
        <v>175</v>
      </c>
      <c r="E244" s="1" t="s">
        <v>233</v>
      </c>
      <c r="F244" s="1">
        <v>2014</v>
      </c>
      <c r="G244" s="1" t="s">
        <v>236</v>
      </c>
      <c r="H244" s="1">
        <v>2955000</v>
      </c>
      <c r="I244" s="21">
        <v>5</v>
      </c>
      <c r="J244" s="1">
        <f t="shared" si="11"/>
        <v>81395000</v>
      </c>
      <c r="K244" s="21">
        <v>4342487</v>
      </c>
      <c r="L244" s="21">
        <v>4.7</v>
      </c>
      <c r="M244" s="21" t="s">
        <v>174</v>
      </c>
    </row>
    <row r="245" spans="1:13">
      <c r="A245" s="1" t="s">
        <v>169</v>
      </c>
      <c r="B245" s="1" t="s">
        <v>170</v>
      </c>
      <c r="C245" s="1">
        <v>2002</v>
      </c>
      <c r="D245" s="1" t="s">
        <v>175</v>
      </c>
      <c r="E245" s="1" t="s">
        <v>233</v>
      </c>
      <c r="F245" s="1">
        <v>2015</v>
      </c>
      <c r="G245" s="1" t="s">
        <v>236</v>
      </c>
      <c r="H245" s="1">
        <v>3100000</v>
      </c>
      <c r="I245" s="21">
        <v>5.5</v>
      </c>
      <c r="J245" s="1">
        <f t="shared" si="11"/>
        <v>78295000</v>
      </c>
      <c r="K245" s="21">
        <v>4194738</v>
      </c>
      <c r="L245" s="21">
        <v>4.8</v>
      </c>
      <c r="M245" s="21" t="s">
        <v>174</v>
      </c>
    </row>
    <row r="246" spans="1:13">
      <c r="A246" s="1" t="s">
        <v>169</v>
      </c>
      <c r="B246" s="1" t="s">
        <v>170</v>
      </c>
      <c r="C246" s="1">
        <v>2002</v>
      </c>
      <c r="D246" s="1" t="s">
        <v>175</v>
      </c>
      <c r="E246" s="1" t="s">
        <v>233</v>
      </c>
      <c r="F246" s="1">
        <v>2016</v>
      </c>
      <c r="G246" s="1" t="s">
        <v>236</v>
      </c>
      <c r="H246" s="1">
        <v>3270000</v>
      </c>
      <c r="I246" s="21">
        <v>5.5</v>
      </c>
      <c r="J246" s="1">
        <f t="shared" si="11"/>
        <v>75025000</v>
      </c>
      <c r="K246" s="21">
        <v>4024237</v>
      </c>
      <c r="L246" s="21">
        <v>4.9000000000000004</v>
      </c>
      <c r="M246" s="21" t="s">
        <v>174</v>
      </c>
    </row>
    <row r="247" spans="1:13">
      <c r="A247" s="1" t="s">
        <v>169</v>
      </c>
      <c r="B247" s="1" t="s">
        <v>170</v>
      </c>
      <c r="C247" s="1">
        <v>2002</v>
      </c>
      <c r="D247" s="1" t="s">
        <v>175</v>
      </c>
      <c r="E247" s="1" t="s">
        <v>233</v>
      </c>
      <c r="F247" s="1">
        <v>2017</v>
      </c>
      <c r="G247" s="1" t="s">
        <v>236</v>
      </c>
      <c r="H247" s="1">
        <v>3450000</v>
      </c>
      <c r="I247" s="21">
        <v>4.75</v>
      </c>
      <c r="J247" s="1">
        <f t="shared" si="11"/>
        <v>71575000</v>
      </c>
      <c r="K247" s="21">
        <v>3844388</v>
      </c>
      <c r="L247" s="21">
        <v>4.99</v>
      </c>
      <c r="M247" s="21" t="s">
        <v>174</v>
      </c>
    </row>
    <row r="248" spans="1:13">
      <c r="A248" s="1" t="s">
        <v>169</v>
      </c>
      <c r="B248" s="1" t="s">
        <v>170</v>
      </c>
      <c r="C248" s="1">
        <v>2002</v>
      </c>
      <c r="D248" s="1" t="s">
        <v>175</v>
      </c>
      <c r="E248" s="1" t="s">
        <v>233</v>
      </c>
      <c r="F248" s="1">
        <v>2018</v>
      </c>
      <c r="G248" s="1" t="s">
        <v>236</v>
      </c>
      <c r="H248" s="1">
        <v>3615000</v>
      </c>
      <c r="I248" s="21">
        <v>5</v>
      </c>
      <c r="J248" s="1">
        <f t="shared" si="11"/>
        <v>67960000</v>
      </c>
      <c r="K248" s="21">
        <v>3680512</v>
      </c>
      <c r="L248" s="21">
        <v>5.05</v>
      </c>
      <c r="M248" s="21" t="s">
        <v>174</v>
      </c>
    </row>
    <row r="249" spans="1:13">
      <c r="A249" s="1" t="s">
        <v>169</v>
      </c>
      <c r="B249" s="1" t="s">
        <v>170</v>
      </c>
      <c r="C249" s="1">
        <v>2002</v>
      </c>
      <c r="D249" s="1" t="s">
        <v>175</v>
      </c>
      <c r="E249" s="1" t="s">
        <v>233</v>
      </c>
      <c r="F249" s="1">
        <v>2019</v>
      </c>
      <c r="G249" s="1" t="s">
        <v>236</v>
      </c>
      <c r="H249" s="1">
        <v>3795000</v>
      </c>
      <c r="I249" s="21">
        <v>5</v>
      </c>
      <c r="J249" s="1">
        <f t="shared" si="11"/>
        <v>64165000</v>
      </c>
      <c r="K249" s="21">
        <v>3499763</v>
      </c>
      <c r="L249" s="21">
        <v>5.0999999999999996</v>
      </c>
      <c r="M249" s="21" t="s">
        <v>174</v>
      </c>
    </row>
    <row r="250" spans="1:13">
      <c r="A250" s="1" t="s">
        <v>169</v>
      </c>
      <c r="B250" s="1" t="s">
        <v>170</v>
      </c>
      <c r="C250" s="1">
        <v>2002</v>
      </c>
      <c r="D250" s="1" t="s">
        <v>175</v>
      </c>
      <c r="E250" s="1" t="s">
        <v>233</v>
      </c>
      <c r="F250" s="1">
        <v>2020</v>
      </c>
      <c r="G250" s="1" t="s">
        <v>236</v>
      </c>
      <c r="H250" s="1">
        <v>3985000</v>
      </c>
      <c r="I250" s="21">
        <v>5.25</v>
      </c>
      <c r="J250" s="1">
        <f t="shared" si="11"/>
        <v>60180000</v>
      </c>
      <c r="K250" s="21">
        <v>3310012</v>
      </c>
      <c r="L250" s="21">
        <v>5.23</v>
      </c>
      <c r="M250" s="21" t="s">
        <v>174</v>
      </c>
    </row>
    <row r="251" spans="1:13">
      <c r="A251" s="1" t="s">
        <v>169</v>
      </c>
      <c r="B251" s="1" t="s">
        <v>170</v>
      </c>
      <c r="C251" s="1">
        <v>2002</v>
      </c>
      <c r="D251" s="1" t="s">
        <v>175</v>
      </c>
      <c r="E251" s="1" t="s">
        <v>233</v>
      </c>
      <c r="F251" s="1">
        <v>2021</v>
      </c>
      <c r="G251" s="1" t="s">
        <v>236</v>
      </c>
      <c r="H251" s="1">
        <v>4195000</v>
      </c>
      <c r="I251" s="21">
        <v>5.25</v>
      </c>
      <c r="J251" s="1">
        <f t="shared" si="11"/>
        <v>55985000</v>
      </c>
      <c r="K251" s="21">
        <v>3100800</v>
      </c>
      <c r="L251" s="21">
        <v>5.26</v>
      </c>
      <c r="M251" s="21" t="s">
        <v>174</v>
      </c>
    </row>
    <row r="252" spans="1:13">
      <c r="A252" s="1" t="s">
        <v>169</v>
      </c>
      <c r="B252" s="1" t="s">
        <v>170</v>
      </c>
      <c r="C252" s="1">
        <v>2002</v>
      </c>
      <c r="D252" s="1" t="s">
        <v>175</v>
      </c>
      <c r="E252" s="1" t="s">
        <v>233</v>
      </c>
      <c r="F252" s="1">
        <v>2022</v>
      </c>
      <c r="G252" s="1" t="s">
        <v>236</v>
      </c>
      <c r="H252" s="1">
        <v>4415000</v>
      </c>
      <c r="I252" s="21">
        <v>5.25</v>
      </c>
      <c r="J252" s="1">
        <f t="shared" si="11"/>
        <v>51570000</v>
      </c>
      <c r="K252" s="21">
        <v>2880563</v>
      </c>
      <c r="L252" s="21">
        <v>5.28</v>
      </c>
      <c r="M252" s="21" t="s">
        <v>174</v>
      </c>
    </row>
    <row r="253" spans="1:13">
      <c r="A253" s="1" t="s">
        <v>169</v>
      </c>
      <c r="B253" s="1" t="s">
        <v>170</v>
      </c>
      <c r="C253" s="1">
        <v>2002</v>
      </c>
      <c r="D253" s="1" t="s">
        <v>175</v>
      </c>
      <c r="E253" s="1" t="s">
        <v>233</v>
      </c>
      <c r="F253" s="1">
        <v>2023</v>
      </c>
      <c r="G253" s="1" t="s">
        <v>236</v>
      </c>
      <c r="H253" s="1">
        <v>4650000</v>
      </c>
      <c r="I253" s="21">
        <v>5.25</v>
      </c>
      <c r="J253" s="1">
        <f t="shared" si="11"/>
        <v>46920000</v>
      </c>
      <c r="K253" s="21">
        <v>2648775</v>
      </c>
      <c r="L253" s="21">
        <v>5.3</v>
      </c>
      <c r="M253" s="21" t="s">
        <v>174</v>
      </c>
    </row>
    <row r="254" spans="1:13">
      <c r="A254" s="1" t="s">
        <v>169</v>
      </c>
      <c r="B254" s="1" t="s">
        <v>170</v>
      </c>
      <c r="C254" s="1">
        <v>2002</v>
      </c>
      <c r="D254" s="1" t="s">
        <v>175</v>
      </c>
      <c r="E254" s="1" t="s">
        <v>235</v>
      </c>
      <c r="F254" s="1">
        <v>2024</v>
      </c>
      <c r="G254" s="1" t="s">
        <v>236</v>
      </c>
      <c r="H254" s="1">
        <v>4890000</v>
      </c>
      <c r="I254" s="21">
        <v>5.125</v>
      </c>
      <c r="J254" s="1">
        <f t="shared" si="11"/>
        <v>42030000</v>
      </c>
      <c r="K254" s="21">
        <v>2404650</v>
      </c>
      <c r="L254" s="21">
        <v>5.31</v>
      </c>
      <c r="M254" s="21" t="s">
        <v>174</v>
      </c>
    </row>
    <row r="255" spans="1:13">
      <c r="A255" s="1" t="s">
        <v>169</v>
      </c>
      <c r="B255" s="1" t="s">
        <v>170</v>
      </c>
      <c r="C255" s="1">
        <v>2002</v>
      </c>
      <c r="D255" s="1" t="s">
        <v>175</v>
      </c>
      <c r="E255" s="1" t="s">
        <v>235</v>
      </c>
      <c r="F255" s="1">
        <v>2025</v>
      </c>
      <c r="G255" s="1" t="s">
        <v>236</v>
      </c>
      <c r="H255" s="1">
        <v>5145000</v>
      </c>
      <c r="I255" s="21">
        <v>5.125</v>
      </c>
      <c r="J255" s="1">
        <f t="shared" ref="J255:J257" si="12">J254-H255</f>
        <v>36885000</v>
      </c>
      <c r="K255" s="21">
        <v>2154037</v>
      </c>
      <c r="L255" s="21">
        <v>5.31</v>
      </c>
      <c r="M255" s="21" t="s">
        <v>174</v>
      </c>
    </row>
    <row r="256" spans="1:13">
      <c r="A256" s="1" t="s">
        <v>169</v>
      </c>
      <c r="B256" s="1" t="s">
        <v>170</v>
      </c>
      <c r="C256" s="1">
        <v>2002</v>
      </c>
      <c r="D256" s="1" t="s">
        <v>175</v>
      </c>
      <c r="E256" s="1" t="s">
        <v>235</v>
      </c>
      <c r="F256" s="1">
        <v>2026</v>
      </c>
      <c r="G256" s="1" t="s">
        <v>236</v>
      </c>
      <c r="H256" s="1">
        <v>5405000</v>
      </c>
      <c r="I256" s="21">
        <v>5.125</v>
      </c>
      <c r="J256" s="1">
        <f t="shared" si="12"/>
        <v>31480000</v>
      </c>
      <c r="K256" s="21">
        <v>1890356</v>
      </c>
      <c r="L256" s="21">
        <v>5.31</v>
      </c>
      <c r="M256" s="21" t="s">
        <v>174</v>
      </c>
    </row>
    <row r="257" spans="1:13">
      <c r="A257" s="1" t="s">
        <v>169</v>
      </c>
      <c r="B257" s="1" t="s">
        <v>170</v>
      </c>
      <c r="C257" s="1">
        <v>2002</v>
      </c>
      <c r="D257" s="1" t="s">
        <v>175</v>
      </c>
      <c r="E257" s="1" t="s">
        <v>235</v>
      </c>
      <c r="F257" s="1">
        <v>2027</v>
      </c>
      <c r="G257" s="1" t="s">
        <v>236</v>
      </c>
      <c r="H257" s="1">
        <v>5685000</v>
      </c>
      <c r="I257" s="21">
        <v>5.125</v>
      </c>
      <c r="J257" s="1">
        <f t="shared" si="12"/>
        <v>25795000</v>
      </c>
      <c r="K257" s="21">
        <v>1613350</v>
      </c>
      <c r="L257" s="21">
        <v>5.31</v>
      </c>
      <c r="M257" s="21" t="s">
        <v>174</v>
      </c>
    </row>
    <row r="258" spans="1:13">
      <c r="A258" s="1" t="s">
        <v>169</v>
      </c>
      <c r="B258" s="1" t="s">
        <v>170</v>
      </c>
      <c r="C258" s="1">
        <v>2002</v>
      </c>
      <c r="D258" s="1" t="s">
        <v>175</v>
      </c>
      <c r="E258" s="1" t="s">
        <v>235</v>
      </c>
      <c r="F258" s="1">
        <v>2028</v>
      </c>
      <c r="G258" s="1" t="s">
        <v>236</v>
      </c>
      <c r="H258" s="1">
        <v>5975000</v>
      </c>
      <c r="I258" s="21">
        <v>5.125</v>
      </c>
      <c r="J258" s="1">
        <f t="shared" si="11"/>
        <v>19820000</v>
      </c>
      <c r="K258" s="21">
        <v>1321994</v>
      </c>
      <c r="L258" s="21">
        <v>5.32</v>
      </c>
      <c r="M258" s="21" t="s">
        <v>174</v>
      </c>
    </row>
    <row r="259" spans="1:13">
      <c r="A259" s="1" t="s">
        <v>169</v>
      </c>
      <c r="B259" s="1" t="s">
        <v>170</v>
      </c>
      <c r="C259" s="1">
        <v>2002</v>
      </c>
      <c r="D259" s="1" t="s">
        <v>175</v>
      </c>
      <c r="E259" s="1" t="s">
        <v>235</v>
      </c>
      <c r="F259" s="1">
        <v>2029</v>
      </c>
      <c r="G259" s="1" t="s">
        <v>236</v>
      </c>
      <c r="H259" s="1">
        <v>6280000</v>
      </c>
      <c r="I259" s="21">
        <v>5.125</v>
      </c>
      <c r="J259" s="1">
        <f t="shared" ref="J259:J322" si="13">J258-H259</f>
        <v>13540000</v>
      </c>
      <c r="K259" s="21">
        <v>1015775</v>
      </c>
      <c r="L259" s="21">
        <v>5.32</v>
      </c>
      <c r="M259" s="21" t="s">
        <v>174</v>
      </c>
    </row>
    <row r="260" spans="1:13">
      <c r="A260" s="1" t="s">
        <v>169</v>
      </c>
      <c r="B260" s="1" t="s">
        <v>170</v>
      </c>
      <c r="C260" s="1">
        <v>2002</v>
      </c>
      <c r="D260" s="1" t="s">
        <v>175</v>
      </c>
      <c r="E260" s="1" t="s">
        <v>235</v>
      </c>
      <c r="F260" s="1">
        <v>2030</v>
      </c>
      <c r="G260" s="1" t="s">
        <v>236</v>
      </c>
      <c r="H260" s="1">
        <v>6600000</v>
      </c>
      <c r="I260" s="21">
        <v>5.125</v>
      </c>
      <c r="J260" s="1">
        <f t="shared" si="13"/>
        <v>6940000</v>
      </c>
      <c r="K260" s="21">
        <v>693925</v>
      </c>
      <c r="L260" s="21">
        <v>5.32</v>
      </c>
      <c r="M260" s="21" t="s">
        <v>174</v>
      </c>
    </row>
    <row r="261" spans="1:13">
      <c r="A261" s="1" t="s">
        <v>169</v>
      </c>
      <c r="B261" s="1" t="s">
        <v>170</v>
      </c>
      <c r="C261" s="1">
        <v>2002</v>
      </c>
      <c r="D261" s="1" t="s">
        <v>175</v>
      </c>
      <c r="E261" s="1" t="s">
        <v>235</v>
      </c>
      <c r="F261" s="1">
        <v>2031</v>
      </c>
      <c r="G261" s="1" t="s">
        <v>236</v>
      </c>
      <c r="H261" s="1">
        <v>6940000</v>
      </c>
      <c r="I261" s="21">
        <v>5.125</v>
      </c>
      <c r="J261" s="1">
        <f t="shared" si="13"/>
        <v>0</v>
      </c>
      <c r="K261" s="21">
        <v>355675</v>
      </c>
      <c r="L261" s="21">
        <v>5.32</v>
      </c>
      <c r="M261" s="21" t="s">
        <v>174</v>
      </c>
    </row>
    <row r="262" spans="1:13">
      <c r="A262" s="1" t="s">
        <v>169</v>
      </c>
      <c r="B262" s="1" t="s">
        <v>170</v>
      </c>
      <c r="C262" s="1">
        <v>2003</v>
      </c>
      <c r="D262" s="1" t="s">
        <v>175</v>
      </c>
      <c r="E262" s="1" t="s">
        <v>233</v>
      </c>
      <c r="F262" s="1">
        <v>2003</v>
      </c>
      <c r="G262" s="1" t="s">
        <v>234</v>
      </c>
      <c r="H262" s="1">
        <v>0</v>
      </c>
      <c r="I262" s="21" t="s">
        <v>174</v>
      </c>
      <c r="J262" s="1">
        <f>167390000-H262</f>
        <v>167390000</v>
      </c>
      <c r="K262" s="21">
        <v>0</v>
      </c>
      <c r="L262" s="21" t="s">
        <v>174</v>
      </c>
      <c r="M262" s="21" t="s">
        <v>174</v>
      </c>
    </row>
    <row r="263" spans="1:13">
      <c r="A263" s="1" t="s">
        <v>169</v>
      </c>
      <c r="B263" s="1" t="s">
        <v>170</v>
      </c>
      <c r="C263" s="1">
        <v>2003</v>
      </c>
      <c r="D263" s="1" t="s">
        <v>175</v>
      </c>
      <c r="E263" s="1" t="s">
        <v>233</v>
      </c>
      <c r="F263" s="1">
        <v>2004</v>
      </c>
      <c r="G263" s="1" t="s">
        <v>234</v>
      </c>
      <c r="H263" s="1">
        <v>9855000</v>
      </c>
      <c r="I263" s="21">
        <v>1.1499999999999999</v>
      </c>
      <c r="J263" s="1">
        <f t="shared" si="13"/>
        <v>157535000</v>
      </c>
      <c r="K263" s="21">
        <v>4931241</v>
      </c>
      <c r="L263" s="21">
        <v>1.1499999999999999</v>
      </c>
      <c r="M263" s="21">
        <v>100</v>
      </c>
    </row>
    <row r="264" spans="1:13">
      <c r="A264" s="1" t="s">
        <v>169</v>
      </c>
      <c r="B264" s="1" t="s">
        <v>170</v>
      </c>
      <c r="C264" s="1">
        <v>2003</v>
      </c>
      <c r="D264" s="1" t="s">
        <v>175</v>
      </c>
      <c r="E264" s="1" t="s">
        <v>233</v>
      </c>
      <c r="F264" s="1">
        <v>2005</v>
      </c>
      <c r="G264" s="1" t="s">
        <v>234</v>
      </c>
      <c r="H264" s="1">
        <v>13640000</v>
      </c>
      <c r="I264" s="21">
        <v>1.45</v>
      </c>
      <c r="J264" s="1">
        <f t="shared" si="13"/>
        <v>143895000</v>
      </c>
      <c r="K264" s="21">
        <v>5017439</v>
      </c>
      <c r="L264" s="21">
        <v>1.45</v>
      </c>
      <c r="M264" s="21">
        <v>100</v>
      </c>
    </row>
    <row r="265" spans="1:13">
      <c r="A265" s="1" t="s">
        <v>169</v>
      </c>
      <c r="B265" s="1" t="s">
        <v>170</v>
      </c>
      <c r="C265" s="1">
        <v>2003</v>
      </c>
      <c r="D265" s="1" t="s">
        <v>175</v>
      </c>
      <c r="E265" s="1" t="s">
        <v>233</v>
      </c>
      <c r="F265" s="1">
        <v>2006</v>
      </c>
      <c r="G265" s="1" t="s">
        <v>234</v>
      </c>
      <c r="H265" s="1">
        <v>13835000</v>
      </c>
      <c r="I265" s="21">
        <v>1.9</v>
      </c>
      <c r="J265" s="1">
        <f t="shared" si="13"/>
        <v>130060000</v>
      </c>
      <c r="K265" s="21">
        <v>4819659</v>
      </c>
      <c r="L265" s="21">
        <v>1.9</v>
      </c>
      <c r="M265" s="21">
        <v>100</v>
      </c>
    </row>
    <row r="266" spans="1:13">
      <c r="A266" s="1" t="s">
        <v>169</v>
      </c>
      <c r="B266" s="1" t="s">
        <v>170</v>
      </c>
      <c r="C266" s="1">
        <v>2003</v>
      </c>
      <c r="D266" s="1" t="s">
        <v>175</v>
      </c>
      <c r="E266" s="1" t="s">
        <v>233</v>
      </c>
      <c r="F266" s="1">
        <v>2007</v>
      </c>
      <c r="G266" s="1" t="s">
        <v>234</v>
      </c>
      <c r="H266" s="1">
        <v>14100000</v>
      </c>
      <c r="I266" s="21">
        <v>2.2999999999999998</v>
      </c>
      <c r="J266" s="1">
        <f t="shared" si="13"/>
        <v>115960000</v>
      </c>
      <c r="K266" s="21">
        <v>4556794</v>
      </c>
      <c r="L266" s="21">
        <v>2.2999999999999998</v>
      </c>
      <c r="M266" s="21">
        <v>100</v>
      </c>
    </row>
    <row r="267" spans="1:13">
      <c r="A267" s="1" t="s">
        <v>169</v>
      </c>
      <c r="B267" s="1" t="s">
        <v>170</v>
      </c>
      <c r="C267" s="1">
        <v>2003</v>
      </c>
      <c r="D267" s="1" t="s">
        <v>175</v>
      </c>
      <c r="E267" s="1" t="s">
        <v>233</v>
      </c>
      <c r="F267" s="1">
        <v>2008</v>
      </c>
      <c r="G267" s="1" t="s">
        <v>234</v>
      </c>
      <c r="H267" s="1">
        <v>14425000</v>
      </c>
      <c r="I267" s="21">
        <v>2.65</v>
      </c>
      <c r="J267" s="1">
        <f t="shared" si="13"/>
        <v>101535000</v>
      </c>
      <c r="K267" s="21">
        <v>4232494</v>
      </c>
      <c r="L267" s="21">
        <v>2.65</v>
      </c>
      <c r="M267" s="21">
        <v>100</v>
      </c>
    </row>
    <row r="268" spans="1:13">
      <c r="A268" s="1" t="s">
        <v>169</v>
      </c>
      <c r="B268" s="1" t="s">
        <v>170</v>
      </c>
      <c r="C268" s="1">
        <v>2003</v>
      </c>
      <c r="D268" s="1" t="s">
        <v>175</v>
      </c>
      <c r="E268" s="1" t="s">
        <v>233</v>
      </c>
      <c r="F268" s="1">
        <v>2009</v>
      </c>
      <c r="G268" s="1" t="s">
        <v>234</v>
      </c>
      <c r="H268" s="1">
        <v>14805000</v>
      </c>
      <c r="I268" s="21">
        <v>3</v>
      </c>
      <c r="J268" s="1">
        <f t="shared" si="13"/>
        <v>86730000</v>
      </c>
      <c r="K268" s="21">
        <v>3850231</v>
      </c>
      <c r="L268" s="21">
        <v>3</v>
      </c>
      <c r="M268" s="21">
        <v>100</v>
      </c>
    </row>
    <row r="269" spans="1:13">
      <c r="A269" s="1" t="s">
        <v>169</v>
      </c>
      <c r="B269" s="1" t="s">
        <v>170</v>
      </c>
      <c r="C269" s="1">
        <v>2003</v>
      </c>
      <c r="D269" s="1" t="s">
        <v>175</v>
      </c>
      <c r="E269" s="1" t="s">
        <v>233</v>
      </c>
      <c r="F269" s="1">
        <v>2010</v>
      </c>
      <c r="G269" s="1" t="s">
        <v>234</v>
      </c>
      <c r="H269" s="1">
        <v>15250000</v>
      </c>
      <c r="I269" s="21">
        <v>3.3</v>
      </c>
      <c r="J269" s="1">
        <f t="shared" si="13"/>
        <v>71480000</v>
      </c>
      <c r="K269" s="21">
        <v>3406081</v>
      </c>
      <c r="L269" s="21">
        <v>3.35</v>
      </c>
      <c r="M269" s="21">
        <v>99.691000000000003</v>
      </c>
    </row>
    <row r="270" spans="1:13">
      <c r="A270" s="1" t="s">
        <v>169</v>
      </c>
      <c r="B270" s="1" t="s">
        <v>170</v>
      </c>
      <c r="C270" s="1">
        <v>2003</v>
      </c>
      <c r="D270" s="1" t="s">
        <v>175</v>
      </c>
      <c r="E270" s="1" t="s">
        <v>233</v>
      </c>
      <c r="F270" s="1">
        <v>2011</v>
      </c>
      <c r="G270" s="1" t="s">
        <v>234</v>
      </c>
      <c r="H270" s="1">
        <v>405000</v>
      </c>
      <c r="I270" s="21">
        <v>3.75</v>
      </c>
      <c r="J270" s="1">
        <f t="shared" si="13"/>
        <v>71075000</v>
      </c>
      <c r="K270" s="21">
        <v>2902831</v>
      </c>
      <c r="L270" s="21">
        <v>3.56</v>
      </c>
      <c r="M270" s="21">
        <v>98.728999999999999</v>
      </c>
    </row>
    <row r="271" spans="1:13">
      <c r="A271" s="1" t="s">
        <v>169</v>
      </c>
      <c r="B271" s="1" t="s">
        <v>170</v>
      </c>
      <c r="C271" s="1">
        <v>2003</v>
      </c>
      <c r="D271" s="1" t="s">
        <v>175</v>
      </c>
      <c r="E271" s="1" t="s">
        <v>233</v>
      </c>
      <c r="F271" s="1">
        <v>2012</v>
      </c>
      <c r="G271" s="1" t="s">
        <v>234</v>
      </c>
      <c r="H271" s="1">
        <v>415000</v>
      </c>
      <c r="I271" s="21">
        <v>3.625</v>
      </c>
      <c r="J271" s="1">
        <f t="shared" si="13"/>
        <v>70660000</v>
      </c>
      <c r="K271" s="21">
        <v>2889162</v>
      </c>
      <c r="L271" s="21">
        <v>3.77</v>
      </c>
      <c r="M271" s="21">
        <v>98.906000000000006</v>
      </c>
    </row>
    <row r="272" spans="1:13">
      <c r="A272" s="1" t="s">
        <v>169</v>
      </c>
      <c r="B272" s="1" t="s">
        <v>170</v>
      </c>
      <c r="C272" s="1">
        <v>2003</v>
      </c>
      <c r="D272" s="1" t="s">
        <v>175</v>
      </c>
      <c r="E272" s="1" t="s">
        <v>233</v>
      </c>
      <c r="F272" s="1">
        <v>2013</v>
      </c>
      <c r="G272" s="1" t="s">
        <v>234</v>
      </c>
      <c r="H272" s="1">
        <v>430000</v>
      </c>
      <c r="I272" s="21">
        <v>3.75</v>
      </c>
      <c r="J272" s="1">
        <f t="shared" si="13"/>
        <v>70230000</v>
      </c>
      <c r="K272" s="21">
        <v>2874119</v>
      </c>
      <c r="L272" s="21">
        <v>3.89</v>
      </c>
      <c r="M272" s="21">
        <v>98.852999999999994</v>
      </c>
    </row>
    <row r="273" spans="1:13">
      <c r="A273" s="1" t="s">
        <v>169</v>
      </c>
      <c r="B273" s="1" t="s">
        <v>170</v>
      </c>
      <c r="C273" s="1">
        <v>2003</v>
      </c>
      <c r="D273" s="1" t="s">
        <v>175</v>
      </c>
      <c r="E273" s="1" t="s">
        <v>233</v>
      </c>
      <c r="F273" s="1">
        <v>2014</v>
      </c>
      <c r="G273" s="1" t="s">
        <v>234</v>
      </c>
      <c r="H273" s="1">
        <v>18990000</v>
      </c>
      <c r="I273" s="21">
        <v>4</v>
      </c>
      <c r="J273" s="1">
        <f t="shared" si="13"/>
        <v>51240000</v>
      </c>
      <c r="K273" s="21">
        <v>2857994</v>
      </c>
      <c r="L273" s="21">
        <v>4</v>
      </c>
      <c r="M273" s="21">
        <v>100</v>
      </c>
    </row>
    <row r="274" spans="1:13">
      <c r="A274" s="1" t="s">
        <v>169</v>
      </c>
      <c r="B274" s="1" t="s">
        <v>170</v>
      </c>
      <c r="C274" s="1">
        <v>2003</v>
      </c>
      <c r="D274" s="1" t="s">
        <v>175</v>
      </c>
      <c r="E274" s="1" t="s">
        <v>233</v>
      </c>
      <c r="F274" s="1">
        <v>2015</v>
      </c>
      <c r="G274" s="1" t="s">
        <v>234</v>
      </c>
      <c r="H274" s="1">
        <v>19750000</v>
      </c>
      <c r="I274" s="21">
        <v>4</v>
      </c>
      <c r="J274" s="1">
        <f t="shared" si="13"/>
        <v>31490000</v>
      </c>
      <c r="K274" s="21">
        <v>2098394</v>
      </c>
      <c r="L274" s="21">
        <v>4.0999999999999996</v>
      </c>
      <c r="M274" s="21">
        <v>99.061000000000007</v>
      </c>
    </row>
    <row r="275" spans="1:13">
      <c r="A275" s="1" t="s">
        <v>169</v>
      </c>
      <c r="B275" s="1" t="s">
        <v>170</v>
      </c>
      <c r="C275" s="1">
        <v>2003</v>
      </c>
      <c r="D275" s="1" t="s">
        <v>175</v>
      </c>
      <c r="E275" s="1" t="s">
        <v>233</v>
      </c>
      <c r="F275" s="1">
        <v>2016</v>
      </c>
      <c r="G275" s="1" t="s">
        <v>234</v>
      </c>
      <c r="H275" s="1">
        <v>20535000</v>
      </c>
      <c r="I275" s="21">
        <v>4</v>
      </c>
      <c r="J275" s="1">
        <f t="shared" si="13"/>
        <v>10955000</v>
      </c>
      <c r="K275" s="21">
        <v>1308394</v>
      </c>
      <c r="L275" s="21">
        <v>4.1900000000000004</v>
      </c>
      <c r="M275" s="21">
        <v>98.114999999999995</v>
      </c>
    </row>
    <row r="276" spans="1:13">
      <c r="A276" s="1" t="s">
        <v>169</v>
      </c>
      <c r="B276" s="1" t="s">
        <v>170</v>
      </c>
      <c r="C276" s="1">
        <v>2003</v>
      </c>
      <c r="D276" s="1" t="s">
        <v>175</v>
      </c>
      <c r="E276" s="1" t="s">
        <v>233</v>
      </c>
      <c r="F276" s="1">
        <v>2017</v>
      </c>
      <c r="G276" s="1" t="s">
        <v>234</v>
      </c>
      <c r="H276" s="1">
        <v>1375000</v>
      </c>
      <c r="I276" s="21">
        <v>4.125</v>
      </c>
      <c r="J276" s="1">
        <f t="shared" si="13"/>
        <v>9580000</v>
      </c>
      <c r="K276" s="21">
        <v>486994</v>
      </c>
      <c r="L276" s="21">
        <v>4.25</v>
      </c>
      <c r="M276" s="21">
        <v>98.692999999999998</v>
      </c>
    </row>
    <row r="277" spans="1:13">
      <c r="A277" s="1" t="s">
        <v>169</v>
      </c>
      <c r="B277" s="1" t="s">
        <v>170</v>
      </c>
      <c r="C277" s="1">
        <v>2003</v>
      </c>
      <c r="D277" s="1" t="s">
        <v>175</v>
      </c>
      <c r="E277" s="1" t="s">
        <v>233</v>
      </c>
      <c r="F277" s="1">
        <v>2018</v>
      </c>
      <c r="G277" s="1" t="s">
        <v>234</v>
      </c>
      <c r="H277" s="1">
        <v>1430000</v>
      </c>
      <c r="I277" s="21">
        <v>4.25</v>
      </c>
      <c r="J277" s="1">
        <f t="shared" si="13"/>
        <v>8150000</v>
      </c>
      <c r="K277" s="21">
        <v>430275</v>
      </c>
      <c r="L277" s="21">
        <v>4.375</v>
      </c>
      <c r="M277" s="21">
        <v>98.637</v>
      </c>
    </row>
    <row r="278" spans="1:13">
      <c r="A278" s="1" t="s">
        <v>169</v>
      </c>
      <c r="B278" s="1" t="s">
        <v>170</v>
      </c>
      <c r="C278" s="1">
        <v>2003</v>
      </c>
      <c r="D278" s="1" t="s">
        <v>175</v>
      </c>
      <c r="E278" s="1" t="s">
        <v>233</v>
      </c>
      <c r="F278" s="1">
        <v>2019</v>
      </c>
      <c r="G278" s="1" t="s">
        <v>234</v>
      </c>
      <c r="H278" s="1">
        <v>1490000</v>
      </c>
      <c r="I278" s="21">
        <v>4.375</v>
      </c>
      <c r="J278" s="1">
        <f t="shared" si="13"/>
        <v>6660000</v>
      </c>
      <c r="K278" s="21">
        <v>369500</v>
      </c>
      <c r="L278" s="21">
        <v>4.49</v>
      </c>
      <c r="M278" s="21">
        <v>98.697999999999993</v>
      </c>
    </row>
    <row r="279" spans="1:13">
      <c r="A279" s="1" t="s">
        <v>169</v>
      </c>
      <c r="B279" s="1" t="s">
        <v>170</v>
      </c>
      <c r="C279" s="1">
        <v>2003</v>
      </c>
      <c r="D279" s="1" t="s">
        <v>175</v>
      </c>
      <c r="E279" s="1" t="s">
        <v>233</v>
      </c>
      <c r="F279" s="1">
        <v>2020</v>
      </c>
      <c r="G279" s="1" t="s">
        <v>234</v>
      </c>
      <c r="H279" s="1">
        <v>1560000</v>
      </c>
      <c r="I279" s="21">
        <v>4.375</v>
      </c>
      <c r="J279" s="1">
        <f t="shared" si="13"/>
        <v>5100000</v>
      </c>
      <c r="K279" s="21">
        <v>304313</v>
      </c>
      <c r="L279" s="21">
        <v>4.59</v>
      </c>
      <c r="M279" s="21">
        <v>97.484999999999999</v>
      </c>
    </row>
    <row r="280" spans="1:13">
      <c r="A280" s="1" t="s">
        <v>169</v>
      </c>
      <c r="B280" s="1" t="s">
        <v>170</v>
      </c>
      <c r="C280" s="1">
        <v>2003</v>
      </c>
      <c r="D280" s="1" t="s">
        <v>175</v>
      </c>
      <c r="E280" s="1" t="s">
        <v>233</v>
      </c>
      <c r="F280" s="1">
        <v>2021</v>
      </c>
      <c r="G280" s="1" t="s">
        <v>234</v>
      </c>
      <c r="H280" s="1">
        <v>1625000</v>
      </c>
      <c r="I280" s="21">
        <v>4.5</v>
      </c>
      <c r="J280" s="1">
        <f t="shared" si="13"/>
        <v>3475000</v>
      </c>
      <c r="K280" s="21">
        <v>236062</v>
      </c>
      <c r="L280" s="21">
        <v>4.6900000000000004</v>
      </c>
      <c r="M280" s="21">
        <v>97.709000000000003</v>
      </c>
    </row>
    <row r="281" spans="1:13">
      <c r="A281" s="1" t="s">
        <v>169</v>
      </c>
      <c r="B281" s="1" t="s">
        <v>170</v>
      </c>
      <c r="C281" s="1">
        <v>2003</v>
      </c>
      <c r="D281" s="1" t="s">
        <v>175</v>
      </c>
      <c r="E281" s="1" t="s">
        <v>233</v>
      </c>
      <c r="F281" s="1">
        <v>2022</v>
      </c>
      <c r="G281" s="1" t="s">
        <v>234</v>
      </c>
      <c r="H281" s="1">
        <v>1700000</v>
      </c>
      <c r="I281" s="21">
        <v>4.625</v>
      </c>
      <c r="J281" s="1">
        <f t="shared" si="13"/>
        <v>1775000</v>
      </c>
      <c r="K281" s="21">
        <v>162938</v>
      </c>
      <c r="L281" s="21">
        <v>4.79</v>
      </c>
      <c r="M281" s="21">
        <v>97.956999999999994</v>
      </c>
    </row>
    <row r="282" spans="1:13">
      <c r="A282" s="1" t="s">
        <v>169</v>
      </c>
      <c r="B282" s="1" t="s">
        <v>170</v>
      </c>
      <c r="C282" s="1">
        <v>2003</v>
      </c>
      <c r="D282" s="1" t="s">
        <v>175</v>
      </c>
      <c r="E282" s="1" t="s">
        <v>233</v>
      </c>
      <c r="F282" s="1">
        <v>2023</v>
      </c>
      <c r="G282" s="1" t="s">
        <v>234</v>
      </c>
      <c r="H282" s="1">
        <v>1775000</v>
      </c>
      <c r="I282" s="21">
        <v>4.75</v>
      </c>
      <c r="J282" s="1">
        <f t="shared" si="13"/>
        <v>0</v>
      </c>
      <c r="K282" s="21">
        <v>84312</v>
      </c>
      <c r="L282" s="21">
        <v>4.875</v>
      </c>
      <c r="M282" s="21">
        <v>98.414000000000001</v>
      </c>
    </row>
    <row r="283" spans="1:13">
      <c r="A283" s="1" t="s">
        <v>169</v>
      </c>
      <c r="B283" s="1" t="s">
        <v>170</v>
      </c>
      <c r="C283" s="1">
        <v>2005</v>
      </c>
      <c r="D283" s="1" t="s">
        <v>175</v>
      </c>
      <c r="E283" s="1" t="s">
        <v>233</v>
      </c>
      <c r="F283" s="1">
        <v>2005</v>
      </c>
      <c r="G283" s="1" t="s">
        <v>234</v>
      </c>
      <c r="H283" s="1">
        <v>0</v>
      </c>
      <c r="I283" s="21" t="s">
        <v>174</v>
      </c>
      <c r="J283" s="1">
        <f>50385000-H283</f>
        <v>50385000</v>
      </c>
      <c r="K283" s="21">
        <v>0</v>
      </c>
      <c r="L283" s="21" t="s">
        <v>174</v>
      </c>
      <c r="M283" s="21" t="s">
        <v>174</v>
      </c>
    </row>
    <row r="284" spans="1:13">
      <c r="A284" s="1" t="s">
        <v>169</v>
      </c>
      <c r="B284" s="1" t="s">
        <v>170</v>
      </c>
      <c r="C284" s="1">
        <v>2005</v>
      </c>
      <c r="D284" s="1" t="s">
        <v>175</v>
      </c>
      <c r="E284" s="1" t="s">
        <v>233</v>
      </c>
      <c r="F284" s="1">
        <v>2006</v>
      </c>
      <c r="G284" s="1" t="s">
        <v>234</v>
      </c>
      <c r="H284" s="1">
        <v>875000</v>
      </c>
      <c r="I284" s="21">
        <v>3</v>
      </c>
      <c r="J284" s="1">
        <f t="shared" si="13"/>
        <v>49510000</v>
      </c>
      <c r="K284" s="21">
        <v>1189575</v>
      </c>
      <c r="L284" s="21">
        <v>2.82</v>
      </c>
      <c r="M284" s="21">
        <v>100.21299999999999</v>
      </c>
    </row>
    <row r="285" spans="1:13">
      <c r="A285" s="1" t="s">
        <v>169</v>
      </c>
      <c r="B285" s="1" t="s">
        <v>170</v>
      </c>
      <c r="C285" s="1">
        <v>2005</v>
      </c>
      <c r="D285" s="1" t="s">
        <v>175</v>
      </c>
      <c r="E285" s="1" t="s">
        <v>233</v>
      </c>
      <c r="F285" s="1">
        <v>2007</v>
      </c>
      <c r="G285" s="1" t="s">
        <v>234</v>
      </c>
      <c r="H285" s="1">
        <v>970000</v>
      </c>
      <c r="I285" s="21">
        <v>3</v>
      </c>
      <c r="J285" s="1">
        <f t="shared" si="13"/>
        <v>48540000</v>
      </c>
      <c r="K285" s="21">
        <v>2318150</v>
      </c>
      <c r="L285" s="21">
        <v>2.88</v>
      </c>
      <c r="M285" s="21">
        <v>100.254</v>
      </c>
    </row>
    <row r="286" spans="1:13">
      <c r="A286" s="1" t="s">
        <v>169</v>
      </c>
      <c r="B286" s="1" t="s">
        <v>170</v>
      </c>
      <c r="C286" s="1">
        <v>2005</v>
      </c>
      <c r="D286" s="1" t="s">
        <v>175</v>
      </c>
      <c r="E286" s="1" t="s">
        <v>233</v>
      </c>
      <c r="F286" s="1">
        <v>2008</v>
      </c>
      <c r="G286" s="1" t="s">
        <v>234</v>
      </c>
      <c r="H286" s="1">
        <v>995000</v>
      </c>
      <c r="I286" s="21">
        <v>3.25</v>
      </c>
      <c r="J286" s="1">
        <f t="shared" si="13"/>
        <v>47545000</v>
      </c>
      <c r="K286" s="21">
        <v>2293050</v>
      </c>
      <c r="L286" s="21">
        <v>2.95</v>
      </c>
      <c r="M286" s="21">
        <v>100.91500000000001</v>
      </c>
    </row>
    <row r="287" spans="1:13">
      <c r="A287" s="1" t="s">
        <v>169</v>
      </c>
      <c r="B287" s="1" t="s">
        <v>170</v>
      </c>
      <c r="C287" s="1">
        <v>2005</v>
      </c>
      <c r="D287" s="1" t="s">
        <v>175</v>
      </c>
      <c r="E287" s="1" t="s">
        <v>233</v>
      </c>
      <c r="F287" s="1">
        <v>2009</v>
      </c>
      <c r="G287" s="1" t="s">
        <v>234</v>
      </c>
      <c r="H287" s="1">
        <v>1030000</v>
      </c>
      <c r="I287" s="21">
        <v>3.25</v>
      </c>
      <c r="J287" s="1">
        <f t="shared" si="13"/>
        <v>46515000</v>
      </c>
      <c r="K287" s="21">
        <v>2262450</v>
      </c>
      <c r="L287" s="21">
        <v>3.03</v>
      </c>
      <c r="M287" s="21">
        <v>100.864</v>
      </c>
    </row>
    <row r="288" spans="1:13">
      <c r="A288" s="1" t="s">
        <v>169</v>
      </c>
      <c r="B288" s="1" t="s">
        <v>170</v>
      </c>
      <c r="C288" s="1">
        <v>2005</v>
      </c>
      <c r="D288" s="1" t="s">
        <v>175</v>
      </c>
      <c r="E288" s="1" t="s">
        <v>233</v>
      </c>
      <c r="F288" s="1">
        <v>2010</v>
      </c>
      <c r="G288" s="1" t="s">
        <v>234</v>
      </c>
      <c r="H288" s="1">
        <v>1065000</v>
      </c>
      <c r="I288" s="21">
        <v>3.25</v>
      </c>
      <c r="J288" s="1">
        <f t="shared" si="13"/>
        <v>45450000</v>
      </c>
      <c r="K288" s="21" t="s">
        <v>174</v>
      </c>
      <c r="L288" s="21">
        <v>3.13</v>
      </c>
      <c r="M288" s="21">
        <v>100.571</v>
      </c>
    </row>
    <row r="289" spans="1:13">
      <c r="A289" s="1" t="s">
        <v>169</v>
      </c>
      <c r="B289" s="1" t="s">
        <v>170</v>
      </c>
      <c r="C289" s="1">
        <v>2005</v>
      </c>
      <c r="D289" s="1" t="s">
        <v>175</v>
      </c>
      <c r="E289" s="1" t="s">
        <v>233</v>
      </c>
      <c r="F289" s="1">
        <v>2011</v>
      </c>
      <c r="G289" s="1" t="s">
        <v>234</v>
      </c>
      <c r="H289" s="1">
        <v>1095000</v>
      </c>
      <c r="I289" s="21">
        <v>3.2</v>
      </c>
      <c r="J289" s="1">
        <f t="shared" si="13"/>
        <v>44355000</v>
      </c>
      <c r="K289" s="21" t="s">
        <v>174</v>
      </c>
      <c r="L289" s="21">
        <v>3.3</v>
      </c>
      <c r="M289" s="21">
        <v>99.436999999999998</v>
      </c>
    </row>
    <row r="290" spans="1:13">
      <c r="A290" s="1" t="s">
        <v>169</v>
      </c>
      <c r="B290" s="1" t="s">
        <v>170</v>
      </c>
      <c r="C290" s="1">
        <v>2005</v>
      </c>
      <c r="D290" s="1" t="s">
        <v>175</v>
      </c>
      <c r="E290" s="1" t="s">
        <v>233</v>
      </c>
      <c r="F290" s="1">
        <v>2012</v>
      </c>
      <c r="G290" s="1" t="s">
        <v>234</v>
      </c>
      <c r="H290" s="1">
        <f>780000+350000</f>
        <v>1130000</v>
      </c>
      <c r="I290" s="21">
        <v>3.53</v>
      </c>
      <c r="J290" s="1">
        <f t="shared" si="13"/>
        <v>43225000</v>
      </c>
      <c r="K290" s="21" t="s">
        <v>174</v>
      </c>
      <c r="L290" s="21">
        <v>3.4</v>
      </c>
      <c r="M290" s="21">
        <v>99.599000000000004</v>
      </c>
    </row>
    <row r="291" spans="1:13">
      <c r="A291" s="1" t="s">
        <v>169</v>
      </c>
      <c r="B291" s="1" t="s">
        <v>170</v>
      </c>
      <c r="C291" s="1">
        <v>2005</v>
      </c>
      <c r="D291" s="1" t="s">
        <v>175</v>
      </c>
      <c r="E291" s="1" t="s">
        <v>233</v>
      </c>
      <c r="F291" s="1">
        <v>2013</v>
      </c>
      <c r="G291" s="1" t="s">
        <v>234</v>
      </c>
      <c r="H291" s="1">
        <v>1170000</v>
      </c>
      <c r="I291" s="21">
        <v>3.4</v>
      </c>
      <c r="J291" s="1">
        <f t="shared" si="13"/>
        <v>42055000</v>
      </c>
      <c r="K291" s="21" t="s">
        <v>174</v>
      </c>
      <c r="L291" s="21">
        <v>3.55</v>
      </c>
      <c r="M291" s="21">
        <v>98.933000000000007</v>
      </c>
    </row>
    <row r="292" spans="1:13">
      <c r="A292" s="1" t="s">
        <v>169</v>
      </c>
      <c r="B292" s="1" t="s">
        <v>170</v>
      </c>
      <c r="C292" s="1">
        <v>2005</v>
      </c>
      <c r="D292" s="1" t="s">
        <v>175</v>
      </c>
      <c r="E292" s="1" t="s">
        <v>233</v>
      </c>
      <c r="F292" s="1">
        <v>2014</v>
      </c>
      <c r="G292" s="1" t="s">
        <v>234</v>
      </c>
      <c r="H292" s="1">
        <v>1210000</v>
      </c>
      <c r="I292" s="21">
        <v>3.5</v>
      </c>
      <c r="J292" s="1">
        <f t="shared" si="13"/>
        <v>40845000</v>
      </c>
      <c r="K292" s="21" t="s">
        <v>174</v>
      </c>
      <c r="L292" s="21">
        <v>3.65</v>
      </c>
      <c r="M292" s="21">
        <v>98.828999999999994</v>
      </c>
    </row>
    <row r="293" spans="1:13">
      <c r="A293" s="1" t="s">
        <v>169</v>
      </c>
      <c r="B293" s="1" t="s">
        <v>170</v>
      </c>
      <c r="C293" s="1">
        <v>2005</v>
      </c>
      <c r="D293" s="1" t="s">
        <v>175</v>
      </c>
      <c r="E293" s="1" t="s">
        <v>233</v>
      </c>
      <c r="F293" s="1">
        <v>2015</v>
      </c>
      <c r="G293" s="1" t="s">
        <v>234</v>
      </c>
      <c r="H293" s="1">
        <f>865000+385000</f>
        <v>1250000</v>
      </c>
      <c r="I293" s="21">
        <v>3.66</v>
      </c>
      <c r="J293" s="1">
        <f t="shared" si="13"/>
        <v>39595000</v>
      </c>
      <c r="K293" s="21" t="s">
        <v>174</v>
      </c>
      <c r="L293" s="21">
        <v>3.75</v>
      </c>
      <c r="M293" s="21">
        <f>ROUND(AVERAGE(98.941,99.574),3)</f>
        <v>99.257999999999996</v>
      </c>
    </row>
    <row r="294" spans="1:13">
      <c r="A294" s="1" t="s">
        <v>169</v>
      </c>
      <c r="B294" s="1" t="s">
        <v>170</v>
      </c>
      <c r="C294" s="1">
        <v>2005</v>
      </c>
      <c r="D294" s="1" t="s">
        <v>175</v>
      </c>
      <c r="E294" s="1" t="s">
        <v>235</v>
      </c>
      <c r="F294" s="1">
        <v>2016</v>
      </c>
      <c r="G294" s="1" t="s">
        <v>234</v>
      </c>
      <c r="H294" s="1">
        <v>1300000</v>
      </c>
      <c r="I294" s="21">
        <v>5</v>
      </c>
      <c r="J294" s="1">
        <f t="shared" si="13"/>
        <v>38295000</v>
      </c>
      <c r="K294" s="21" t="s">
        <v>174</v>
      </c>
      <c r="L294" s="21">
        <v>3.94</v>
      </c>
      <c r="M294" s="21">
        <v>108.848</v>
      </c>
    </row>
    <row r="295" spans="1:13">
      <c r="A295" s="1" t="s">
        <v>169</v>
      </c>
      <c r="B295" s="1" t="s">
        <v>170</v>
      </c>
      <c r="C295" s="1">
        <v>2005</v>
      </c>
      <c r="D295" s="1" t="s">
        <v>175</v>
      </c>
      <c r="E295" s="1" t="s">
        <v>235</v>
      </c>
      <c r="F295" s="1">
        <v>2017</v>
      </c>
      <c r="G295" s="1" t="s">
        <v>234</v>
      </c>
      <c r="H295" s="1">
        <v>1365000</v>
      </c>
      <c r="I295" s="21">
        <v>5</v>
      </c>
      <c r="J295" s="1">
        <f t="shared" si="13"/>
        <v>36930000</v>
      </c>
      <c r="K295" s="21" t="s">
        <v>174</v>
      </c>
      <c r="L295" s="21">
        <v>3.94</v>
      </c>
      <c r="M295" s="21">
        <v>108.848</v>
      </c>
    </row>
    <row r="296" spans="1:13">
      <c r="A296" s="1" t="s">
        <v>169</v>
      </c>
      <c r="B296" s="1" t="s">
        <v>170</v>
      </c>
      <c r="C296" s="1">
        <v>2005</v>
      </c>
      <c r="D296" s="1" t="s">
        <v>175</v>
      </c>
      <c r="E296" s="1" t="s">
        <v>235</v>
      </c>
      <c r="F296" s="1">
        <v>2018</v>
      </c>
      <c r="G296" s="1" t="s">
        <v>234</v>
      </c>
      <c r="H296" s="1">
        <v>1860000</v>
      </c>
      <c r="I296" s="21">
        <v>5</v>
      </c>
      <c r="J296" s="1">
        <f t="shared" si="13"/>
        <v>35070000</v>
      </c>
      <c r="K296" s="21" t="s">
        <v>174</v>
      </c>
      <c r="L296" s="21">
        <v>4.05</v>
      </c>
      <c r="M296" s="21">
        <v>107.866</v>
      </c>
    </row>
    <row r="297" spans="1:13">
      <c r="A297" s="1" t="s">
        <v>169</v>
      </c>
      <c r="B297" s="1" t="s">
        <v>170</v>
      </c>
      <c r="C297" s="1">
        <v>2005</v>
      </c>
      <c r="D297" s="1" t="s">
        <v>175</v>
      </c>
      <c r="E297" s="1" t="s">
        <v>235</v>
      </c>
      <c r="F297" s="1">
        <v>2019</v>
      </c>
      <c r="G297" s="1" t="s">
        <v>234</v>
      </c>
      <c r="H297" s="1">
        <v>4625000</v>
      </c>
      <c r="I297" s="21">
        <v>5</v>
      </c>
      <c r="J297" s="1">
        <f t="shared" si="13"/>
        <v>30445000</v>
      </c>
      <c r="K297" s="21" t="s">
        <v>174</v>
      </c>
      <c r="L297" s="21">
        <v>4.05</v>
      </c>
      <c r="M297" s="21">
        <v>107.866</v>
      </c>
    </row>
    <row r="298" spans="1:13">
      <c r="A298" s="1" t="s">
        <v>169</v>
      </c>
      <c r="B298" s="1" t="s">
        <v>170</v>
      </c>
      <c r="C298" s="1">
        <v>2005</v>
      </c>
      <c r="D298" s="1" t="s">
        <v>175</v>
      </c>
      <c r="E298" s="1" t="s">
        <v>233</v>
      </c>
      <c r="F298" s="1">
        <v>2020</v>
      </c>
      <c r="G298" s="1" t="s">
        <v>234</v>
      </c>
      <c r="H298" s="1">
        <v>1580000</v>
      </c>
      <c r="I298" s="21">
        <v>4</v>
      </c>
      <c r="J298" s="1">
        <f t="shared" si="13"/>
        <v>28865000</v>
      </c>
      <c r="K298" s="21" t="s">
        <v>174</v>
      </c>
      <c r="L298" s="21">
        <v>4.21</v>
      </c>
      <c r="M298" s="21">
        <v>97.650999999999996</v>
      </c>
    </row>
    <row r="299" spans="1:13">
      <c r="A299" s="1" t="s">
        <v>169</v>
      </c>
      <c r="B299" s="1" t="s">
        <v>170</v>
      </c>
      <c r="C299" s="1">
        <v>2005</v>
      </c>
      <c r="D299" s="1" t="s">
        <v>175</v>
      </c>
      <c r="E299" s="1" t="s">
        <v>233</v>
      </c>
      <c r="F299" s="1">
        <v>2021</v>
      </c>
      <c r="G299" s="1" t="s">
        <v>234</v>
      </c>
      <c r="H299" s="1">
        <v>1645000</v>
      </c>
      <c r="I299" s="21">
        <v>4.125</v>
      </c>
      <c r="J299" s="1">
        <f t="shared" si="13"/>
        <v>27220000</v>
      </c>
      <c r="K299" s="21" t="s">
        <v>174</v>
      </c>
      <c r="L299" s="21">
        <v>4.25</v>
      </c>
      <c r="M299" s="21">
        <v>98.539000000000001</v>
      </c>
    </row>
    <row r="300" spans="1:13">
      <c r="A300" s="1" t="s">
        <v>169</v>
      </c>
      <c r="B300" s="1" t="s">
        <v>170</v>
      </c>
      <c r="C300" s="1">
        <v>2005</v>
      </c>
      <c r="D300" s="1" t="s">
        <v>175</v>
      </c>
      <c r="E300" s="1" t="s">
        <v>235</v>
      </c>
      <c r="F300" s="1">
        <v>2022</v>
      </c>
      <c r="G300" s="1" t="s">
        <v>234</v>
      </c>
      <c r="H300" s="1">
        <v>1710000</v>
      </c>
      <c r="I300" s="21">
        <v>5</v>
      </c>
      <c r="J300" s="1">
        <f t="shared" si="13"/>
        <v>25510000</v>
      </c>
      <c r="K300" s="21" t="s">
        <v>174</v>
      </c>
      <c r="L300" s="21">
        <v>4.21</v>
      </c>
      <c r="M300" s="21">
        <v>106.505</v>
      </c>
    </row>
    <row r="301" spans="1:13">
      <c r="A301" s="1" t="s">
        <v>169</v>
      </c>
      <c r="B301" s="1" t="s">
        <v>170</v>
      </c>
      <c r="C301" s="1">
        <v>2005</v>
      </c>
      <c r="D301" s="1" t="s">
        <v>175</v>
      </c>
      <c r="E301" s="1" t="s">
        <v>235</v>
      </c>
      <c r="F301" s="1">
        <v>2023</v>
      </c>
      <c r="G301" s="1" t="s">
        <v>234</v>
      </c>
      <c r="H301" s="1">
        <v>1795000</v>
      </c>
      <c r="I301" s="21">
        <v>5</v>
      </c>
      <c r="J301" s="1">
        <f t="shared" si="13"/>
        <v>23715000</v>
      </c>
      <c r="K301" s="21" t="s">
        <v>174</v>
      </c>
      <c r="L301" s="21">
        <v>4.21</v>
      </c>
      <c r="M301" s="21">
        <v>106.505</v>
      </c>
    </row>
    <row r="302" spans="1:13">
      <c r="A302" s="1" t="s">
        <v>169</v>
      </c>
      <c r="B302" s="1" t="s">
        <v>170</v>
      </c>
      <c r="C302" s="1">
        <v>2005</v>
      </c>
      <c r="D302" s="1" t="s">
        <v>175</v>
      </c>
      <c r="E302" s="1" t="s">
        <v>233</v>
      </c>
      <c r="F302" s="1">
        <v>2024</v>
      </c>
      <c r="G302" s="1" t="s">
        <v>234</v>
      </c>
      <c r="H302" s="1">
        <v>1885000</v>
      </c>
      <c r="I302" s="21">
        <v>5</v>
      </c>
      <c r="J302" s="1">
        <f t="shared" si="13"/>
        <v>21830000</v>
      </c>
      <c r="K302" s="21" t="s">
        <v>174</v>
      </c>
      <c r="L302" s="21">
        <v>4.24</v>
      </c>
      <c r="M302" s="21">
        <v>106.249</v>
      </c>
    </row>
    <row r="303" spans="1:13">
      <c r="A303" s="1" t="s">
        <v>169</v>
      </c>
      <c r="B303" s="1" t="s">
        <v>170</v>
      </c>
      <c r="C303" s="1">
        <v>2005</v>
      </c>
      <c r="D303" s="1" t="s">
        <v>175</v>
      </c>
      <c r="E303" s="1" t="s">
        <v>233</v>
      </c>
      <c r="F303" s="1">
        <v>2025</v>
      </c>
      <c r="G303" s="1" t="s">
        <v>234</v>
      </c>
      <c r="H303" s="1">
        <f>85000+1895000</f>
        <v>1980000</v>
      </c>
      <c r="I303" s="21">
        <v>4.63</v>
      </c>
      <c r="J303" s="1">
        <f t="shared" si="13"/>
        <v>19850000</v>
      </c>
      <c r="K303" s="21" t="s">
        <v>174</v>
      </c>
      <c r="L303" s="21">
        <v>4.26</v>
      </c>
      <c r="M303" s="21">
        <v>102.96899999999999</v>
      </c>
    </row>
    <row r="304" spans="1:13">
      <c r="A304" s="1" t="s">
        <v>169</v>
      </c>
      <c r="B304" s="1" t="s">
        <v>170</v>
      </c>
      <c r="C304" s="1">
        <v>2005</v>
      </c>
      <c r="D304" s="1" t="s">
        <v>175</v>
      </c>
      <c r="E304" s="1" t="s">
        <v>235</v>
      </c>
      <c r="F304" s="1">
        <v>2026</v>
      </c>
      <c r="G304" s="1" t="s">
        <v>234</v>
      </c>
      <c r="H304" s="1">
        <v>2080000</v>
      </c>
      <c r="I304" s="21">
        <v>5</v>
      </c>
      <c r="J304" s="1">
        <f t="shared" si="13"/>
        <v>17770000</v>
      </c>
      <c r="K304" s="21" t="s">
        <v>174</v>
      </c>
      <c r="L304" s="21">
        <v>4.29</v>
      </c>
      <c r="M304" s="21">
        <v>105.82299999999999</v>
      </c>
    </row>
    <row r="305" spans="1:13">
      <c r="A305" s="1" t="s">
        <v>169</v>
      </c>
      <c r="B305" s="1" t="s">
        <v>170</v>
      </c>
      <c r="C305" s="1">
        <v>2005</v>
      </c>
      <c r="D305" s="1" t="s">
        <v>175</v>
      </c>
      <c r="E305" s="1" t="s">
        <v>235</v>
      </c>
      <c r="F305" s="1">
        <v>2027</v>
      </c>
      <c r="G305" s="1" t="s">
        <v>234</v>
      </c>
      <c r="H305" s="1">
        <v>2185000</v>
      </c>
      <c r="I305" s="21">
        <v>5</v>
      </c>
      <c r="J305" s="1">
        <f t="shared" si="13"/>
        <v>15585000</v>
      </c>
      <c r="K305" s="21" t="s">
        <v>174</v>
      </c>
      <c r="L305" s="21">
        <v>4.29</v>
      </c>
      <c r="M305" s="21">
        <v>105.82299999999999</v>
      </c>
    </row>
    <row r="306" spans="1:13">
      <c r="A306" s="1" t="s">
        <v>169</v>
      </c>
      <c r="B306" s="1" t="s">
        <v>170</v>
      </c>
      <c r="C306" s="1">
        <v>2005</v>
      </c>
      <c r="D306" s="1" t="s">
        <v>175</v>
      </c>
      <c r="E306" s="1" t="s">
        <v>235</v>
      </c>
      <c r="F306" s="1">
        <v>2028</v>
      </c>
      <c r="G306" s="1" t="s">
        <v>234</v>
      </c>
      <c r="H306" s="1">
        <v>2290000</v>
      </c>
      <c r="I306" s="21">
        <v>5</v>
      </c>
      <c r="J306" s="1">
        <f t="shared" si="13"/>
        <v>13295000</v>
      </c>
      <c r="K306" s="21" t="s">
        <v>174</v>
      </c>
      <c r="L306" s="21">
        <v>4.29</v>
      </c>
      <c r="M306" s="21">
        <v>105.82299999999999</v>
      </c>
    </row>
    <row r="307" spans="1:13">
      <c r="A307" s="1" t="s">
        <v>169</v>
      </c>
      <c r="B307" s="1" t="s">
        <v>170</v>
      </c>
      <c r="C307" s="1">
        <v>2005</v>
      </c>
      <c r="D307" s="1" t="s">
        <v>175</v>
      </c>
      <c r="E307" s="1" t="s">
        <v>235</v>
      </c>
      <c r="F307" s="1">
        <v>2029</v>
      </c>
      <c r="G307" s="1" t="s">
        <v>234</v>
      </c>
      <c r="H307" s="1">
        <v>2405000</v>
      </c>
      <c r="I307" s="21">
        <v>5</v>
      </c>
      <c r="J307" s="1">
        <f t="shared" si="13"/>
        <v>10890000</v>
      </c>
      <c r="K307" s="21" t="s">
        <v>174</v>
      </c>
      <c r="L307" s="21">
        <v>4.29</v>
      </c>
      <c r="M307" s="21">
        <v>105.82299999999999</v>
      </c>
    </row>
    <row r="308" spans="1:13">
      <c r="A308" s="1" t="s">
        <v>169</v>
      </c>
      <c r="B308" s="1" t="s">
        <v>170</v>
      </c>
      <c r="C308" s="1">
        <v>2005</v>
      </c>
      <c r="D308" s="1" t="s">
        <v>175</v>
      </c>
      <c r="E308" s="1" t="s">
        <v>235</v>
      </c>
      <c r="F308" s="1">
        <v>2030</v>
      </c>
      <c r="G308" s="1" t="s">
        <v>234</v>
      </c>
      <c r="H308" s="1">
        <v>2525000</v>
      </c>
      <c r="I308" s="21">
        <v>5</v>
      </c>
      <c r="J308" s="1">
        <f t="shared" si="13"/>
        <v>8365000</v>
      </c>
      <c r="K308" s="21" t="s">
        <v>174</v>
      </c>
      <c r="L308" s="21">
        <v>4.34</v>
      </c>
      <c r="M308" s="21">
        <v>105.399</v>
      </c>
    </row>
    <row r="309" spans="1:13">
      <c r="A309" s="1" t="s">
        <v>169</v>
      </c>
      <c r="B309" s="1" t="s">
        <v>170</v>
      </c>
      <c r="C309" s="1">
        <v>2005</v>
      </c>
      <c r="D309" s="1" t="s">
        <v>175</v>
      </c>
      <c r="E309" s="1" t="s">
        <v>235</v>
      </c>
      <c r="F309" s="1">
        <v>2031</v>
      </c>
      <c r="G309" s="1" t="s">
        <v>234</v>
      </c>
      <c r="H309" s="1">
        <v>2655000</v>
      </c>
      <c r="I309" s="21">
        <v>5</v>
      </c>
      <c r="J309" s="1">
        <f t="shared" si="13"/>
        <v>5710000</v>
      </c>
      <c r="K309" s="21" t="s">
        <v>174</v>
      </c>
      <c r="L309" s="21">
        <v>4.34</v>
      </c>
      <c r="M309" s="21">
        <v>105.399</v>
      </c>
    </row>
    <row r="310" spans="1:13">
      <c r="A310" s="1" t="s">
        <v>169</v>
      </c>
      <c r="B310" s="1" t="s">
        <v>170</v>
      </c>
      <c r="C310" s="1">
        <v>2005</v>
      </c>
      <c r="D310" s="1" t="s">
        <v>175</v>
      </c>
      <c r="E310" s="1" t="s">
        <v>235</v>
      </c>
      <c r="F310" s="1">
        <v>2032</v>
      </c>
      <c r="G310" s="1" t="s">
        <v>234</v>
      </c>
      <c r="H310" s="1">
        <v>2785000</v>
      </c>
      <c r="I310" s="21">
        <v>5</v>
      </c>
      <c r="J310" s="1">
        <f t="shared" si="13"/>
        <v>2925000</v>
      </c>
      <c r="K310" s="21" t="s">
        <v>174</v>
      </c>
      <c r="L310" s="21">
        <v>4.34</v>
      </c>
      <c r="M310" s="21">
        <v>105.399</v>
      </c>
    </row>
    <row r="311" spans="1:13">
      <c r="A311" s="1" t="s">
        <v>169</v>
      </c>
      <c r="B311" s="1" t="s">
        <v>170</v>
      </c>
      <c r="C311" s="1">
        <v>2005</v>
      </c>
      <c r="D311" s="1" t="s">
        <v>175</v>
      </c>
      <c r="E311" s="1" t="s">
        <v>235</v>
      </c>
      <c r="F311" s="1">
        <v>2033</v>
      </c>
      <c r="G311" s="1" t="s">
        <v>234</v>
      </c>
      <c r="H311" s="1">
        <v>2925000</v>
      </c>
      <c r="I311" s="21">
        <v>5</v>
      </c>
      <c r="J311" s="1">
        <f t="shared" si="13"/>
        <v>0</v>
      </c>
      <c r="K311" s="21" t="s">
        <v>174</v>
      </c>
      <c r="L311" s="21">
        <v>4.34</v>
      </c>
      <c r="M311" s="21">
        <v>105.399</v>
      </c>
    </row>
    <row r="312" spans="1:13">
      <c r="A312" s="1" t="s">
        <v>169</v>
      </c>
      <c r="B312" s="1" t="s">
        <v>170</v>
      </c>
      <c r="C312" s="1">
        <v>2007</v>
      </c>
      <c r="D312" s="1" t="s">
        <v>175</v>
      </c>
      <c r="E312" s="1" t="s">
        <v>233</v>
      </c>
      <c r="F312" s="1">
        <v>2007</v>
      </c>
      <c r="G312" s="1" t="s">
        <v>234</v>
      </c>
      <c r="H312" s="1">
        <v>2405000</v>
      </c>
      <c r="I312" s="21">
        <v>4</v>
      </c>
      <c r="J312" s="1">
        <f>43720000-H312</f>
        <v>41315000</v>
      </c>
      <c r="K312" s="21" t="s">
        <v>174</v>
      </c>
      <c r="L312" s="21">
        <v>3.5939999999999999</v>
      </c>
      <c r="M312" s="21" t="s">
        <v>174</v>
      </c>
    </row>
    <row r="313" spans="1:13">
      <c r="A313" s="1" t="s">
        <v>169</v>
      </c>
      <c r="B313" s="1" t="s">
        <v>170</v>
      </c>
      <c r="C313" s="1">
        <v>2007</v>
      </c>
      <c r="D313" s="1" t="s">
        <v>175</v>
      </c>
      <c r="E313" s="1" t="s">
        <v>233</v>
      </c>
      <c r="F313" s="1">
        <v>2008</v>
      </c>
      <c r="G313" s="1" t="s">
        <v>234</v>
      </c>
      <c r="H313" s="1">
        <v>305000</v>
      </c>
      <c r="I313" s="21">
        <v>4</v>
      </c>
      <c r="J313" s="1">
        <f t="shared" si="13"/>
        <v>41010000</v>
      </c>
      <c r="K313" s="21" t="s">
        <v>174</v>
      </c>
      <c r="L313" s="21">
        <v>3.66</v>
      </c>
      <c r="M313" s="21" t="s">
        <v>174</v>
      </c>
    </row>
    <row r="314" spans="1:13">
      <c r="A314" s="1" t="s">
        <v>169</v>
      </c>
      <c r="B314" s="1" t="s">
        <v>170</v>
      </c>
      <c r="C314" s="1">
        <v>2007</v>
      </c>
      <c r="D314" s="1" t="s">
        <v>175</v>
      </c>
      <c r="E314" s="1" t="s">
        <v>233</v>
      </c>
      <c r="F314" s="1">
        <v>2009</v>
      </c>
      <c r="G314" s="1" t="s">
        <v>234</v>
      </c>
      <c r="H314" s="1">
        <v>3815000</v>
      </c>
      <c r="I314" s="21">
        <v>4</v>
      </c>
      <c r="J314" s="1">
        <f t="shared" si="13"/>
        <v>37195000</v>
      </c>
      <c r="K314" s="21" t="s">
        <v>174</v>
      </c>
      <c r="L314" s="21">
        <v>3.66</v>
      </c>
      <c r="M314" s="21" t="s">
        <v>174</v>
      </c>
    </row>
    <row r="315" spans="1:13">
      <c r="A315" s="1" t="s">
        <v>169</v>
      </c>
      <c r="B315" s="1" t="s">
        <v>170</v>
      </c>
      <c r="C315" s="1">
        <v>2007</v>
      </c>
      <c r="D315" s="1" t="s">
        <v>175</v>
      </c>
      <c r="E315" s="1" t="s">
        <v>233</v>
      </c>
      <c r="F315" s="1">
        <v>2010</v>
      </c>
      <c r="G315" s="1" t="s">
        <v>234</v>
      </c>
      <c r="H315" s="1">
        <v>3970000</v>
      </c>
      <c r="I315" s="21">
        <v>4</v>
      </c>
      <c r="J315" s="1">
        <f t="shared" si="13"/>
        <v>33225000</v>
      </c>
      <c r="K315" s="21" t="s">
        <v>174</v>
      </c>
      <c r="L315" s="21">
        <v>3.67</v>
      </c>
      <c r="M315" s="21" t="s">
        <v>174</v>
      </c>
    </row>
    <row r="316" spans="1:13">
      <c r="A316" s="1" t="s">
        <v>169</v>
      </c>
      <c r="B316" s="1" t="s">
        <v>170</v>
      </c>
      <c r="C316" s="1">
        <v>2007</v>
      </c>
      <c r="D316" s="1" t="s">
        <v>175</v>
      </c>
      <c r="E316" s="1" t="s">
        <v>233</v>
      </c>
      <c r="F316" s="1">
        <v>2011</v>
      </c>
      <c r="G316" s="1" t="s">
        <v>234</v>
      </c>
      <c r="H316" s="1">
        <v>4130000</v>
      </c>
      <c r="I316" s="21">
        <v>4</v>
      </c>
      <c r="J316" s="1">
        <f t="shared" si="13"/>
        <v>29095000</v>
      </c>
      <c r="K316" s="21" t="s">
        <v>174</v>
      </c>
      <c r="L316" s="21">
        <v>3.71</v>
      </c>
      <c r="M316" s="21" t="s">
        <v>174</v>
      </c>
    </row>
    <row r="317" spans="1:13">
      <c r="A317" s="1" t="s">
        <v>169</v>
      </c>
      <c r="B317" s="1" t="s">
        <v>170</v>
      </c>
      <c r="C317" s="1">
        <v>2007</v>
      </c>
      <c r="D317" s="1" t="s">
        <v>175</v>
      </c>
      <c r="E317" s="1" t="s">
        <v>233</v>
      </c>
      <c r="F317" s="1">
        <v>2012</v>
      </c>
      <c r="G317" s="1" t="s">
        <v>234</v>
      </c>
      <c r="H317" s="1">
        <v>4290000</v>
      </c>
      <c r="I317" s="21">
        <v>4</v>
      </c>
      <c r="J317" s="1">
        <f t="shared" si="13"/>
        <v>24805000</v>
      </c>
      <c r="K317" s="21" t="s">
        <v>174</v>
      </c>
      <c r="L317" s="21">
        <v>3.74</v>
      </c>
      <c r="M317" s="21" t="s">
        <v>174</v>
      </c>
    </row>
    <row r="318" spans="1:13">
      <c r="A318" s="1" t="s">
        <v>169</v>
      </c>
      <c r="B318" s="1" t="s">
        <v>170</v>
      </c>
      <c r="C318" s="1">
        <v>2007</v>
      </c>
      <c r="D318" s="1" t="s">
        <v>175</v>
      </c>
      <c r="E318" s="1" t="s">
        <v>233</v>
      </c>
      <c r="F318" s="1">
        <v>2013</v>
      </c>
      <c r="G318" s="1" t="s">
        <v>234</v>
      </c>
      <c r="H318" s="1">
        <v>4470000</v>
      </c>
      <c r="I318" s="21">
        <v>5</v>
      </c>
      <c r="J318" s="1">
        <f t="shared" si="13"/>
        <v>20335000</v>
      </c>
      <c r="K318" s="21" t="s">
        <v>174</v>
      </c>
      <c r="L318" s="21">
        <v>3.74</v>
      </c>
      <c r="M318" s="21" t="s">
        <v>174</v>
      </c>
    </row>
    <row r="319" spans="1:13">
      <c r="A319" s="1" t="s">
        <v>169</v>
      </c>
      <c r="B319" s="1" t="s">
        <v>170</v>
      </c>
      <c r="C319" s="1">
        <v>2007</v>
      </c>
      <c r="D319" s="1" t="s">
        <v>175</v>
      </c>
      <c r="E319" s="1" t="s">
        <v>233</v>
      </c>
      <c r="F319" s="1">
        <v>2014</v>
      </c>
      <c r="G319" s="1" t="s">
        <v>234</v>
      </c>
      <c r="H319" s="1">
        <v>4690000</v>
      </c>
      <c r="I319" s="21">
        <v>5.5</v>
      </c>
      <c r="J319" s="1">
        <f t="shared" si="13"/>
        <v>15645000</v>
      </c>
      <c r="K319" s="21" t="s">
        <v>174</v>
      </c>
      <c r="L319" s="21">
        <v>3.76</v>
      </c>
      <c r="M319" s="21" t="s">
        <v>174</v>
      </c>
    </row>
    <row r="320" spans="1:13">
      <c r="A320" s="1" t="s">
        <v>169</v>
      </c>
      <c r="B320" s="1" t="s">
        <v>170</v>
      </c>
      <c r="C320" s="1">
        <v>2007</v>
      </c>
      <c r="D320" s="1" t="s">
        <v>175</v>
      </c>
      <c r="E320" s="1" t="s">
        <v>233</v>
      </c>
      <c r="F320" s="1">
        <v>2015</v>
      </c>
      <c r="G320" s="1" t="s">
        <v>234</v>
      </c>
      <c r="H320" s="1">
        <v>4945000</v>
      </c>
      <c r="I320" s="21">
        <v>5.5</v>
      </c>
      <c r="J320" s="1">
        <f t="shared" si="13"/>
        <v>10700000</v>
      </c>
      <c r="K320" s="21" t="s">
        <v>174</v>
      </c>
      <c r="L320" s="21">
        <v>3.79</v>
      </c>
      <c r="M320" s="21" t="s">
        <v>174</v>
      </c>
    </row>
    <row r="321" spans="1:13">
      <c r="A321" s="1" t="s">
        <v>169</v>
      </c>
      <c r="B321" s="1" t="s">
        <v>170</v>
      </c>
      <c r="C321" s="1">
        <v>2007</v>
      </c>
      <c r="D321" s="1" t="s">
        <v>175</v>
      </c>
      <c r="E321" s="1" t="s">
        <v>233</v>
      </c>
      <c r="F321" s="1">
        <v>2016</v>
      </c>
      <c r="G321" s="1" t="s">
        <v>234</v>
      </c>
      <c r="H321" s="1">
        <v>5220000</v>
      </c>
      <c r="I321" s="21">
        <v>5</v>
      </c>
      <c r="J321" s="1">
        <f t="shared" si="13"/>
        <v>5480000</v>
      </c>
      <c r="K321" s="21" t="s">
        <v>174</v>
      </c>
      <c r="L321" s="21">
        <v>3.82</v>
      </c>
      <c r="M321" s="21" t="s">
        <v>174</v>
      </c>
    </row>
    <row r="322" spans="1:13">
      <c r="A322" s="1" t="s">
        <v>169</v>
      </c>
      <c r="B322" s="1" t="s">
        <v>170</v>
      </c>
      <c r="C322" s="1">
        <v>2007</v>
      </c>
      <c r="D322" s="1" t="s">
        <v>175</v>
      </c>
      <c r="E322" s="1" t="s">
        <v>233</v>
      </c>
      <c r="F322" s="1">
        <v>2017</v>
      </c>
      <c r="G322" s="1" t="s">
        <v>234</v>
      </c>
      <c r="H322" s="1">
        <v>5480000</v>
      </c>
      <c r="I322" s="21">
        <v>5</v>
      </c>
      <c r="J322" s="1">
        <f t="shared" si="13"/>
        <v>0</v>
      </c>
      <c r="K322" s="21" t="s">
        <v>174</v>
      </c>
      <c r="L322" s="21">
        <v>3.86</v>
      </c>
      <c r="M322" s="21" t="s">
        <v>174</v>
      </c>
    </row>
    <row r="323" spans="1:13">
      <c r="A323" s="1" t="s">
        <v>169</v>
      </c>
      <c r="B323" s="1" t="s">
        <v>170</v>
      </c>
      <c r="C323" s="1">
        <v>2007</v>
      </c>
      <c r="D323" s="1" t="s">
        <v>190</v>
      </c>
      <c r="E323" s="1" t="s">
        <v>237</v>
      </c>
      <c r="F323" s="1">
        <v>2007</v>
      </c>
      <c r="G323" s="1" t="s">
        <v>234</v>
      </c>
      <c r="H323" s="21" t="s">
        <v>174</v>
      </c>
      <c r="I323" s="21" t="s">
        <v>174</v>
      </c>
      <c r="J323" s="21">
        <v>57585000</v>
      </c>
      <c r="K323" s="21" t="s">
        <v>174</v>
      </c>
      <c r="L323" s="21" t="s">
        <v>174</v>
      </c>
      <c r="M323" s="21">
        <v>100</v>
      </c>
    </row>
    <row r="324" spans="1:13">
      <c r="A324" s="1" t="s">
        <v>169</v>
      </c>
      <c r="B324" s="1" t="s">
        <v>170</v>
      </c>
      <c r="C324" s="1">
        <v>2007</v>
      </c>
      <c r="D324" s="1" t="s">
        <v>190</v>
      </c>
      <c r="E324" s="1" t="s">
        <v>237</v>
      </c>
      <c r="F324" s="1">
        <v>2008</v>
      </c>
      <c r="G324" s="1" t="s">
        <v>234</v>
      </c>
      <c r="H324" s="21" t="s">
        <v>174</v>
      </c>
      <c r="I324" s="21" t="s">
        <v>174</v>
      </c>
      <c r="J324" s="21">
        <v>57585000</v>
      </c>
      <c r="K324" s="21" t="s">
        <v>174</v>
      </c>
      <c r="L324" s="21" t="s">
        <v>174</v>
      </c>
      <c r="M324" s="21">
        <v>100</v>
      </c>
    </row>
    <row r="325" spans="1:13">
      <c r="A325" s="1" t="s">
        <v>169</v>
      </c>
      <c r="B325" s="1" t="s">
        <v>170</v>
      </c>
      <c r="C325" s="1">
        <v>2007</v>
      </c>
      <c r="D325" s="1" t="s">
        <v>190</v>
      </c>
      <c r="E325" s="1" t="s">
        <v>237</v>
      </c>
      <c r="F325" s="1">
        <v>2009</v>
      </c>
      <c r="G325" s="1" t="s">
        <v>234</v>
      </c>
      <c r="H325" s="21" t="s">
        <v>174</v>
      </c>
      <c r="I325" s="21" t="s">
        <v>174</v>
      </c>
      <c r="J325" s="21">
        <v>57585000</v>
      </c>
      <c r="K325" s="21" t="s">
        <v>174</v>
      </c>
      <c r="L325" s="21" t="s">
        <v>174</v>
      </c>
      <c r="M325" s="21">
        <v>100</v>
      </c>
    </row>
    <row r="326" spans="1:13">
      <c r="A326" s="1" t="s">
        <v>169</v>
      </c>
      <c r="B326" s="1" t="s">
        <v>170</v>
      </c>
      <c r="C326" s="1">
        <v>2007</v>
      </c>
      <c r="D326" s="1" t="s">
        <v>190</v>
      </c>
      <c r="E326" s="1" t="s">
        <v>237</v>
      </c>
      <c r="F326" s="1">
        <v>2010</v>
      </c>
      <c r="G326" s="1" t="s">
        <v>234</v>
      </c>
      <c r="H326" s="21" t="s">
        <v>174</v>
      </c>
      <c r="I326" s="21" t="s">
        <v>174</v>
      </c>
      <c r="J326" s="21">
        <v>57585000</v>
      </c>
      <c r="K326" s="21" t="s">
        <v>174</v>
      </c>
      <c r="L326" s="21" t="s">
        <v>174</v>
      </c>
      <c r="M326" s="21">
        <v>100</v>
      </c>
    </row>
    <row r="327" spans="1:13">
      <c r="A327" s="1" t="s">
        <v>169</v>
      </c>
      <c r="B327" s="1" t="s">
        <v>170</v>
      </c>
      <c r="C327" s="1">
        <v>2007</v>
      </c>
      <c r="D327" s="1" t="s">
        <v>190</v>
      </c>
      <c r="E327" s="1" t="s">
        <v>237</v>
      </c>
      <c r="F327" s="1">
        <v>2011</v>
      </c>
      <c r="G327" s="1" t="s">
        <v>234</v>
      </c>
      <c r="H327" s="21" t="s">
        <v>174</v>
      </c>
      <c r="I327" s="21" t="s">
        <v>174</v>
      </c>
      <c r="J327" s="21">
        <v>57585000</v>
      </c>
      <c r="K327" s="21" t="s">
        <v>174</v>
      </c>
      <c r="L327" s="21" t="s">
        <v>174</v>
      </c>
      <c r="M327" s="21">
        <v>100</v>
      </c>
    </row>
    <row r="328" spans="1:13">
      <c r="A328" s="1" t="s">
        <v>169</v>
      </c>
      <c r="B328" s="1" t="s">
        <v>170</v>
      </c>
      <c r="C328" s="1">
        <v>2007</v>
      </c>
      <c r="D328" s="1" t="s">
        <v>190</v>
      </c>
      <c r="E328" s="1" t="s">
        <v>237</v>
      </c>
      <c r="F328" s="1">
        <v>2012</v>
      </c>
      <c r="G328" s="1" t="s">
        <v>234</v>
      </c>
      <c r="H328" s="21" t="s">
        <v>174</v>
      </c>
      <c r="I328" s="21" t="s">
        <v>174</v>
      </c>
      <c r="J328" s="21">
        <v>57585000</v>
      </c>
      <c r="K328" s="21" t="s">
        <v>174</v>
      </c>
      <c r="L328" s="21" t="s">
        <v>174</v>
      </c>
      <c r="M328" s="21">
        <v>100</v>
      </c>
    </row>
    <row r="329" spans="1:13">
      <c r="A329" s="1" t="s">
        <v>169</v>
      </c>
      <c r="B329" s="1" t="s">
        <v>170</v>
      </c>
      <c r="C329" s="1">
        <v>2007</v>
      </c>
      <c r="D329" s="1" t="s">
        <v>190</v>
      </c>
      <c r="E329" s="1" t="s">
        <v>237</v>
      </c>
      <c r="F329" s="1">
        <v>2013</v>
      </c>
      <c r="G329" s="1" t="s">
        <v>234</v>
      </c>
      <c r="H329" s="21" t="s">
        <v>174</v>
      </c>
      <c r="I329" s="21" t="s">
        <v>174</v>
      </c>
      <c r="J329" s="21">
        <v>57585000</v>
      </c>
      <c r="K329" s="21" t="s">
        <v>174</v>
      </c>
      <c r="L329" s="21" t="s">
        <v>174</v>
      </c>
      <c r="M329" s="21">
        <v>100</v>
      </c>
    </row>
    <row r="330" spans="1:13">
      <c r="A330" s="1" t="s">
        <v>169</v>
      </c>
      <c r="B330" s="1" t="s">
        <v>170</v>
      </c>
      <c r="C330" s="1">
        <v>2007</v>
      </c>
      <c r="D330" s="1" t="s">
        <v>190</v>
      </c>
      <c r="E330" s="1" t="s">
        <v>237</v>
      </c>
      <c r="F330" s="1">
        <v>2014</v>
      </c>
      <c r="G330" s="1" t="s">
        <v>234</v>
      </c>
      <c r="H330" s="21" t="s">
        <v>174</v>
      </c>
      <c r="I330" s="21" t="s">
        <v>174</v>
      </c>
      <c r="J330" s="21">
        <v>57585000</v>
      </c>
      <c r="K330" s="21" t="s">
        <v>174</v>
      </c>
      <c r="L330" s="21" t="s">
        <v>174</v>
      </c>
      <c r="M330" s="21">
        <v>100</v>
      </c>
    </row>
    <row r="331" spans="1:13">
      <c r="A331" s="1" t="s">
        <v>169</v>
      </c>
      <c r="B331" s="1" t="s">
        <v>170</v>
      </c>
      <c r="C331" s="1">
        <v>2007</v>
      </c>
      <c r="D331" s="1" t="s">
        <v>190</v>
      </c>
      <c r="E331" s="1" t="s">
        <v>237</v>
      </c>
      <c r="F331" s="1">
        <v>2015</v>
      </c>
      <c r="G331" s="1" t="s">
        <v>234</v>
      </c>
      <c r="H331" s="21" t="s">
        <v>174</v>
      </c>
      <c r="I331" s="21" t="s">
        <v>174</v>
      </c>
      <c r="J331" s="21">
        <v>57585000</v>
      </c>
      <c r="K331" s="21" t="s">
        <v>174</v>
      </c>
      <c r="L331" s="21" t="s">
        <v>174</v>
      </c>
      <c r="M331" s="21">
        <v>100</v>
      </c>
    </row>
    <row r="332" spans="1:13">
      <c r="A332" s="1" t="s">
        <v>169</v>
      </c>
      <c r="B332" s="1" t="s">
        <v>170</v>
      </c>
      <c r="C332" s="1">
        <v>2007</v>
      </c>
      <c r="D332" s="1" t="s">
        <v>190</v>
      </c>
      <c r="E332" s="1" t="s">
        <v>237</v>
      </c>
      <c r="F332" s="1">
        <v>2016</v>
      </c>
      <c r="G332" s="1" t="s">
        <v>234</v>
      </c>
      <c r="H332" s="21" t="s">
        <v>174</v>
      </c>
      <c r="I332" s="21" t="s">
        <v>174</v>
      </c>
      <c r="J332" s="21">
        <v>57585000</v>
      </c>
      <c r="K332" s="21" t="s">
        <v>174</v>
      </c>
      <c r="L332" s="21" t="s">
        <v>174</v>
      </c>
      <c r="M332" s="21">
        <v>100</v>
      </c>
    </row>
    <row r="333" spans="1:13">
      <c r="A333" s="1" t="s">
        <v>169</v>
      </c>
      <c r="B333" s="1" t="s">
        <v>170</v>
      </c>
      <c r="C333" s="1">
        <v>2007</v>
      </c>
      <c r="D333" s="1" t="s">
        <v>190</v>
      </c>
      <c r="E333" s="1" t="s">
        <v>237</v>
      </c>
      <c r="F333" s="1">
        <v>2017</v>
      </c>
      <c r="G333" s="1" t="s">
        <v>234</v>
      </c>
      <c r="H333" s="21" t="s">
        <v>174</v>
      </c>
      <c r="I333" s="21" t="s">
        <v>174</v>
      </c>
      <c r="J333" s="21">
        <v>57585000</v>
      </c>
      <c r="K333" s="21" t="s">
        <v>174</v>
      </c>
      <c r="L333" s="21" t="s">
        <v>174</v>
      </c>
      <c r="M333" s="21">
        <v>100</v>
      </c>
    </row>
    <row r="334" spans="1:13">
      <c r="A334" s="1" t="s">
        <v>169</v>
      </c>
      <c r="B334" s="1" t="s">
        <v>170</v>
      </c>
      <c r="C334" s="1">
        <v>2007</v>
      </c>
      <c r="D334" s="1" t="s">
        <v>190</v>
      </c>
      <c r="E334" s="1" t="s">
        <v>235</v>
      </c>
      <c r="F334" s="1">
        <v>2018</v>
      </c>
      <c r="G334" s="1" t="s">
        <v>234</v>
      </c>
      <c r="H334" s="1">
        <v>3090000</v>
      </c>
      <c r="I334" s="21" t="s">
        <v>174</v>
      </c>
      <c r="J334" s="1">
        <f>57585000-H334</f>
        <v>54495000</v>
      </c>
      <c r="K334" s="21" t="s">
        <v>174</v>
      </c>
      <c r="L334" s="21" t="s">
        <v>174</v>
      </c>
      <c r="M334" s="21">
        <v>100</v>
      </c>
    </row>
    <row r="335" spans="1:13">
      <c r="A335" s="1" t="s">
        <v>169</v>
      </c>
      <c r="B335" s="1" t="s">
        <v>170</v>
      </c>
      <c r="C335" s="1">
        <v>2007</v>
      </c>
      <c r="D335" s="1" t="s">
        <v>190</v>
      </c>
      <c r="E335" s="1" t="s">
        <v>235</v>
      </c>
      <c r="F335" s="1">
        <v>2019</v>
      </c>
      <c r="G335" s="1" t="s">
        <v>234</v>
      </c>
      <c r="H335" s="1">
        <v>4550000</v>
      </c>
      <c r="I335" s="21" t="s">
        <v>174</v>
      </c>
      <c r="J335" s="1">
        <f t="shared" ref="J335:J349" si="14">J334-H335</f>
        <v>49945000</v>
      </c>
      <c r="K335" s="21" t="s">
        <v>174</v>
      </c>
      <c r="L335" s="21" t="s">
        <v>174</v>
      </c>
      <c r="M335" s="21">
        <v>100</v>
      </c>
    </row>
    <row r="336" spans="1:13">
      <c r="A336" s="1" t="s">
        <v>169</v>
      </c>
      <c r="B336" s="1" t="s">
        <v>170</v>
      </c>
      <c r="C336" s="1">
        <v>2007</v>
      </c>
      <c r="D336" s="1" t="s">
        <v>190</v>
      </c>
      <c r="E336" s="1" t="s">
        <v>235</v>
      </c>
      <c r="F336" s="1">
        <v>2020</v>
      </c>
      <c r="G336" s="1" t="s">
        <v>234</v>
      </c>
      <c r="H336" s="1">
        <v>3105000</v>
      </c>
      <c r="I336" s="21" t="s">
        <v>174</v>
      </c>
      <c r="J336" s="1">
        <f t="shared" si="14"/>
        <v>46840000</v>
      </c>
      <c r="K336" s="21" t="s">
        <v>174</v>
      </c>
      <c r="L336" s="21" t="s">
        <v>174</v>
      </c>
      <c r="M336" s="21">
        <v>100</v>
      </c>
    </row>
    <row r="337" spans="1:13">
      <c r="A337" s="1" t="s">
        <v>169</v>
      </c>
      <c r="B337" s="1" t="s">
        <v>170</v>
      </c>
      <c r="C337" s="1">
        <v>2007</v>
      </c>
      <c r="D337" s="1" t="s">
        <v>190</v>
      </c>
      <c r="E337" s="1" t="s">
        <v>235</v>
      </c>
      <c r="F337" s="1">
        <v>2021</v>
      </c>
      <c r="G337" s="1" t="s">
        <v>234</v>
      </c>
      <c r="H337" s="1">
        <v>3235000</v>
      </c>
      <c r="I337" s="21" t="s">
        <v>174</v>
      </c>
      <c r="J337" s="1">
        <f t="shared" si="14"/>
        <v>43605000</v>
      </c>
      <c r="K337" s="21" t="s">
        <v>174</v>
      </c>
      <c r="L337" s="21" t="s">
        <v>174</v>
      </c>
      <c r="M337" s="21">
        <v>100</v>
      </c>
    </row>
    <row r="338" spans="1:13">
      <c r="A338" s="1" t="s">
        <v>169</v>
      </c>
      <c r="B338" s="1" t="s">
        <v>170</v>
      </c>
      <c r="C338" s="1">
        <v>2007</v>
      </c>
      <c r="D338" s="1" t="s">
        <v>190</v>
      </c>
      <c r="E338" s="1" t="s">
        <v>235</v>
      </c>
      <c r="F338" s="1">
        <v>2022</v>
      </c>
      <c r="G338" s="1" t="s">
        <v>234</v>
      </c>
      <c r="H338" s="1">
        <v>3375000</v>
      </c>
      <c r="I338" s="21" t="s">
        <v>174</v>
      </c>
      <c r="J338" s="1">
        <f t="shared" si="14"/>
        <v>40230000</v>
      </c>
      <c r="K338" s="21" t="s">
        <v>174</v>
      </c>
      <c r="L338" s="21" t="s">
        <v>174</v>
      </c>
      <c r="M338" s="21">
        <v>100</v>
      </c>
    </row>
    <row r="339" spans="1:13">
      <c r="A339" s="1" t="s">
        <v>169</v>
      </c>
      <c r="B339" s="1" t="s">
        <v>170</v>
      </c>
      <c r="C339" s="1">
        <v>2007</v>
      </c>
      <c r="D339" s="1" t="s">
        <v>190</v>
      </c>
      <c r="E339" s="1" t="s">
        <v>235</v>
      </c>
      <c r="F339" s="1">
        <v>2023</v>
      </c>
      <c r="G339" s="1" t="s">
        <v>234</v>
      </c>
      <c r="H339" s="1">
        <v>3520000</v>
      </c>
      <c r="I339" s="21" t="s">
        <v>174</v>
      </c>
      <c r="J339" s="1">
        <f t="shared" si="14"/>
        <v>36710000</v>
      </c>
      <c r="K339" s="21" t="s">
        <v>174</v>
      </c>
      <c r="L339" s="21" t="s">
        <v>174</v>
      </c>
      <c r="M339" s="21">
        <v>100</v>
      </c>
    </row>
    <row r="340" spans="1:13">
      <c r="A340" s="1" t="s">
        <v>169</v>
      </c>
      <c r="B340" s="1" t="s">
        <v>170</v>
      </c>
      <c r="C340" s="1">
        <v>2007</v>
      </c>
      <c r="D340" s="1" t="s">
        <v>190</v>
      </c>
      <c r="E340" s="1" t="s">
        <v>235</v>
      </c>
      <c r="F340" s="1">
        <v>2024</v>
      </c>
      <c r="G340" s="1" t="s">
        <v>234</v>
      </c>
      <c r="H340" s="1">
        <v>3650000</v>
      </c>
      <c r="I340" s="21" t="s">
        <v>174</v>
      </c>
      <c r="J340" s="1">
        <f t="shared" si="14"/>
        <v>33060000</v>
      </c>
      <c r="K340" s="21" t="s">
        <v>174</v>
      </c>
      <c r="L340" s="21" t="s">
        <v>174</v>
      </c>
      <c r="M340" s="21">
        <v>100</v>
      </c>
    </row>
    <row r="341" spans="1:13">
      <c r="A341" s="1" t="s">
        <v>169</v>
      </c>
      <c r="B341" s="1" t="s">
        <v>170</v>
      </c>
      <c r="C341" s="1">
        <v>2007</v>
      </c>
      <c r="D341" s="1" t="s">
        <v>190</v>
      </c>
      <c r="E341" s="1" t="s">
        <v>235</v>
      </c>
      <c r="F341" s="1">
        <v>2025</v>
      </c>
      <c r="G341" s="1" t="s">
        <v>234</v>
      </c>
      <c r="H341" s="1">
        <v>3805000</v>
      </c>
      <c r="I341" s="21" t="s">
        <v>174</v>
      </c>
      <c r="J341" s="1">
        <f t="shared" si="14"/>
        <v>29255000</v>
      </c>
      <c r="K341" s="21" t="s">
        <v>174</v>
      </c>
      <c r="L341" s="21" t="s">
        <v>174</v>
      </c>
      <c r="M341" s="21">
        <v>100</v>
      </c>
    </row>
    <row r="342" spans="1:13">
      <c r="A342" s="1" t="s">
        <v>169</v>
      </c>
      <c r="B342" s="1" t="s">
        <v>170</v>
      </c>
      <c r="C342" s="1">
        <v>2007</v>
      </c>
      <c r="D342" s="1" t="s">
        <v>190</v>
      </c>
      <c r="E342" s="1" t="s">
        <v>235</v>
      </c>
      <c r="F342" s="1">
        <v>2026</v>
      </c>
      <c r="G342" s="1" t="s">
        <v>234</v>
      </c>
      <c r="H342" s="1">
        <v>3960000</v>
      </c>
      <c r="I342" s="21" t="s">
        <v>174</v>
      </c>
      <c r="J342" s="1">
        <f t="shared" si="14"/>
        <v>25295000</v>
      </c>
      <c r="K342" s="21" t="s">
        <v>174</v>
      </c>
      <c r="L342" s="21" t="s">
        <v>174</v>
      </c>
      <c r="M342" s="21">
        <v>100</v>
      </c>
    </row>
    <row r="343" spans="1:13">
      <c r="A343" s="1" t="s">
        <v>169</v>
      </c>
      <c r="B343" s="1" t="s">
        <v>170</v>
      </c>
      <c r="C343" s="1">
        <v>2007</v>
      </c>
      <c r="D343" s="1" t="s">
        <v>190</v>
      </c>
      <c r="E343" s="1" t="s">
        <v>235</v>
      </c>
      <c r="F343" s="1">
        <v>2027</v>
      </c>
      <c r="G343" s="1" t="s">
        <v>234</v>
      </c>
      <c r="H343" s="1">
        <v>4125000</v>
      </c>
      <c r="I343" s="21" t="s">
        <v>174</v>
      </c>
      <c r="J343" s="1">
        <f t="shared" si="14"/>
        <v>21170000</v>
      </c>
      <c r="K343" s="21" t="s">
        <v>174</v>
      </c>
      <c r="L343" s="21" t="s">
        <v>174</v>
      </c>
      <c r="M343" s="21">
        <v>100</v>
      </c>
    </row>
    <row r="344" spans="1:13">
      <c r="A344" s="1" t="s">
        <v>169</v>
      </c>
      <c r="B344" s="1" t="s">
        <v>170</v>
      </c>
      <c r="C344" s="1">
        <v>2007</v>
      </c>
      <c r="D344" s="1" t="s">
        <v>190</v>
      </c>
      <c r="E344" s="1" t="s">
        <v>235</v>
      </c>
      <c r="F344" s="1">
        <v>2028</v>
      </c>
      <c r="G344" s="1" t="s">
        <v>234</v>
      </c>
      <c r="H344" s="1">
        <v>4295000</v>
      </c>
      <c r="I344" s="21" t="s">
        <v>174</v>
      </c>
      <c r="J344" s="1">
        <f t="shared" si="14"/>
        <v>16875000</v>
      </c>
      <c r="K344" s="21" t="s">
        <v>174</v>
      </c>
      <c r="L344" s="21" t="s">
        <v>174</v>
      </c>
      <c r="M344" s="21">
        <v>100</v>
      </c>
    </row>
    <row r="345" spans="1:13">
      <c r="A345" s="1" t="s">
        <v>169</v>
      </c>
      <c r="B345" s="1" t="s">
        <v>170</v>
      </c>
      <c r="C345" s="1">
        <v>2007</v>
      </c>
      <c r="D345" s="1" t="s">
        <v>190</v>
      </c>
      <c r="E345" s="1" t="s">
        <v>235</v>
      </c>
      <c r="F345" s="1">
        <v>2029</v>
      </c>
      <c r="G345" s="1" t="s">
        <v>234</v>
      </c>
      <c r="H345" s="1">
        <v>4475000</v>
      </c>
      <c r="I345" s="21" t="s">
        <v>174</v>
      </c>
      <c r="J345" s="1">
        <f t="shared" si="14"/>
        <v>12400000</v>
      </c>
      <c r="K345" s="21" t="s">
        <v>174</v>
      </c>
      <c r="L345" s="21" t="s">
        <v>174</v>
      </c>
      <c r="M345" s="21">
        <v>100</v>
      </c>
    </row>
    <row r="346" spans="1:13">
      <c r="A346" s="1" t="s">
        <v>169</v>
      </c>
      <c r="B346" s="1" t="s">
        <v>170</v>
      </c>
      <c r="C346" s="1">
        <v>2007</v>
      </c>
      <c r="D346" s="1" t="s">
        <v>190</v>
      </c>
      <c r="E346" s="1" t="s">
        <v>235</v>
      </c>
      <c r="F346" s="1">
        <v>2030</v>
      </c>
      <c r="G346" s="1" t="s">
        <v>234</v>
      </c>
      <c r="H346" s="1">
        <v>4660000</v>
      </c>
      <c r="I346" s="21" t="s">
        <v>174</v>
      </c>
      <c r="J346" s="1">
        <f t="shared" si="14"/>
        <v>7740000</v>
      </c>
      <c r="K346" s="21" t="s">
        <v>174</v>
      </c>
      <c r="L346" s="21" t="s">
        <v>174</v>
      </c>
      <c r="M346" s="21">
        <v>100</v>
      </c>
    </row>
    <row r="347" spans="1:13">
      <c r="A347" s="1" t="s">
        <v>169</v>
      </c>
      <c r="B347" s="1" t="s">
        <v>170</v>
      </c>
      <c r="C347" s="1">
        <v>2007</v>
      </c>
      <c r="D347" s="1" t="s">
        <v>190</v>
      </c>
      <c r="E347" s="1" t="s">
        <v>235</v>
      </c>
      <c r="F347" s="1">
        <v>2031</v>
      </c>
      <c r="G347" s="1" t="s">
        <v>234</v>
      </c>
      <c r="H347" s="1">
        <v>4855000</v>
      </c>
      <c r="I347" s="21" t="s">
        <v>174</v>
      </c>
      <c r="J347" s="1">
        <f t="shared" si="14"/>
        <v>2885000</v>
      </c>
      <c r="K347" s="21" t="s">
        <v>174</v>
      </c>
      <c r="L347" s="21" t="s">
        <v>174</v>
      </c>
      <c r="M347" s="21">
        <v>100</v>
      </c>
    </row>
    <row r="348" spans="1:13">
      <c r="A348" s="1" t="s">
        <v>169</v>
      </c>
      <c r="B348" s="1" t="s">
        <v>170</v>
      </c>
      <c r="C348" s="1">
        <v>2007</v>
      </c>
      <c r="D348" s="1" t="s">
        <v>190</v>
      </c>
      <c r="E348" s="1" t="s">
        <v>235</v>
      </c>
      <c r="F348" s="1">
        <v>2032</v>
      </c>
      <c r="G348" s="1" t="s">
        <v>234</v>
      </c>
      <c r="H348" s="1">
        <v>1415000</v>
      </c>
      <c r="I348" s="21" t="s">
        <v>174</v>
      </c>
      <c r="J348" s="1">
        <f t="shared" si="14"/>
        <v>1470000</v>
      </c>
      <c r="K348" s="21" t="s">
        <v>174</v>
      </c>
      <c r="L348" s="21" t="s">
        <v>174</v>
      </c>
      <c r="M348" s="21">
        <v>100</v>
      </c>
    </row>
    <row r="349" spans="1:13">
      <c r="A349" s="1" t="s">
        <v>169</v>
      </c>
      <c r="B349" s="1" t="s">
        <v>170</v>
      </c>
      <c r="C349" s="1">
        <v>2007</v>
      </c>
      <c r="D349" s="1" t="s">
        <v>190</v>
      </c>
      <c r="E349" s="1" t="s">
        <v>235</v>
      </c>
      <c r="F349" s="1">
        <v>2033</v>
      </c>
      <c r="G349" s="1" t="s">
        <v>234</v>
      </c>
      <c r="H349" s="1">
        <v>1470000</v>
      </c>
      <c r="I349" s="21" t="s">
        <v>174</v>
      </c>
      <c r="J349" s="1">
        <f t="shared" si="14"/>
        <v>0</v>
      </c>
      <c r="K349" s="21" t="s">
        <v>174</v>
      </c>
      <c r="L349" s="21" t="s">
        <v>174</v>
      </c>
      <c r="M349" s="21">
        <v>100</v>
      </c>
    </row>
    <row r="350" spans="1:13">
      <c r="A350" s="1" t="s">
        <v>169</v>
      </c>
      <c r="B350" s="1" t="s">
        <v>170</v>
      </c>
      <c r="C350" s="1">
        <v>2007</v>
      </c>
      <c r="D350" s="1" t="s">
        <v>193</v>
      </c>
      <c r="E350" s="1" t="s">
        <v>237</v>
      </c>
      <c r="F350" s="1">
        <v>2007</v>
      </c>
      <c r="G350" s="1" t="s">
        <v>234</v>
      </c>
      <c r="H350" s="21" t="s">
        <v>174</v>
      </c>
      <c r="I350" s="21" t="s">
        <v>174</v>
      </c>
      <c r="J350" s="21">
        <v>57590000</v>
      </c>
      <c r="K350" s="21" t="s">
        <v>174</v>
      </c>
      <c r="L350" s="21" t="s">
        <v>174</v>
      </c>
      <c r="M350" s="21">
        <v>100</v>
      </c>
    </row>
    <row r="351" spans="1:13">
      <c r="A351" s="1" t="s">
        <v>169</v>
      </c>
      <c r="B351" s="1" t="s">
        <v>170</v>
      </c>
      <c r="C351" s="1">
        <v>2007</v>
      </c>
      <c r="D351" s="1" t="s">
        <v>193</v>
      </c>
      <c r="E351" s="1" t="s">
        <v>237</v>
      </c>
      <c r="F351" s="1">
        <v>2008</v>
      </c>
      <c r="G351" s="1" t="s">
        <v>234</v>
      </c>
      <c r="H351" s="21" t="s">
        <v>174</v>
      </c>
      <c r="I351" s="21" t="s">
        <v>174</v>
      </c>
      <c r="J351" s="21">
        <v>57590000</v>
      </c>
      <c r="K351" s="21" t="s">
        <v>174</v>
      </c>
      <c r="L351" s="21" t="s">
        <v>174</v>
      </c>
      <c r="M351" s="21">
        <v>100</v>
      </c>
    </row>
    <row r="352" spans="1:13">
      <c r="A352" s="1" t="s">
        <v>169</v>
      </c>
      <c r="B352" s="1" t="s">
        <v>170</v>
      </c>
      <c r="C352" s="1">
        <v>2007</v>
      </c>
      <c r="D352" s="1" t="s">
        <v>193</v>
      </c>
      <c r="E352" s="1" t="s">
        <v>237</v>
      </c>
      <c r="F352" s="1">
        <v>2009</v>
      </c>
      <c r="G352" s="1" t="s">
        <v>234</v>
      </c>
      <c r="H352" s="21" t="s">
        <v>174</v>
      </c>
      <c r="I352" s="21" t="s">
        <v>174</v>
      </c>
      <c r="J352" s="21">
        <v>57590000</v>
      </c>
      <c r="K352" s="21" t="s">
        <v>174</v>
      </c>
      <c r="L352" s="21" t="s">
        <v>174</v>
      </c>
      <c r="M352" s="21">
        <v>100</v>
      </c>
    </row>
    <row r="353" spans="1:13">
      <c r="A353" s="1" t="s">
        <v>169</v>
      </c>
      <c r="B353" s="1" t="s">
        <v>170</v>
      </c>
      <c r="C353" s="1">
        <v>2007</v>
      </c>
      <c r="D353" s="1" t="s">
        <v>193</v>
      </c>
      <c r="E353" s="1" t="s">
        <v>237</v>
      </c>
      <c r="F353" s="1">
        <v>2010</v>
      </c>
      <c r="G353" s="1" t="s">
        <v>234</v>
      </c>
      <c r="H353" s="21" t="s">
        <v>174</v>
      </c>
      <c r="I353" s="21" t="s">
        <v>174</v>
      </c>
      <c r="J353" s="21">
        <v>57590000</v>
      </c>
      <c r="K353" s="21" t="s">
        <v>174</v>
      </c>
      <c r="L353" s="21" t="s">
        <v>174</v>
      </c>
      <c r="M353" s="21">
        <v>100</v>
      </c>
    </row>
    <row r="354" spans="1:13">
      <c r="A354" s="1" t="s">
        <v>169</v>
      </c>
      <c r="B354" s="1" t="s">
        <v>170</v>
      </c>
      <c r="C354" s="1">
        <v>2007</v>
      </c>
      <c r="D354" s="1" t="s">
        <v>193</v>
      </c>
      <c r="E354" s="1" t="s">
        <v>237</v>
      </c>
      <c r="F354" s="1">
        <v>2011</v>
      </c>
      <c r="G354" s="1" t="s">
        <v>234</v>
      </c>
      <c r="H354" s="21" t="s">
        <v>174</v>
      </c>
      <c r="I354" s="21" t="s">
        <v>174</v>
      </c>
      <c r="J354" s="21">
        <v>57590000</v>
      </c>
      <c r="K354" s="21" t="s">
        <v>174</v>
      </c>
      <c r="L354" s="21" t="s">
        <v>174</v>
      </c>
      <c r="M354" s="21">
        <v>100</v>
      </c>
    </row>
    <row r="355" spans="1:13">
      <c r="A355" s="1" t="s">
        <v>169</v>
      </c>
      <c r="B355" s="1" t="s">
        <v>170</v>
      </c>
      <c r="C355" s="1">
        <v>2007</v>
      </c>
      <c r="D355" s="1" t="s">
        <v>193</v>
      </c>
      <c r="E355" s="1" t="s">
        <v>237</v>
      </c>
      <c r="F355" s="1">
        <v>2012</v>
      </c>
      <c r="G355" s="1" t="s">
        <v>234</v>
      </c>
      <c r="H355" s="21" t="s">
        <v>174</v>
      </c>
      <c r="I355" s="21" t="s">
        <v>174</v>
      </c>
      <c r="J355" s="21">
        <v>57590000</v>
      </c>
      <c r="K355" s="21" t="s">
        <v>174</v>
      </c>
      <c r="L355" s="21" t="s">
        <v>174</v>
      </c>
      <c r="M355" s="21">
        <v>100</v>
      </c>
    </row>
    <row r="356" spans="1:13">
      <c r="A356" s="1" t="s">
        <v>169</v>
      </c>
      <c r="B356" s="1" t="s">
        <v>170</v>
      </c>
      <c r="C356" s="1">
        <v>2007</v>
      </c>
      <c r="D356" s="1" t="s">
        <v>193</v>
      </c>
      <c r="E356" s="1" t="s">
        <v>237</v>
      </c>
      <c r="F356" s="1">
        <v>2013</v>
      </c>
      <c r="G356" s="1" t="s">
        <v>234</v>
      </c>
      <c r="H356" s="21" t="s">
        <v>174</v>
      </c>
      <c r="I356" s="21" t="s">
        <v>174</v>
      </c>
      <c r="J356" s="21">
        <v>57590000</v>
      </c>
      <c r="K356" s="21" t="s">
        <v>174</v>
      </c>
      <c r="L356" s="21" t="s">
        <v>174</v>
      </c>
      <c r="M356" s="21">
        <v>100</v>
      </c>
    </row>
    <row r="357" spans="1:13">
      <c r="A357" s="1" t="s">
        <v>169</v>
      </c>
      <c r="B357" s="1" t="s">
        <v>170</v>
      </c>
      <c r="C357" s="1">
        <v>2007</v>
      </c>
      <c r="D357" s="1" t="s">
        <v>193</v>
      </c>
      <c r="E357" s="1" t="s">
        <v>237</v>
      </c>
      <c r="F357" s="1">
        <v>2014</v>
      </c>
      <c r="G357" s="1" t="s">
        <v>234</v>
      </c>
      <c r="H357" s="21" t="s">
        <v>174</v>
      </c>
      <c r="I357" s="21" t="s">
        <v>174</v>
      </c>
      <c r="J357" s="21">
        <v>57590000</v>
      </c>
      <c r="K357" s="21" t="s">
        <v>174</v>
      </c>
      <c r="L357" s="21" t="s">
        <v>174</v>
      </c>
      <c r="M357" s="21">
        <v>100</v>
      </c>
    </row>
    <row r="358" spans="1:13">
      <c r="A358" s="1" t="s">
        <v>169</v>
      </c>
      <c r="B358" s="1" t="s">
        <v>170</v>
      </c>
      <c r="C358" s="1">
        <v>2007</v>
      </c>
      <c r="D358" s="1" t="s">
        <v>193</v>
      </c>
      <c r="E358" s="1" t="s">
        <v>237</v>
      </c>
      <c r="F358" s="1">
        <v>2015</v>
      </c>
      <c r="G358" s="1" t="s">
        <v>234</v>
      </c>
      <c r="H358" s="21" t="s">
        <v>174</v>
      </c>
      <c r="I358" s="21" t="s">
        <v>174</v>
      </c>
      <c r="J358" s="21">
        <v>57590000</v>
      </c>
      <c r="K358" s="21" t="s">
        <v>174</v>
      </c>
      <c r="L358" s="21" t="s">
        <v>174</v>
      </c>
      <c r="M358" s="21">
        <v>100</v>
      </c>
    </row>
    <row r="359" spans="1:13">
      <c r="A359" s="1" t="s">
        <v>169</v>
      </c>
      <c r="B359" s="1" t="s">
        <v>170</v>
      </c>
      <c r="C359" s="1">
        <v>2007</v>
      </c>
      <c r="D359" s="1" t="s">
        <v>193</v>
      </c>
      <c r="E359" s="1" t="s">
        <v>237</v>
      </c>
      <c r="F359" s="1">
        <v>2016</v>
      </c>
      <c r="G359" s="1" t="s">
        <v>234</v>
      </c>
      <c r="H359" s="21" t="s">
        <v>174</v>
      </c>
      <c r="I359" s="21" t="s">
        <v>174</v>
      </c>
      <c r="J359" s="21">
        <v>57590000</v>
      </c>
      <c r="K359" s="21" t="s">
        <v>174</v>
      </c>
      <c r="L359" s="21" t="s">
        <v>174</v>
      </c>
      <c r="M359" s="21">
        <v>100</v>
      </c>
    </row>
    <row r="360" spans="1:13">
      <c r="A360" s="1" t="s">
        <v>169</v>
      </c>
      <c r="B360" s="1" t="s">
        <v>170</v>
      </c>
      <c r="C360" s="1">
        <v>2007</v>
      </c>
      <c r="D360" s="1" t="s">
        <v>193</v>
      </c>
      <c r="E360" s="1" t="s">
        <v>237</v>
      </c>
      <c r="F360" s="1">
        <v>2017</v>
      </c>
      <c r="G360" s="1" t="s">
        <v>234</v>
      </c>
      <c r="H360" s="21" t="s">
        <v>174</v>
      </c>
      <c r="I360" s="21" t="s">
        <v>174</v>
      </c>
      <c r="J360" s="21">
        <v>57590000</v>
      </c>
      <c r="K360" s="21" t="s">
        <v>174</v>
      </c>
      <c r="L360" s="21" t="s">
        <v>174</v>
      </c>
      <c r="M360" s="21">
        <v>100</v>
      </c>
    </row>
    <row r="361" spans="1:13">
      <c r="A361" s="1" t="s">
        <v>169</v>
      </c>
      <c r="B361" s="1" t="s">
        <v>170</v>
      </c>
      <c r="C361" s="1">
        <v>2007</v>
      </c>
      <c r="D361" s="1" t="s">
        <v>193</v>
      </c>
      <c r="E361" s="1" t="s">
        <v>235</v>
      </c>
      <c r="F361" s="1">
        <v>2018</v>
      </c>
      <c r="G361" s="1" t="s">
        <v>234</v>
      </c>
      <c r="H361" s="1">
        <v>3095000</v>
      </c>
      <c r="I361" s="21" t="s">
        <v>174</v>
      </c>
      <c r="J361" s="1">
        <f>57590000-H361</f>
        <v>54495000</v>
      </c>
      <c r="K361" s="21" t="s">
        <v>174</v>
      </c>
      <c r="L361" s="21" t="s">
        <v>174</v>
      </c>
      <c r="M361" s="21">
        <v>100</v>
      </c>
    </row>
    <row r="362" spans="1:13">
      <c r="A362" s="1" t="s">
        <v>169</v>
      </c>
      <c r="B362" s="1" t="s">
        <v>170</v>
      </c>
      <c r="C362" s="1">
        <v>2007</v>
      </c>
      <c r="D362" s="1" t="s">
        <v>193</v>
      </c>
      <c r="E362" s="1" t="s">
        <v>235</v>
      </c>
      <c r="F362" s="1">
        <v>2019</v>
      </c>
      <c r="G362" s="1" t="s">
        <v>234</v>
      </c>
      <c r="H362" s="1">
        <v>4560000</v>
      </c>
      <c r="I362" s="21" t="s">
        <v>174</v>
      </c>
      <c r="J362" s="1">
        <f t="shared" ref="J362:J376" si="15">J361-H362</f>
        <v>49935000</v>
      </c>
      <c r="K362" s="21" t="s">
        <v>174</v>
      </c>
      <c r="L362" s="21" t="s">
        <v>174</v>
      </c>
      <c r="M362" s="21">
        <v>100</v>
      </c>
    </row>
    <row r="363" spans="1:13">
      <c r="A363" s="1" t="s">
        <v>169</v>
      </c>
      <c r="B363" s="1" t="s">
        <v>170</v>
      </c>
      <c r="C363" s="1">
        <v>2007</v>
      </c>
      <c r="D363" s="1" t="s">
        <v>193</v>
      </c>
      <c r="E363" s="1" t="s">
        <v>235</v>
      </c>
      <c r="F363" s="1">
        <v>2020</v>
      </c>
      <c r="G363" s="1" t="s">
        <v>234</v>
      </c>
      <c r="H363" s="1">
        <v>3110000</v>
      </c>
      <c r="I363" s="21" t="s">
        <v>174</v>
      </c>
      <c r="J363" s="1">
        <f t="shared" si="15"/>
        <v>46825000</v>
      </c>
      <c r="K363" s="21" t="s">
        <v>174</v>
      </c>
      <c r="L363" s="21" t="s">
        <v>174</v>
      </c>
      <c r="M363" s="21">
        <v>100</v>
      </c>
    </row>
    <row r="364" spans="1:13">
      <c r="A364" s="1" t="s">
        <v>169</v>
      </c>
      <c r="B364" s="1" t="s">
        <v>170</v>
      </c>
      <c r="C364" s="1">
        <v>2007</v>
      </c>
      <c r="D364" s="1" t="s">
        <v>193</v>
      </c>
      <c r="E364" s="1" t="s">
        <v>235</v>
      </c>
      <c r="F364" s="1">
        <v>2021</v>
      </c>
      <c r="G364" s="1" t="s">
        <v>234</v>
      </c>
      <c r="H364" s="1">
        <v>3235000</v>
      </c>
      <c r="I364" s="21" t="s">
        <v>174</v>
      </c>
      <c r="J364" s="1">
        <f t="shared" si="15"/>
        <v>43590000</v>
      </c>
      <c r="K364" s="21" t="s">
        <v>174</v>
      </c>
      <c r="L364" s="21" t="s">
        <v>174</v>
      </c>
      <c r="M364" s="21">
        <v>100</v>
      </c>
    </row>
    <row r="365" spans="1:13">
      <c r="A365" s="1" t="s">
        <v>169</v>
      </c>
      <c r="B365" s="1" t="s">
        <v>170</v>
      </c>
      <c r="C365" s="1">
        <v>2007</v>
      </c>
      <c r="D365" s="1" t="s">
        <v>193</v>
      </c>
      <c r="E365" s="1" t="s">
        <v>235</v>
      </c>
      <c r="F365" s="1">
        <v>2022</v>
      </c>
      <c r="G365" s="1" t="s">
        <v>234</v>
      </c>
      <c r="H365" s="1">
        <v>3360000</v>
      </c>
      <c r="I365" s="21" t="s">
        <v>174</v>
      </c>
      <c r="J365" s="1">
        <f t="shared" si="15"/>
        <v>40230000</v>
      </c>
      <c r="K365" s="21" t="s">
        <v>174</v>
      </c>
      <c r="L365" s="21" t="s">
        <v>174</v>
      </c>
      <c r="M365" s="21">
        <v>100</v>
      </c>
    </row>
    <row r="366" spans="1:13">
      <c r="A366" s="1" t="s">
        <v>169</v>
      </c>
      <c r="B366" s="1" t="s">
        <v>170</v>
      </c>
      <c r="C366" s="1">
        <v>2007</v>
      </c>
      <c r="D366" s="1" t="s">
        <v>193</v>
      </c>
      <c r="E366" s="1" t="s">
        <v>235</v>
      </c>
      <c r="F366" s="1">
        <v>2023</v>
      </c>
      <c r="G366" s="1" t="s">
        <v>234</v>
      </c>
      <c r="H366" s="1">
        <v>3500000</v>
      </c>
      <c r="I366" s="21" t="s">
        <v>174</v>
      </c>
      <c r="J366" s="1">
        <f t="shared" si="15"/>
        <v>36730000</v>
      </c>
      <c r="K366" s="21" t="s">
        <v>174</v>
      </c>
      <c r="L366" s="21" t="s">
        <v>174</v>
      </c>
      <c r="M366" s="21">
        <v>100</v>
      </c>
    </row>
    <row r="367" spans="1:13">
      <c r="A367" s="1" t="s">
        <v>169</v>
      </c>
      <c r="B367" s="1" t="s">
        <v>170</v>
      </c>
      <c r="C367" s="1">
        <v>2007</v>
      </c>
      <c r="D367" s="1" t="s">
        <v>193</v>
      </c>
      <c r="E367" s="1" t="s">
        <v>235</v>
      </c>
      <c r="F367" s="1">
        <v>2024</v>
      </c>
      <c r="G367" s="1" t="s">
        <v>234</v>
      </c>
      <c r="H367" s="1">
        <v>3655000</v>
      </c>
      <c r="I367" s="21" t="s">
        <v>174</v>
      </c>
      <c r="J367" s="1">
        <f t="shared" si="15"/>
        <v>33075000</v>
      </c>
      <c r="K367" s="21" t="s">
        <v>174</v>
      </c>
      <c r="L367" s="21" t="s">
        <v>174</v>
      </c>
      <c r="M367" s="21">
        <v>100</v>
      </c>
    </row>
    <row r="368" spans="1:13">
      <c r="A368" s="1" t="s">
        <v>169</v>
      </c>
      <c r="B368" s="1" t="s">
        <v>170</v>
      </c>
      <c r="C368" s="1">
        <v>2007</v>
      </c>
      <c r="D368" s="1" t="s">
        <v>193</v>
      </c>
      <c r="E368" s="1" t="s">
        <v>235</v>
      </c>
      <c r="F368" s="1">
        <v>2025</v>
      </c>
      <c r="G368" s="1" t="s">
        <v>234</v>
      </c>
      <c r="H368" s="1">
        <v>3810000</v>
      </c>
      <c r="I368" s="21" t="s">
        <v>174</v>
      </c>
      <c r="J368" s="1">
        <f t="shared" si="15"/>
        <v>29265000</v>
      </c>
      <c r="K368" s="21" t="s">
        <v>174</v>
      </c>
      <c r="L368" s="21" t="s">
        <v>174</v>
      </c>
      <c r="M368" s="21">
        <v>100</v>
      </c>
    </row>
    <row r="369" spans="1:13">
      <c r="A369" s="1" t="s">
        <v>169</v>
      </c>
      <c r="B369" s="1" t="s">
        <v>170</v>
      </c>
      <c r="C369" s="1">
        <v>2007</v>
      </c>
      <c r="D369" s="1" t="s">
        <v>193</v>
      </c>
      <c r="E369" s="1" t="s">
        <v>235</v>
      </c>
      <c r="F369" s="1">
        <v>2026</v>
      </c>
      <c r="G369" s="1" t="s">
        <v>234</v>
      </c>
      <c r="H369" s="1">
        <v>3970000</v>
      </c>
      <c r="I369" s="21" t="s">
        <v>174</v>
      </c>
      <c r="J369" s="1">
        <f t="shared" si="15"/>
        <v>25295000</v>
      </c>
      <c r="K369" s="21" t="s">
        <v>174</v>
      </c>
      <c r="L369" s="21" t="s">
        <v>174</v>
      </c>
      <c r="M369" s="21">
        <v>100</v>
      </c>
    </row>
    <row r="370" spans="1:13">
      <c r="A370" s="1" t="s">
        <v>169</v>
      </c>
      <c r="B370" s="1" t="s">
        <v>170</v>
      </c>
      <c r="C370" s="1">
        <v>2007</v>
      </c>
      <c r="D370" s="1" t="s">
        <v>193</v>
      </c>
      <c r="E370" s="1" t="s">
        <v>235</v>
      </c>
      <c r="F370" s="1">
        <v>2027</v>
      </c>
      <c r="G370" s="1" t="s">
        <v>234</v>
      </c>
      <c r="H370" s="1">
        <v>4135000</v>
      </c>
      <c r="I370" s="21" t="s">
        <v>174</v>
      </c>
      <c r="J370" s="1">
        <f t="shared" si="15"/>
        <v>21160000</v>
      </c>
      <c r="K370" s="21" t="s">
        <v>174</v>
      </c>
      <c r="L370" s="21" t="s">
        <v>174</v>
      </c>
      <c r="M370" s="21">
        <v>100</v>
      </c>
    </row>
    <row r="371" spans="1:13">
      <c r="A371" s="1" t="s">
        <v>169</v>
      </c>
      <c r="B371" s="1" t="s">
        <v>170</v>
      </c>
      <c r="C371" s="1">
        <v>2007</v>
      </c>
      <c r="D371" s="1" t="s">
        <v>193</v>
      </c>
      <c r="E371" s="1" t="s">
        <v>235</v>
      </c>
      <c r="F371" s="1">
        <v>2028</v>
      </c>
      <c r="G371" s="1" t="s">
        <v>234</v>
      </c>
      <c r="H371" s="1">
        <v>4300000</v>
      </c>
      <c r="I371" s="21" t="s">
        <v>174</v>
      </c>
      <c r="J371" s="1">
        <f t="shared" si="15"/>
        <v>16860000</v>
      </c>
      <c r="K371" s="21" t="s">
        <v>174</v>
      </c>
      <c r="L371" s="21" t="s">
        <v>174</v>
      </c>
      <c r="M371" s="21">
        <v>100</v>
      </c>
    </row>
    <row r="372" spans="1:13">
      <c r="A372" s="1" t="s">
        <v>169</v>
      </c>
      <c r="B372" s="1" t="s">
        <v>170</v>
      </c>
      <c r="C372" s="1">
        <v>2007</v>
      </c>
      <c r="D372" s="1" t="s">
        <v>193</v>
      </c>
      <c r="E372" s="1" t="s">
        <v>235</v>
      </c>
      <c r="F372" s="1">
        <v>2029</v>
      </c>
      <c r="G372" s="1" t="s">
        <v>234</v>
      </c>
      <c r="H372" s="1">
        <v>4475000</v>
      </c>
      <c r="I372" s="21" t="s">
        <v>174</v>
      </c>
      <c r="J372" s="1">
        <f t="shared" si="15"/>
        <v>12385000</v>
      </c>
      <c r="K372" s="21" t="s">
        <v>174</v>
      </c>
      <c r="L372" s="21" t="s">
        <v>174</v>
      </c>
      <c r="M372" s="21">
        <v>100</v>
      </c>
    </row>
    <row r="373" spans="1:13">
      <c r="A373" s="1" t="s">
        <v>169</v>
      </c>
      <c r="B373" s="1" t="s">
        <v>170</v>
      </c>
      <c r="C373" s="1">
        <v>2007</v>
      </c>
      <c r="D373" s="1" t="s">
        <v>193</v>
      </c>
      <c r="E373" s="1" t="s">
        <v>235</v>
      </c>
      <c r="F373" s="1">
        <v>2030</v>
      </c>
      <c r="G373" s="1" t="s">
        <v>234</v>
      </c>
      <c r="H373" s="1">
        <v>4660000</v>
      </c>
      <c r="I373" s="21" t="s">
        <v>174</v>
      </c>
      <c r="J373" s="1">
        <f t="shared" si="15"/>
        <v>7725000</v>
      </c>
      <c r="K373" s="21" t="s">
        <v>174</v>
      </c>
      <c r="L373" s="21" t="s">
        <v>174</v>
      </c>
      <c r="M373" s="21">
        <v>100</v>
      </c>
    </row>
    <row r="374" spans="1:13">
      <c r="A374" s="1" t="s">
        <v>169</v>
      </c>
      <c r="B374" s="1" t="s">
        <v>170</v>
      </c>
      <c r="C374" s="1">
        <v>2007</v>
      </c>
      <c r="D374" s="1" t="s">
        <v>193</v>
      </c>
      <c r="E374" s="1" t="s">
        <v>235</v>
      </c>
      <c r="F374" s="1">
        <v>2031</v>
      </c>
      <c r="G374" s="1" t="s">
        <v>234</v>
      </c>
      <c r="H374" s="1">
        <v>4855000</v>
      </c>
      <c r="I374" s="21" t="s">
        <v>174</v>
      </c>
      <c r="J374" s="1">
        <f t="shared" si="15"/>
        <v>2870000</v>
      </c>
      <c r="K374" s="21" t="s">
        <v>174</v>
      </c>
      <c r="L374" s="21" t="s">
        <v>174</v>
      </c>
      <c r="M374" s="21">
        <v>100</v>
      </c>
    </row>
    <row r="375" spans="1:13">
      <c r="A375" s="1" t="s">
        <v>169</v>
      </c>
      <c r="B375" s="1" t="s">
        <v>170</v>
      </c>
      <c r="C375" s="1">
        <v>2007</v>
      </c>
      <c r="D375" s="1" t="s">
        <v>193</v>
      </c>
      <c r="E375" s="1" t="s">
        <v>235</v>
      </c>
      <c r="F375" s="1">
        <v>2032</v>
      </c>
      <c r="G375" s="1" t="s">
        <v>234</v>
      </c>
      <c r="H375" s="1">
        <v>1405000</v>
      </c>
      <c r="I375" s="21" t="s">
        <v>174</v>
      </c>
      <c r="J375" s="1">
        <f t="shared" si="15"/>
        <v>1465000</v>
      </c>
      <c r="K375" s="21" t="s">
        <v>174</v>
      </c>
      <c r="L375" s="21" t="s">
        <v>174</v>
      </c>
      <c r="M375" s="21">
        <v>100</v>
      </c>
    </row>
    <row r="376" spans="1:13">
      <c r="A376" s="1" t="s">
        <v>169</v>
      </c>
      <c r="B376" s="1" t="s">
        <v>170</v>
      </c>
      <c r="C376" s="1">
        <v>2007</v>
      </c>
      <c r="D376" s="1" t="s">
        <v>193</v>
      </c>
      <c r="E376" s="1" t="s">
        <v>235</v>
      </c>
      <c r="F376" s="1">
        <v>2033</v>
      </c>
      <c r="G376" s="1" t="s">
        <v>234</v>
      </c>
      <c r="H376" s="1">
        <v>1465000</v>
      </c>
      <c r="I376" s="21" t="s">
        <v>174</v>
      </c>
      <c r="J376" s="1">
        <f t="shared" si="15"/>
        <v>0</v>
      </c>
      <c r="K376" s="21" t="s">
        <v>174</v>
      </c>
      <c r="L376" s="21" t="s">
        <v>174</v>
      </c>
      <c r="M376" s="21">
        <v>100</v>
      </c>
    </row>
    <row r="377" spans="1:13">
      <c r="A377" s="1" t="s">
        <v>169</v>
      </c>
      <c r="B377" s="1" t="s">
        <v>170</v>
      </c>
      <c r="C377" s="1">
        <v>2008</v>
      </c>
      <c r="D377" s="1" t="s">
        <v>175</v>
      </c>
      <c r="E377" s="1" t="s">
        <v>237</v>
      </c>
      <c r="F377" s="1">
        <v>2008</v>
      </c>
      <c r="G377" s="1" t="s">
        <v>234</v>
      </c>
      <c r="H377" s="21" t="s">
        <v>174</v>
      </c>
      <c r="I377" s="21" t="s">
        <v>174</v>
      </c>
      <c r="J377" s="1">
        <v>68970000</v>
      </c>
      <c r="K377" s="21" t="s">
        <v>174</v>
      </c>
      <c r="L377" s="21" t="s">
        <v>174</v>
      </c>
      <c r="M377" s="21">
        <v>100</v>
      </c>
    </row>
    <row r="378" spans="1:13">
      <c r="A378" s="1" t="s">
        <v>169</v>
      </c>
      <c r="B378" s="1" t="s">
        <v>170</v>
      </c>
      <c r="C378" s="1">
        <v>2008</v>
      </c>
      <c r="D378" s="1" t="s">
        <v>175</v>
      </c>
      <c r="E378" s="1" t="s">
        <v>237</v>
      </c>
      <c r="F378" s="1">
        <v>2009</v>
      </c>
      <c r="G378" s="1" t="s">
        <v>234</v>
      </c>
      <c r="H378" s="21" t="s">
        <v>174</v>
      </c>
      <c r="I378" s="21" t="s">
        <v>174</v>
      </c>
      <c r="J378" s="1">
        <v>68970000</v>
      </c>
      <c r="K378" s="21" t="s">
        <v>174</v>
      </c>
      <c r="L378" s="21" t="s">
        <v>174</v>
      </c>
      <c r="M378" s="21">
        <v>100</v>
      </c>
    </row>
    <row r="379" spans="1:13">
      <c r="A379" s="1" t="s">
        <v>169</v>
      </c>
      <c r="B379" s="1" t="s">
        <v>170</v>
      </c>
      <c r="C379" s="1">
        <v>2008</v>
      </c>
      <c r="D379" s="1" t="s">
        <v>175</v>
      </c>
      <c r="E379" s="1" t="s">
        <v>237</v>
      </c>
      <c r="F379" s="1">
        <v>2010</v>
      </c>
      <c r="G379" s="1" t="s">
        <v>234</v>
      </c>
      <c r="H379" s="21" t="s">
        <v>174</v>
      </c>
      <c r="I379" s="21" t="s">
        <v>174</v>
      </c>
      <c r="J379" s="1">
        <v>68970000</v>
      </c>
      <c r="K379" s="21" t="s">
        <v>174</v>
      </c>
      <c r="L379" s="21" t="s">
        <v>174</v>
      </c>
      <c r="M379" s="21">
        <v>100</v>
      </c>
    </row>
    <row r="380" spans="1:13">
      <c r="A380" s="1" t="s">
        <v>169</v>
      </c>
      <c r="B380" s="1" t="s">
        <v>170</v>
      </c>
      <c r="C380" s="1">
        <v>2008</v>
      </c>
      <c r="D380" s="1" t="s">
        <v>175</v>
      </c>
      <c r="E380" s="1" t="s">
        <v>237</v>
      </c>
      <c r="F380" s="1">
        <v>2011</v>
      </c>
      <c r="G380" s="1" t="s">
        <v>234</v>
      </c>
      <c r="H380" s="21" t="s">
        <v>174</v>
      </c>
      <c r="I380" s="21" t="s">
        <v>174</v>
      </c>
      <c r="J380" s="1">
        <v>68970000</v>
      </c>
      <c r="K380" s="21" t="s">
        <v>174</v>
      </c>
      <c r="L380" s="21" t="s">
        <v>174</v>
      </c>
      <c r="M380" s="21">
        <v>100</v>
      </c>
    </row>
    <row r="381" spans="1:13">
      <c r="A381" s="1" t="s">
        <v>169</v>
      </c>
      <c r="B381" s="1" t="s">
        <v>170</v>
      </c>
      <c r="C381" s="1">
        <v>2008</v>
      </c>
      <c r="D381" s="1" t="s">
        <v>175</v>
      </c>
      <c r="E381" s="1" t="s">
        <v>237</v>
      </c>
      <c r="F381" s="1">
        <v>2012</v>
      </c>
      <c r="G381" s="1" t="s">
        <v>234</v>
      </c>
      <c r="H381" s="21" t="s">
        <v>174</v>
      </c>
      <c r="I381" s="21" t="s">
        <v>174</v>
      </c>
      <c r="J381" s="1">
        <v>68970000</v>
      </c>
      <c r="K381" s="21" t="s">
        <v>174</v>
      </c>
      <c r="L381" s="21" t="s">
        <v>174</v>
      </c>
      <c r="M381" s="21">
        <v>100</v>
      </c>
    </row>
    <row r="382" spans="1:13">
      <c r="A382" s="1" t="s">
        <v>169</v>
      </c>
      <c r="B382" s="1" t="s">
        <v>170</v>
      </c>
      <c r="C382" s="1">
        <v>2008</v>
      </c>
      <c r="D382" s="1" t="s">
        <v>175</v>
      </c>
      <c r="E382" s="1" t="s">
        <v>237</v>
      </c>
      <c r="F382" s="1">
        <v>2013</v>
      </c>
      <c r="G382" s="1" t="s">
        <v>234</v>
      </c>
      <c r="H382" s="21" t="s">
        <v>174</v>
      </c>
      <c r="I382" s="21" t="s">
        <v>174</v>
      </c>
      <c r="J382" s="1">
        <v>68970000</v>
      </c>
      <c r="K382" s="21" t="s">
        <v>174</v>
      </c>
      <c r="L382" s="21" t="s">
        <v>174</v>
      </c>
      <c r="M382" s="21">
        <v>100</v>
      </c>
    </row>
    <row r="383" spans="1:13">
      <c r="A383" s="1" t="s">
        <v>169</v>
      </c>
      <c r="B383" s="1" t="s">
        <v>170</v>
      </c>
      <c r="C383" s="1">
        <v>2008</v>
      </c>
      <c r="D383" s="1" t="s">
        <v>175</v>
      </c>
      <c r="E383" s="1" t="s">
        <v>237</v>
      </c>
      <c r="F383" s="1">
        <v>2014</v>
      </c>
      <c r="G383" s="1" t="s">
        <v>234</v>
      </c>
      <c r="H383" s="21" t="s">
        <v>174</v>
      </c>
      <c r="I383" s="21" t="s">
        <v>174</v>
      </c>
      <c r="J383" s="1">
        <v>68970000</v>
      </c>
      <c r="K383" s="21" t="s">
        <v>174</v>
      </c>
      <c r="L383" s="21" t="s">
        <v>174</v>
      </c>
      <c r="M383" s="21">
        <v>100</v>
      </c>
    </row>
    <row r="384" spans="1:13">
      <c r="A384" s="1" t="s">
        <v>169</v>
      </c>
      <c r="B384" s="1" t="s">
        <v>170</v>
      </c>
      <c r="C384" s="1">
        <v>2008</v>
      </c>
      <c r="D384" s="1" t="s">
        <v>175</v>
      </c>
      <c r="E384" s="1" t="s">
        <v>237</v>
      </c>
      <c r="F384" s="1">
        <v>2015</v>
      </c>
      <c r="G384" s="1" t="s">
        <v>234</v>
      </c>
      <c r="H384" s="21" t="s">
        <v>174</v>
      </c>
      <c r="I384" s="21" t="s">
        <v>174</v>
      </c>
      <c r="J384" s="1">
        <v>68970000</v>
      </c>
      <c r="K384" s="21" t="s">
        <v>174</v>
      </c>
      <c r="L384" s="21" t="s">
        <v>174</v>
      </c>
      <c r="M384" s="21">
        <v>100</v>
      </c>
    </row>
    <row r="385" spans="1:13">
      <c r="A385" s="1" t="s">
        <v>169</v>
      </c>
      <c r="B385" s="1" t="s">
        <v>170</v>
      </c>
      <c r="C385" s="1">
        <v>2008</v>
      </c>
      <c r="D385" s="1" t="s">
        <v>175</v>
      </c>
      <c r="E385" s="1" t="s">
        <v>237</v>
      </c>
      <c r="F385" s="1">
        <v>2016</v>
      </c>
      <c r="G385" s="1" t="s">
        <v>234</v>
      </c>
      <c r="H385" s="21" t="s">
        <v>174</v>
      </c>
      <c r="I385" s="21" t="s">
        <v>174</v>
      </c>
      <c r="J385" s="1">
        <v>68970000</v>
      </c>
      <c r="K385" s="21" t="s">
        <v>174</v>
      </c>
      <c r="L385" s="21" t="s">
        <v>174</v>
      </c>
      <c r="M385" s="21">
        <v>100</v>
      </c>
    </row>
    <row r="386" spans="1:13">
      <c r="A386" s="1" t="s">
        <v>169</v>
      </c>
      <c r="B386" s="1" t="s">
        <v>170</v>
      </c>
      <c r="C386" s="1">
        <v>2008</v>
      </c>
      <c r="D386" s="1" t="s">
        <v>175</v>
      </c>
      <c r="E386" s="1" t="s">
        <v>235</v>
      </c>
      <c r="F386" s="1">
        <v>2017</v>
      </c>
      <c r="G386" s="1" t="s">
        <v>234</v>
      </c>
      <c r="H386" s="1">
        <v>8005000</v>
      </c>
      <c r="I386" s="21">
        <v>6.36</v>
      </c>
      <c r="J386" s="1">
        <f>68970000-H386</f>
        <v>60965000</v>
      </c>
      <c r="K386" s="21" t="s">
        <v>174</v>
      </c>
      <c r="L386" s="21">
        <v>6.36</v>
      </c>
      <c r="M386" s="21">
        <v>100</v>
      </c>
    </row>
    <row r="387" spans="1:13">
      <c r="A387" s="1" t="s">
        <v>169</v>
      </c>
      <c r="B387" s="1" t="s">
        <v>170</v>
      </c>
      <c r="C387" s="1">
        <v>2008</v>
      </c>
      <c r="D387" s="1" t="s">
        <v>175</v>
      </c>
      <c r="E387" s="1" t="s">
        <v>235</v>
      </c>
      <c r="F387" s="1">
        <v>2018</v>
      </c>
      <c r="G387" s="1" t="s">
        <v>234</v>
      </c>
      <c r="H387" s="1">
        <f>2965000+5105000</f>
        <v>8070000</v>
      </c>
      <c r="I387" s="21">
        <v>6.36</v>
      </c>
      <c r="J387" s="1">
        <f>J386-H387</f>
        <v>52895000</v>
      </c>
      <c r="K387" s="21" t="s">
        <v>174</v>
      </c>
      <c r="L387" s="21">
        <v>6.36</v>
      </c>
      <c r="M387" s="21">
        <v>100</v>
      </c>
    </row>
    <row r="388" spans="1:13">
      <c r="A388" s="1" t="s">
        <v>169</v>
      </c>
      <c r="B388" s="1" t="s">
        <v>170</v>
      </c>
      <c r="C388" s="1">
        <v>2008</v>
      </c>
      <c r="D388" s="1" t="s">
        <v>175</v>
      </c>
      <c r="E388" s="1" t="s">
        <v>235</v>
      </c>
      <c r="F388" s="1">
        <v>2019</v>
      </c>
      <c r="G388" s="1" t="s">
        <v>234</v>
      </c>
      <c r="H388" s="1">
        <v>5930000</v>
      </c>
      <c r="I388" s="21">
        <v>6.61</v>
      </c>
      <c r="J388" s="1">
        <f t="shared" ref="J388:J392" si="16">J387-H388</f>
        <v>46965000</v>
      </c>
      <c r="K388" s="21" t="s">
        <v>174</v>
      </c>
      <c r="L388" s="21">
        <v>6.61</v>
      </c>
      <c r="M388" s="21">
        <v>100</v>
      </c>
    </row>
    <row r="389" spans="1:13">
      <c r="A389" s="1" t="s">
        <v>169</v>
      </c>
      <c r="B389" s="1" t="s">
        <v>170</v>
      </c>
      <c r="C389" s="1">
        <v>2008</v>
      </c>
      <c r="D389" s="1" t="s">
        <v>175</v>
      </c>
      <c r="E389" s="1" t="s">
        <v>235</v>
      </c>
      <c r="F389" s="1">
        <v>2020</v>
      </c>
      <c r="G389" s="1" t="s">
        <v>234</v>
      </c>
      <c r="H389" s="1">
        <v>9595000</v>
      </c>
      <c r="I389" s="21">
        <v>6.61</v>
      </c>
      <c r="J389" s="1">
        <f t="shared" si="16"/>
        <v>37370000</v>
      </c>
      <c r="K389" s="21" t="s">
        <v>174</v>
      </c>
      <c r="L389" s="21">
        <v>6.61</v>
      </c>
      <c r="M389" s="21">
        <v>100</v>
      </c>
    </row>
    <row r="390" spans="1:13">
      <c r="A390" s="1" t="s">
        <v>169</v>
      </c>
      <c r="B390" s="1" t="s">
        <v>170</v>
      </c>
      <c r="C390" s="1">
        <v>2008</v>
      </c>
      <c r="D390" s="1" t="s">
        <v>175</v>
      </c>
      <c r="E390" s="1" t="s">
        <v>235</v>
      </c>
      <c r="F390" s="1">
        <v>2021</v>
      </c>
      <c r="G390" s="1" t="s">
        <v>234</v>
      </c>
      <c r="H390" s="1">
        <v>10235000</v>
      </c>
      <c r="I390" s="21">
        <v>6.61</v>
      </c>
      <c r="J390" s="1">
        <f t="shared" si="16"/>
        <v>27135000</v>
      </c>
      <c r="K390" s="21" t="s">
        <v>174</v>
      </c>
      <c r="L390" s="21">
        <v>6.61</v>
      </c>
      <c r="M390" s="21">
        <v>100</v>
      </c>
    </row>
    <row r="391" spans="1:13">
      <c r="A391" s="1" t="s">
        <v>169</v>
      </c>
      <c r="B391" s="1" t="s">
        <v>170</v>
      </c>
      <c r="C391" s="1">
        <v>2008</v>
      </c>
      <c r="D391" s="1" t="s">
        <v>175</v>
      </c>
      <c r="E391" s="1" t="s">
        <v>235</v>
      </c>
      <c r="F391" s="1">
        <v>2022</v>
      </c>
      <c r="G391" s="1" t="s">
        <v>234</v>
      </c>
      <c r="H391" s="1">
        <v>10930000</v>
      </c>
      <c r="I391" s="21">
        <v>6.61</v>
      </c>
      <c r="J391" s="1">
        <f t="shared" si="16"/>
        <v>16205000</v>
      </c>
      <c r="K391" s="21" t="s">
        <v>174</v>
      </c>
      <c r="L391" s="21">
        <v>6.61</v>
      </c>
      <c r="M391" s="21">
        <v>100</v>
      </c>
    </row>
    <row r="392" spans="1:13">
      <c r="A392" s="1" t="s">
        <v>169</v>
      </c>
      <c r="B392" s="1" t="s">
        <v>170</v>
      </c>
      <c r="C392" s="1">
        <v>2008</v>
      </c>
      <c r="D392" s="1" t="s">
        <v>175</v>
      </c>
      <c r="E392" s="1" t="s">
        <v>235</v>
      </c>
      <c r="F392" s="1">
        <v>2023</v>
      </c>
      <c r="G392" s="1" t="s">
        <v>234</v>
      </c>
      <c r="H392" s="1">
        <v>11805000</v>
      </c>
      <c r="I392" s="21">
        <v>6.61</v>
      </c>
      <c r="J392" s="1">
        <f t="shared" si="16"/>
        <v>4400000</v>
      </c>
      <c r="K392" s="21" t="s">
        <v>174</v>
      </c>
      <c r="L392" s="21">
        <v>6.61</v>
      </c>
      <c r="M392" s="21">
        <v>100</v>
      </c>
    </row>
    <row r="393" spans="1:13">
      <c r="A393" s="1" t="s">
        <v>169</v>
      </c>
      <c r="B393" s="1" t="s">
        <v>170</v>
      </c>
      <c r="C393" s="1">
        <v>2008</v>
      </c>
      <c r="D393" s="1" t="s">
        <v>175</v>
      </c>
      <c r="E393" s="1" t="s">
        <v>235</v>
      </c>
      <c r="F393" s="1">
        <v>2024</v>
      </c>
      <c r="G393" s="1" t="s">
        <v>234</v>
      </c>
      <c r="H393" s="1">
        <v>4400000</v>
      </c>
      <c r="I393" s="21">
        <v>6.61</v>
      </c>
      <c r="J393" s="1">
        <f>J392-H393</f>
        <v>0</v>
      </c>
      <c r="K393" s="21" t="s">
        <v>174</v>
      </c>
      <c r="L393" s="21">
        <v>6.61</v>
      </c>
      <c r="M393" s="21">
        <v>100</v>
      </c>
    </row>
    <row r="394" spans="1:13">
      <c r="A394" s="1" t="s">
        <v>169</v>
      </c>
      <c r="B394" s="1" t="s">
        <v>170</v>
      </c>
      <c r="C394" s="1">
        <v>2008</v>
      </c>
      <c r="D394" s="1" t="s">
        <v>197</v>
      </c>
      <c r="E394" s="1" t="s">
        <v>237</v>
      </c>
      <c r="F394" s="1">
        <v>2008</v>
      </c>
      <c r="G394" s="1" t="s">
        <v>234</v>
      </c>
      <c r="H394" s="21" t="s">
        <v>174</v>
      </c>
      <c r="I394" s="21" t="s">
        <v>174</v>
      </c>
      <c r="J394" s="1">
        <v>24665000</v>
      </c>
      <c r="K394" s="21" t="s">
        <v>174</v>
      </c>
      <c r="L394" s="21" t="s">
        <v>174</v>
      </c>
      <c r="M394" s="21" t="s">
        <v>174</v>
      </c>
    </row>
    <row r="395" spans="1:13">
      <c r="A395" s="1" t="s">
        <v>169</v>
      </c>
      <c r="B395" s="1" t="s">
        <v>170</v>
      </c>
      <c r="C395" s="1">
        <v>2008</v>
      </c>
      <c r="D395" s="1" t="s">
        <v>197</v>
      </c>
      <c r="E395" s="1" t="s">
        <v>237</v>
      </c>
      <c r="F395" s="1">
        <v>2009</v>
      </c>
      <c r="G395" s="1" t="s">
        <v>234</v>
      </c>
      <c r="H395" s="21" t="s">
        <v>174</v>
      </c>
      <c r="I395" s="21" t="s">
        <v>174</v>
      </c>
      <c r="J395" s="1">
        <v>24665000</v>
      </c>
      <c r="K395" s="21" t="s">
        <v>174</v>
      </c>
      <c r="L395" s="21" t="s">
        <v>174</v>
      </c>
      <c r="M395" s="21" t="s">
        <v>174</v>
      </c>
    </row>
    <row r="396" spans="1:13">
      <c r="A396" s="1" t="s">
        <v>169</v>
      </c>
      <c r="B396" s="1" t="s">
        <v>170</v>
      </c>
      <c r="C396" s="1">
        <v>2008</v>
      </c>
      <c r="D396" s="1" t="s">
        <v>197</v>
      </c>
      <c r="E396" s="1" t="s">
        <v>237</v>
      </c>
      <c r="F396" s="1">
        <v>2010</v>
      </c>
      <c r="G396" s="1" t="s">
        <v>234</v>
      </c>
      <c r="H396" s="21" t="s">
        <v>174</v>
      </c>
      <c r="I396" s="21" t="s">
        <v>174</v>
      </c>
      <c r="J396" s="1">
        <v>24665000</v>
      </c>
      <c r="K396" s="21" t="s">
        <v>174</v>
      </c>
      <c r="L396" s="21" t="s">
        <v>174</v>
      </c>
      <c r="M396" s="21" t="s">
        <v>174</v>
      </c>
    </row>
    <row r="397" spans="1:13">
      <c r="A397" s="1" t="s">
        <v>169</v>
      </c>
      <c r="B397" s="1" t="s">
        <v>170</v>
      </c>
      <c r="C397" s="1">
        <v>2008</v>
      </c>
      <c r="D397" s="1" t="s">
        <v>197</v>
      </c>
      <c r="E397" s="1" t="s">
        <v>237</v>
      </c>
      <c r="F397" s="1">
        <v>2011</v>
      </c>
      <c r="G397" s="1" t="s">
        <v>234</v>
      </c>
      <c r="H397" s="21" t="s">
        <v>174</v>
      </c>
      <c r="I397" s="21" t="s">
        <v>174</v>
      </c>
      <c r="J397" s="1">
        <v>24665000</v>
      </c>
      <c r="K397" s="21" t="s">
        <v>174</v>
      </c>
      <c r="L397" s="21" t="s">
        <v>174</v>
      </c>
      <c r="M397" s="21" t="s">
        <v>174</v>
      </c>
    </row>
    <row r="398" spans="1:13">
      <c r="A398" s="1" t="s">
        <v>169</v>
      </c>
      <c r="B398" s="1" t="s">
        <v>170</v>
      </c>
      <c r="C398" s="1">
        <v>2008</v>
      </c>
      <c r="D398" s="1" t="s">
        <v>197</v>
      </c>
      <c r="E398" s="1" t="s">
        <v>237</v>
      </c>
      <c r="F398" s="1">
        <v>2012</v>
      </c>
      <c r="G398" s="1" t="s">
        <v>234</v>
      </c>
      <c r="H398" s="21" t="s">
        <v>174</v>
      </c>
      <c r="I398" s="21" t="s">
        <v>174</v>
      </c>
      <c r="J398" s="1">
        <v>24665000</v>
      </c>
      <c r="K398" s="21" t="s">
        <v>174</v>
      </c>
      <c r="L398" s="21" t="s">
        <v>174</v>
      </c>
      <c r="M398" s="21" t="s">
        <v>174</v>
      </c>
    </row>
    <row r="399" spans="1:13">
      <c r="A399" s="1" t="s">
        <v>169</v>
      </c>
      <c r="B399" s="1" t="s">
        <v>170</v>
      </c>
      <c r="C399" s="1">
        <v>2008</v>
      </c>
      <c r="D399" s="1" t="s">
        <v>197</v>
      </c>
      <c r="E399" s="1" t="s">
        <v>237</v>
      </c>
      <c r="F399" s="1">
        <v>2013</v>
      </c>
      <c r="G399" s="1" t="s">
        <v>234</v>
      </c>
      <c r="H399" s="21" t="s">
        <v>174</v>
      </c>
      <c r="I399" s="21" t="s">
        <v>174</v>
      </c>
      <c r="J399" s="1">
        <v>24665000</v>
      </c>
      <c r="K399" s="21" t="s">
        <v>174</v>
      </c>
      <c r="L399" s="21" t="s">
        <v>174</v>
      </c>
      <c r="M399" s="21" t="s">
        <v>174</v>
      </c>
    </row>
    <row r="400" spans="1:13">
      <c r="A400" s="1" t="s">
        <v>169</v>
      </c>
      <c r="B400" s="1" t="s">
        <v>170</v>
      </c>
      <c r="C400" s="1">
        <v>2008</v>
      </c>
      <c r="D400" s="1" t="s">
        <v>197</v>
      </c>
      <c r="E400" s="1" t="s">
        <v>237</v>
      </c>
      <c r="F400" s="1">
        <v>2014</v>
      </c>
      <c r="G400" s="1" t="s">
        <v>234</v>
      </c>
      <c r="H400" s="21" t="s">
        <v>174</v>
      </c>
      <c r="I400" s="21" t="s">
        <v>174</v>
      </c>
      <c r="J400" s="1">
        <v>24665000</v>
      </c>
      <c r="K400" s="21" t="s">
        <v>174</v>
      </c>
      <c r="L400" s="21" t="s">
        <v>174</v>
      </c>
      <c r="M400" s="21" t="s">
        <v>174</v>
      </c>
    </row>
    <row r="401" spans="1:13">
      <c r="A401" s="1" t="s">
        <v>169</v>
      </c>
      <c r="B401" s="1" t="s">
        <v>170</v>
      </c>
      <c r="C401" s="1">
        <v>2008</v>
      </c>
      <c r="D401" s="1" t="s">
        <v>197</v>
      </c>
      <c r="E401" s="1" t="s">
        <v>237</v>
      </c>
      <c r="F401" s="1">
        <v>2015</v>
      </c>
      <c r="G401" s="1" t="s">
        <v>234</v>
      </c>
      <c r="H401" s="21" t="s">
        <v>174</v>
      </c>
      <c r="I401" s="21" t="s">
        <v>174</v>
      </c>
      <c r="J401" s="1">
        <v>24665000</v>
      </c>
      <c r="K401" s="21" t="s">
        <v>174</v>
      </c>
      <c r="L401" s="21" t="s">
        <v>174</v>
      </c>
      <c r="M401" s="21" t="s">
        <v>174</v>
      </c>
    </row>
    <row r="402" spans="1:13">
      <c r="A402" s="1" t="s">
        <v>169</v>
      </c>
      <c r="B402" s="1" t="s">
        <v>170</v>
      </c>
      <c r="C402" s="1">
        <v>2008</v>
      </c>
      <c r="D402" s="1" t="s">
        <v>197</v>
      </c>
      <c r="E402" s="1" t="s">
        <v>237</v>
      </c>
      <c r="F402" s="1">
        <v>2016</v>
      </c>
      <c r="G402" s="1" t="s">
        <v>234</v>
      </c>
      <c r="H402" s="21" t="s">
        <v>174</v>
      </c>
      <c r="I402" s="21" t="s">
        <v>174</v>
      </c>
      <c r="J402" s="1">
        <v>24665000</v>
      </c>
      <c r="K402" s="21" t="s">
        <v>174</v>
      </c>
      <c r="L402" s="21" t="s">
        <v>174</v>
      </c>
      <c r="M402" s="21" t="s">
        <v>174</v>
      </c>
    </row>
    <row r="403" spans="1:13">
      <c r="A403" s="1" t="s">
        <v>169</v>
      </c>
      <c r="B403" s="1" t="s">
        <v>170</v>
      </c>
      <c r="C403" s="1">
        <v>2008</v>
      </c>
      <c r="D403" s="1" t="s">
        <v>197</v>
      </c>
      <c r="E403" s="1" t="s">
        <v>237</v>
      </c>
      <c r="F403" s="1">
        <v>2017</v>
      </c>
      <c r="G403" s="1" t="s">
        <v>234</v>
      </c>
      <c r="H403" s="21" t="s">
        <v>174</v>
      </c>
      <c r="I403" s="21" t="s">
        <v>174</v>
      </c>
      <c r="J403" s="1">
        <v>24665000</v>
      </c>
      <c r="K403" s="21" t="s">
        <v>174</v>
      </c>
      <c r="L403" s="21" t="s">
        <v>174</v>
      </c>
      <c r="M403" s="21" t="s">
        <v>174</v>
      </c>
    </row>
    <row r="404" spans="1:13">
      <c r="A404" s="1" t="s">
        <v>169</v>
      </c>
      <c r="B404" s="1" t="s">
        <v>170</v>
      </c>
      <c r="C404" s="1">
        <v>2008</v>
      </c>
      <c r="D404" s="1" t="s">
        <v>197</v>
      </c>
      <c r="E404" s="1" t="s">
        <v>237</v>
      </c>
      <c r="F404" s="1">
        <v>2018</v>
      </c>
      <c r="G404" s="1" t="s">
        <v>234</v>
      </c>
      <c r="H404" s="21" t="s">
        <v>174</v>
      </c>
      <c r="I404" s="21" t="s">
        <v>174</v>
      </c>
      <c r="J404" s="1">
        <v>24665000</v>
      </c>
      <c r="K404" s="21" t="s">
        <v>174</v>
      </c>
      <c r="L404" s="21" t="s">
        <v>174</v>
      </c>
      <c r="M404" s="21" t="s">
        <v>174</v>
      </c>
    </row>
    <row r="405" spans="1:13">
      <c r="A405" s="1" t="s">
        <v>169</v>
      </c>
      <c r="B405" s="1" t="s">
        <v>170</v>
      </c>
      <c r="C405" s="1">
        <v>2008</v>
      </c>
      <c r="D405" s="1" t="s">
        <v>197</v>
      </c>
      <c r="E405" s="1" t="s">
        <v>237</v>
      </c>
      <c r="F405" s="1">
        <v>2019</v>
      </c>
      <c r="G405" s="1" t="s">
        <v>234</v>
      </c>
      <c r="H405" s="21" t="s">
        <v>174</v>
      </c>
      <c r="I405" s="21" t="s">
        <v>174</v>
      </c>
      <c r="J405" s="1">
        <v>24665000</v>
      </c>
      <c r="K405" s="21" t="s">
        <v>174</v>
      </c>
      <c r="L405" s="21" t="s">
        <v>174</v>
      </c>
      <c r="M405" s="21" t="s">
        <v>174</v>
      </c>
    </row>
    <row r="406" spans="1:13">
      <c r="A406" s="1" t="s">
        <v>169</v>
      </c>
      <c r="B406" s="1" t="s">
        <v>170</v>
      </c>
      <c r="C406" s="1">
        <v>2008</v>
      </c>
      <c r="D406" s="1" t="s">
        <v>197</v>
      </c>
      <c r="E406" s="1" t="s">
        <v>237</v>
      </c>
      <c r="F406" s="1">
        <v>2020</v>
      </c>
      <c r="G406" s="1" t="s">
        <v>234</v>
      </c>
      <c r="H406" s="21" t="s">
        <v>174</v>
      </c>
      <c r="I406" s="21" t="s">
        <v>174</v>
      </c>
      <c r="J406" s="1">
        <v>24665000</v>
      </c>
      <c r="K406" s="21" t="s">
        <v>174</v>
      </c>
      <c r="L406" s="21" t="s">
        <v>174</v>
      </c>
      <c r="M406" s="21" t="s">
        <v>174</v>
      </c>
    </row>
    <row r="407" spans="1:13">
      <c r="A407" s="1" t="s">
        <v>169</v>
      </c>
      <c r="B407" s="1" t="s">
        <v>170</v>
      </c>
      <c r="C407" s="1">
        <v>2008</v>
      </c>
      <c r="D407" s="1" t="s">
        <v>197</v>
      </c>
      <c r="E407" s="1" t="s">
        <v>237</v>
      </c>
      <c r="F407" s="1">
        <v>2021</v>
      </c>
      <c r="G407" s="1" t="s">
        <v>234</v>
      </c>
      <c r="H407" s="21" t="s">
        <v>174</v>
      </c>
      <c r="I407" s="21" t="s">
        <v>174</v>
      </c>
      <c r="J407" s="1">
        <v>24665000</v>
      </c>
      <c r="K407" s="21" t="s">
        <v>174</v>
      </c>
      <c r="L407" s="21" t="s">
        <v>174</v>
      </c>
      <c r="M407" s="21" t="s">
        <v>174</v>
      </c>
    </row>
    <row r="408" spans="1:13">
      <c r="A408" s="1" t="s">
        <v>169</v>
      </c>
      <c r="B408" s="1" t="s">
        <v>170</v>
      </c>
      <c r="C408" s="1">
        <v>2008</v>
      </c>
      <c r="D408" s="1" t="s">
        <v>197</v>
      </c>
      <c r="E408" s="1" t="s">
        <v>237</v>
      </c>
      <c r="F408" s="1">
        <v>2022</v>
      </c>
      <c r="G408" s="1" t="s">
        <v>234</v>
      </c>
      <c r="H408" s="21" t="s">
        <v>174</v>
      </c>
      <c r="I408" s="21" t="s">
        <v>174</v>
      </c>
      <c r="J408" s="1">
        <v>24665000</v>
      </c>
      <c r="K408" s="21" t="s">
        <v>174</v>
      </c>
      <c r="L408" s="21" t="s">
        <v>174</v>
      </c>
      <c r="M408" s="21" t="s">
        <v>174</v>
      </c>
    </row>
    <row r="409" spans="1:13">
      <c r="A409" s="1" t="s">
        <v>169</v>
      </c>
      <c r="B409" s="1" t="s">
        <v>170</v>
      </c>
      <c r="C409" s="1">
        <v>2008</v>
      </c>
      <c r="D409" s="1" t="s">
        <v>197</v>
      </c>
      <c r="E409" s="1" t="s">
        <v>237</v>
      </c>
      <c r="F409" s="1">
        <v>2023</v>
      </c>
      <c r="G409" s="1" t="s">
        <v>234</v>
      </c>
      <c r="H409" s="21" t="s">
        <v>174</v>
      </c>
      <c r="I409" s="21" t="s">
        <v>174</v>
      </c>
      <c r="J409" s="1">
        <v>24665000</v>
      </c>
      <c r="K409" s="21" t="s">
        <v>174</v>
      </c>
      <c r="L409" s="21" t="s">
        <v>174</v>
      </c>
      <c r="M409" s="21" t="s">
        <v>174</v>
      </c>
    </row>
    <row r="410" spans="1:13">
      <c r="A410" s="1" t="s">
        <v>169</v>
      </c>
      <c r="B410" s="1" t="s">
        <v>170</v>
      </c>
      <c r="C410" s="1">
        <v>2008</v>
      </c>
      <c r="D410" s="1" t="s">
        <v>197</v>
      </c>
      <c r="E410" s="1" t="s">
        <v>233</v>
      </c>
      <c r="F410" s="1">
        <v>2024</v>
      </c>
      <c r="G410" s="1" t="s">
        <v>234</v>
      </c>
      <c r="H410" s="1">
        <v>8380000</v>
      </c>
      <c r="I410" s="21">
        <v>5</v>
      </c>
      <c r="J410" s="1">
        <f>24665000-H410</f>
        <v>16285000</v>
      </c>
      <c r="K410" s="21" t="s">
        <v>174</v>
      </c>
      <c r="L410" s="21">
        <v>4.46</v>
      </c>
      <c r="M410" s="21">
        <v>104.386</v>
      </c>
    </row>
    <row r="411" spans="1:13">
      <c r="A411" s="1" t="s">
        <v>169</v>
      </c>
      <c r="B411" s="1" t="s">
        <v>170</v>
      </c>
      <c r="C411" s="1">
        <v>2008</v>
      </c>
      <c r="D411" s="1" t="s">
        <v>197</v>
      </c>
      <c r="E411" s="1" t="s">
        <v>233</v>
      </c>
      <c r="F411" s="1">
        <v>2025</v>
      </c>
      <c r="G411" s="1" t="s">
        <v>234</v>
      </c>
      <c r="H411" s="1">
        <v>13950000</v>
      </c>
      <c r="I411" s="21">
        <v>5</v>
      </c>
      <c r="J411" s="1">
        <f>J410-H411</f>
        <v>2335000</v>
      </c>
      <c r="K411" s="21" t="s">
        <v>174</v>
      </c>
      <c r="L411" s="21">
        <v>4.51</v>
      </c>
      <c r="M411" s="21">
        <v>103.97</v>
      </c>
    </row>
    <row r="412" spans="1:13">
      <c r="A412" s="1" t="s">
        <v>169</v>
      </c>
      <c r="B412" s="1" t="s">
        <v>170</v>
      </c>
      <c r="C412" s="1">
        <v>2008</v>
      </c>
      <c r="D412" s="1" t="s">
        <v>197</v>
      </c>
      <c r="E412" s="1" t="s">
        <v>233</v>
      </c>
      <c r="F412" s="1">
        <v>2026</v>
      </c>
      <c r="G412" s="1" t="s">
        <v>234</v>
      </c>
      <c r="H412" s="1">
        <v>0</v>
      </c>
      <c r="I412" s="21" t="s">
        <v>174</v>
      </c>
      <c r="J412" s="1">
        <f t="shared" ref="J412:J417" si="17">J411-H412</f>
        <v>2335000</v>
      </c>
      <c r="K412" s="21" t="s">
        <v>174</v>
      </c>
      <c r="L412" s="21" t="s">
        <v>174</v>
      </c>
      <c r="M412" s="21" t="s">
        <v>174</v>
      </c>
    </row>
    <row r="413" spans="1:13">
      <c r="A413" s="1" t="s">
        <v>169</v>
      </c>
      <c r="B413" s="1" t="s">
        <v>170</v>
      </c>
      <c r="C413" s="1">
        <v>2008</v>
      </c>
      <c r="D413" s="1" t="s">
        <v>197</v>
      </c>
      <c r="E413" s="1" t="s">
        <v>233</v>
      </c>
      <c r="F413" s="1">
        <v>2027</v>
      </c>
      <c r="G413" s="1" t="s">
        <v>234</v>
      </c>
      <c r="H413" s="1">
        <v>0</v>
      </c>
      <c r="I413" s="21" t="s">
        <v>174</v>
      </c>
      <c r="J413" s="1">
        <f t="shared" si="17"/>
        <v>2335000</v>
      </c>
      <c r="K413" s="21" t="s">
        <v>174</v>
      </c>
      <c r="L413" s="21" t="s">
        <v>174</v>
      </c>
      <c r="M413" s="21" t="s">
        <v>174</v>
      </c>
    </row>
    <row r="414" spans="1:13">
      <c r="A414" s="1" t="s">
        <v>169</v>
      </c>
      <c r="B414" s="1" t="s">
        <v>170</v>
      </c>
      <c r="C414" s="1">
        <v>2008</v>
      </c>
      <c r="D414" s="1" t="s">
        <v>197</v>
      </c>
      <c r="E414" s="1" t="s">
        <v>233</v>
      </c>
      <c r="F414" s="1">
        <v>2028</v>
      </c>
      <c r="G414" s="1" t="s">
        <v>234</v>
      </c>
      <c r="H414" s="1">
        <v>0</v>
      </c>
      <c r="I414" s="21" t="s">
        <v>174</v>
      </c>
      <c r="J414" s="1">
        <f t="shared" si="17"/>
        <v>2335000</v>
      </c>
      <c r="K414" s="21" t="s">
        <v>174</v>
      </c>
      <c r="L414" s="21" t="s">
        <v>174</v>
      </c>
      <c r="M414" s="21" t="s">
        <v>174</v>
      </c>
    </row>
    <row r="415" spans="1:13">
      <c r="A415" s="1" t="s">
        <v>169</v>
      </c>
      <c r="B415" s="1" t="s">
        <v>170</v>
      </c>
      <c r="C415" s="1">
        <v>2008</v>
      </c>
      <c r="D415" s="1" t="s">
        <v>197</v>
      </c>
      <c r="E415" s="1" t="s">
        <v>233</v>
      </c>
      <c r="F415" s="1">
        <v>2029</v>
      </c>
      <c r="G415" s="1" t="s">
        <v>234</v>
      </c>
      <c r="H415" s="1">
        <v>0</v>
      </c>
      <c r="I415" s="21" t="s">
        <v>174</v>
      </c>
      <c r="J415" s="1">
        <f t="shared" si="17"/>
        <v>2335000</v>
      </c>
      <c r="K415" s="21" t="s">
        <v>174</v>
      </c>
      <c r="L415" s="21" t="s">
        <v>174</v>
      </c>
      <c r="M415" s="21" t="s">
        <v>174</v>
      </c>
    </row>
    <row r="416" spans="1:13">
      <c r="A416" s="1" t="s">
        <v>169</v>
      </c>
      <c r="B416" s="1" t="s">
        <v>170</v>
      </c>
      <c r="C416" s="1">
        <v>2008</v>
      </c>
      <c r="D416" s="1" t="s">
        <v>197</v>
      </c>
      <c r="E416" s="1" t="s">
        <v>233</v>
      </c>
      <c r="F416" s="1">
        <v>2030</v>
      </c>
      <c r="G416" s="1" t="s">
        <v>234</v>
      </c>
      <c r="H416" s="1">
        <v>0</v>
      </c>
      <c r="I416" s="21" t="s">
        <v>174</v>
      </c>
      <c r="J416" s="1">
        <f t="shared" si="17"/>
        <v>2335000</v>
      </c>
      <c r="K416" s="21" t="s">
        <v>174</v>
      </c>
      <c r="L416" s="21" t="s">
        <v>174</v>
      </c>
      <c r="M416" s="21" t="s">
        <v>174</v>
      </c>
    </row>
    <row r="417" spans="1:13">
      <c r="A417" s="1" t="s">
        <v>169</v>
      </c>
      <c r="B417" s="1" t="s">
        <v>170</v>
      </c>
      <c r="C417" s="1">
        <v>2008</v>
      </c>
      <c r="D417" s="1" t="s">
        <v>197</v>
      </c>
      <c r="E417" s="1" t="s">
        <v>233</v>
      </c>
      <c r="F417" s="1">
        <v>2031</v>
      </c>
      <c r="G417" s="1" t="s">
        <v>234</v>
      </c>
      <c r="H417" s="1">
        <v>2335000</v>
      </c>
      <c r="I417" s="21">
        <v>4.5</v>
      </c>
      <c r="J417" s="1">
        <f t="shared" si="17"/>
        <v>0</v>
      </c>
      <c r="K417" s="21" t="s">
        <v>174</v>
      </c>
      <c r="L417" s="21">
        <v>4.8</v>
      </c>
      <c r="M417" s="21">
        <v>95.820999999999998</v>
      </c>
    </row>
    <row r="418" spans="1:13">
      <c r="A418" s="1" t="s">
        <v>169</v>
      </c>
      <c r="B418" s="1" t="s">
        <v>170</v>
      </c>
      <c r="C418" s="1">
        <v>2008</v>
      </c>
      <c r="D418" s="1" t="s">
        <v>190</v>
      </c>
      <c r="E418" s="1" t="s">
        <v>237</v>
      </c>
      <c r="F418" s="1">
        <v>2008</v>
      </c>
      <c r="G418" s="1" t="s">
        <v>234</v>
      </c>
      <c r="H418" s="21" t="s">
        <v>174</v>
      </c>
      <c r="I418" s="21" t="s">
        <v>174</v>
      </c>
      <c r="J418" s="1">
        <v>72750000</v>
      </c>
      <c r="K418" s="21" t="s">
        <v>174</v>
      </c>
      <c r="L418" s="21" t="s">
        <v>174</v>
      </c>
      <c r="M418" s="21">
        <v>100</v>
      </c>
    </row>
    <row r="419" spans="1:13">
      <c r="A419" s="1" t="s">
        <v>169</v>
      </c>
      <c r="B419" s="1" t="s">
        <v>170</v>
      </c>
      <c r="C419" s="1">
        <v>2008</v>
      </c>
      <c r="D419" s="1" t="s">
        <v>190</v>
      </c>
      <c r="E419" s="1" t="s">
        <v>237</v>
      </c>
      <c r="F419" s="1">
        <v>2009</v>
      </c>
      <c r="G419" s="1" t="s">
        <v>234</v>
      </c>
      <c r="H419" s="21" t="s">
        <v>174</v>
      </c>
      <c r="I419" s="21" t="s">
        <v>174</v>
      </c>
      <c r="J419" s="1">
        <v>72750000</v>
      </c>
      <c r="K419" s="21" t="s">
        <v>174</v>
      </c>
      <c r="L419" s="21" t="s">
        <v>174</v>
      </c>
      <c r="M419" s="21">
        <v>100</v>
      </c>
    </row>
    <row r="420" spans="1:13">
      <c r="A420" s="1" t="s">
        <v>169</v>
      </c>
      <c r="B420" s="1" t="s">
        <v>170</v>
      </c>
      <c r="C420" s="1">
        <v>2008</v>
      </c>
      <c r="D420" s="1" t="s">
        <v>190</v>
      </c>
      <c r="E420" s="1" t="s">
        <v>237</v>
      </c>
      <c r="F420" s="1">
        <v>2010</v>
      </c>
      <c r="G420" s="1" t="s">
        <v>234</v>
      </c>
      <c r="H420" s="21" t="s">
        <v>174</v>
      </c>
      <c r="I420" s="21" t="s">
        <v>174</v>
      </c>
      <c r="J420" s="1">
        <v>72750000</v>
      </c>
      <c r="K420" s="21" t="s">
        <v>174</v>
      </c>
      <c r="L420" s="21" t="s">
        <v>174</v>
      </c>
      <c r="M420" s="21">
        <v>100</v>
      </c>
    </row>
    <row r="421" spans="1:13">
      <c r="A421" s="1" t="s">
        <v>169</v>
      </c>
      <c r="B421" s="1" t="s">
        <v>170</v>
      </c>
      <c r="C421" s="1">
        <v>2008</v>
      </c>
      <c r="D421" s="1" t="s">
        <v>190</v>
      </c>
      <c r="E421" s="1" t="s">
        <v>237</v>
      </c>
      <c r="F421" s="1">
        <v>2011</v>
      </c>
      <c r="G421" s="1" t="s">
        <v>234</v>
      </c>
      <c r="H421" s="21" t="s">
        <v>174</v>
      </c>
      <c r="I421" s="21" t="s">
        <v>174</v>
      </c>
      <c r="J421" s="1">
        <v>72750000</v>
      </c>
      <c r="K421" s="21" t="s">
        <v>174</v>
      </c>
      <c r="L421" s="21" t="s">
        <v>174</v>
      </c>
      <c r="M421" s="21">
        <v>100</v>
      </c>
    </row>
    <row r="422" spans="1:13">
      <c r="A422" s="1" t="s">
        <v>169</v>
      </c>
      <c r="B422" s="1" t="s">
        <v>170</v>
      </c>
      <c r="C422" s="1">
        <v>2008</v>
      </c>
      <c r="D422" s="1" t="s">
        <v>190</v>
      </c>
      <c r="E422" s="1" t="s">
        <v>237</v>
      </c>
      <c r="F422" s="1">
        <v>2012</v>
      </c>
      <c r="G422" s="1" t="s">
        <v>234</v>
      </c>
      <c r="H422" s="21" t="s">
        <v>174</v>
      </c>
      <c r="I422" s="21" t="s">
        <v>174</v>
      </c>
      <c r="J422" s="1">
        <v>72750000</v>
      </c>
      <c r="K422" s="21" t="s">
        <v>174</v>
      </c>
      <c r="L422" s="21" t="s">
        <v>174</v>
      </c>
      <c r="M422" s="21">
        <v>100</v>
      </c>
    </row>
    <row r="423" spans="1:13">
      <c r="A423" s="1" t="s">
        <v>169</v>
      </c>
      <c r="B423" s="1" t="s">
        <v>170</v>
      </c>
      <c r="C423" s="1">
        <v>2008</v>
      </c>
      <c r="D423" s="1" t="s">
        <v>190</v>
      </c>
      <c r="E423" s="1" t="s">
        <v>237</v>
      </c>
      <c r="F423" s="1">
        <v>2013</v>
      </c>
      <c r="G423" s="1" t="s">
        <v>234</v>
      </c>
      <c r="H423" s="21" t="s">
        <v>174</v>
      </c>
      <c r="I423" s="21" t="s">
        <v>174</v>
      </c>
      <c r="J423" s="1">
        <v>72750000</v>
      </c>
      <c r="K423" s="21" t="s">
        <v>174</v>
      </c>
      <c r="L423" s="21" t="s">
        <v>174</v>
      </c>
      <c r="M423" s="21">
        <v>100</v>
      </c>
    </row>
    <row r="424" spans="1:13">
      <c r="A424" s="1" t="s">
        <v>169</v>
      </c>
      <c r="B424" s="1" t="s">
        <v>170</v>
      </c>
      <c r="C424" s="1">
        <v>2008</v>
      </c>
      <c r="D424" s="1" t="s">
        <v>190</v>
      </c>
      <c r="E424" s="1" t="s">
        <v>237</v>
      </c>
      <c r="F424" s="1">
        <v>2014</v>
      </c>
      <c r="G424" s="1" t="s">
        <v>234</v>
      </c>
      <c r="H424" s="21" t="s">
        <v>174</v>
      </c>
      <c r="I424" s="21" t="s">
        <v>174</v>
      </c>
      <c r="J424" s="1">
        <v>72750000</v>
      </c>
      <c r="K424" s="21" t="s">
        <v>174</v>
      </c>
      <c r="L424" s="21" t="s">
        <v>174</v>
      </c>
      <c r="M424" s="21">
        <v>100</v>
      </c>
    </row>
    <row r="425" spans="1:13">
      <c r="A425" s="1" t="s">
        <v>169</v>
      </c>
      <c r="B425" s="1" t="s">
        <v>170</v>
      </c>
      <c r="C425" s="1">
        <v>2008</v>
      </c>
      <c r="D425" s="1" t="s">
        <v>190</v>
      </c>
      <c r="E425" s="1" t="s">
        <v>237</v>
      </c>
      <c r="F425" s="1">
        <v>2015</v>
      </c>
      <c r="G425" s="1" t="s">
        <v>234</v>
      </c>
      <c r="H425" s="21" t="s">
        <v>174</v>
      </c>
      <c r="I425" s="21" t="s">
        <v>174</v>
      </c>
      <c r="J425" s="1">
        <v>72750000</v>
      </c>
      <c r="K425" s="21" t="s">
        <v>174</v>
      </c>
      <c r="L425" s="21" t="s">
        <v>174</v>
      </c>
      <c r="M425" s="21">
        <v>100</v>
      </c>
    </row>
    <row r="426" spans="1:13">
      <c r="A426" s="1" t="s">
        <v>169</v>
      </c>
      <c r="B426" s="1" t="s">
        <v>170</v>
      </c>
      <c r="C426" s="1">
        <v>2008</v>
      </c>
      <c r="D426" s="1" t="s">
        <v>190</v>
      </c>
      <c r="E426" s="1" t="s">
        <v>237</v>
      </c>
      <c r="F426" s="1">
        <v>2016</v>
      </c>
      <c r="G426" s="1" t="s">
        <v>234</v>
      </c>
      <c r="H426" s="21" t="s">
        <v>174</v>
      </c>
      <c r="I426" s="21" t="s">
        <v>174</v>
      </c>
      <c r="J426" s="1">
        <v>72750000</v>
      </c>
      <c r="K426" s="21" t="s">
        <v>174</v>
      </c>
      <c r="L426" s="21" t="s">
        <v>174</v>
      </c>
      <c r="M426" s="21">
        <v>100</v>
      </c>
    </row>
    <row r="427" spans="1:13">
      <c r="A427" s="1" t="s">
        <v>169</v>
      </c>
      <c r="B427" s="1" t="s">
        <v>170</v>
      </c>
      <c r="C427" s="1">
        <v>2008</v>
      </c>
      <c r="D427" s="1" t="s">
        <v>190</v>
      </c>
      <c r="E427" s="1" t="s">
        <v>237</v>
      </c>
      <c r="F427" s="1">
        <v>2017</v>
      </c>
      <c r="G427" s="1" t="s">
        <v>234</v>
      </c>
      <c r="H427" s="21" t="s">
        <v>174</v>
      </c>
      <c r="I427" s="21" t="s">
        <v>174</v>
      </c>
      <c r="J427" s="1">
        <v>72750000</v>
      </c>
      <c r="K427" s="21" t="s">
        <v>174</v>
      </c>
      <c r="L427" s="21" t="s">
        <v>174</v>
      </c>
      <c r="M427" s="21">
        <v>100</v>
      </c>
    </row>
    <row r="428" spans="1:13">
      <c r="A428" s="1" t="s">
        <v>169</v>
      </c>
      <c r="B428" s="1" t="s">
        <v>170</v>
      </c>
      <c r="C428" s="1">
        <v>2008</v>
      </c>
      <c r="D428" s="1" t="s">
        <v>190</v>
      </c>
      <c r="E428" s="1" t="s">
        <v>237</v>
      </c>
      <c r="F428" s="1">
        <v>2018</v>
      </c>
      <c r="G428" s="1" t="s">
        <v>234</v>
      </c>
      <c r="H428" s="21" t="s">
        <v>174</v>
      </c>
      <c r="I428" s="21" t="s">
        <v>174</v>
      </c>
      <c r="J428" s="1">
        <v>72750000</v>
      </c>
      <c r="K428" s="21" t="s">
        <v>174</v>
      </c>
      <c r="L428" s="21" t="s">
        <v>174</v>
      </c>
      <c r="M428" s="21">
        <v>100</v>
      </c>
    </row>
    <row r="429" spans="1:13">
      <c r="A429" s="1" t="s">
        <v>169</v>
      </c>
      <c r="B429" s="1" t="s">
        <v>170</v>
      </c>
      <c r="C429" s="1">
        <v>2008</v>
      </c>
      <c r="D429" s="1" t="s">
        <v>190</v>
      </c>
      <c r="E429" s="1" t="s">
        <v>237</v>
      </c>
      <c r="F429" s="1">
        <v>2019</v>
      </c>
      <c r="G429" s="1" t="s">
        <v>234</v>
      </c>
      <c r="H429" s="21" t="s">
        <v>174</v>
      </c>
      <c r="I429" s="21" t="s">
        <v>174</v>
      </c>
      <c r="J429" s="1">
        <v>72750000</v>
      </c>
      <c r="K429" s="21" t="s">
        <v>174</v>
      </c>
      <c r="L429" s="21" t="s">
        <v>174</v>
      </c>
      <c r="M429" s="21">
        <v>100</v>
      </c>
    </row>
    <row r="430" spans="1:13">
      <c r="A430" s="1" t="s">
        <v>169</v>
      </c>
      <c r="B430" s="1" t="s">
        <v>170</v>
      </c>
      <c r="C430" s="1">
        <v>2008</v>
      </c>
      <c r="D430" s="1" t="s">
        <v>190</v>
      </c>
      <c r="E430" s="1" t="s">
        <v>237</v>
      </c>
      <c r="F430" s="1">
        <v>2020</v>
      </c>
      <c r="G430" s="1" t="s">
        <v>234</v>
      </c>
      <c r="H430" s="21" t="s">
        <v>174</v>
      </c>
      <c r="I430" s="21" t="s">
        <v>174</v>
      </c>
      <c r="J430" s="1">
        <v>72750000</v>
      </c>
      <c r="K430" s="21" t="s">
        <v>174</v>
      </c>
      <c r="L430" s="21" t="s">
        <v>174</v>
      </c>
      <c r="M430" s="21">
        <v>100</v>
      </c>
    </row>
    <row r="431" spans="1:13">
      <c r="A431" s="1" t="s">
        <v>169</v>
      </c>
      <c r="B431" s="1" t="s">
        <v>170</v>
      </c>
      <c r="C431" s="1">
        <v>2008</v>
      </c>
      <c r="D431" s="1" t="s">
        <v>190</v>
      </c>
      <c r="E431" s="1" t="s">
        <v>237</v>
      </c>
      <c r="F431" s="1">
        <v>2021</v>
      </c>
      <c r="G431" s="1" t="s">
        <v>234</v>
      </c>
      <c r="H431" s="21" t="s">
        <v>174</v>
      </c>
      <c r="I431" s="21" t="s">
        <v>174</v>
      </c>
      <c r="J431" s="1">
        <v>72750000</v>
      </c>
      <c r="K431" s="21" t="s">
        <v>174</v>
      </c>
      <c r="L431" s="21" t="s">
        <v>174</v>
      </c>
      <c r="M431" s="21">
        <v>100</v>
      </c>
    </row>
    <row r="432" spans="1:13">
      <c r="A432" s="1" t="s">
        <v>169</v>
      </c>
      <c r="B432" s="1" t="s">
        <v>170</v>
      </c>
      <c r="C432" s="1">
        <v>2008</v>
      </c>
      <c r="D432" s="1" t="s">
        <v>190</v>
      </c>
      <c r="E432" s="1" t="s">
        <v>237</v>
      </c>
      <c r="F432" s="1">
        <v>2022</v>
      </c>
      <c r="G432" s="1" t="s">
        <v>234</v>
      </c>
      <c r="H432" s="21" t="s">
        <v>174</v>
      </c>
      <c r="I432" s="21" t="s">
        <v>174</v>
      </c>
      <c r="J432" s="1">
        <v>72750000</v>
      </c>
      <c r="K432" s="21" t="s">
        <v>174</v>
      </c>
      <c r="L432" s="21" t="s">
        <v>174</v>
      </c>
      <c r="M432" s="21">
        <v>100</v>
      </c>
    </row>
    <row r="433" spans="1:13">
      <c r="A433" s="1" t="s">
        <v>169</v>
      </c>
      <c r="B433" s="1" t="s">
        <v>170</v>
      </c>
      <c r="C433" s="1">
        <v>2008</v>
      </c>
      <c r="D433" s="1" t="s">
        <v>190</v>
      </c>
      <c r="E433" s="1" t="s">
        <v>237</v>
      </c>
      <c r="F433" s="1">
        <v>2023</v>
      </c>
      <c r="G433" s="1" t="s">
        <v>234</v>
      </c>
      <c r="H433" s="21" t="s">
        <v>174</v>
      </c>
      <c r="I433" s="21" t="s">
        <v>174</v>
      </c>
      <c r="J433" s="1">
        <v>72750000</v>
      </c>
      <c r="K433" s="21" t="s">
        <v>174</v>
      </c>
      <c r="L433" s="21" t="s">
        <v>174</v>
      </c>
      <c r="M433" s="21">
        <v>100</v>
      </c>
    </row>
    <row r="434" spans="1:13">
      <c r="A434" s="1" t="s">
        <v>169</v>
      </c>
      <c r="B434" s="1" t="s">
        <v>170</v>
      </c>
      <c r="C434" s="1">
        <v>2008</v>
      </c>
      <c r="D434" s="1" t="s">
        <v>190</v>
      </c>
      <c r="E434" s="1" t="s">
        <v>237</v>
      </c>
      <c r="F434" s="1">
        <v>2024</v>
      </c>
      <c r="G434" s="1" t="s">
        <v>234</v>
      </c>
      <c r="H434" s="21" t="s">
        <v>174</v>
      </c>
      <c r="I434" s="21" t="s">
        <v>174</v>
      </c>
      <c r="J434" s="1">
        <v>72750000</v>
      </c>
      <c r="K434" s="21" t="s">
        <v>174</v>
      </c>
      <c r="L434" s="21" t="s">
        <v>174</v>
      </c>
      <c r="M434" s="21">
        <v>100</v>
      </c>
    </row>
    <row r="435" spans="1:13">
      <c r="A435" s="1" t="s">
        <v>169</v>
      </c>
      <c r="B435" s="1" t="s">
        <v>170</v>
      </c>
      <c r="C435" s="1">
        <v>2008</v>
      </c>
      <c r="D435" s="1" t="s">
        <v>190</v>
      </c>
      <c r="E435" s="1" t="s">
        <v>237</v>
      </c>
      <c r="F435" s="1">
        <v>2025</v>
      </c>
      <c r="G435" s="1" t="s">
        <v>234</v>
      </c>
      <c r="H435" s="21" t="s">
        <v>174</v>
      </c>
      <c r="I435" s="21" t="s">
        <v>174</v>
      </c>
      <c r="J435" s="1">
        <v>72750000</v>
      </c>
      <c r="K435" s="21" t="s">
        <v>174</v>
      </c>
      <c r="L435" s="21" t="s">
        <v>174</v>
      </c>
      <c r="M435" s="21">
        <v>100</v>
      </c>
    </row>
    <row r="436" spans="1:13">
      <c r="A436" s="1" t="s">
        <v>169</v>
      </c>
      <c r="B436" s="1" t="s">
        <v>170</v>
      </c>
      <c r="C436" s="1">
        <v>2008</v>
      </c>
      <c r="D436" s="1" t="s">
        <v>190</v>
      </c>
      <c r="E436" s="1" t="s">
        <v>237</v>
      </c>
      <c r="F436" s="1">
        <v>2026</v>
      </c>
      <c r="G436" s="1" t="s">
        <v>234</v>
      </c>
      <c r="H436" s="21" t="s">
        <v>174</v>
      </c>
      <c r="I436" s="21" t="s">
        <v>174</v>
      </c>
      <c r="J436" s="1">
        <v>72750000</v>
      </c>
      <c r="K436" s="21" t="s">
        <v>174</v>
      </c>
      <c r="L436" s="21" t="s">
        <v>174</v>
      </c>
      <c r="M436" s="21">
        <v>100</v>
      </c>
    </row>
    <row r="437" spans="1:13">
      <c r="A437" s="1" t="s">
        <v>169</v>
      </c>
      <c r="B437" s="1" t="s">
        <v>170</v>
      </c>
      <c r="C437" s="1">
        <v>2008</v>
      </c>
      <c r="D437" s="1" t="s">
        <v>190</v>
      </c>
      <c r="E437" s="1" t="s">
        <v>237</v>
      </c>
      <c r="F437" s="1">
        <v>2027</v>
      </c>
      <c r="G437" s="1" t="s">
        <v>234</v>
      </c>
      <c r="H437" s="21" t="s">
        <v>174</v>
      </c>
      <c r="I437" s="21" t="s">
        <v>174</v>
      </c>
      <c r="J437" s="1">
        <v>72750000</v>
      </c>
      <c r="K437" s="21" t="s">
        <v>174</v>
      </c>
      <c r="L437" s="21" t="s">
        <v>174</v>
      </c>
      <c r="M437" s="21">
        <v>100</v>
      </c>
    </row>
    <row r="438" spans="1:13">
      <c r="A438" s="1" t="s">
        <v>169</v>
      </c>
      <c r="B438" s="1" t="s">
        <v>170</v>
      </c>
      <c r="C438" s="1">
        <v>2008</v>
      </c>
      <c r="D438" s="1" t="s">
        <v>190</v>
      </c>
      <c r="E438" s="1" t="s">
        <v>237</v>
      </c>
      <c r="F438" s="1">
        <v>2028</v>
      </c>
      <c r="G438" s="1" t="s">
        <v>234</v>
      </c>
      <c r="H438" s="21" t="s">
        <v>174</v>
      </c>
      <c r="I438" s="21" t="s">
        <v>174</v>
      </c>
      <c r="J438" s="1">
        <v>72750000</v>
      </c>
      <c r="K438" s="21" t="s">
        <v>174</v>
      </c>
      <c r="L438" s="21" t="s">
        <v>174</v>
      </c>
      <c r="M438" s="21">
        <v>100</v>
      </c>
    </row>
    <row r="439" spans="1:13">
      <c r="A439" s="1" t="s">
        <v>169</v>
      </c>
      <c r="B439" s="1" t="s">
        <v>170</v>
      </c>
      <c r="C439" s="1">
        <v>2008</v>
      </c>
      <c r="D439" s="1" t="s">
        <v>190</v>
      </c>
      <c r="E439" s="1" t="s">
        <v>237</v>
      </c>
      <c r="F439" s="1">
        <v>2029</v>
      </c>
      <c r="G439" s="1" t="s">
        <v>234</v>
      </c>
      <c r="H439" s="21" t="s">
        <v>174</v>
      </c>
      <c r="I439" s="21" t="s">
        <v>174</v>
      </c>
      <c r="J439" s="1">
        <v>72750000</v>
      </c>
      <c r="K439" s="21" t="s">
        <v>174</v>
      </c>
      <c r="L439" s="21" t="s">
        <v>174</v>
      </c>
      <c r="M439" s="21">
        <v>100</v>
      </c>
    </row>
    <row r="440" spans="1:13">
      <c r="A440" s="1" t="s">
        <v>169</v>
      </c>
      <c r="B440" s="1" t="s">
        <v>170</v>
      </c>
      <c r="C440" s="1">
        <v>2008</v>
      </c>
      <c r="D440" s="1" t="s">
        <v>190</v>
      </c>
      <c r="E440" s="1" t="s">
        <v>237</v>
      </c>
      <c r="F440" s="1">
        <v>2030</v>
      </c>
      <c r="G440" s="1" t="s">
        <v>234</v>
      </c>
      <c r="H440" s="21" t="s">
        <v>174</v>
      </c>
      <c r="I440" s="21" t="s">
        <v>174</v>
      </c>
      <c r="J440" s="1">
        <v>72750000</v>
      </c>
      <c r="K440" s="21" t="s">
        <v>174</v>
      </c>
      <c r="L440" s="21" t="s">
        <v>174</v>
      </c>
      <c r="M440" s="21">
        <v>100</v>
      </c>
    </row>
    <row r="441" spans="1:13">
      <c r="A441" s="1" t="s">
        <v>169</v>
      </c>
      <c r="B441" s="1" t="s">
        <v>170</v>
      </c>
      <c r="C441" s="1">
        <v>2008</v>
      </c>
      <c r="D441" s="1" t="s">
        <v>190</v>
      </c>
      <c r="E441" s="1" t="s">
        <v>237</v>
      </c>
      <c r="F441" s="1">
        <v>2031</v>
      </c>
      <c r="G441" s="1" t="s">
        <v>234</v>
      </c>
      <c r="H441" s="21" t="s">
        <v>174</v>
      </c>
      <c r="I441" s="21" t="s">
        <v>174</v>
      </c>
      <c r="J441" s="1">
        <v>72750000</v>
      </c>
      <c r="K441" s="21" t="s">
        <v>174</v>
      </c>
      <c r="L441" s="21" t="s">
        <v>174</v>
      </c>
      <c r="M441" s="21">
        <v>100</v>
      </c>
    </row>
    <row r="442" spans="1:13">
      <c r="A442" s="1" t="s">
        <v>169</v>
      </c>
      <c r="B442" s="1" t="s">
        <v>170</v>
      </c>
      <c r="C442" s="1">
        <v>2008</v>
      </c>
      <c r="D442" s="1" t="s">
        <v>190</v>
      </c>
      <c r="E442" s="1" t="s">
        <v>237</v>
      </c>
      <c r="F442" s="1">
        <v>2032</v>
      </c>
      <c r="G442" s="1" t="s">
        <v>234</v>
      </c>
      <c r="H442" s="21" t="s">
        <v>174</v>
      </c>
      <c r="I442" s="21" t="s">
        <v>174</v>
      </c>
      <c r="J442" s="1">
        <v>72750000</v>
      </c>
      <c r="K442" s="21" t="s">
        <v>174</v>
      </c>
      <c r="L442" s="21" t="s">
        <v>174</v>
      </c>
      <c r="M442" s="21">
        <v>100</v>
      </c>
    </row>
    <row r="443" spans="1:13">
      <c r="A443" s="1" t="s">
        <v>169</v>
      </c>
      <c r="B443" s="1" t="s">
        <v>170</v>
      </c>
      <c r="C443" s="1">
        <v>2008</v>
      </c>
      <c r="D443" s="1" t="s">
        <v>190</v>
      </c>
      <c r="E443" s="1" t="s">
        <v>237</v>
      </c>
      <c r="F443" s="1">
        <v>2033</v>
      </c>
      <c r="G443" s="1" t="s">
        <v>234</v>
      </c>
      <c r="H443" s="21" t="s">
        <v>174</v>
      </c>
      <c r="I443" s="21" t="s">
        <v>174</v>
      </c>
      <c r="J443" s="1">
        <v>72750000</v>
      </c>
      <c r="K443" s="21" t="s">
        <v>174</v>
      </c>
      <c r="L443" s="21" t="s">
        <v>174</v>
      </c>
      <c r="M443" s="21">
        <v>100</v>
      </c>
    </row>
    <row r="444" spans="1:13">
      <c r="A444" s="1" t="s">
        <v>169</v>
      </c>
      <c r="B444" s="1" t="s">
        <v>170</v>
      </c>
      <c r="C444" s="1">
        <v>2008</v>
      </c>
      <c r="D444" s="1" t="s">
        <v>190</v>
      </c>
      <c r="E444" s="1" t="s">
        <v>237</v>
      </c>
      <c r="F444" s="1">
        <v>2034</v>
      </c>
      <c r="G444" s="1" t="s">
        <v>234</v>
      </c>
      <c r="H444" s="21" t="s">
        <v>174</v>
      </c>
      <c r="I444" s="21" t="s">
        <v>174</v>
      </c>
      <c r="J444" s="1">
        <v>72750000</v>
      </c>
      <c r="K444" s="21" t="s">
        <v>174</v>
      </c>
      <c r="L444" s="21" t="s">
        <v>174</v>
      </c>
      <c r="M444" s="21">
        <v>100</v>
      </c>
    </row>
    <row r="445" spans="1:13">
      <c r="A445" s="1" t="s">
        <v>169</v>
      </c>
      <c r="B445" s="1" t="s">
        <v>170</v>
      </c>
      <c r="C445" s="1">
        <v>2008</v>
      </c>
      <c r="D445" s="1" t="s">
        <v>190</v>
      </c>
      <c r="E445" s="1" t="s">
        <v>235</v>
      </c>
      <c r="F445" s="1">
        <v>2035</v>
      </c>
      <c r="G445" s="1" t="s">
        <v>234</v>
      </c>
      <c r="H445" s="1">
        <v>13435000</v>
      </c>
      <c r="I445" s="21" t="s">
        <v>174</v>
      </c>
      <c r="J445" s="1">
        <f>J444-H445</f>
        <v>59315000</v>
      </c>
      <c r="K445" s="21" t="s">
        <v>174</v>
      </c>
      <c r="L445" s="21" t="s">
        <v>174</v>
      </c>
      <c r="M445" s="21">
        <v>100</v>
      </c>
    </row>
    <row r="446" spans="1:13">
      <c r="A446" s="1" t="s">
        <v>169</v>
      </c>
      <c r="B446" s="1" t="s">
        <v>170</v>
      </c>
      <c r="C446" s="1">
        <v>2008</v>
      </c>
      <c r="D446" s="1" t="s">
        <v>190</v>
      </c>
      <c r="E446" s="1" t="s">
        <v>235</v>
      </c>
      <c r="F446" s="1">
        <v>2036</v>
      </c>
      <c r="G446" s="1" t="s">
        <v>234</v>
      </c>
      <c r="H446" s="1">
        <v>17010000</v>
      </c>
      <c r="I446" s="21" t="s">
        <v>174</v>
      </c>
      <c r="J446" s="1">
        <f>J445-H446</f>
        <v>42305000</v>
      </c>
      <c r="K446" s="21" t="s">
        <v>174</v>
      </c>
      <c r="L446" s="21" t="s">
        <v>174</v>
      </c>
      <c r="M446" s="21">
        <v>100</v>
      </c>
    </row>
    <row r="447" spans="1:13">
      <c r="A447" s="1" t="s">
        <v>169</v>
      </c>
      <c r="B447" s="1" t="s">
        <v>170</v>
      </c>
      <c r="C447" s="1">
        <v>2008</v>
      </c>
      <c r="D447" s="1" t="s">
        <v>190</v>
      </c>
      <c r="E447" s="1" t="s">
        <v>235</v>
      </c>
      <c r="F447" s="1">
        <v>2037</v>
      </c>
      <c r="G447" s="1" t="s">
        <v>234</v>
      </c>
      <c r="H447" s="1">
        <v>17760000</v>
      </c>
      <c r="I447" s="21" t="s">
        <v>174</v>
      </c>
      <c r="J447" s="1">
        <f>J446-H447</f>
        <v>24545000</v>
      </c>
      <c r="K447" s="21" t="s">
        <v>174</v>
      </c>
      <c r="L447" s="21" t="s">
        <v>174</v>
      </c>
      <c r="M447" s="21">
        <v>100</v>
      </c>
    </row>
    <row r="448" spans="1:13">
      <c r="A448" s="1" t="s">
        <v>169</v>
      </c>
      <c r="B448" s="1" t="s">
        <v>170</v>
      </c>
      <c r="C448" s="1">
        <v>2008</v>
      </c>
      <c r="D448" s="1" t="s">
        <v>190</v>
      </c>
      <c r="E448" s="1" t="s">
        <v>235</v>
      </c>
      <c r="F448" s="1">
        <v>2038</v>
      </c>
      <c r="G448" s="1" t="s">
        <v>234</v>
      </c>
      <c r="H448" s="1">
        <v>18545000</v>
      </c>
      <c r="I448" s="21" t="s">
        <v>174</v>
      </c>
      <c r="J448" s="1">
        <f>J447-H448</f>
        <v>6000000</v>
      </c>
      <c r="K448" s="21" t="s">
        <v>174</v>
      </c>
      <c r="L448" s="21" t="s">
        <v>174</v>
      </c>
      <c r="M448" s="21">
        <v>100</v>
      </c>
    </row>
    <row r="449" spans="1:13">
      <c r="A449" s="1" t="s">
        <v>169</v>
      </c>
      <c r="B449" s="1" t="s">
        <v>170</v>
      </c>
      <c r="C449" s="1">
        <v>2008</v>
      </c>
      <c r="D449" s="1" t="s">
        <v>190</v>
      </c>
      <c r="E449" s="1" t="s">
        <v>235</v>
      </c>
      <c r="F449" s="1">
        <v>2039</v>
      </c>
      <c r="G449" s="1" t="s">
        <v>234</v>
      </c>
      <c r="H449" s="1">
        <v>6000000</v>
      </c>
      <c r="I449" s="21" t="s">
        <v>174</v>
      </c>
      <c r="J449" s="1">
        <f>J448-H449</f>
        <v>0</v>
      </c>
      <c r="K449" s="21" t="s">
        <v>174</v>
      </c>
      <c r="L449" s="21" t="s">
        <v>174</v>
      </c>
      <c r="M449" s="21">
        <v>100</v>
      </c>
    </row>
    <row r="450" spans="1:13">
      <c r="A450" s="1" t="s">
        <v>169</v>
      </c>
      <c r="B450" s="1" t="s">
        <v>170</v>
      </c>
      <c r="C450" s="1">
        <v>2008</v>
      </c>
      <c r="D450" s="1" t="s">
        <v>193</v>
      </c>
      <c r="E450" s="1" t="s">
        <v>237</v>
      </c>
      <c r="F450" s="1">
        <v>2008</v>
      </c>
      <c r="G450" s="1" t="s">
        <v>234</v>
      </c>
      <c r="H450" s="21" t="s">
        <v>174</v>
      </c>
      <c r="I450" s="21" t="s">
        <v>174</v>
      </c>
      <c r="J450" s="1">
        <v>72745000</v>
      </c>
      <c r="K450" s="21" t="s">
        <v>174</v>
      </c>
      <c r="L450" s="21" t="s">
        <v>174</v>
      </c>
      <c r="M450" s="21">
        <v>100</v>
      </c>
    </row>
    <row r="451" spans="1:13">
      <c r="A451" s="1" t="s">
        <v>169</v>
      </c>
      <c r="B451" s="1" t="s">
        <v>170</v>
      </c>
      <c r="C451" s="1">
        <v>2008</v>
      </c>
      <c r="D451" s="1" t="s">
        <v>193</v>
      </c>
      <c r="E451" s="1" t="s">
        <v>237</v>
      </c>
      <c r="F451" s="1">
        <v>2009</v>
      </c>
      <c r="G451" s="1" t="s">
        <v>234</v>
      </c>
      <c r="H451" s="21" t="s">
        <v>174</v>
      </c>
      <c r="I451" s="21" t="s">
        <v>174</v>
      </c>
      <c r="J451" s="1">
        <v>72745000</v>
      </c>
      <c r="K451" s="21" t="s">
        <v>174</v>
      </c>
      <c r="L451" s="21" t="s">
        <v>174</v>
      </c>
      <c r="M451" s="21">
        <v>100</v>
      </c>
    </row>
    <row r="452" spans="1:13">
      <c r="A452" s="1" t="s">
        <v>169</v>
      </c>
      <c r="B452" s="1" t="s">
        <v>170</v>
      </c>
      <c r="C452" s="1">
        <v>2008</v>
      </c>
      <c r="D452" s="1" t="s">
        <v>193</v>
      </c>
      <c r="E452" s="1" t="s">
        <v>237</v>
      </c>
      <c r="F452" s="1">
        <v>2010</v>
      </c>
      <c r="G452" s="1" t="s">
        <v>234</v>
      </c>
      <c r="H452" s="21" t="s">
        <v>174</v>
      </c>
      <c r="I452" s="21" t="s">
        <v>174</v>
      </c>
      <c r="J452" s="1">
        <v>72745000</v>
      </c>
      <c r="K452" s="21" t="s">
        <v>174</v>
      </c>
      <c r="L452" s="21" t="s">
        <v>174</v>
      </c>
      <c r="M452" s="21">
        <v>100</v>
      </c>
    </row>
    <row r="453" spans="1:13">
      <c r="A453" s="1" t="s">
        <v>169</v>
      </c>
      <c r="B453" s="1" t="s">
        <v>170</v>
      </c>
      <c r="C453" s="1">
        <v>2008</v>
      </c>
      <c r="D453" s="1" t="s">
        <v>193</v>
      </c>
      <c r="E453" s="1" t="s">
        <v>237</v>
      </c>
      <c r="F453" s="1">
        <v>2011</v>
      </c>
      <c r="G453" s="1" t="s">
        <v>234</v>
      </c>
      <c r="H453" s="21" t="s">
        <v>174</v>
      </c>
      <c r="I453" s="21" t="s">
        <v>174</v>
      </c>
      <c r="J453" s="1">
        <v>72745000</v>
      </c>
      <c r="K453" s="21" t="s">
        <v>174</v>
      </c>
      <c r="L453" s="21" t="s">
        <v>174</v>
      </c>
      <c r="M453" s="21">
        <v>100</v>
      </c>
    </row>
    <row r="454" spans="1:13">
      <c r="A454" s="1" t="s">
        <v>169</v>
      </c>
      <c r="B454" s="1" t="s">
        <v>170</v>
      </c>
      <c r="C454" s="1">
        <v>2008</v>
      </c>
      <c r="D454" s="1" t="s">
        <v>193</v>
      </c>
      <c r="E454" s="1" t="s">
        <v>237</v>
      </c>
      <c r="F454" s="1">
        <v>2012</v>
      </c>
      <c r="G454" s="1" t="s">
        <v>234</v>
      </c>
      <c r="H454" s="21" t="s">
        <v>174</v>
      </c>
      <c r="I454" s="21" t="s">
        <v>174</v>
      </c>
      <c r="J454" s="1">
        <v>72745000</v>
      </c>
      <c r="K454" s="21" t="s">
        <v>174</v>
      </c>
      <c r="L454" s="21" t="s">
        <v>174</v>
      </c>
      <c r="M454" s="21">
        <v>100</v>
      </c>
    </row>
    <row r="455" spans="1:13">
      <c r="A455" s="1" t="s">
        <v>169</v>
      </c>
      <c r="B455" s="1" t="s">
        <v>170</v>
      </c>
      <c r="C455" s="1">
        <v>2008</v>
      </c>
      <c r="D455" s="1" t="s">
        <v>193</v>
      </c>
      <c r="E455" s="1" t="s">
        <v>237</v>
      </c>
      <c r="F455" s="1">
        <v>2013</v>
      </c>
      <c r="G455" s="1" t="s">
        <v>234</v>
      </c>
      <c r="H455" s="21" t="s">
        <v>174</v>
      </c>
      <c r="I455" s="21" t="s">
        <v>174</v>
      </c>
      <c r="J455" s="1">
        <v>72745000</v>
      </c>
      <c r="K455" s="21" t="s">
        <v>174</v>
      </c>
      <c r="L455" s="21" t="s">
        <v>174</v>
      </c>
      <c r="M455" s="21">
        <v>100</v>
      </c>
    </row>
    <row r="456" spans="1:13">
      <c r="A456" s="1" t="s">
        <v>169</v>
      </c>
      <c r="B456" s="1" t="s">
        <v>170</v>
      </c>
      <c r="C456" s="1">
        <v>2008</v>
      </c>
      <c r="D456" s="1" t="s">
        <v>193</v>
      </c>
      <c r="E456" s="1" t="s">
        <v>237</v>
      </c>
      <c r="F456" s="1">
        <v>2014</v>
      </c>
      <c r="G456" s="1" t="s">
        <v>234</v>
      </c>
      <c r="H456" s="21" t="s">
        <v>174</v>
      </c>
      <c r="I456" s="21" t="s">
        <v>174</v>
      </c>
      <c r="J456" s="1">
        <v>72745000</v>
      </c>
      <c r="K456" s="21" t="s">
        <v>174</v>
      </c>
      <c r="L456" s="21" t="s">
        <v>174</v>
      </c>
      <c r="M456" s="21">
        <v>100</v>
      </c>
    </row>
    <row r="457" spans="1:13">
      <c r="A457" s="1" t="s">
        <v>169</v>
      </c>
      <c r="B457" s="1" t="s">
        <v>170</v>
      </c>
      <c r="C457" s="1">
        <v>2008</v>
      </c>
      <c r="D457" s="1" t="s">
        <v>193</v>
      </c>
      <c r="E457" s="1" t="s">
        <v>237</v>
      </c>
      <c r="F457" s="1">
        <v>2015</v>
      </c>
      <c r="G457" s="1" t="s">
        <v>234</v>
      </c>
      <c r="H457" s="21" t="s">
        <v>174</v>
      </c>
      <c r="I457" s="21" t="s">
        <v>174</v>
      </c>
      <c r="J457" s="1">
        <v>72745000</v>
      </c>
      <c r="K457" s="21" t="s">
        <v>174</v>
      </c>
      <c r="L457" s="21" t="s">
        <v>174</v>
      </c>
      <c r="M457" s="21">
        <v>100</v>
      </c>
    </row>
    <row r="458" spans="1:13">
      <c r="A458" s="1" t="s">
        <v>169</v>
      </c>
      <c r="B458" s="1" t="s">
        <v>170</v>
      </c>
      <c r="C458" s="1">
        <v>2008</v>
      </c>
      <c r="D458" s="1" t="s">
        <v>193</v>
      </c>
      <c r="E458" s="1" t="s">
        <v>237</v>
      </c>
      <c r="F458" s="1">
        <v>2016</v>
      </c>
      <c r="G458" s="1" t="s">
        <v>234</v>
      </c>
      <c r="H458" s="21" t="s">
        <v>174</v>
      </c>
      <c r="I458" s="21" t="s">
        <v>174</v>
      </c>
      <c r="J458" s="1">
        <v>72745000</v>
      </c>
      <c r="K458" s="21" t="s">
        <v>174</v>
      </c>
      <c r="L458" s="21" t="s">
        <v>174</v>
      </c>
      <c r="M458" s="21">
        <v>100</v>
      </c>
    </row>
    <row r="459" spans="1:13">
      <c r="A459" s="1" t="s">
        <v>169</v>
      </c>
      <c r="B459" s="1" t="s">
        <v>170</v>
      </c>
      <c r="C459" s="1">
        <v>2008</v>
      </c>
      <c r="D459" s="1" t="s">
        <v>193</v>
      </c>
      <c r="E459" s="1" t="s">
        <v>237</v>
      </c>
      <c r="F459" s="1">
        <v>2017</v>
      </c>
      <c r="G459" s="1" t="s">
        <v>234</v>
      </c>
      <c r="H459" s="21" t="s">
        <v>174</v>
      </c>
      <c r="I459" s="21" t="s">
        <v>174</v>
      </c>
      <c r="J459" s="1">
        <v>72745000</v>
      </c>
      <c r="K459" s="21" t="s">
        <v>174</v>
      </c>
      <c r="L459" s="21" t="s">
        <v>174</v>
      </c>
      <c r="M459" s="21">
        <v>100</v>
      </c>
    </row>
    <row r="460" spans="1:13">
      <c r="A460" s="1" t="s">
        <v>169</v>
      </c>
      <c r="B460" s="1" t="s">
        <v>170</v>
      </c>
      <c r="C460" s="1">
        <v>2008</v>
      </c>
      <c r="D460" s="1" t="s">
        <v>193</v>
      </c>
      <c r="E460" s="1" t="s">
        <v>237</v>
      </c>
      <c r="F460" s="1">
        <v>2018</v>
      </c>
      <c r="G460" s="1" t="s">
        <v>234</v>
      </c>
      <c r="H460" s="21" t="s">
        <v>174</v>
      </c>
      <c r="I460" s="21" t="s">
        <v>174</v>
      </c>
      <c r="J460" s="1">
        <v>72745000</v>
      </c>
      <c r="K460" s="21" t="s">
        <v>174</v>
      </c>
      <c r="L460" s="21" t="s">
        <v>174</v>
      </c>
      <c r="M460" s="21">
        <v>100</v>
      </c>
    </row>
    <row r="461" spans="1:13">
      <c r="A461" s="1" t="s">
        <v>169</v>
      </c>
      <c r="B461" s="1" t="s">
        <v>170</v>
      </c>
      <c r="C461" s="1">
        <v>2008</v>
      </c>
      <c r="D461" s="1" t="s">
        <v>193</v>
      </c>
      <c r="E461" s="1" t="s">
        <v>237</v>
      </c>
      <c r="F461" s="1">
        <v>2019</v>
      </c>
      <c r="G461" s="1" t="s">
        <v>234</v>
      </c>
      <c r="H461" s="21" t="s">
        <v>174</v>
      </c>
      <c r="I461" s="21" t="s">
        <v>174</v>
      </c>
      <c r="J461" s="1">
        <v>72745000</v>
      </c>
      <c r="K461" s="21" t="s">
        <v>174</v>
      </c>
      <c r="L461" s="21" t="s">
        <v>174</v>
      </c>
      <c r="M461" s="21">
        <v>100</v>
      </c>
    </row>
    <row r="462" spans="1:13">
      <c r="A462" s="1" t="s">
        <v>169</v>
      </c>
      <c r="B462" s="1" t="s">
        <v>170</v>
      </c>
      <c r="C462" s="1">
        <v>2008</v>
      </c>
      <c r="D462" s="1" t="s">
        <v>193</v>
      </c>
      <c r="E462" s="1" t="s">
        <v>237</v>
      </c>
      <c r="F462" s="1">
        <v>2020</v>
      </c>
      <c r="G462" s="1" t="s">
        <v>234</v>
      </c>
      <c r="H462" s="21" t="s">
        <v>174</v>
      </c>
      <c r="I462" s="21" t="s">
        <v>174</v>
      </c>
      <c r="J462" s="1">
        <v>72745000</v>
      </c>
      <c r="K462" s="21" t="s">
        <v>174</v>
      </c>
      <c r="L462" s="21" t="s">
        <v>174</v>
      </c>
      <c r="M462" s="21">
        <v>100</v>
      </c>
    </row>
    <row r="463" spans="1:13">
      <c r="A463" s="1" t="s">
        <v>169</v>
      </c>
      <c r="B463" s="1" t="s">
        <v>170</v>
      </c>
      <c r="C463" s="1">
        <v>2008</v>
      </c>
      <c r="D463" s="1" t="s">
        <v>193</v>
      </c>
      <c r="E463" s="1" t="s">
        <v>237</v>
      </c>
      <c r="F463" s="1">
        <v>2021</v>
      </c>
      <c r="G463" s="1" t="s">
        <v>234</v>
      </c>
      <c r="H463" s="21" t="s">
        <v>174</v>
      </c>
      <c r="I463" s="21" t="s">
        <v>174</v>
      </c>
      <c r="J463" s="1">
        <v>72745000</v>
      </c>
      <c r="K463" s="21" t="s">
        <v>174</v>
      </c>
      <c r="L463" s="21" t="s">
        <v>174</v>
      </c>
      <c r="M463" s="21">
        <v>100</v>
      </c>
    </row>
    <row r="464" spans="1:13">
      <c r="A464" s="1" t="s">
        <v>169</v>
      </c>
      <c r="B464" s="1" t="s">
        <v>170</v>
      </c>
      <c r="C464" s="1">
        <v>2008</v>
      </c>
      <c r="D464" s="1" t="s">
        <v>193</v>
      </c>
      <c r="E464" s="1" t="s">
        <v>237</v>
      </c>
      <c r="F464" s="1">
        <v>2022</v>
      </c>
      <c r="G464" s="1" t="s">
        <v>234</v>
      </c>
      <c r="H464" s="21" t="s">
        <v>174</v>
      </c>
      <c r="I464" s="21" t="s">
        <v>174</v>
      </c>
      <c r="J464" s="1">
        <v>72745000</v>
      </c>
      <c r="K464" s="21" t="s">
        <v>174</v>
      </c>
      <c r="L464" s="21" t="s">
        <v>174</v>
      </c>
      <c r="M464" s="21">
        <v>100</v>
      </c>
    </row>
    <row r="465" spans="1:13">
      <c r="A465" s="1" t="s">
        <v>169</v>
      </c>
      <c r="B465" s="1" t="s">
        <v>170</v>
      </c>
      <c r="C465" s="1">
        <v>2008</v>
      </c>
      <c r="D465" s="1" t="s">
        <v>193</v>
      </c>
      <c r="E465" s="1" t="s">
        <v>237</v>
      </c>
      <c r="F465" s="1">
        <v>2023</v>
      </c>
      <c r="G465" s="1" t="s">
        <v>234</v>
      </c>
      <c r="H465" s="21" t="s">
        <v>174</v>
      </c>
      <c r="I465" s="21" t="s">
        <v>174</v>
      </c>
      <c r="J465" s="1">
        <v>72745000</v>
      </c>
      <c r="K465" s="21" t="s">
        <v>174</v>
      </c>
      <c r="L465" s="21" t="s">
        <v>174</v>
      </c>
      <c r="M465" s="21">
        <v>100</v>
      </c>
    </row>
    <row r="466" spans="1:13">
      <c r="A466" s="1" t="s">
        <v>169</v>
      </c>
      <c r="B466" s="1" t="s">
        <v>170</v>
      </c>
      <c r="C466" s="1">
        <v>2008</v>
      </c>
      <c r="D466" s="1" t="s">
        <v>193</v>
      </c>
      <c r="E466" s="1" t="s">
        <v>237</v>
      </c>
      <c r="F466" s="1">
        <v>2024</v>
      </c>
      <c r="G466" s="1" t="s">
        <v>234</v>
      </c>
      <c r="H466" s="21" t="s">
        <v>174</v>
      </c>
      <c r="I466" s="21" t="s">
        <v>174</v>
      </c>
      <c r="J466" s="1">
        <v>72745000</v>
      </c>
      <c r="K466" s="21" t="s">
        <v>174</v>
      </c>
      <c r="L466" s="21" t="s">
        <v>174</v>
      </c>
      <c r="M466" s="21">
        <v>100</v>
      </c>
    </row>
    <row r="467" spans="1:13">
      <c r="A467" s="1" t="s">
        <v>169</v>
      </c>
      <c r="B467" s="1" t="s">
        <v>170</v>
      </c>
      <c r="C467" s="1">
        <v>2008</v>
      </c>
      <c r="D467" s="1" t="s">
        <v>193</v>
      </c>
      <c r="E467" s="1" t="s">
        <v>237</v>
      </c>
      <c r="F467" s="1">
        <v>2025</v>
      </c>
      <c r="G467" s="1" t="s">
        <v>234</v>
      </c>
      <c r="H467" s="21" t="s">
        <v>174</v>
      </c>
      <c r="I467" s="21" t="s">
        <v>174</v>
      </c>
      <c r="J467" s="1">
        <v>72745000</v>
      </c>
      <c r="K467" s="21" t="s">
        <v>174</v>
      </c>
      <c r="L467" s="21" t="s">
        <v>174</v>
      </c>
      <c r="M467" s="21">
        <v>100</v>
      </c>
    </row>
    <row r="468" spans="1:13">
      <c r="A468" s="1" t="s">
        <v>169</v>
      </c>
      <c r="B468" s="1" t="s">
        <v>170</v>
      </c>
      <c r="C468" s="1">
        <v>2008</v>
      </c>
      <c r="D468" s="1" t="s">
        <v>193</v>
      </c>
      <c r="E468" s="1" t="s">
        <v>237</v>
      </c>
      <c r="F468" s="1">
        <v>2026</v>
      </c>
      <c r="G468" s="1" t="s">
        <v>234</v>
      </c>
      <c r="H468" s="21" t="s">
        <v>174</v>
      </c>
      <c r="I468" s="21" t="s">
        <v>174</v>
      </c>
      <c r="J468" s="1">
        <v>72745000</v>
      </c>
      <c r="K468" s="21" t="s">
        <v>174</v>
      </c>
      <c r="L468" s="21" t="s">
        <v>174</v>
      </c>
      <c r="M468" s="21">
        <v>100</v>
      </c>
    </row>
    <row r="469" spans="1:13">
      <c r="A469" s="1" t="s">
        <v>169</v>
      </c>
      <c r="B469" s="1" t="s">
        <v>170</v>
      </c>
      <c r="C469" s="1">
        <v>2008</v>
      </c>
      <c r="D469" s="1" t="s">
        <v>193</v>
      </c>
      <c r="E469" s="1" t="s">
        <v>237</v>
      </c>
      <c r="F469" s="1">
        <v>2027</v>
      </c>
      <c r="G469" s="1" t="s">
        <v>234</v>
      </c>
      <c r="H469" s="21" t="s">
        <v>174</v>
      </c>
      <c r="I469" s="21" t="s">
        <v>174</v>
      </c>
      <c r="J469" s="1">
        <v>72745000</v>
      </c>
      <c r="K469" s="21" t="s">
        <v>174</v>
      </c>
      <c r="L469" s="21" t="s">
        <v>174</v>
      </c>
      <c r="M469" s="21">
        <v>100</v>
      </c>
    </row>
    <row r="470" spans="1:13">
      <c r="A470" s="1" t="s">
        <v>169</v>
      </c>
      <c r="B470" s="1" t="s">
        <v>170</v>
      </c>
      <c r="C470" s="1">
        <v>2008</v>
      </c>
      <c r="D470" s="1" t="s">
        <v>193</v>
      </c>
      <c r="E470" s="1" t="s">
        <v>237</v>
      </c>
      <c r="F470" s="1">
        <v>2028</v>
      </c>
      <c r="G470" s="1" t="s">
        <v>234</v>
      </c>
      <c r="H470" s="21" t="s">
        <v>174</v>
      </c>
      <c r="I470" s="21" t="s">
        <v>174</v>
      </c>
      <c r="J470" s="1">
        <v>72745000</v>
      </c>
      <c r="K470" s="21" t="s">
        <v>174</v>
      </c>
      <c r="L470" s="21" t="s">
        <v>174</v>
      </c>
      <c r="M470" s="21">
        <v>100</v>
      </c>
    </row>
    <row r="471" spans="1:13">
      <c r="A471" s="1" t="s">
        <v>169</v>
      </c>
      <c r="B471" s="1" t="s">
        <v>170</v>
      </c>
      <c r="C471" s="1">
        <v>2008</v>
      </c>
      <c r="D471" s="1" t="s">
        <v>193</v>
      </c>
      <c r="E471" s="1" t="s">
        <v>237</v>
      </c>
      <c r="F471" s="1">
        <v>2029</v>
      </c>
      <c r="G471" s="1" t="s">
        <v>234</v>
      </c>
      <c r="H471" s="21" t="s">
        <v>174</v>
      </c>
      <c r="I471" s="21" t="s">
        <v>174</v>
      </c>
      <c r="J471" s="1">
        <v>72745000</v>
      </c>
      <c r="K471" s="21" t="s">
        <v>174</v>
      </c>
      <c r="L471" s="21" t="s">
        <v>174</v>
      </c>
      <c r="M471" s="21">
        <v>100</v>
      </c>
    </row>
    <row r="472" spans="1:13">
      <c r="A472" s="1" t="s">
        <v>169</v>
      </c>
      <c r="B472" s="1" t="s">
        <v>170</v>
      </c>
      <c r="C472" s="1">
        <v>2008</v>
      </c>
      <c r="D472" s="1" t="s">
        <v>193</v>
      </c>
      <c r="E472" s="1" t="s">
        <v>237</v>
      </c>
      <c r="F472" s="1">
        <v>2030</v>
      </c>
      <c r="G472" s="1" t="s">
        <v>234</v>
      </c>
      <c r="H472" s="21" t="s">
        <v>174</v>
      </c>
      <c r="I472" s="21" t="s">
        <v>174</v>
      </c>
      <c r="J472" s="1">
        <v>72745000</v>
      </c>
      <c r="K472" s="21" t="s">
        <v>174</v>
      </c>
      <c r="L472" s="21" t="s">
        <v>174</v>
      </c>
      <c r="M472" s="21">
        <v>100</v>
      </c>
    </row>
    <row r="473" spans="1:13">
      <c r="A473" s="1" t="s">
        <v>169</v>
      </c>
      <c r="B473" s="1" t="s">
        <v>170</v>
      </c>
      <c r="C473" s="1">
        <v>2008</v>
      </c>
      <c r="D473" s="1" t="s">
        <v>193</v>
      </c>
      <c r="E473" s="1" t="s">
        <v>237</v>
      </c>
      <c r="F473" s="1">
        <v>2031</v>
      </c>
      <c r="G473" s="1" t="s">
        <v>234</v>
      </c>
      <c r="H473" s="21" t="s">
        <v>174</v>
      </c>
      <c r="I473" s="21" t="s">
        <v>174</v>
      </c>
      <c r="J473" s="1">
        <v>72745000</v>
      </c>
      <c r="K473" s="21" t="s">
        <v>174</v>
      </c>
      <c r="L473" s="21" t="s">
        <v>174</v>
      </c>
      <c r="M473" s="21">
        <v>100</v>
      </c>
    </row>
    <row r="474" spans="1:13">
      <c r="A474" s="1" t="s">
        <v>169</v>
      </c>
      <c r="B474" s="1" t="s">
        <v>170</v>
      </c>
      <c r="C474" s="1">
        <v>2008</v>
      </c>
      <c r="D474" s="1" t="s">
        <v>193</v>
      </c>
      <c r="E474" s="1" t="s">
        <v>237</v>
      </c>
      <c r="F474" s="1">
        <v>2032</v>
      </c>
      <c r="G474" s="1" t="s">
        <v>234</v>
      </c>
      <c r="H474" s="21" t="s">
        <v>174</v>
      </c>
      <c r="I474" s="21" t="s">
        <v>174</v>
      </c>
      <c r="J474" s="1">
        <v>72745000</v>
      </c>
      <c r="K474" s="21" t="s">
        <v>174</v>
      </c>
      <c r="L474" s="21" t="s">
        <v>174</v>
      </c>
      <c r="M474" s="21">
        <v>100</v>
      </c>
    </row>
    <row r="475" spans="1:13">
      <c r="A475" s="1" t="s">
        <v>169</v>
      </c>
      <c r="B475" s="1" t="s">
        <v>170</v>
      </c>
      <c r="C475" s="1">
        <v>2008</v>
      </c>
      <c r="D475" s="1" t="s">
        <v>193</v>
      </c>
      <c r="E475" s="1" t="s">
        <v>237</v>
      </c>
      <c r="F475" s="1">
        <v>2033</v>
      </c>
      <c r="G475" s="1" t="s">
        <v>234</v>
      </c>
      <c r="H475" s="21" t="s">
        <v>174</v>
      </c>
      <c r="I475" s="21" t="s">
        <v>174</v>
      </c>
      <c r="J475" s="1">
        <v>72745000</v>
      </c>
      <c r="K475" s="21" t="s">
        <v>174</v>
      </c>
      <c r="L475" s="21" t="s">
        <v>174</v>
      </c>
      <c r="M475" s="21">
        <v>100</v>
      </c>
    </row>
    <row r="476" spans="1:13">
      <c r="A476" s="1" t="s">
        <v>169</v>
      </c>
      <c r="B476" s="1" t="s">
        <v>170</v>
      </c>
      <c r="C476" s="1">
        <v>2008</v>
      </c>
      <c r="D476" s="1" t="s">
        <v>193</v>
      </c>
      <c r="E476" s="1" t="s">
        <v>237</v>
      </c>
      <c r="F476" s="1">
        <v>2034</v>
      </c>
      <c r="G476" s="1" t="s">
        <v>234</v>
      </c>
      <c r="H476" s="21" t="s">
        <v>174</v>
      </c>
      <c r="I476" s="21" t="s">
        <v>174</v>
      </c>
      <c r="J476" s="1">
        <v>72745000</v>
      </c>
      <c r="K476" s="21" t="s">
        <v>174</v>
      </c>
      <c r="L476" s="21" t="s">
        <v>174</v>
      </c>
      <c r="M476" s="21">
        <v>100</v>
      </c>
    </row>
    <row r="477" spans="1:13">
      <c r="A477" s="1" t="s">
        <v>169</v>
      </c>
      <c r="B477" s="1" t="s">
        <v>170</v>
      </c>
      <c r="C477" s="1">
        <v>2008</v>
      </c>
      <c r="D477" s="1" t="s">
        <v>193</v>
      </c>
      <c r="E477" s="1" t="s">
        <v>235</v>
      </c>
      <c r="F477" s="1">
        <v>2035</v>
      </c>
      <c r="G477" s="1" t="s">
        <v>234</v>
      </c>
      <c r="H477" s="1">
        <v>13435000</v>
      </c>
      <c r="I477" s="21" t="s">
        <v>174</v>
      </c>
      <c r="J477" s="1">
        <f>J476-H477</f>
        <v>59310000</v>
      </c>
      <c r="K477" s="21" t="s">
        <v>174</v>
      </c>
      <c r="L477" s="21" t="s">
        <v>174</v>
      </c>
      <c r="M477" s="21">
        <v>100</v>
      </c>
    </row>
    <row r="478" spans="1:13">
      <c r="A478" s="1" t="s">
        <v>169</v>
      </c>
      <c r="B478" s="1" t="s">
        <v>170</v>
      </c>
      <c r="C478" s="1">
        <v>2008</v>
      </c>
      <c r="D478" s="1" t="s">
        <v>193</v>
      </c>
      <c r="E478" s="1" t="s">
        <v>235</v>
      </c>
      <c r="F478" s="1">
        <v>2036</v>
      </c>
      <c r="G478" s="1" t="s">
        <v>234</v>
      </c>
      <c r="H478" s="1">
        <v>17010000</v>
      </c>
      <c r="I478" s="21" t="s">
        <v>174</v>
      </c>
      <c r="J478" s="1">
        <f>J477-H478</f>
        <v>42300000</v>
      </c>
      <c r="K478" s="21" t="s">
        <v>174</v>
      </c>
      <c r="L478" s="21" t="s">
        <v>174</v>
      </c>
      <c r="M478" s="21">
        <v>100</v>
      </c>
    </row>
    <row r="479" spans="1:13">
      <c r="A479" s="1" t="s">
        <v>169</v>
      </c>
      <c r="B479" s="1" t="s">
        <v>170</v>
      </c>
      <c r="C479" s="1">
        <v>2008</v>
      </c>
      <c r="D479" s="1" t="s">
        <v>193</v>
      </c>
      <c r="E479" s="1" t="s">
        <v>235</v>
      </c>
      <c r="F479" s="1">
        <v>2037</v>
      </c>
      <c r="G479" s="1" t="s">
        <v>234</v>
      </c>
      <c r="H479" s="1">
        <v>17760000</v>
      </c>
      <c r="I479" s="21" t="s">
        <v>174</v>
      </c>
      <c r="J479" s="1">
        <f>J478-H479</f>
        <v>24540000</v>
      </c>
      <c r="K479" s="21" t="s">
        <v>174</v>
      </c>
      <c r="L479" s="21" t="s">
        <v>174</v>
      </c>
      <c r="M479" s="21">
        <v>100</v>
      </c>
    </row>
    <row r="480" spans="1:13">
      <c r="A480" s="1" t="s">
        <v>169</v>
      </c>
      <c r="B480" s="1" t="s">
        <v>170</v>
      </c>
      <c r="C480" s="1">
        <v>2008</v>
      </c>
      <c r="D480" s="1" t="s">
        <v>193</v>
      </c>
      <c r="E480" s="1" t="s">
        <v>235</v>
      </c>
      <c r="F480" s="1">
        <v>2038</v>
      </c>
      <c r="G480" s="1" t="s">
        <v>234</v>
      </c>
      <c r="H480" s="1">
        <v>18540000</v>
      </c>
      <c r="I480" s="21" t="s">
        <v>174</v>
      </c>
      <c r="J480" s="1">
        <f>J479-H480</f>
        <v>6000000</v>
      </c>
      <c r="K480" s="21" t="s">
        <v>174</v>
      </c>
      <c r="L480" s="21" t="s">
        <v>174</v>
      </c>
      <c r="M480" s="21">
        <v>100</v>
      </c>
    </row>
    <row r="481" spans="1:13">
      <c r="A481" s="1" t="s">
        <v>169</v>
      </c>
      <c r="B481" s="1" t="s">
        <v>170</v>
      </c>
      <c r="C481" s="1">
        <v>2008</v>
      </c>
      <c r="D481" s="1" t="s">
        <v>193</v>
      </c>
      <c r="E481" s="1" t="s">
        <v>235</v>
      </c>
      <c r="F481" s="1">
        <v>2039</v>
      </c>
      <c r="G481" s="1" t="s">
        <v>234</v>
      </c>
      <c r="H481" s="1">
        <v>6000000</v>
      </c>
      <c r="I481" s="21" t="s">
        <v>174</v>
      </c>
      <c r="J481" s="1">
        <f>J480-H481</f>
        <v>0</v>
      </c>
      <c r="K481" s="21" t="s">
        <v>174</v>
      </c>
      <c r="L481" s="21" t="s">
        <v>174</v>
      </c>
      <c r="M481" s="21">
        <v>100</v>
      </c>
    </row>
    <row r="482" spans="1:13">
      <c r="A482" s="1" t="s">
        <v>169</v>
      </c>
      <c r="B482" s="1" t="s">
        <v>170</v>
      </c>
      <c r="C482" s="1">
        <v>2008</v>
      </c>
      <c r="D482" s="1" t="s">
        <v>201</v>
      </c>
      <c r="E482" s="1" t="s">
        <v>237</v>
      </c>
      <c r="F482" s="1">
        <v>2008</v>
      </c>
      <c r="G482" s="1" t="s">
        <v>234</v>
      </c>
      <c r="H482" s="1">
        <v>0</v>
      </c>
      <c r="I482" s="21" t="s">
        <v>174</v>
      </c>
      <c r="J482" s="1">
        <v>10000000</v>
      </c>
      <c r="K482" s="21" t="s">
        <v>174</v>
      </c>
      <c r="L482" s="21" t="s">
        <v>174</v>
      </c>
      <c r="M482" s="21" t="s">
        <v>174</v>
      </c>
    </row>
    <row r="483" spans="1:13">
      <c r="A483" s="1" t="s">
        <v>169</v>
      </c>
      <c r="B483" s="1" t="s">
        <v>170</v>
      </c>
      <c r="C483" s="1">
        <v>2008</v>
      </c>
      <c r="D483" s="1" t="s">
        <v>201</v>
      </c>
      <c r="E483" s="1" t="s">
        <v>237</v>
      </c>
      <c r="F483" s="1">
        <v>2009</v>
      </c>
      <c r="G483" s="1" t="s">
        <v>234</v>
      </c>
      <c r="H483" s="1">
        <v>0</v>
      </c>
      <c r="I483" s="21" t="s">
        <v>174</v>
      </c>
      <c r="J483" s="1">
        <f>J482-H483</f>
        <v>10000000</v>
      </c>
      <c r="K483" s="21" t="s">
        <v>174</v>
      </c>
      <c r="L483" s="21" t="s">
        <v>174</v>
      </c>
      <c r="M483" s="21" t="s">
        <v>174</v>
      </c>
    </row>
    <row r="484" spans="1:13">
      <c r="A484" s="1" t="s">
        <v>169</v>
      </c>
      <c r="B484" s="1" t="s">
        <v>170</v>
      </c>
      <c r="C484" s="1">
        <v>2008</v>
      </c>
      <c r="D484" s="1" t="s">
        <v>201</v>
      </c>
      <c r="E484" s="1" t="s">
        <v>237</v>
      </c>
      <c r="F484" s="1">
        <v>2010</v>
      </c>
      <c r="G484" s="1" t="s">
        <v>234</v>
      </c>
      <c r="H484" s="1">
        <v>0</v>
      </c>
      <c r="I484" s="21" t="s">
        <v>174</v>
      </c>
      <c r="J484" s="1">
        <f t="shared" ref="J484:J547" si="18">J483-H484</f>
        <v>10000000</v>
      </c>
      <c r="K484" s="21" t="s">
        <v>174</v>
      </c>
      <c r="L484" s="21" t="s">
        <v>174</v>
      </c>
      <c r="M484" s="21" t="s">
        <v>174</v>
      </c>
    </row>
    <row r="485" spans="1:13">
      <c r="A485" s="1" t="s">
        <v>169</v>
      </c>
      <c r="B485" s="1" t="s">
        <v>170</v>
      </c>
      <c r="C485" s="1">
        <v>2008</v>
      </c>
      <c r="D485" s="1" t="s">
        <v>201</v>
      </c>
      <c r="E485" s="1" t="s">
        <v>237</v>
      </c>
      <c r="F485" s="1">
        <v>2011</v>
      </c>
      <c r="G485" s="1" t="s">
        <v>234</v>
      </c>
      <c r="H485" s="1">
        <v>0</v>
      </c>
      <c r="I485" s="21" t="s">
        <v>174</v>
      </c>
      <c r="J485" s="1">
        <f t="shared" si="18"/>
        <v>10000000</v>
      </c>
      <c r="K485" s="21" t="s">
        <v>174</v>
      </c>
      <c r="L485" s="21" t="s">
        <v>174</v>
      </c>
      <c r="M485" s="21" t="s">
        <v>174</v>
      </c>
    </row>
    <row r="486" spans="1:13">
      <c r="A486" s="1" t="s">
        <v>169</v>
      </c>
      <c r="B486" s="1" t="s">
        <v>170</v>
      </c>
      <c r="C486" s="1">
        <v>2008</v>
      </c>
      <c r="D486" s="1" t="s">
        <v>201</v>
      </c>
      <c r="E486" s="1" t="s">
        <v>237</v>
      </c>
      <c r="F486" s="1">
        <v>2012</v>
      </c>
      <c r="G486" s="1" t="s">
        <v>234</v>
      </c>
      <c r="H486" s="1">
        <v>0</v>
      </c>
      <c r="I486" s="21" t="s">
        <v>174</v>
      </c>
      <c r="J486" s="1">
        <f t="shared" si="18"/>
        <v>10000000</v>
      </c>
      <c r="K486" s="21" t="s">
        <v>174</v>
      </c>
      <c r="L486" s="21" t="s">
        <v>174</v>
      </c>
      <c r="M486" s="21" t="s">
        <v>174</v>
      </c>
    </row>
    <row r="487" spans="1:13">
      <c r="A487" s="1" t="s">
        <v>169</v>
      </c>
      <c r="B487" s="1" t="s">
        <v>170</v>
      </c>
      <c r="C487" s="1">
        <v>2008</v>
      </c>
      <c r="D487" s="1" t="s">
        <v>201</v>
      </c>
      <c r="E487" s="1" t="s">
        <v>237</v>
      </c>
      <c r="F487" s="1">
        <v>2013</v>
      </c>
      <c r="G487" s="1" t="s">
        <v>234</v>
      </c>
      <c r="H487" s="1">
        <v>0</v>
      </c>
      <c r="I487" s="21" t="s">
        <v>174</v>
      </c>
      <c r="J487" s="1">
        <f t="shared" si="18"/>
        <v>10000000</v>
      </c>
      <c r="K487" s="21" t="s">
        <v>174</v>
      </c>
      <c r="L487" s="21" t="s">
        <v>174</v>
      </c>
      <c r="M487" s="21" t="s">
        <v>174</v>
      </c>
    </row>
    <row r="488" spans="1:13">
      <c r="A488" s="1" t="s">
        <v>169</v>
      </c>
      <c r="B488" s="1" t="s">
        <v>170</v>
      </c>
      <c r="C488" s="1">
        <v>2008</v>
      </c>
      <c r="D488" s="1" t="s">
        <v>201</v>
      </c>
      <c r="E488" s="1" t="s">
        <v>237</v>
      </c>
      <c r="F488" s="1">
        <v>2014</v>
      </c>
      <c r="G488" s="1" t="s">
        <v>234</v>
      </c>
      <c r="H488" s="1">
        <v>0</v>
      </c>
      <c r="I488" s="21" t="s">
        <v>174</v>
      </c>
      <c r="J488" s="1">
        <f t="shared" si="18"/>
        <v>10000000</v>
      </c>
      <c r="K488" s="21" t="s">
        <v>174</v>
      </c>
      <c r="L488" s="21" t="s">
        <v>174</v>
      </c>
      <c r="M488" s="21" t="s">
        <v>174</v>
      </c>
    </row>
    <row r="489" spans="1:13">
      <c r="A489" s="1" t="s">
        <v>169</v>
      </c>
      <c r="B489" s="1" t="s">
        <v>170</v>
      </c>
      <c r="C489" s="1">
        <v>2008</v>
      </c>
      <c r="D489" s="1" t="s">
        <v>201</v>
      </c>
      <c r="E489" s="1" t="s">
        <v>237</v>
      </c>
      <c r="F489" s="1">
        <v>2015</v>
      </c>
      <c r="G489" s="1" t="s">
        <v>234</v>
      </c>
      <c r="H489" s="1">
        <v>0</v>
      </c>
      <c r="I489" s="21" t="s">
        <v>174</v>
      </c>
      <c r="J489" s="1">
        <f t="shared" si="18"/>
        <v>10000000</v>
      </c>
      <c r="K489" s="21" t="s">
        <v>174</v>
      </c>
      <c r="L489" s="21" t="s">
        <v>174</v>
      </c>
      <c r="M489" s="21" t="s">
        <v>174</v>
      </c>
    </row>
    <row r="490" spans="1:13">
      <c r="A490" s="1" t="s">
        <v>169</v>
      </c>
      <c r="B490" s="1" t="s">
        <v>170</v>
      </c>
      <c r="C490" s="1">
        <v>2008</v>
      </c>
      <c r="D490" s="1" t="s">
        <v>201</v>
      </c>
      <c r="E490" s="1" t="s">
        <v>237</v>
      </c>
      <c r="F490" s="1">
        <v>2016</v>
      </c>
      <c r="G490" s="1" t="s">
        <v>234</v>
      </c>
      <c r="H490" s="1">
        <v>0</v>
      </c>
      <c r="I490" s="21" t="s">
        <v>174</v>
      </c>
      <c r="J490" s="1">
        <f t="shared" si="18"/>
        <v>10000000</v>
      </c>
      <c r="K490" s="21" t="s">
        <v>174</v>
      </c>
      <c r="L490" s="21" t="s">
        <v>174</v>
      </c>
      <c r="M490" s="21" t="s">
        <v>174</v>
      </c>
    </row>
    <row r="491" spans="1:13">
      <c r="A491" s="1" t="s">
        <v>169</v>
      </c>
      <c r="B491" s="1" t="s">
        <v>170</v>
      </c>
      <c r="C491" s="1">
        <v>2008</v>
      </c>
      <c r="D491" s="1" t="s">
        <v>201</v>
      </c>
      <c r="E491" s="1" t="s">
        <v>237</v>
      </c>
      <c r="F491" s="1">
        <v>2017</v>
      </c>
      <c r="G491" s="1" t="s">
        <v>234</v>
      </c>
      <c r="H491" s="1">
        <v>0</v>
      </c>
      <c r="I491" s="21" t="s">
        <v>174</v>
      </c>
      <c r="J491" s="1">
        <f t="shared" si="18"/>
        <v>10000000</v>
      </c>
      <c r="K491" s="21" t="s">
        <v>174</v>
      </c>
      <c r="L491" s="21" t="s">
        <v>174</v>
      </c>
      <c r="M491" s="21" t="s">
        <v>174</v>
      </c>
    </row>
    <row r="492" spans="1:13">
      <c r="A492" s="1" t="s">
        <v>169</v>
      </c>
      <c r="B492" s="1" t="s">
        <v>170</v>
      </c>
      <c r="C492" s="1">
        <v>2008</v>
      </c>
      <c r="D492" s="1" t="s">
        <v>201</v>
      </c>
      <c r="E492" s="1" t="s">
        <v>237</v>
      </c>
      <c r="F492" s="1">
        <v>2018</v>
      </c>
      <c r="G492" s="1" t="s">
        <v>234</v>
      </c>
      <c r="H492" s="1">
        <v>0</v>
      </c>
      <c r="I492" s="21" t="s">
        <v>174</v>
      </c>
      <c r="J492" s="1">
        <f t="shared" si="18"/>
        <v>10000000</v>
      </c>
      <c r="K492" s="21" t="s">
        <v>174</v>
      </c>
      <c r="L492" s="21" t="s">
        <v>174</v>
      </c>
      <c r="M492" s="21" t="s">
        <v>174</v>
      </c>
    </row>
    <row r="493" spans="1:13">
      <c r="A493" s="1" t="s">
        <v>169</v>
      </c>
      <c r="B493" s="1" t="s">
        <v>170</v>
      </c>
      <c r="C493" s="1">
        <v>2008</v>
      </c>
      <c r="D493" s="1" t="s">
        <v>201</v>
      </c>
      <c r="E493" s="1" t="s">
        <v>237</v>
      </c>
      <c r="F493" s="1">
        <v>2019</v>
      </c>
      <c r="G493" s="1" t="s">
        <v>234</v>
      </c>
      <c r="H493" s="1">
        <v>0</v>
      </c>
      <c r="I493" s="21" t="s">
        <v>174</v>
      </c>
      <c r="J493" s="1">
        <f t="shared" si="18"/>
        <v>10000000</v>
      </c>
      <c r="K493" s="21" t="s">
        <v>174</v>
      </c>
      <c r="L493" s="21" t="s">
        <v>174</v>
      </c>
      <c r="M493" s="21" t="s">
        <v>174</v>
      </c>
    </row>
    <row r="494" spans="1:13">
      <c r="A494" s="1" t="s">
        <v>169</v>
      </c>
      <c r="B494" s="1" t="s">
        <v>170</v>
      </c>
      <c r="C494" s="1">
        <v>2008</v>
      </c>
      <c r="D494" s="1" t="s">
        <v>201</v>
      </c>
      <c r="E494" s="1" t="s">
        <v>237</v>
      </c>
      <c r="F494" s="1">
        <v>2020</v>
      </c>
      <c r="G494" s="1" t="s">
        <v>234</v>
      </c>
      <c r="H494" s="1">
        <v>0</v>
      </c>
      <c r="I494" s="21" t="s">
        <v>174</v>
      </c>
      <c r="J494" s="1">
        <f t="shared" si="18"/>
        <v>10000000</v>
      </c>
      <c r="K494" s="21" t="s">
        <v>174</v>
      </c>
      <c r="L494" s="21" t="s">
        <v>174</v>
      </c>
      <c r="M494" s="21" t="s">
        <v>174</v>
      </c>
    </row>
    <row r="495" spans="1:13">
      <c r="A495" s="1" t="s">
        <v>169</v>
      </c>
      <c r="B495" s="1" t="s">
        <v>170</v>
      </c>
      <c r="C495" s="1">
        <v>2008</v>
      </c>
      <c r="D495" s="1" t="s">
        <v>201</v>
      </c>
      <c r="E495" s="1" t="s">
        <v>237</v>
      </c>
      <c r="F495" s="1">
        <v>2021</v>
      </c>
      <c r="G495" s="1" t="s">
        <v>234</v>
      </c>
      <c r="H495" s="1">
        <v>0</v>
      </c>
      <c r="I495" s="21" t="s">
        <v>174</v>
      </c>
      <c r="J495" s="1">
        <f t="shared" si="18"/>
        <v>10000000</v>
      </c>
      <c r="K495" s="21" t="s">
        <v>174</v>
      </c>
      <c r="L495" s="21" t="s">
        <v>174</v>
      </c>
      <c r="M495" s="21" t="s">
        <v>174</v>
      </c>
    </row>
    <row r="496" spans="1:13">
      <c r="A496" s="1" t="s">
        <v>169</v>
      </c>
      <c r="B496" s="1" t="s">
        <v>170</v>
      </c>
      <c r="C496" s="1">
        <v>2008</v>
      </c>
      <c r="D496" s="1" t="s">
        <v>201</v>
      </c>
      <c r="E496" s="1" t="s">
        <v>237</v>
      </c>
      <c r="F496" s="1">
        <v>2022</v>
      </c>
      <c r="G496" s="1" t="s">
        <v>234</v>
      </c>
      <c r="H496" s="1">
        <v>0</v>
      </c>
      <c r="I496" s="21" t="s">
        <v>174</v>
      </c>
      <c r="J496" s="1">
        <f t="shared" si="18"/>
        <v>10000000</v>
      </c>
      <c r="K496" s="21" t="s">
        <v>174</v>
      </c>
      <c r="L496" s="21" t="s">
        <v>174</v>
      </c>
      <c r="M496" s="21" t="s">
        <v>174</v>
      </c>
    </row>
    <row r="497" spans="1:13">
      <c r="A497" s="1" t="s">
        <v>169</v>
      </c>
      <c r="B497" s="1" t="s">
        <v>170</v>
      </c>
      <c r="C497" s="1">
        <v>2008</v>
      </c>
      <c r="D497" s="1" t="s">
        <v>201</v>
      </c>
      <c r="E497" s="1" t="s">
        <v>237</v>
      </c>
      <c r="F497" s="1">
        <v>2023</v>
      </c>
      <c r="G497" s="1" t="s">
        <v>234</v>
      </c>
      <c r="H497" s="1">
        <v>0</v>
      </c>
      <c r="I497" s="21" t="s">
        <v>174</v>
      </c>
      <c r="J497" s="1">
        <f t="shared" si="18"/>
        <v>10000000</v>
      </c>
      <c r="K497" s="21" t="s">
        <v>174</v>
      </c>
      <c r="L497" s="21" t="s">
        <v>174</v>
      </c>
      <c r="M497" s="21" t="s">
        <v>174</v>
      </c>
    </row>
    <row r="498" spans="1:13">
      <c r="A498" s="1" t="s">
        <v>169</v>
      </c>
      <c r="B498" s="1" t="s">
        <v>170</v>
      </c>
      <c r="C498" s="1">
        <v>2008</v>
      </c>
      <c r="D498" s="1" t="s">
        <v>201</v>
      </c>
      <c r="E498" s="1" t="s">
        <v>237</v>
      </c>
      <c r="F498" s="1">
        <v>2024</v>
      </c>
      <c r="G498" s="1" t="s">
        <v>234</v>
      </c>
      <c r="H498" s="1">
        <v>0</v>
      </c>
      <c r="I498" s="21" t="s">
        <v>174</v>
      </c>
      <c r="J498" s="1">
        <f t="shared" si="18"/>
        <v>10000000</v>
      </c>
      <c r="K498" s="21" t="s">
        <v>174</v>
      </c>
      <c r="L498" s="21" t="s">
        <v>174</v>
      </c>
      <c r="M498" s="21" t="s">
        <v>174</v>
      </c>
    </row>
    <row r="499" spans="1:13">
      <c r="A499" s="1" t="s">
        <v>169</v>
      </c>
      <c r="B499" s="1" t="s">
        <v>170</v>
      </c>
      <c r="C499" s="1">
        <v>2008</v>
      </c>
      <c r="D499" s="1" t="s">
        <v>201</v>
      </c>
      <c r="E499" s="1" t="s">
        <v>237</v>
      </c>
      <c r="F499" s="1">
        <v>2025</v>
      </c>
      <c r="G499" s="1" t="s">
        <v>234</v>
      </c>
      <c r="H499" s="1">
        <v>0</v>
      </c>
      <c r="I499" s="21" t="s">
        <v>174</v>
      </c>
      <c r="J499" s="1">
        <f t="shared" si="18"/>
        <v>10000000</v>
      </c>
      <c r="K499" s="21" t="s">
        <v>174</v>
      </c>
      <c r="L499" s="21" t="s">
        <v>174</v>
      </c>
      <c r="M499" s="21" t="s">
        <v>174</v>
      </c>
    </row>
    <row r="500" spans="1:13">
      <c r="A500" s="1" t="s">
        <v>169</v>
      </c>
      <c r="B500" s="1" t="s">
        <v>170</v>
      </c>
      <c r="C500" s="1">
        <v>2008</v>
      </c>
      <c r="D500" s="1" t="s">
        <v>201</v>
      </c>
      <c r="E500" s="1" t="s">
        <v>237</v>
      </c>
      <c r="F500" s="1">
        <v>2026</v>
      </c>
      <c r="G500" s="1" t="s">
        <v>234</v>
      </c>
      <c r="H500" s="1">
        <v>0</v>
      </c>
      <c r="I500" s="21" t="s">
        <v>174</v>
      </c>
      <c r="J500" s="1">
        <f t="shared" si="18"/>
        <v>10000000</v>
      </c>
      <c r="K500" s="21" t="s">
        <v>174</v>
      </c>
      <c r="L500" s="21" t="s">
        <v>174</v>
      </c>
      <c r="M500" s="21" t="s">
        <v>174</v>
      </c>
    </row>
    <row r="501" spans="1:13">
      <c r="A501" s="1" t="s">
        <v>169</v>
      </c>
      <c r="B501" s="1" t="s">
        <v>170</v>
      </c>
      <c r="C501" s="1">
        <v>2008</v>
      </c>
      <c r="D501" s="1" t="s">
        <v>201</v>
      </c>
      <c r="E501" s="1" t="s">
        <v>237</v>
      </c>
      <c r="F501" s="1">
        <v>2027</v>
      </c>
      <c r="G501" s="1" t="s">
        <v>234</v>
      </c>
      <c r="H501" s="1">
        <v>0</v>
      </c>
      <c r="I501" s="21" t="s">
        <v>174</v>
      </c>
      <c r="J501" s="1">
        <f t="shared" si="18"/>
        <v>10000000</v>
      </c>
      <c r="K501" s="21" t="s">
        <v>174</v>
      </c>
      <c r="L501" s="21" t="s">
        <v>174</v>
      </c>
      <c r="M501" s="21" t="s">
        <v>174</v>
      </c>
    </row>
    <row r="502" spans="1:13">
      <c r="A502" s="1" t="s">
        <v>169</v>
      </c>
      <c r="B502" s="1" t="s">
        <v>170</v>
      </c>
      <c r="C502" s="1">
        <v>2008</v>
      </c>
      <c r="D502" s="1" t="s">
        <v>201</v>
      </c>
      <c r="E502" s="1" t="s">
        <v>237</v>
      </c>
      <c r="F502" s="1">
        <v>2028</v>
      </c>
      <c r="G502" s="1" t="s">
        <v>234</v>
      </c>
      <c r="H502" s="1">
        <v>0</v>
      </c>
      <c r="I502" s="21" t="s">
        <v>174</v>
      </c>
      <c r="J502" s="1">
        <f t="shared" si="18"/>
        <v>10000000</v>
      </c>
      <c r="K502" s="21" t="s">
        <v>174</v>
      </c>
      <c r="L502" s="21" t="s">
        <v>174</v>
      </c>
      <c r="M502" s="21" t="s">
        <v>174</v>
      </c>
    </row>
    <row r="503" spans="1:13">
      <c r="A503" s="1" t="s">
        <v>169</v>
      </c>
      <c r="B503" s="1" t="s">
        <v>170</v>
      </c>
      <c r="C503" s="1">
        <v>2008</v>
      </c>
      <c r="D503" s="1" t="s">
        <v>201</v>
      </c>
      <c r="E503" s="1" t="s">
        <v>237</v>
      </c>
      <c r="F503" s="1">
        <v>2029</v>
      </c>
      <c r="G503" s="1" t="s">
        <v>234</v>
      </c>
      <c r="H503" s="1">
        <v>0</v>
      </c>
      <c r="I503" s="21" t="s">
        <v>174</v>
      </c>
      <c r="J503" s="1">
        <f t="shared" si="18"/>
        <v>10000000</v>
      </c>
      <c r="K503" s="21" t="s">
        <v>174</v>
      </c>
      <c r="L503" s="21" t="s">
        <v>174</v>
      </c>
      <c r="M503" s="21" t="s">
        <v>174</v>
      </c>
    </row>
    <row r="504" spans="1:13">
      <c r="A504" s="1" t="s">
        <v>169</v>
      </c>
      <c r="B504" s="1" t="s">
        <v>170</v>
      </c>
      <c r="C504" s="1">
        <v>2008</v>
      </c>
      <c r="D504" s="1" t="s">
        <v>201</v>
      </c>
      <c r="E504" s="1" t="s">
        <v>235</v>
      </c>
      <c r="F504" s="1">
        <v>2030</v>
      </c>
      <c r="G504" s="1" t="s">
        <v>234</v>
      </c>
      <c r="H504" s="1">
        <v>285000</v>
      </c>
      <c r="I504" s="21">
        <v>2</v>
      </c>
      <c r="J504" s="1">
        <f t="shared" si="18"/>
        <v>9715000</v>
      </c>
      <c r="K504" s="21" t="s">
        <v>174</v>
      </c>
      <c r="L504" s="21">
        <v>0.65</v>
      </c>
      <c r="M504" s="21">
        <v>101.086</v>
      </c>
    </row>
    <row r="505" spans="1:13">
      <c r="A505" s="1" t="s">
        <v>169</v>
      </c>
      <c r="B505" s="1" t="s">
        <v>170</v>
      </c>
      <c r="C505" s="1">
        <v>2008</v>
      </c>
      <c r="D505" s="1" t="s">
        <v>201</v>
      </c>
      <c r="E505" s="1" t="s">
        <v>235</v>
      </c>
      <c r="F505" s="1">
        <v>2031</v>
      </c>
      <c r="G505" s="1" t="s">
        <v>234</v>
      </c>
      <c r="H505" s="1">
        <v>1480000</v>
      </c>
      <c r="I505" s="21">
        <v>2</v>
      </c>
      <c r="J505" s="1">
        <f t="shared" si="18"/>
        <v>8235000</v>
      </c>
      <c r="K505" s="21" t="s">
        <v>174</v>
      </c>
      <c r="L505" s="21">
        <v>0.65</v>
      </c>
      <c r="M505" s="21">
        <v>101.086</v>
      </c>
    </row>
    <row r="506" spans="1:13">
      <c r="A506" s="1" t="s">
        <v>169</v>
      </c>
      <c r="B506" s="1" t="s">
        <v>170</v>
      </c>
      <c r="C506" s="1">
        <v>2008</v>
      </c>
      <c r="D506" s="1" t="s">
        <v>201</v>
      </c>
      <c r="E506" s="1" t="s">
        <v>235</v>
      </c>
      <c r="F506" s="1">
        <v>2032</v>
      </c>
      <c r="G506" s="1" t="s">
        <v>234</v>
      </c>
      <c r="H506" s="1">
        <v>2460000</v>
      </c>
      <c r="I506" s="21">
        <v>2</v>
      </c>
      <c r="J506" s="1">
        <f t="shared" si="18"/>
        <v>5775000</v>
      </c>
      <c r="K506" s="21" t="s">
        <v>174</v>
      </c>
      <c r="L506" s="21">
        <v>0.65</v>
      </c>
      <c r="M506" s="21">
        <v>101.086</v>
      </c>
    </row>
    <row r="507" spans="1:13">
      <c r="A507" s="1" t="s">
        <v>169</v>
      </c>
      <c r="B507" s="1" t="s">
        <v>170</v>
      </c>
      <c r="C507" s="1">
        <v>2008</v>
      </c>
      <c r="D507" s="1" t="s">
        <v>201</v>
      </c>
      <c r="E507" s="1" t="s">
        <v>235</v>
      </c>
      <c r="F507" s="1">
        <v>2033</v>
      </c>
      <c r="G507" s="1" t="s">
        <v>234</v>
      </c>
      <c r="H507" s="1">
        <v>2555000</v>
      </c>
      <c r="I507" s="21">
        <v>2</v>
      </c>
      <c r="J507" s="1">
        <f t="shared" si="18"/>
        <v>3220000</v>
      </c>
      <c r="K507" s="21" t="s">
        <v>174</v>
      </c>
      <c r="L507" s="21">
        <v>0.65</v>
      </c>
      <c r="M507" s="21">
        <v>101.086</v>
      </c>
    </row>
    <row r="508" spans="1:13">
      <c r="A508" s="1" t="s">
        <v>169</v>
      </c>
      <c r="B508" s="1" t="s">
        <v>170</v>
      </c>
      <c r="C508" s="1">
        <v>2008</v>
      </c>
      <c r="D508" s="1" t="s">
        <v>201</v>
      </c>
      <c r="E508" s="1" t="s">
        <v>235</v>
      </c>
      <c r="F508" s="1">
        <v>2034</v>
      </c>
      <c r="G508" s="1" t="s">
        <v>234</v>
      </c>
      <c r="H508" s="1">
        <v>2665000</v>
      </c>
      <c r="I508" s="21">
        <v>2</v>
      </c>
      <c r="J508" s="1">
        <f t="shared" si="18"/>
        <v>555000</v>
      </c>
      <c r="K508" s="21" t="s">
        <v>174</v>
      </c>
      <c r="L508" s="21">
        <v>0.65</v>
      </c>
      <c r="M508" s="21">
        <v>101.086</v>
      </c>
    </row>
    <row r="509" spans="1:13">
      <c r="A509" s="1" t="s">
        <v>169</v>
      </c>
      <c r="B509" s="1" t="s">
        <v>170</v>
      </c>
      <c r="C509" s="1">
        <v>2008</v>
      </c>
      <c r="D509" s="1" t="s">
        <v>201</v>
      </c>
      <c r="E509" s="1" t="s">
        <v>235</v>
      </c>
      <c r="F509" s="1">
        <v>2035</v>
      </c>
      <c r="G509" s="1" t="s">
        <v>234</v>
      </c>
      <c r="H509" s="1">
        <v>555000</v>
      </c>
      <c r="I509" s="21">
        <v>2</v>
      </c>
      <c r="J509" s="1">
        <f t="shared" si="18"/>
        <v>0</v>
      </c>
      <c r="K509" s="21" t="s">
        <v>174</v>
      </c>
      <c r="L509" s="21">
        <v>0.65</v>
      </c>
      <c r="M509" s="21">
        <v>101.086</v>
      </c>
    </row>
    <row r="510" spans="1:13">
      <c r="A510" s="1" t="s">
        <v>169</v>
      </c>
      <c r="B510" s="1" t="s">
        <v>170</v>
      </c>
      <c r="C510" s="1">
        <v>2008</v>
      </c>
      <c r="D510" s="1" t="s">
        <v>204</v>
      </c>
      <c r="E510" s="1" t="s">
        <v>237</v>
      </c>
      <c r="F510" s="1">
        <v>2008</v>
      </c>
      <c r="G510" s="1" t="s">
        <v>234</v>
      </c>
      <c r="H510" s="1">
        <v>0</v>
      </c>
      <c r="I510" s="21" t="s">
        <v>174</v>
      </c>
      <c r="J510" s="1">
        <f>10000000-H510</f>
        <v>10000000</v>
      </c>
      <c r="K510" s="21" t="s">
        <v>174</v>
      </c>
      <c r="L510" s="21" t="s">
        <v>174</v>
      </c>
      <c r="M510" s="21" t="s">
        <v>174</v>
      </c>
    </row>
    <row r="511" spans="1:13">
      <c r="A511" s="1" t="s">
        <v>169</v>
      </c>
      <c r="B511" s="1" t="s">
        <v>170</v>
      </c>
      <c r="C511" s="1">
        <v>2008</v>
      </c>
      <c r="D511" s="1" t="s">
        <v>204</v>
      </c>
      <c r="E511" s="1" t="s">
        <v>237</v>
      </c>
      <c r="F511" s="1">
        <v>2009</v>
      </c>
      <c r="G511" s="1" t="s">
        <v>234</v>
      </c>
      <c r="H511" s="1">
        <v>0</v>
      </c>
      <c r="I511" s="21" t="s">
        <v>174</v>
      </c>
      <c r="J511" s="1">
        <f t="shared" si="18"/>
        <v>10000000</v>
      </c>
      <c r="K511" s="21" t="s">
        <v>174</v>
      </c>
      <c r="L511" s="21" t="s">
        <v>174</v>
      </c>
      <c r="M511" s="21" t="s">
        <v>174</v>
      </c>
    </row>
    <row r="512" spans="1:13">
      <c r="A512" s="1" t="s">
        <v>169</v>
      </c>
      <c r="B512" s="1" t="s">
        <v>170</v>
      </c>
      <c r="C512" s="1">
        <v>2008</v>
      </c>
      <c r="D512" s="1" t="s">
        <v>204</v>
      </c>
      <c r="E512" s="1" t="s">
        <v>237</v>
      </c>
      <c r="F512" s="1">
        <v>2010</v>
      </c>
      <c r="G512" s="1" t="s">
        <v>234</v>
      </c>
      <c r="H512" s="1">
        <v>0</v>
      </c>
      <c r="I512" s="21" t="s">
        <v>174</v>
      </c>
      <c r="J512" s="1">
        <f t="shared" si="18"/>
        <v>10000000</v>
      </c>
      <c r="K512" s="21" t="s">
        <v>174</v>
      </c>
      <c r="L512" s="21" t="s">
        <v>174</v>
      </c>
      <c r="M512" s="21" t="s">
        <v>174</v>
      </c>
    </row>
    <row r="513" spans="1:13">
      <c r="A513" s="1" t="s">
        <v>169</v>
      </c>
      <c r="B513" s="1" t="s">
        <v>170</v>
      </c>
      <c r="C513" s="1">
        <v>2008</v>
      </c>
      <c r="D513" s="1" t="s">
        <v>204</v>
      </c>
      <c r="E513" s="1" t="s">
        <v>237</v>
      </c>
      <c r="F513" s="1">
        <v>2011</v>
      </c>
      <c r="G513" s="1" t="s">
        <v>234</v>
      </c>
      <c r="H513" s="1">
        <v>0</v>
      </c>
      <c r="I513" s="21" t="s">
        <v>174</v>
      </c>
      <c r="J513" s="1">
        <f t="shared" si="18"/>
        <v>10000000</v>
      </c>
      <c r="K513" s="21" t="s">
        <v>174</v>
      </c>
      <c r="L513" s="21" t="s">
        <v>174</v>
      </c>
      <c r="M513" s="21" t="s">
        <v>174</v>
      </c>
    </row>
    <row r="514" spans="1:13">
      <c r="A514" s="1" t="s">
        <v>169</v>
      </c>
      <c r="B514" s="1" t="s">
        <v>170</v>
      </c>
      <c r="C514" s="1">
        <v>2008</v>
      </c>
      <c r="D514" s="1" t="s">
        <v>204</v>
      </c>
      <c r="E514" s="1" t="s">
        <v>237</v>
      </c>
      <c r="F514" s="1">
        <v>2012</v>
      </c>
      <c r="G514" s="1" t="s">
        <v>234</v>
      </c>
      <c r="H514" s="1">
        <v>0</v>
      </c>
      <c r="I514" s="21" t="s">
        <v>174</v>
      </c>
      <c r="J514" s="1">
        <f t="shared" si="18"/>
        <v>10000000</v>
      </c>
      <c r="K514" s="21" t="s">
        <v>174</v>
      </c>
      <c r="L514" s="21" t="s">
        <v>174</v>
      </c>
      <c r="M514" s="21" t="s">
        <v>174</v>
      </c>
    </row>
    <row r="515" spans="1:13">
      <c r="A515" s="1" t="s">
        <v>169</v>
      </c>
      <c r="B515" s="1" t="s">
        <v>170</v>
      </c>
      <c r="C515" s="1">
        <v>2008</v>
      </c>
      <c r="D515" s="1" t="s">
        <v>204</v>
      </c>
      <c r="E515" s="1" t="s">
        <v>237</v>
      </c>
      <c r="F515" s="1">
        <v>2013</v>
      </c>
      <c r="G515" s="1" t="s">
        <v>234</v>
      </c>
      <c r="H515" s="1">
        <v>0</v>
      </c>
      <c r="I515" s="21" t="s">
        <v>174</v>
      </c>
      <c r="J515" s="1">
        <f t="shared" si="18"/>
        <v>10000000</v>
      </c>
      <c r="K515" s="21" t="s">
        <v>174</v>
      </c>
      <c r="L515" s="21" t="s">
        <v>174</v>
      </c>
      <c r="M515" s="21" t="s">
        <v>174</v>
      </c>
    </row>
    <row r="516" spans="1:13">
      <c r="A516" s="1" t="s">
        <v>169</v>
      </c>
      <c r="B516" s="1" t="s">
        <v>170</v>
      </c>
      <c r="C516" s="1">
        <v>2008</v>
      </c>
      <c r="D516" s="1" t="s">
        <v>204</v>
      </c>
      <c r="E516" s="1" t="s">
        <v>237</v>
      </c>
      <c r="F516" s="1">
        <v>2014</v>
      </c>
      <c r="G516" s="1" t="s">
        <v>234</v>
      </c>
      <c r="H516" s="1">
        <v>0</v>
      </c>
      <c r="I516" s="21" t="s">
        <v>174</v>
      </c>
      <c r="J516" s="1">
        <f t="shared" si="18"/>
        <v>10000000</v>
      </c>
      <c r="K516" s="21" t="s">
        <v>174</v>
      </c>
      <c r="L516" s="21" t="s">
        <v>174</v>
      </c>
      <c r="M516" s="21" t="s">
        <v>174</v>
      </c>
    </row>
    <row r="517" spans="1:13">
      <c r="A517" s="1" t="s">
        <v>169</v>
      </c>
      <c r="B517" s="1" t="s">
        <v>170</v>
      </c>
      <c r="C517" s="1">
        <v>2008</v>
      </c>
      <c r="D517" s="1" t="s">
        <v>204</v>
      </c>
      <c r="E517" s="1" t="s">
        <v>237</v>
      </c>
      <c r="F517" s="1">
        <v>2015</v>
      </c>
      <c r="G517" s="1" t="s">
        <v>234</v>
      </c>
      <c r="H517" s="1">
        <v>0</v>
      </c>
      <c r="I517" s="21" t="s">
        <v>174</v>
      </c>
      <c r="J517" s="1">
        <f t="shared" si="18"/>
        <v>10000000</v>
      </c>
      <c r="K517" s="21" t="s">
        <v>174</v>
      </c>
      <c r="L517" s="21" t="s">
        <v>174</v>
      </c>
      <c r="M517" s="21" t="s">
        <v>174</v>
      </c>
    </row>
    <row r="518" spans="1:13">
      <c r="A518" s="1" t="s">
        <v>169</v>
      </c>
      <c r="B518" s="1" t="s">
        <v>170</v>
      </c>
      <c r="C518" s="1">
        <v>2008</v>
      </c>
      <c r="D518" s="1" t="s">
        <v>204</v>
      </c>
      <c r="E518" s="1" t="s">
        <v>237</v>
      </c>
      <c r="F518" s="1">
        <v>2016</v>
      </c>
      <c r="G518" s="1" t="s">
        <v>234</v>
      </c>
      <c r="H518" s="1">
        <v>0</v>
      </c>
      <c r="I518" s="21" t="s">
        <v>174</v>
      </c>
      <c r="J518" s="1">
        <f t="shared" si="18"/>
        <v>10000000</v>
      </c>
      <c r="K518" s="21" t="s">
        <v>174</v>
      </c>
      <c r="L518" s="21" t="s">
        <v>174</v>
      </c>
      <c r="M518" s="21" t="s">
        <v>174</v>
      </c>
    </row>
    <row r="519" spans="1:13">
      <c r="A519" s="1" t="s">
        <v>169</v>
      </c>
      <c r="B519" s="1" t="s">
        <v>170</v>
      </c>
      <c r="C519" s="1">
        <v>2008</v>
      </c>
      <c r="D519" s="1" t="s">
        <v>204</v>
      </c>
      <c r="E519" s="1" t="s">
        <v>237</v>
      </c>
      <c r="F519" s="1">
        <v>2017</v>
      </c>
      <c r="G519" s="1" t="s">
        <v>234</v>
      </c>
      <c r="H519" s="1">
        <v>0</v>
      </c>
      <c r="I519" s="21" t="s">
        <v>174</v>
      </c>
      <c r="J519" s="1">
        <f t="shared" si="18"/>
        <v>10000000</v>
      </c>
      <c r="K519" s="21" t="s">
        <v>174</v>
      </c>
      <c r="L519" s="21" t="s">
        <v>174</v>
      </c>
      <c r="M519" s="21" t="s">
        <v>174</v>
      </c>
    </row>
    <row r="520" spans="1:13">
      <c r="A520" s="1" t="s">
        <v>169</v>
      </c>
      <c r="B520" s="1" t="s">
        <v>170</v>
      </c>
      <c r="C520" s="1">
        <v>2008</v>
      </c>
      <c r="D520" s="1" t="s">
        <v>204</v>
      </c>
      <c r="E520" s="1" t="s">
        <v>237</v>
      </c>
      <c r="F520" s="1">
        <v>2018</v>
      </c>
      <c r="G520" s="1" t="s">
        <v>234</v>
      </c>
      <c r="H520" s="1">
        <v>0</v>
      </c>
      <c r="I520" s="21" t="s">
        <v>174</v>
      </c>
      <c r="J520" s="1">
        <f t="shared" si="18"/>
        <v>10000000</v>
      </c>
      <c r="K520" s="21" t="s">
        <v>174</v>
      </c>
      <c r="L520" s="21" t="s">
        <v>174</v>
      </c>
      <c r="M520" s="21" t="s">
        <v>174</v>
      </c>
    </row>
    <row r="521" spans="1:13">
      <c r="A521" s="1" t="s">
        <v>169</v>
      </c>
      <c r="B521" s="1" t="s">
        <v>170</v>
      </c>
      <c r="C521" s="1">
        <v>2008</v>
      </c>
      <c r="D521" s="1" t="s">
        <v>204</v>
      </c>
      <c r="E521" s="1" t="s">
        <v>237</v>
      </c>
      <c r="F521" s="1">
        <v>2019</v>
      </c>
      <c r="G521" s="1" t="s">
        <v>234</v>
      </c>
      <c r="H521" s="1">
        <v>0</v>
      </c>
      <c r="I521" s="21" t="s">
        <v>174</v>
      </c>
      <c r="J521" s="1">
        <f t="shared" si="18"/>
        <v>10000000</v>
      </c>
      <c r="K521" s="21" t="s">
        <v>174</v>
      </c>
      <c r="L521" s="21" t="s">
        <v>174</v>
      </c>
      <c r="M521" s="21" t="s">
        <v>174</v>
      </c>
    </row>
    <row r="522" spans="1:13">
      <c r="A522" s="1" t="s">
        <v>169</v>
      </c>
      <c r="B522" s="1" t="s">
        <v>170</v>
      </c>
      <c r="C522" s="1">
        <v>2008</v>
      </c>
      <c r="D522" s="1" t="s">
        <v>204</v>
      </c>
      <c r="E522" s="1" t="s">
        <v>237</v>
      </c>
      <c r="F522" s="1">
        <v>2020</v>
      </c>
      <c r="G522" s="1" t="s">
        <v>234</v>
      </c>
      <c r="H522" s="1">
        <v>0</v>
      </c>
      <c r="I522" s="21" t="s">
        <v>174</v>
      </c>
      <c r="J522" s="1">
        <f t="shared" si="18"/>
        <v>10000000</v>
      </c>
      <c r="K522" s="21" t="s">
        <v>174</v>
      </c>
      <c r="L522" s="21" t="s">
        <v>174</v>
      </c>
      <c r="M522" s="21" t="s">
        <v>174</v>
      </c>
    </row>
    <row r="523" spans="1:13">
      <c r="A523" s="1" t="s">
        <v>169</v>
      </c>
      <c r="B523" s="1" t="s">
        <v>170</v>
      </c>
      <c r="C523" s="1">
        <v>2008</v>
      </c>
      <c r="D523" s="1" t="s">
        <v>204</v>
      </c>
      <c r="E523" s="1" t="s">
        <v>237</v>
      </c>
      <c r="F523" s="1">
        <v>2021</v>
      </c>
      <c r="G523" s="1" t="s">
        <v>234</v>
      </c>
      <c r="H523" s="1">
        <v>0</v>
      </c>
      <c r="I523" s="21" t="s">
        <v>174</v>
      </c>
      <c r="J523" s="1">
        <f t="shared" si="18"/>
        <v>10000000</v>
      </c>
      <c r="K523" s="21" t="s">
        <v>174</v>
      </c>
      <c r="L523" s="21" t="s">
        <v>174</v>
      </c>
      <c r="M523" s="21" t="s">
        <v>174</v>
      </c>
    </row>
    <row r="524" spans="1:13">
      <c r="A524" s="1" t="s">
        <v>169</v>
      </c>
      <c r="B524" s="1" t="s">
        <v>170</v>
      </c>
      <c r="C524" s="1">
        <v>2008</v>
      </c>
      <c r="D524" s="1" t="s">
        <v>204</v>
      </c>
      <c r="E524" s="1" t="s">
        <v>237</v>
      </c>
      <c r="F524" s="1">
        <v>2022</v>
      </c>
      <c r="G524" s="1" t="s">
        <v>234</v>
      </c>
      <c r="H524" s="1">
        <v>0</v>
      </c>
      <c r="I524" s="21" t="s">
        <v>174</v>
      </c>
      <c r="J524" s="1">
        <f t="shared" si="18"/>
        <v>10000000</v>
      </c>
      <c r="K524" s="21" t="s">
        <v>174</v>
      </c>
      <c r="L524" s="21" t="s">
        <v>174</v>
      </c>
      <c r="M524" s="21" t="s">
        <v>174</v>
      </c>
    </row>
    <row r="525" spans="1:13">
      <c r="A525" s="1" t="s">
        <v>169</v>
      </c>
      <c r="B525" s="1" t="s">
        <v>170</v>
      </c>
      <c r="C525" s="1">
        <v>2008</v>
      </c>
      <c r="D525" s="1" t="s">
        <v>204</v>
      </c>
      <c r="E525" s="1" t="s">
        <v>237</v>
      </c>
      <c r="F525" s="1">
        <v>2023</v>
      </c>
      <c r="G525" s="1" t="s">
        <v>234</v>
      </c>
      <c r="H525" s="1">
        <v>0</v>
      </c>
      <c r="I525" s="21" t="s">
        <v>174</v>
      </c>
      <c r="J525" s="1">
        <f t="shared" si="18"/>
        <v>10000000</v>
      </c>
      <c r="K525" s="21" t="s">
        <v>174</v>
      </c>
      <c r="L525" s="21" t="s">
        <v>174</v>
      </c>
      <c r="M525" s="21" t="s">
        <v>174</v>
      </c>
    </row>
    <row r="526" spans="1:13">
      <c r="A526" s="1" t="s">
        <v>169</v>
      </c>
      <c r="B526" s="1" t="s">
        <v>170</v>
      </c>
      <c r="C526" s="1">
        <v>2008</v>
      </c>
      <c r="D526" s="1" t="s">
        <v>204</v>
      </c>
      <c r="E526" s="1" t="s">
        <v>237</v>
      </c>
      <c r="F526" s="1">
        <v>2024</v>
      </c>
      <c r="G526" s="1" t="s">
        <v>234</v>
      </c>
      <c r="H526" s="1">
        <v>0</v>
      </c>
      <c r="I526" s="21" t="s">
        <v>174</v>
      </c>
      <c r="J526" s="1">
        <f t="shared" si="18"/>
        <v>10000000</v>
      </c>
      <c r="K526" s="21" t="s">
        <v>174</v>
      </c>
      <c r="L526" s="21" t="s">
        <v>174</v>
      </c>
      <c r="M526" s="21" t="s">
        <v>174</v>
      </c>
    </row>
    <row r="527" spans="1:13">
      <c r="A527" s="1" t="s">
        <v>169</v>
      </c>
      <c r="B527" s="1" t="s">
        <v>170</v>
      </c>
      <c r="C527" s="1">
        <v>2008</v>
      </c>
      <c r="D527" s="1" t="s">
        <v>204</v>
      </c>
      <c r="E527" s="1" t="s">
        <v>237</v>
      </c>
      <c r="F527" s="1">
        <v>2025</v>
      </c>
      <c r="G527" s="1" t="s">
        <v>234</v>
      </c>
      <c r="H527" s="1">
        <v>0</v>
      </c>
      <c r="I527" s="21" t="s">
        <v>174</v>
      </c>
      <c r="J527" s="1">
        <f t="shared" si="18"/>
        <v>10000000</v>
      </c>
      <c r="K527" s="21" t="s">
        <v>174</v>
      </c>
      <c r="L527" s="21" t="s">
        <v>174</v>
      </c>
      <c r="M527" s="21" t="s">
        <v>174</v>
      </c>
    </row>
    <row r="528" spans="1:13">
      <c r="A528" s="1" t="s">
        <v>169</v>
      </c>
      <c r="B528" s="1" t="s">
        <v>170</v>
      </c>
      <c r="C528" s="1">
        <v>2008</v>
      </c>
      <c r="D528" s="1" t="s">
        <v>204</v>
      </c>
      <c r="E528" s="1" t="s">
        <v>237</v>
      </c>
      <c r="F528" s="1">
        <v>2026</v>
      </c>
      <c r="G528" s="1" t="s">
        <v>234</v>
      </c>
      <c r="H528" s="1">
        <v>0</v>
      </c>
      <c r="I528" s="21" t="s">
        <v>174</v>
      </c>
      <c r="J528" s="1">
        <f t="shared" si="18"/>
        <v>10000000</v>
      </c>
      <c r="K528" s="21" t="s">
        <v>174</v>
      </c>
      <c r="L528" s="21" t="s">
        <v>174</v>
      </c>
      <c r="M528" s="21" t="s">
        <v>174</v>
      </c>
    </row>
    <row r="529" spans="1:13">
      <c r="A529" s="1" t="s">
        <v>169</v>
      </c>
      <c r="B529" s="1" t="s">
        <v>170</v>
      </c>
      <c r="C529" s="1">
        <v>2008</v>
      </c>
      <c r="D529" s="1" t="s">
        <v>204</v>
      </c>
      <c r="E529" s="1" t="s">
        <v>237</v>
      </c>
      <c r="F529" s="1">
        <v>2027</v>
      </c>
      <c r="G529" s="1" t="s">
        <v>234</v>
      </c>
      <c r="H529" s="1">
        <v>0</v>
      </c>
      <c r="I529" s="21" t="s">
        <v>174</v>
      </c>
      <c r="J529" s="1">
        <f t="shared" si="18"/>
        <v>10000000</v>
      </c>
      <c r="K529" s="21" t="s">
        <v>174</v>
      </c>
      <c r="L529" s="21" t="s">
        <v>174</v>
      </c>
      <c r="M529" s="21" t="s">
        <v>174</v>
      </c>
    </row>
    <row r="530" spans="1:13">
      <c r="A530" s="1" t="s">
        <v>169</v>
      </c>
      <c r="B530" s="1" t="s">
        <v>170</v>
      </c>
      <c r="C530" s="1">
        <v>2008</v>
      </c>
      <c r="D530" s="1" t="s">
        <v>204</v>
      </c>
      <c r="E530" s="1" t="s">
        <v>237</v>
      </c>
      <c r="F530" s="1">
        <v>2028</v>
      </c>
      <c r="G530" s="1" t="s">
        <v>234</v>
      </c>
      <c r="H530" s="1">
        <v>0</v>
      </c>
      <c r="I530" s="21" t="s">
        <v>174</v>
      </c>
      <c r="J530" s="1">
        <f t="shared" si="18"/>
        <v>10000000</v>
      </c>
      <c r="K530" s="21" t="s">
        <v>174</v>
      </c>
      <c r="L530" s="21" t="s">
        <v>174</v>
      </c>
      <c r="M530" s="21" t="s">
        <v>174</v>
      </c>
    </row>
    <row r="531" spans="1:13">
      <c r="A531" s="1" t="s">
        <v>169</v>
      </c>
      <c r="B531" s="1" t="s">
        <v>170</v>
      </c>
      <c r="C531" s="1">
        <v>2008</v>
      </c>
      <c r="D531" s="1" t="s">
        <v>204</v>
      </c>
      <c r="E531" s="1" t="s">
        <v>237</v>
      </c>
      <c r="F531" s="1">
        <v>2029</v>
      </c>
      <c r="G531" s="1" t="s">
        <v>234</v>
      </c>
      <c r="H531" s="1">
        <v>0</v>
      </c>
      <c r="I531" s="21" t="s">
        <v>174</v>
      </c>
      <c r="J531" s="1">
        <f t="shared" si="18"/>
        <v>10000000</v>
      </c>
      <c r="K531" s="21" t="s">
        <v>174</v>
      </c>
      <c r="L531" s="21" t="s">
        <v>174</v>
      </c>
      <c r="M531" s="21" t="s">
        <v>174</v>
      </c>
    </row>
    <row r="532" spans="1:13">
      <c r="A532" s="1" t="s">
        <v>169</v>
      </c>
      <c r="B532" s="1" t="s">
        <v>170</v>
      </c>
      <c r="C532" s="1">
        <v>2008</v>
      </c>
      <c r="D532" s="1" t="s">
        <v>204</v>
      </c>
      <c r="E532" s="1" t="s">
        <v>235</v>
      </c>
      <c r="F532" s="1">
        <v>2030</v>
      </c>
      <c r="G532" s="1" t="s">
        <v>234</v>
      </c>
      <c r="H532" s="1">
        <v>285000</v>
      </c>
      <c r="I532" s="21">
        <v>2</v>
      </c>
      <c r="J532" s="1">
        <f t="shared" si="18"/>
        <v>9715000</v>
      </c>
      <c r="K532" s="21" t="s">
        <v>174</v>
      </c>
      <c r="L532" s="21">
        <v>0.65</v>
      </c>
      <c r="M532" s="21">
        <v>101.086</v>
      </c>
    </row>
    <row r="533" spans="1:13">
      <c r="A533" s="1" t="s">
        <v>169</v>
      </c>
      <c r="B533" s="1" t="s">
        <v>170</v>
      </c>
      <c r="C533" s="1">
        <v>2008</v>
      </c>
      <c r="D533" s="1" t="s">
        <v>204</v>
      </c>
      <c r="E533" s="1" t="s">
        <v>235</v>
      </c>
      <c r="F533" s="1">
        <v>2031</v>
      </c>
      <c r="G533" s="1" t="s">
        <v>234</v>
      </c>
      <c r="H533" s="1">
        <v>1480000</v>
      </c>
      <c r="I533" s="21">
        <v>2</v>
      </c>
      <c r="J533" s="1">
        <f t="shared" si="18"/>
        <v>8235000</v>
      </c>
      <c r="K533" s="21" t="s">
        <v>174</v>
      </c>
      <c r="L533" s="21">
        <v>0.65</v>
      </c>
      <c r="M533" s="21">
        <v>101.086</v>
      </c>
    </row>
    <row r="534" spans="1:13">
      <c r="A534" s="1" t="s">
        <v>169</v>
      </c>
      <c r="B534" s="1" t="s">
        <v>170</v>
      </c>
      <c r="C534" s="1">
        <v>2008</v>
      </c>
      <c r="D534" s="1" t="s">
        <v>204</v>
      </c>
      <c r="E534" s="1" t="s">
        <v>235</v>
      </c>
      <c r="F534" s="1">
        <v>2032</v>
      </c>
      <c r="G534" s="1" t="s">
        <v>234</v>
      </c>
      <c r="H534" s="1">
        <v>2460000</v>
      </c>
      <c r="I534" s="21">
        <v>2</v>
      </c>
      <c r="J534" s="1">
        <f t="shared" si="18"/>
        <v>5775000</v>
      </c>
      <c r="K534" s="21" t="s">
        <v>174</v>
      </c>
      <c r="L534" s="21">
        <v>0.65</v>
      </c>
      <c r="M534" s="21">
        <v>101.086</v>
      </c>
    </row>
    <row r="535" spans="1:13">
      <c r="A535" s="1" t="s">
        <v>169</v>
      </c>
      <c r="B535" s="1" t="s">
        <v>170</v>
      </c>
      <c r="C535" s="1">
        <v>2008</v>
      </c>
      <c r="D535" s="1" t="s">
        <v>204</v>
      </c>
      <c r="E535" s="1" t="s">
        <v>235</v>
      </c>
      <c r="F535" s="1">
        <v>2033</v>
      </c>
      <c r="G535" s="1" t="s">
        <v>234</v>
      </c>
      <c r="H535" s="1">
        <v>2555000</v>
      </c>
      <c r="I535" s="21">
        <v>2</v>
      </c>
      <c r="J535" s="1">
        <f t="shared" si="18"/>
        <v>3220000</v>
      </c>
      <c r="K535" s="21" t="s">
        <v>174</v>
      </c>
      <c r="L535" s="21">
        <v>0.65</v>
      </c>
      <c r="M535" s="21">
        <v>101.086</v>
      </c>
    </row>
    <row r="536" spans="1:13">
      <c r="A536" s="1" t="s">
        <v>169</v>
      </c>
      <c r="B536" s="1" t="s">
        <v>170</v>
      </c>
      <c r="C536" s="1">
        <v>2008</v>
      </c>
      <c r="D536" s="1" t="s">
        <v>204</v>
      </c>
      <c r="E536" s="1" t="s">
        <v>235</v>
      </c>
      <c r="F536" s="1">
        <v>2034</v>
      </c>
      <c r="G536" s="1" t="s">
        <v>234</v>
      </c>
      <c r="H536" s="1">
        <v>2665000</v>
      </c>
      <c r="I536" s="21">
        <v>2</v>
      </c>
      <c r="J536" s="1">
        <f t="shared" si="18"/>
        <v>555000</v>
      </c>
      <c r="K536" s="21" t="s">
        <v>174</v>
      </c>
      <c r="L536" s="21">
        <v>0.65</v>
      </c>
      <c r="M536" s="21">
        <v>101.086</v>
      </c>
    </row>
    <row r="537" spans="1:13">
      <c r="A537" s="1" t="s">
        <v>169</v>
      </c>
      <c r="B537" s="1" t="s">
        <v>170</v>
      </c>
      <c r="C537" s="1">
        <v>2008</v>
      </c>
      <c r="D537" s="1" t="s">
        <v>204</v>
      </c>
      <c r="E537" s="1" t="s">
        <v>235</v>
      </c>
      <c r="F537" s="1">
        <v>2035</v>
      </c>
      <c r="G537" s="1" t="s">
        <v>234</v>
      </c>
      <c r="H537" s="1">
        <v>555000</v>
      </c>
      <c r="I537" s="21">
        <v>2</v>
      </c>
      <c r="J537" s="1">
        <f t="shared" si="18"/>
        <v>0</v>
      </c>
      <c r="K537" s="21" t="s">
        <v>174</v>
      </c>
      <c r="L537" s="21">
        <v>0.65</v>
      </c>
      <c r="M537" s="21">
        <v>101.086</v>
      </c>
    </row>
    <row r="538" spans="1:13">
      <c r="A538" s="1" t="s">
        <v>169</v>
      </c>
      <c r="B538" s="1" t="s">
        <v>170</v>
      </c>
      <c r="C538" s="1">
        <v>2008</v>
      </c>
      <c r="D538" s="1" t="s">
        <v>206</v>
      </c>
      <c r="E538" s="1" t="s">
        <v>237</v>
      </c>
      <c r="F538" s="1">
        <v>2008</v>
      </c>
      <c r="G538" s="1" t="s">
        <v>234</v>
      </c>
      <c r="H538" s="1">
        <v>0</v>
      </c>
      <c r="I538" s="21" t="s">
        <v>174</v>
      </c>
      <c r="J538" s="1">
        <f>5000000-H538</f>
        <v>5000000</v>
      </c>
      <c r="K538" s="21" t="s">
        <v>174</v>
      </c>
      <c r="L538" s="21" t="s">
        <v>174</v>
      </c>
      <c r="M538" s="21" t="s">
        <v>174</v>
      </c>
    </row>
    <row r="539" spans="1:13">
      <c r="A539" s="1" t="s">
        <v>169</v>
      </c>
      <c r="B539" s="1" t="s">
        <v>170</v>
      </c>
      <c r="C539" s="1">
        <v>2008</v>
      </c>
      <c r="D539" s="1" t="s">
        <v>206</v>
      </c>
      <c r="E539" s="1" t="s">
        <v>237</v>
      </c>
      <c r="F539" s="1">
        <v>2009</v>
      </c>
      <c r="G539" s="1" t="s">
        <v>234</v>
      </c>
      <c r="H539" s="1">
        <v>0</v>
      </c>
      <c r="I539" s="21" t="s">
        <v>174</v>
      </c>
      <c r="J539" s="1">
        <f t="shared" si="18"/>
        <v>5000000</v>
      </c>
      <c r="K539" s="21" t="s">
        <v>174</v>
      </c>
      <c r="L539" s="21" t="s">
        <v>174</v>
      </c>
      <c r="M539" s="21" t="s">
        <v>174</v>
      </c>
    </row>
    <row r="540" spans="1:13">
      <c r="A540" s="1" t="s">
        <v>169</v>
      </c>
      <c r="B540" s="1" t="s">
        <v>170</v>
      </c>
      <c r="C540" s="1">
        <v>2008</v>
      </c>
      <c r="D540" s="1" t="s">
        <v>206</v>
      </c>
      <c r="E540" s="1" t="s">
        <v>237</v>
      </c>
      <c r="F540" s="1">
        <v>2010</v>
      </c>
      <c r="G540" s="1" t="s">
        <v>234</v>
      </c>
      <c r="H540" s="1">
        <v>0</v>
      </c>
      <c r="I540" s="21" t="s">
        <v>174</v>
      </c>
      <c r="J540" s="1">
        <f t="shared" si="18"/>
        <v>5000000</v>
      </c>
      <c r="K540" s="21" t="s">
        <v>174</v>
      </c>
      <c r="L540" s="21" t="s">
        <v>174</v>
      </c>
      <c r="M540" s="21" t="s">
        <v>174</v>
      </c>
    </row>
    <row r="541" spans="1:13">
      <c r="A541" s="1" t="s">
        <v>169</v>
      </c>
      <c r="B541" s="1" t="s">
        <v>170</v>
      </c>
      <c r="C541" s="1">
        <v>2008</v>
      </c>
      <c r="D541" s="1" t="s">
        <v>206</v>
      </c>
      <c r="E541" s="1" t="s">
        <v>237</v>
      </c>
      <c r="F541" s="1">
        <v>2011</v>
      </c>
      <c r="G541" s="1" t="s">
        <v>234</v>
      </c>
      <c r="H541" s="1">
        <v>0</v>
      </c>
      <c r="I541" s="21" t="s">
        <v>174</v>
      </c>
      <c r="J541" s="1">
        <f t="shared" si="18"/>
        <v>5000000</v>
      </c>
      <c r="K541" s="21" t="s">
        <v>174</v>
      </c>
      <c r="L541" s="21" t="s">
        <v>174</v>
      </c>
      <c r="M541" s="21" t="s">
        <v>174</v>
      </c>
    </row>
    <row r="542" spans="1:13">
      <c r="A542" s="1" t="s">
        <v>169</v>
      </c>
      <c r="B542" s="1" t="s">
        <v>170</v>
      </c>
      <c r="C542" s="1">
        <v>2008</v>
      </c>
      <c r="D542" s="1" t="s">
        <v>206</v>
      </c>
      <c r="E542" s="1" t="s">
        <v>237</v>
      </c>
      <c r="F542" s="1">
        <v>2012</v>
      </c>
      <c r="G542" s="1" t="s">
        <v>234</v>
      </c>
      <c r="H542" s="1">
        <v>0</v>
      </c>
      <c r="I542" s="21" t="s">
        <v>174</v>
      </c>
      <c r="J542" s="1">
        <f t="shared" si="18"/>
        <v>5000000</v>
      </c>
      <c r="K542" s="21" t="s">
        <v>174</v>
      </c>
      <c r="L542" s="21" t="s">
        <v>174</v>
      </c>
      <c r="M542" s="21" t="s">
        <v>174</v>
      </c>
    </row>
    <row r="543" spans="1:13">
      <c r="A543" s="1" t="s">
        <v>169</v>
      </c>
      <c r="B543" s="1" t="s">
        <v>170</v>
      </c>
      <c r="C543" s="1">
        <v>2008</v>
      </c>
      <c r="D543" s="1" t="s">
        <v>206</v>
      </c>
      <c r="E543" s="1" t="s">
        <v>237</v>
      </c>
      <c r="F543" s="1">
        <v>2013</v>
      </c>
      <c r="G543" s="1" t="s">
        <v>234</v>
      </c>
      <c r="H543" s="1">
        <v>0</v>
      </c>
      <c r="I543" s="21" t="s">
        <v>174</v>
      </c>
      <c r="J543" s="1">
        <f t="shared" si="18"/>
        <v>5000000</v>
      </c>
      <c r="K543" s="21" t="s">
        <v>174</v>
      </c>
      <c r="L543" s="21" t="s">
        <v>174</v>
      </c>
      <c r="M543" s="21" t="s">
        <v>174</v>
      </c>
    </row>
    <row r="544" spans="1:13">
      <c r="A544" s="1" t="s">
        <v>169</v>
      </c>
      <c r="B544" s="1" t="s">
        <v>170</v>
      </c>
      <c r="C544" s="1">
        <v>2008</v>
      </c>
      <c r="D544" s="1" t="s">
        <v>206</v>
      </c>
      <c r="E544" s="1" t="s">
        <v>237</v>
      </c>
      <c r="F544" s="1">
        <v>2014</v>
      </c>
      <c r="G544" s="1" t="s">
        <v>234</v>
      </c>
      <c r="H544" s="1">
        <v>0</v>
      </c>
      <c r="I544" s="21" t="s">
        <v>174</v>
      </c>
      <c r="J544" s="1">
        <f t="shared" si="18"/>
        <v>5000000</v>
      </c>
      <c r="K544" s="21" t="s">
        <v>174</v>
      </c>
      <c r="L544" s="21" t="s">
        <v>174</v>
      </c>
      <c r="M544" s="21" t="s">
        <v>174</v>
      </c>
    </row>
    <row r="545" spans="1:13">
      <c r="A545" s="1" t="s">
        <v>169</v>
      </c>
      <c r="B545" s="1" t="s">
        <v>170</v>
      </c>
      <c r="C545" s="1">
        <v>2008</v>
      </c>
      <c r="D545" s="1" t="s">
        <v>206</v>
      </c>
      <c r="E545" s="1" t="s">
        <v>237</v>
      </c>
      <c r="F545" s="1">
        <v>2015</v>
      </c>
      <c r="G545" s="1" t="s">
        <v>234</v>
      </c>
      <c r="H545" s="1">
        <v>0</v>
      </c>
      <c r="I545" s="21" t="s">
        <v>174</v>
      </c>
      <c r="J545" s="1">
        <f t="shared" si="18"/>
        <v>5000000</v>
      </c>
      <c r="K545" s="21" t="s">
        <v>174</v>
      </c>
      <c r="L545" s="21" t="s">
        <v>174</v>
      </c>
      <c r="M545" s="21" t="s">
        <v>174</v>
      </c>
    </row>
    <row r="546" spans="1:13">
      <c r="A546" s="1" t="s">
        <v>169</v>
      </c>
      <c r="B546" s="1" t="s">
        <v>170</v>
      </c>
      <c r="C546" s="1">
        <v>2008</v>
      </c>
      <c r="D546" s="1" t="s">
        <v>206</v>
      </c>
      <c r="E546" s="1" t="s">
        <v>237</v>
      </c>
      <c r="F546" s="1">
        <v>2016</v>
      </c>
      <c r="G546" s="1" t="s">
        <v>234</v>
      </c>
      <c r="H546" s="1">
        <v>0</v>
      </c>
      <c r="I546" s="21" t="s">
        <v>174</v>
      </c>
      <c r="J546" s="1">
        <f t="shared" si="18"/>
        <v>5000000</v>
      </c>
      <c r="K546" s="21" t="s">
        <v>174</v>
      </c>
      <c r="L546" s="21" t="s">
        <v>174</v>
      </c>
      <c r="M546" s="21" t="s">
        <v>174</v>
      </c>
    </row>
    <row r="547" spans="1:13">
      <c r="A547" s="1" t="s">
        <v>169</v>
      </c>
      <c r="B547" s="1" t="s">
        <v>170</v>
      </c>
      <c r="C547" s="1">
        <v>2008</v>
      </c>
      <c r="D547" s="1" t="s">
        <v>206</v>
      </c>
      <c r="E547" s="1" t="s">
        <v>237</v>
      </c>
      <c r="F547" s="1">
        <v>2017</v>
      </c>
      <c r="G547" s="1" t="s">
        <v>234</v>
      </c>
      <c r="H547" s="1">
        <v>0</v>
      </c>
      <c r="I547" s="21" t="s">
        <v>174</v>
      </c>
      <c r="J547" s="1">
        <f t="shared" si="18"/>
        <v>5000000</v>
      </c>
      <c r="K547" s="21" t="s">
        <v>174</v>
      </c>
      <c r="L547" s="21" t="s">
        <v>174</v>
      </c>
      <c r="M547" s="21" t="s">
        <v>174</v>
      </c>
    </row>
    <row r="548" spans="1:13">
      <c r="A548" s="1" t="s">
        <v>169</v>
      </c>
      <c r="B548" s="1" t="s">
        <v>170</v>
      </c>
      <c r="C548" s="1">
        <v>2008</v>
      </c>
      <c r="D548" s="1" t="s">
        <v>206</v>
      </c>
      <c r="E548" s="1" t="s">
        <v>237</v>
      </c>
      <c r="F548" s="1">
        <v>2018</v>
      </c>
      <c r="G548" s="1" t="s">
        <v>234</v>
      </c>
      <c r="H548" s="1">
        <v>0</v>
      </c>
      <c r="I548" s="21" t="s">
        <v>174</v>
      </c>
      <c r="J548" s="1">
        <f t="shared" ref="J548:J565" si="19">J547-H548</f>
        <v>5000000</v>
      </c>
      <c r="K548" s="21" t="s">
        <v>174</v>
      </c>
      <c r="L548" s="21" t="s">
        <v>174</v>
      </c>
      <c r="M548" s="21" t="s">
        <v>174</v>
      </c>
    </row>
    <row r="549" spans="1:13">
      <c r="A549" s="1" t="s">
        <v>169</v>
      </c>
      <c r="B549" s="1" t="s">
        <v>170</v>
      </c>
      <c r="C549" s="1">
        <v>2008</v>
      </c>
      <c r="D549" s="1" t="s">
        <v>206</v>
      </c>
      <c r="E549" s="1" t="s">
        <v>237</v>
      </c>
      <c r="F549" s="1">
        <v>2019</v>
      </c>
      <c r="G549" s="1" t="s">
        <v>234</v>
      </c>
      <c r="H549" s="1">
        <v>0</v>
      </c>
      <c r="I549" s="21" t="s">
        <v>174</v>
      </c>
      <c r="J549" s="1">
        <f t="shared" si="19"/>
        <v>5000000</v>
      </c>
      <c r="K549" s="21" t="s">
        <v>174</v>
      </c>
      <c r="L549" s="21" t="s">
        <v>174</v>
      </c>
      <c r="M549" s="21" t="s">
        <v>174</v>
      </c>
    </row>
    <row r="550" spans="1:13">
      <c r="A550" s="1" t="s">
        <v>169</v>
      </c>
      <c r="B550" s="1" t="s">
        <v>170</v>
      </c>
      <c r="C550" s="1">
        <v>2008</v>
      </c>
      <c r="D550" s="1" t="s">
        <v>206</v>
      </c>
      <c r="E550" s="1" t="s">
        <v>237</v>
      </c>
      <c r="F550" s="1">
        <v>2020</v>
      </c>
      <c r="G550" s="1" t="s">
        <v>234</v>
      </c>
      <c r="H550" s="1">
        <v>0</v>
      </c>
      <c r="I550" s="21" t="s">
        <v>174</v>
      </c>
      <c r="J550" s="1">
        <f t="shared" si="19"/>
        <v>5000000</v>
      </c>
      <c r="K550" s="21" t="s">
        <v>174</v>
      </c>
      <c r="L550" s="21" t="s">
        <v>174</v>
      </c>
      <c r="M550" s="21" t="s">
        <v>174</v>
      </c>
    </row>
    <row r="551" spans="1:13">
      <c r="A551" s="1" t="s">
        <v>169</v>
      </c>
      <c r="B551" s="1" t="s">
        <v>170</v>
      </c>
      <c r="C551" s="1">
        <v>2008</v>
      </c>
      <c r="D551" s="1" t="s">
        <v>206</v>
      </c>
      <c r="E551" s="1" t="s">
        <v>237</v>
      </c>
      <c r="F551" s="1">
        <v>2021</v>
      </c>
      <c r="G551" s="1" t="s">
        <v>234</v>
      </c>
      <c r="H551" s="1">
        <v>0</v>
      </c>
      <c r="I551" s="21" t="s">
        <v>174</v>
      </c>
      <c r="J551" s="1">
        <f t="shared" si="19"/>
        <v>5000000</v>
      </c>
      <c r="K551" s="21" t="s">
        <v>174</v>
      </c>
      <c r="L551" s="21" t="s">
        <v>174</v>
      </c>
      <c r="M551" s="21" t="s">
        <v>174</v>
      </c>
    </row>
    <row r="552" spans="1:13">
      <c r="A552" s="1" t="s">
        <v>169</v>
      </c>
      <c r="B552" s="1" t="s">
        <v>170</v>
      </c>
      <c r="C552" s="1">
        <v>2008</v>
      </c>
      <c r="D552" s="1" t="s">
        <v>206</v>
      </c>
      <c r="E552" s="1" t="s">
        <v>237</v>
      </c>
      <c r="F552" s="1">
        <v>2022</v>
      </c>
      <c r="G552" s="1" t="s">
        <v>234</v>
      </c>
      <c r="H552" s="1">
        <v>0</v>
      </c>
      <c r="I552" s="21" t="s">
        <v>174</v>
      </c>
      <c r="J552" s="1">
        <f t="shared" si="19"/>
        <v>5000000</v>
      </c>
      <c r="K552" s="21" t="s">
        <v>174</v>
      </c>
      <c r="L552" s="21" t="s">
        <v>174</v>
      </c>
      <c r="M552" s="21" t="s">
        <v>174</v>
      </c>
    </row>
    <row r="553" spans="1:13">
      <c r="A553" s="1" t="s">
        <v>169</v>
      </c>
      <c r="B553" s="1" t="s">
        <v>170</v>
      </c>
      <c r="C553" s="1">
        <v>2008</v>
      </c>
      <c r="D553" s="1" t="s">
        <v>206</v>
      </c>
      <c r="E553" s="1" t="s">
        <v>237</v>
      </c>
      <c r="F553" s="1">
        <v>2023</v>
      </c>
      <c r="G553" s="1" t="s">
        <v>234</v>
      </c>
      <c r="H553" s="1">
        <v>0</v>
      </c>
      <c r="I553" s="21" t="s">
        <v>174</v>
      </c>
      <c r="J553" s="1">
        <f t="shared" si="19"/>
        <v>5000000</v>
      </c>
      <c r="K553" s="21" t="s">
        <v>174</v>
      </c>
      <c r="L553" s="21" t="s">
        <v>174</v>
      </c>
      <c r="M553" s="21" t="s">
        <v>174</v>
      </c>
    </row>
    <row r="554" spans="1:13">
      <c r="A554" s="1" t="s">
        <v>169</v>
      </c>
      <c r="B554" s="1" t="s">
        <v>170</v>
      </c>
      <c r="C554" s="1">
        <v>2008</v>
      </c>
      <c r="D554" s="1" t="s">
        <v>206</v>
      </c>
      <c r="E554" s="1" t="s">
        <v>237</v>
      </c>
      <c r="F554" s="1">
        <v>2024</v>
      </c>
      <c r="G554" s="1" t="s">
        <v>234</v>
      </c>
      <c r="H554" s="1">
        <v>0</v>
      </c>
      <c r="I554" s="21" t="s">
        <v>174</v>
      </c>
      <c r="J554" s="1">
        <f t="shared" si="19"/>
        <v>5000000</v>
      </c>
      <c r="K554" s="21" t="s">
        <v>174</v>
      </c>
      <c r="L554" s="21" t="s">
        <v>174</v>
      </c>
      <c r="M554" s="21" t="s">
        <v>174</v>
      </c>
    </row>
    <row r="555" spans="1:13">
      <c r="A555" s="1" t="s">
        <v>169</v>
      </c>
      <c r="B555" s="1" t="s">
        <v>170</v>
      </c>
      <c r="C555" s="1">
        <v>2008</v>
      </c>
      <c r="D555" s="1" t="s">
        <v>206</v>
      </c>
      <c r="E555" s="1" t="s">
        <v>237</v>
      </c>
      <c r="F555" s="1">
        <v>2025</v>
      </c>
      <c r="G555" s="1" t="s">
        <v>234</v>
      </c>
      <c r="H555" s="1">
        <v>0</v>
      </c>
      <c r="I555" s="21" t="s">
        <v>174</v>
      </c>
      <c r="J555" s="1">
        <f t="shared" si="19"/>
        <v>5000000</v>
      </c>
      <c r="K555" s="21" t="s">
        <v>174</v>
      </c>
      <c r="L555" s="21" t="s">
        <v>174</v>
      </c>
      <c r="M555" s="21" t="s">
        <v>174</v>
      </c>
    </row>
    <row r="556" spans="1:13">
      <c r="A556" s="1" t="s">
        <v>169</v>
      </c>
      <c r="B556" s="1" t="s">
        <v>170</v>
      </c>
      <c r="C556" s="1">
        <v>2008</v>
      </c>
      <c r="D556" s="1" t="s">
        <v>206</v>
      </c>
      <c r="E556" s="1" t="s">
        <v>237</v>
      </c>
      <c r="F556" s="1">
        <v>2026</v>
      </c>
      <c r="G556" s="1" t="s">
        <v>234</v>
      </c>
      <c r="H556" s="1">
        <v>0</v>
      </c>
      <c r="I556" s="21" t="s">
        <v>174</v>
      </c>
      <c r="J556" s="1">
        <f t="shared" si="19"/>
        <v>5000000</v>
      </c>
      <c r="K556" s="21" t="s">
        <v>174</v>
      </c>
      <c r="L556" s="21" t="s">
        <v>174</v>
      </c>
      <c r="M556" s="21" t="s">
        <v>174</v>
      </c>
    </row>
    <row r="557" spans="1:13">
      <c r="A557" s="1" t="s">
        <v>169</v>
      </c>
      <c r="B557" s="1" t="s">
        <v>170</v>
      </c>
      <c r="C557" s="1">
        <v>2008</v>
      </c>
      <c r="D557" s="1" t="s">
        <v>206</v>
      </c>
      <c r="E557" s="1" t="s">
        <v>237</v>
      </c>
      <c r="F557" s="1">
        <v>2027</v>
      </c>
      <c r="G557" s="1" t="s">
        <v>234</v>
      </c>
      <c r="H557" s="1">
        <v>0</v>
      </c>
      <c r="I557" s="21" t="s">
        <v>174</v>
      </c>
      <c r="J557" s="1">
        <f t="shared" si="19"/>
        <v>5000000</v>
      </c>
      <c r="K557" s="21" t="s">
        <v>174</v>
      </c>
      <c r="L557" s="21" t="s">
        <v>174</v>
      </c>
      <c r="M557" s="21" t="s">
        <v>174</v>
      </c>
    </row>
    <row r="558" spans="1:13">
      <c r="A558" s="1" t="s">
        <v>169</v>
      </c>
      <c r="B558" s="1" t="s">
        <v>170</v>
      </c>
      <c r="C558" s="1">
        <v>2008</v>
      </c>
      <c r="D558" s="1" t="s">
        <v>206</v>
      </c>
      <c r="E558" s="1" t="s">
        <v>237</v>
      </c>
      <c r="F558" s="1">
        <v>2028</v>
      </c>
      <c r="G558" s="1" t="s">
        <v>234</v>
      </c>
      <c r="H558" s="1">
        <v>0</v>
      </c>
      <c r="I558" s="21" t="s">
        <v>174</v>
      </c>
      <c r="J558" s="1">
        <f t="shared" si="19"/>
        <v>5000000</v>
      </c>
      <c r="K558" s="21" t="s">
        <v>174</v>
      </c>
      <c r="L558" s="21" t="s">
        <v>174</v>
      </c>
      <c r="M558" s="21" t="s">
        <v>174</v>
      </c>
    </row>
    <row r="559" spans="1:13">
      <c r="A559" s="1" t="s">
        <v>169</v>
      </c>
      <c r="B559" s="1" t="s">
        <v>170</v>
      </c>
      <c r="C559" s="1">
        <v>2008</v>
      </c>
      <c r="D559" s="1" t="s">
        <v>206</v>
      </c>
      <c r="E559" s="1" t="s">
        <v>237</v>
      </c>
      <c r="F559" s="1">
        <v>2029</v>
      </c>
      <c r="G559" s="1" t="s">
        <v>234</v>
      </c>
      <c r="H559" s="1">
        <v>0</v>
      </c>
      <c r="I559" s="21" t="s">
        <v>174</v>
      </c>
      <c r="J559" s="1">
        <f t="shared" si="19"/>
        <v>5000000</v>
      </c>
      <c r="K559" s="21" t="s">
        <v>174</v>
      </c>
      <c r="L559" s="21" t="s">
        <v>174</v>
      </c>
      <c r="M559" s="21" t="s">
        <v>174</v>
      </c>
    </row>
    <row r="560" spans="1:13">
      <c r="A560" s="1" t="s">
        <v>169</v>
      </c>
      <c r="B560" s="1" t="s">
        <v>170</v>
      </c>
      <c r="C560" s="1">
        <v>2008</v>
      </c>
      <c r="D560" s="1" t="s">
        <v>206</v>
      </c>
      <c r="E560" s="1" t="s">
        <v>235</v>
      </c>
      <c r="F560" s="1">
        <v>2030</v>
      </c>
      <c r="G560" s="1" t="s">
        <v>234</v>
      </c>
      <c r="H560" s="1">
        <v>145000</v>
      </c>
      <c r="I560" s="21">
        <v>2</v>
      </c>
      <c r="J560" s="1">
        <f t="shared" si="19"/>
        <v>4855000</v>
      </c>
      <c r="K560" s="21" t="s">
        <v>174</v>
      </c>
      <c r="L560" s="21">
        <v>0.65</v>
      </c>
      <c r="M560" s="21">
        <v>101.086</v>
      </c>
    </row>
    <row r="561" spans="1:13">
      <c r="A561" s="1" t="s">
        <v>169</v>
      </c>
      <c r="B561" s="1" t="s">
        <v>170</v>
      </c>
      <c r="C561" s="1">
        <v>2008</v>
      </c>
      <c r="D561" s="1" t="s">
        <v>206</v>
      </c>
      <c r="E561" s="1" t="s">
        <v>235</v>
      </c>
      <c r="F561" s="1">
        <v>2031</v>
      </c>
      <c r="G561" s="1" t="s">
        <v>234</v>
      </c>
      <c r="H561" s="1">
        <v>740000</v>
      </c>
      <c r="I561" s="21">
        <v>2</v>
      </c>
      <c r="J561" s="1">
        <f t="shared" si="19"/>
        <v>4115000</v>
      </c>
      <c r="K561" s="21" t="s">
        <v>174</v>
      </c>
      <c r="L561" s="21">
        <v>0.65</v>
      </c>
      <c r="M561" s="21">
        <v>101.086</v>
      </c>
    </row>
    <row r="562" spans="1:13">
      <c r="A562" s="1" t="s">
        <v>169</v>
      </c>
      <c r="B562" s="1" t="s">
        <v>170</v>
      </c>
      <c r="C562" s="1">
        <v>2008</v>
      </c>
      <c r="D562" s="1" t="s">
        <v>206</v>
      </c>
      <c r="E562" s="1" t="s">
        <v>235</v>
      </c>
      <c r="F562" s="1">
        <v>2032</v>
      </c>
      <c r="G562" s="1" t="s">
        <v>234</v>
      </c>
      <c r="H562" s="1">
        <v>1230000</v>
      </c>
      <c r="I562" s="21">
        <v>2</v>
      </c>
      <c r="J562" s="1">
        <f t="shared" si="19"/>
        <v>2885000</v>
      </c>
      <c r="K562" s="21" t="s">
        <v>174</v>
      </c>
      <c r="L562" s="21">
        <v>0.65</v>
      </c>
      <c r="M562" s="21">
        <v>101.086</v>
      </c>
    </row>
    <row r="563" spans="1:13">
      <c r="A563" s="1" t="s">
        <v>169</v>
      </c>
      <c r="B563" s="1" t="s">
        <v>170</v>
      </c>
      <c r="C563" s="1">
        <v>2008</v>
      </c>
      <c r="D563" s="1" t="s">
        <v>206</v>
      </c>
      <c r="E563" s="1" t="s">
        <v>235</v>
      </c>
      <c r="F563" s="1">
        <v>2033</v>
      </c>
      <c r="G563" s="1" t="s">
        <v>234</v>
      </c>
      <c r="H563" s="1">
        <v>1275000</v>
      </c>
      <c r="I563" s="21">
        <v>2</v>
      </c>
      <c r="J563" s="1">
        <f t="shared" si="19"/>
        <v>1610000</v>
      </c>
      <c r="K563" s="21" t="s">
        <v>174</v>
      </c>
      <c r="L563" s="21">
        <v>0.65</v>
      </c>
      <c r="M563" s="21">
        <v>101.086</v>
      </c>
    </row>
    <row r="564" spans="1:13">
      <c r="A564" s="1" t="s">
        <v>169</v>
      </c>
      <c r="B564" s="1" t="s">
        <v>170</v>
      </c>
      <c r="C564" s="1">
        <v>2008</v>
      </c>
      <c r="D564" s="1" t="s">
        <v>206</v>
      </c>
      <c r="E564" s="1" t="s">
        <v>235</v>
      </c>
      <c r="F564" s="1">
        <v>2034</v>
      </c>
      <c r="G564" s="1" t="s">
        <v>234</v>
      </c>
      <c r="H564" s="1">
        <v>1335000</v>
      </c>
      <c r="I564" s="21">
        <v>2</v>
      </c>
      <c r="J564" s="1">
        <f t="shared" si="19"/>
        <v>275000</v>
      </c>
      <c r="K564" s="21" t="s">
        <v>174</v>
      </c>
      <c r="L564" s="21">
        <v>0.65</v>
      </c>
      <c r="M564" s="21">
        <v>101.086</v>
      </c>
    </row>
    <row r="565" spans="1:13">
      <c r="A565" s="1" t="s">
        <v>169</v>
      </c>
      <c r="B565" s="1" t="s">
        <v>170</v>
      </c>
      <c r="C565" s="1">
        <v>2008</v>
      </c>
      <c r="D565" s="1" t="s">
        <v>206</v>
      </c>
      <c r="E565" s="1" t="s">
        <v>235</v>
      </c>
      <c r="F565" s="1">
        <v>2035</v>
      </c>
      <c r="G565" s="1" t="s">
        <v>234</v>
      </c>
      <c r="H565" s="1">
        <v>275000</v>
      </c>
      <c r="I565" s="21">
        <v>2</v>
      </c>
      <c r="J565" s="1">
        <f t="shared" si="19"/>
        <v>0</v>
      </c>
      <c r="K565" s="21" t="s">
        <v>174</v>
      </c>
      <c r="L565" s="21">
        <v>0.65</v>
      </c>
      <c r="M565" s="21">
        <v>101.086</v>
      </c>
    </row>
    <row r="566" spans="1:13">
      <c r="A566" s="1" t="s">
        <v>169</v>
      </c>
      <c r="B566" s="1" t="s">
        <v>170</v>
      </c>
      <c r="C566" s="1">
        <v>2012</v>
      </c>
      <c r="D566" s="1" t="s">
        <v>209</v>
      </c>
      <c r="E566" s="1" t="s">
        <v>237</v>
      </c>
      <c r="F566" s="1">
        <v>2012</v>
      </c>
      <c r="G566" s="1" t="s">
        <v>234</v>
      </c>
      <c r="H566" s="1">
        <v>0</v>
      </c>
      <c r="I566" s="21">
        <v>1.4</v>
      </c>
      <c r="J566" s="1">
        <v>26870000</v>
      </c>
      <c r="K566" s="21" t="s">
        <v>174</v>
      </c>
      <c r="L566" s="21">
        <v>1.4</v>
      </c>
      <c r="M566" s="21">
        <v>100</v>
      </c>
    </row>
    <row r="567" spans="1:13">
      <c r="A567" s="1" t="s">
        <v>169</v>
      </c>
      <c r="B567" s="1" t="s">
        <v>170</v>
      </c>
      <c r="C567" s="1">
        <v>2012</v>
      </c>
      <c r="D567" s="1" t="s">
        <v>209</v>
      </c>
      <c r="E567" s="1" t="s">
        <v>235</v>
      </c>
      <c r="F567" s="1">
        <v>2013</v>
      </c>
      <c r="G567" s="1" t="s">
        <v>234</v>
      </c>
      <c r="H567" s="1">
        <v>30000</v>
      </c>
      <c r="I567" s="21">
        <v>1.4</v>
      </c>
      <c r="J567" s="1">
        <f>J566-H567</f>
        <v>26840000</v>
      </c>
      <c r="K567" s="21" t="s">
        <v>174</v>
      </c>
      <c r="L567" s="21">
        <v>1.4</v>
      </c>
      <c r="M567" s="21">
        <v>100</v>
      </c>
    </row>
    <row r="568" spans="1:13">
      <c r="A568" s="1" t="s">
        <v>169</v>
      </c>
      <c r="B568" s="1" t="s">
        <v>170</v>
      </c>
      <c r="C568" s="1">
        <v>2012</v>
      </c>
      <c r="D568" s="1" t="s">
        <v>209</v>
      </c>
      <c r="E568" s="1" t="s">
        <v>237</v>
      </c>
      <c r="F568" s="1">
        <v>2014</v>
      </c>
      <c r="G568" s="1" t="s">
        <v>234</v>
      </c>
      <c r="H568" s="1">
        <v>0</v>
      </c>
      <c r="I568" s="21" t="s">
        <v>174</v>
      </c>
      <c r="J568" s="1">
        <f t="shared" ref="J568:J631" si="20">J567-H568</f>
        <v>26840000</v>
      </c>
      <c r="K568" s="21" t="s">
        <v>174</v>
      </c>
      <c r="L568" s="21" t="s">
        <v>174</v>
      </c>
      <c r="M568" s="21" t="s">
        <v>174</v>
      </c>
    </row>
    <row r="569" spans="1:13">
      <c r="A569" s="1" t="s">
        <v>169</v>
      </c>
      <c r="B569" s="1" t="s">
        <v>170</v>
      </c>
      <c r="C569" s="1">
        <v>2012</v>
      </c>
      <c r="D569" s="1" t="s">
        <v>209</v>
      </c>
      <c r="E569" s="1" t="s">
        <v>237</v>
      </c>
      <c r="F569" s="1">
        <v>2015</v>
      </c>
      <c r="G569" s="1" t="s">
        <v>234</v>
      </c>
      <c r="H569" s="1">
        <v>0</v>
      </c>
      <c r="I569" s="21" t="s">
        <v>174</v>
      </c>
      <c r="J569" s="1">
        <f t="shared" si="20"/>
        <v>26840000</v>
      </c>
      <c r="K569" s="21" t="s">
        <v>174</v>
      </c>
      <c r="L569" s="21" t="s">
        <v>174</v>
      </c>
      <c r="M569" s="21" t="s">
        <v>174</v>
      </c>
    </row>
    <row r="570" spans="1:13">
      <c r="A570" s="1" t="s">
        <v>169</v>
      </c>
      <c r="B570" s="1" t="s">
        <v>170</v>
      </c>
      <c r="C570" s="1">
        <v>2012</v>
      </c>
      <c r="D570" s="1" t="s">
        <v>209</v>
      </c>
      <c r="E570" s="1" t="s">
        <v>237</v>
      </c>
      <c r="F570" s="1">
        <v>2016</v>
      </c>
      <c r="G570" s="1" t="s">
        <v>234</v>
      </c>
      <c r="H570" s="1">
        <v>0</v>
      </c>
      <c r="I570" s="21" t="s">
        <v>174</v>
      </c>
      <c r="J570" s="1">
        <f t="shared" si="20"/>
        <v>26840000</v>
      </c>
      <c r="K570" s="21" t="s">
        <v>174</v>
      </c>
      <c r="L570" s="21" t="s">
        <v>174</v>
      </c>
      <c r="M570" s="21" t="s">
        <v>174</v>
      </c>
    </row>
    <row r="571" spans="1:13">
      <c r="A571" s="1" t="s">
        <v>169</v>
      </c>
      <c r="B571" s="1" t="s">
        <v>170</v>
      </c>
      <c r="C571" s="1">
        <v>2012</v>
      </c>
      <c r="D571" s="1" t="s">
        <v>209</v>
      </c>
      <c r="E571" s="1" t="s">
        <v>237</v>
      </c>
      <c r="F571" s="1">
        <v>2017</v>
      </c>
      <c r="G571" s="1" t="s">
        <v>234</v>
      </c>
      <c r="H571" s="1">
        <v>0</v>
      </c>
      <c r="I571" s="21" t="s">
        <v>174</v>
      </c>
      <c r="J571" s="1">
        <f t="shared" si="20"/>
        <v>26840000</v>
      </c>
      <c r="K571" s="21" t="s">
        <v>174</v>
      </c>
      <c r="L571" s="21" t="s">
        <v>174</v>
      </c>
      <c r="M571" s="21" t="s">
        <v>174</v>
      </c>
    </row>
    <row r="572" spans="1:13">
      <c r="A572" s="1" t="s">
        <v>169</v>
      </c>
      <c r="B572" s="1" t="s">
        <v>170</v>
      </c>
      <c r="C572" s="1">
        <v>2012</v>
      </c>
      <c r="D572" s="1" t="s">
        <v>209</v>
      </c>
      <c r="E572" s="1" t="s">
        <v>237</v>
      </c>
      <c r="F572" s="1">
        <v>2018</v>
      </c>
      <c r="G572" s="1" t="s">
        <v>234</v>
      </c>
      <c r="H572" s="1">
        <v>0</v>
      </c>
      <c r="I572" s="21" t="s">
        <v>174</v>
      </c>
      <c r="J572" s="1">
        <f t="shared" si="20"/>
        <v>26840000</v>
      </c>
      <c r="K572" s="21" t="s">
        <v>174</v>
      </c>
      <c r="L572" s="21" t="s">
        <v>174</v>
      </c>
      <c r="M572" s="21" t="s">
        <v>174</v>
      </c>
    </row>
    <row r="573" spans="1:13">
      <c r="A573" s="1" t="s">
        <v>169</v>
      </c>
      <c r="B573" s="1" t="s">
        <v>170</v>
      </c>
      <c r="C573" s="1">
        <v>2012</v>
      </c>
      <c r="D573" s="1" t="s">
        <v>209</v>
      </c>
      <c r="E573" s="1" t="s">
        <v>237</v>
      </c>
      <c r="F573" s="1">
        <v>2019</v>
      </c>
      <c r="G573" s="1" t="s">
        <v>234</v>
      </c>
      <c r="H573" s="1">
        <v>0</v>
      </c>
      <c r="I573" s="21" t="s">
        <v>174</v>
      </c>
      <c r="J573" s="1">
        <f t="shared" si="20"/>
        <v>26840000</v>
      </c>
      <c r="K573" s="21" t="s">
        <v>174</v>
      </c>
      <c r="L573" s="21" t="s">
        <v>174</v>
      </c>
      <c r="M573" s="21" t="s">
        <v>174</v>
      </c>
    </row>
    <row r="574" spans="1:13">
      <c r="A574" s="1" t="s">
        <v>169</v>
      </c>
      <c r="B574" s="1" t="s">
        <v>170</v>
      </c>
      <c r="C574" s="1">
        <v>2012</v>
      </c>
      <c r="D574" s="1" t="s">
        <v>209</v>
      </c>
      <c r="E574" s="1" t="s">
        <v>237</v>
      </c>
      <c r="F574" s="1">
        <v>2020</v>
      </c>
      <c r="G574" s="1" t="s">
        <v>234</v>
      </c>
      <c r="H574" s="1">
        <v>0</v>
      </c>
      <c r="I574" s="21" t="s">
        <v>174</v>
      </c>
      <c r="J574" s="1">
        <f t="shared" si="20"/>
        <v>26840000</v>
      </c>
      <c r="K574" s="21" t="s">
        <v>174</v>
      </c>
      <c r="L574" s="21" t="s">
        <v>174</v>
      </c>
      <c r="M574" s="21" t="s">
        <v>174</v>
      </c>
    </row>
    <row r="575" spans="1:13">
      <c r="A575" s="1" t="s">
        <v>169</v>
      </c>
      <c r="B575" s="1" t="s">
        <v>170</v>
      </c>
      <c r="C575" s="1">
        <v>2012</v>
      </c>
      <c r="D575" s="1" t="s">
        <v>209</v>
      </c>
      <c r="E575" s="1" t="s">
        <v>237</v>
      </c>
      <c r="F575" s="1">
        <v>2021</v>
      </c>
      <c r="G575" s="1" t="s">
        <v>234</v>
      </c>
      <c r="H575" s="1">
        <v>0</v>
      </c>
      <c r="I575" s="21" t="s">
        <v>174</v>
      </c>
      <c r="J575" s="1">
        <f t="shared" si="20"/>
        <v>26840000</v>
      </c>
      <c r="K575" s="21" t="s">
        <v>174</v>
      </c>
      <c r="L575" s="21" t="s">
        <v>174</v>
      </c>
      <c r="M575" s="21" t="s">
        <v>174</v>
      </c>
    </row>
    <row r="576" spans="1:13">
      <c r="A576" s="1" t="s">
        <v>169</v>
      </c>
      <c r="B576" s="1" t="s">
        <v>170</v>
      </c>
      <c r="C576" s="1">
        <v>2012</v>
      </c>
      <c r="D576" s="1" t="s">
        <v>209</v>
      </c>
      <c r="E576" s="1" t="s">
        <v>237</v>
      </c>
      <c r="F576" s="1">
        <v>2022</v>
      </c>
      <c r="G576" s="1" t="s">
        <v>234</v>
      </c>
      <c r="H576" s="1">
        <v>0</v>
      </c>
      <c r="I576" s="21" t="s">
        <v>174</v>
      </c>
      <c r="J576" s="1">
        <f t="shared" si="20"/>
        <v>26840000</v>
      </c>
      <c r="K576" s="21" t="s">
        <v>174</v>
      </c>
      <c r="L576" s="21" t="s">
        <v>174</v>
      </c>
      <c r="M576" s="21" t="s">
        <v>174</v>
      </c>
    </row>
    <row r="577" spans="1:13">
      <c r="A577" s="1" t="s">
        <v>169</v>
      </c>
      <c r="B577" s="1" t="s">
        <v>170</v>
      </c>
      <c r="C577" s="1">
        <v>2012</v>
      </c>
      <c r="D577" s="1" t="s">
        <v>209</v>
      </c>
      <c r="E577" s="1" t="s">
        <v>237</v>
      </c>
      <c r="F577" s="1">
        <v>2023</v>
      </c>
      <c r="G577" s="1" t="s">
        <v>234</v>
      </c>
      <c r="H577" s="1">
        <v>0</v>
      </c>
      <c r="I577" s="21" t="s">
        <v>174</v>
      </c>
      <c r="J577" s="1">
        <f t="shared" si="20"/>
        <v>26840000</v>
      </c>
      <c r="K577" s="21" t="s">
        <v>174</v>
      </c>
      <c r="L577" s="21" t="s">
        <v>174</v>
      </c>
      <c r="M577" s="21" t="s">
        <v>174</v>
      </c>
    </row>
    <row r="578" spans="1:13">
      <c r="A578" s="1" t="s">
        <v>169</v>
      </c>
      <c r="B578" s="1" t="s">
        <v>170</v>
      </c>
      <c r="C578" s="1">
        <v>2012</v>
      </c>
      <c r="D578" s="1" t="s">
        <v>209</v>
      </c>
      <c r="E578" s="1" t="s">
        <v>237</v>
      </c>
      <c r="F578" s="1">
        <v>2024</v>
      </c>
      <c r="G578" s="1" t="s">
        <v>234</v>
      </c>
      <c r="H578" s="1">
        <v>0</v>
      </c>
      <c r="I578" s="21" t="s">
        <v>174</v>
      </c>
      <c r="J578" s="1">
        <f t="shared" si="20"/>
        <v>26840000</v>
      </c>
      <c r="K578" s="21" t="s">
        <v>174</v>
      </c>
      <c r="L578" s="21" t="s">
        <v>174</v>
      </c>
      <c r="M578" s="21" t="s">
        <v>174</v>
      </c>
    </row>
    <row r="579" spans="1:13">
      <c r="A579" s="1" t="s">
        <v>169</v>
      </c>
      <c r="B579" s="1" t="s">
        <v>170</v>
      </c>
      <c r="C579" s="1">
        <v>2012</v>
      </c>
      <c r="D579" s="1" t="s">
        <v>209</v>
      </c>
      <c r="E579" s="1" t="s">
        <v>237</v>
      </c>
      <c r="F579" s="1">
        <v>2025</v>
      </c>
      <c r="G579" s="1" t="s">
        <v>234</v>
      </c>
      <c r="H579" s="1">
        <v>0</v>
      </c>
      <c r="I579" s="21" t="s">
        <v>174</v>
      </c>
      <c r="J579" s="1">
        <f t="shared" si="20"/>
        <v>26840000</v>
      </c>
      <c r="K579" s="21" t="s">
        <v>174</v>
      </c>
      <c r="L579" s="21" t="s">
        <v>174</v>
      </c>
      <c r="M579" s="21" t="s">
        <v>174</v>
      </c>
    </row>
    <row r="580" spans="1:13">
      <c r="A580" s="1" t="s">
        <v>169</v>
      </c>
      <c r="B580" s="1" t="s">
        <v>170</v>
      </c>
      <c r="C580" s="1">
        <v>2012</v>
      </c>
      <c r="D580" s="1" t="s">
        <v>209</v>
      </c>
      <c r="E580" s="1" t="s">
        <v>237</v>
      </c>
      <c r="F580" s="1">
        <v>2026</v>
      </c>
      <c r="G580" s="1" t="s">
        <v>234</v>
      </c>
      <c r="H580" s="1">
        <v>0</v>
      </c>
      <c r="I580" s="21" t="s">
        <v>174</v>
      </c>
      <c r="J580" s="1">
        <f t="shared" si="20"/>
        <v>26840000</v>
      </c>
      <c r="K580" s="21" t="s">
        <v>174</v>
      </c>
      <c r="L580" s="21" t="s">
        <v>174</v>
      </c>
      <c r="M580" s="21" t="s">
        <v>174</v>
      </c>
    </row>
    <row r="581" spans="1:13">
      <c r="A581" s="1" t="s">
        <v>169</v>
      </c>
      <c r="B581" s="1" t="s">
        <v>170</v>
      </c>
      <c r="C581" s="1">
        <v>2012</v>
      </c>
      <c r="D581" s="1" t="s">
        <v>209</v>
      </c>
      <c r="E581" s="1" t="s">
        <v>237</v>
      </c>
      <c r="F581" s="1">
        <v>2027</v>
      </c>
      <c r="G581" s="1" t="s">
        <v>234</v>
      </c>
      <c r="H581" s="1">
        <v>0</v>
      </c>
      <c r="I581" s="21" t="s">
        <v>174</v>
      </c>
      <c r="J581" s="1">
        <f t="shared" si="20"/>
        <v>26840000</v>
      </c>
      <c r="K581" s="21" t="s">
        <v>174</v>
      </c>
      <c r="L581" s="21" t="s">
        <v>174</v>
      </c>
      <c r="M581" s="21" t="s">
        <v>174</v>
      </c>
    </row>
    <row r="582" spans="1:13">
      <c r="A582" s="1" t="s">
        <v>169</v>
      </c>
      <c r="B582" s="1" t="s">
        <v>170</v>
      </c>
      <c r="C582" s="1">
        <v>2012</v>
      </c>
      <c r="D582" s="1" t="s">
        <v>209</v>
      </c>
      <c r="E582" s="1" t="s">
        <v>237</v>
      </c>
      <c r="F582" s="1">
        <v>2028</v>
      </c>
      <c r="G582" s="1" t="s">
        <v>234</v>
      </c>
      <c r="H582" s="1">
        <v>0</v>
      </c>
      <c r="I582" s="21" t="s">
        <v>174</v>
      </c>
      <c r="J582" s="1">
        <f t="shared" si="20"/>
        <v>26840000</v>
      </c>
      <c r="K582" s="21" t="s">
        <v>174</v>
      </c>
      <c r="L582" s="21" t="s">
        <v>174</v>
      </c>
      <c r="M582" s="21" t="s">
        <v>174</v>
      </c>
    </row>
    <row r="583" spans="1:13">
      <c r="A583" s="1" t="s">
        <v>169</v>
      </c>
      <c r="B583" s="1" t="s">
        <v>170</v>
      </c>
      <c r="C583" s="1">
        <v>2012</v>
      </c>
      <c r="D583" s="1" t="s">
        <v>209</v>
      </c>
      <c r="E583" s="1" t="s">
        <v>237</v>
      </c>
      <c r="F583" s="1">
        <v>2029</v>
      </c>
      <c r="G583" s="1" t="s">
        <v>234</v>
      </c>
      <c r="H583" s="1">
        <v>0</v>
      </c>
      <c r="I583" s="21" t="s">
        <v>174</v>
      </c>
      <c r="J583" s="1">
        <f t="shared" si="20"/>
        <v>26840000</v>
      </c>
      <c r="K583" s="21" t="s">
        <v>174</v>
      </c>
      <c r="L583" s="21" t="s">
        <v>174</v>
      </c>
      <c r="M583" s="21" t="s">
        <v>174</v>
      </c>
    </row>
    <row r="584" spans="1:13">
      <c r="A584" s="1" t="s">
        <v>169</v>
      </c>
      <c r="B584" s="1" t="s">
        <v>170</v>
      </c>
      <c r="C584" s="1">
        <v>2012</v>
      </c>
      <c r="D584" s="1" t="s">
        <v>209</v>
      </c>
      <c r="E584" s="1" t="s">
        <v>235</v>
      </c>
      <c r="F584" s="1">
        <v>2030</v>
      </c>
      <c r="G584" s="1" t="s">
        <v>234</v>
      </c>
      <c r="H584" s="1">
        <v>755000</v>
      </c>
      <c r="I584" s="21">
        <v>1.4</v>
      </c>
      <c r="J584" s="1">
        <f t="shared" si="20"/>
        <v>26085000</v>
      </c>
      <c r="K584" s="21" t="s">
        <v>174</v>
      </c>
      <c r="L584" s="21">
        <v>1.4</v>
      </c>
      <c r="M584" s="21">
        <v>100</v>
      </c>
    </row>
    <row r="585" spans="1:13">
      <c r="A585" s="1" t="s">
        <v>169</v>
      </c>
      <c r="B585" s="1" t="s">
        <v>170</v>
      </c>
      <c r="C585" s="1">
        <v>2012</v>
      </c>
      <c r="D585" s="1" t="s">
        <v>209</v>
      </c>
      <c r="E585" s="1" t="s">
        <v>235</v>
      </c>
      <c r="F585" s="1">
        <v>2031</v>
      </c>
      <c r="G585" s="1" t="s">
        <v>234</v>
      </c>
      <c r="H585" s="1">
        <v>3975000</v>
      </c>
      <c r="I585" s="21">
        <v>1.4</v>
      </c>
      <c r="J585" s="1">
        <f t="shared" si="20"/>
        <v>22110000</v>
      </c>
      <c r="K585" s="21" t="s">
        <v>174</v>
      </c>
      <c r="L585" s="21">
        <v>1.4</v>
      </c>
      <c r="M585" s="21">
        <v>100</v>
      </c>
    </row>
    <row r="586" spans="1:13">
      <c r="A586" s="1" t="s">
        <v>169</v>
      </c>
      <c r="B586" s="1" t="s">
        <v>170</v>
      </c>
      <c r="C586" s="1">
        <v>2012</v>
      </c>
      <c r="D586" s="1" t="s">
        <v>209</v>
      </c>
      <c r="E586" s="1" t="s">
        <v>235</v>
      </c>
      <c r="F586" s="1">
        <v>2032</v>
      </c>
      <c r="G586" s="1" t="s">
        <v>234</v>
      </c>
      <c r="H586" s="1">
        <v>6605000</v>
      </c>
      <c r="I586" s="21">
        <v>1.4</v>
      </c>
      <c r="J586" s="1">
        <f t="shared" si="20"/>
        <v>15505000</v>
      </c>
      <c r="K586" s="21" t="s">
        <v>174</v>
      </c>
      <c r="L586" s="21">
        <v>1.4</v>
      </c>
      <c r="M586" s="21">
        <v>100</v>
      </c>
    </row>
    <row r="587" spans="1:13">
      <c r="A587" s="1" t="s">
        <v>169</v>
      </c>
      <c r="B587" s="1" t="s">
        <v>170</v>
      </c>
      <c r="C587" s="1">
        <v>2012</v>
      </c>
      <c r="D587" s="1" t="s">
        <v>209</v>
      </c>
      <c r="E587" s="1" t="s">
        <v>235</v>
      </c>
      <c r="F587" s="1">
        <v>2033</v>
      </c>
      <c r="G587" s="1" t="s">
        <v>234</v>
      </c>
      <c r="H587" s="1">
        <v>6855000</v>
      </c>
      <c r="I587" s="21">
        <v>1.4</v>
      </c>
      <c r="J587" s="1">
        <f t="shared" si="20"/>
        <v>8650000</v>
      </c>
      <c r="K587" s="21" t="s">
        <v>174</v>
      </c>
      <c r="L587" s="21">
        <v>1.4</v>
      </c>
      <c r="M587" s="21">
        <v>100</v>
      </c>
    </row>
    <row r="588" spans="1:13">
      <c r="A588" s="1" t="s">
        <v>169</v>
      </c>
      <c r="B588" s="1" t="s">
        <v>170</v>
      </c>
      <c r="C588" s="1">
        <v>2012</v>
      </c>
      <c r="D588" s="1" t="s">
        <v>209</v>
      </c>
      <c r="E588" s="1" t="s">
        <v>235</v>
      </c>
      <c r="F588" s="1">
        <v>2034</v>
      </c>
      <c r="G588" s="1" t="s">
        <v>234</v>
      </c>
      <c r="H588" s="1">
        <v>7160000</v>
      </c>
      <c r="I588" s="21">
        <v>1.4</v>
      </c>
      <c r="J588" s="1">
        <f t="shared" si="20"/>
        <v>1490000</v>
      </c>
      <c r="K588" s="21" t="s">
        <v>174</v>
      </c>
      <c r="L588" s="21">
        <v>1.4</v>
      </c>
      <c r="M588" s="21">
        <v>100</v>
      </c>
    </row>
    <row r="589" spans="1:13">
      <c r="A589" s="1" t="s">
        <v>169</v>
      </c>
      <c r="B589" s="1" t="s">
        <v>170</v>
      </c>
      <c r="C589" s="1">
        <v>2012</v>
      </c>
      <c r="D589" s="1" t="s">
        <v>209</v>
      </c>
      <c r="E589" s="1" t="s">
        <v>235</v>
      </c>
      <c r="F589" s="1">
        <v>2035</v>
      </c>
      <c r="G589" s="1" t="s">
        <v>234</v>
      </c>
      <c r="H589" s="1">
        <v>1490000</v>
      </c>
      <c r="I589" s="21">
        <v>1.4</v>
      </c>
      <c r="J589" s="1">
        <f t="shared" si="20"/>
        <v>0</v>
      </c>
      <c r="K589" s="21" t="s">
        <v>174</v>
      </c>
      <c r="L589" s="21">
        <v>1.4</v>
      </c>
      <c r="M589" s="21">
        <v>100</v>
      </c>
    </row>
    <row r="590" spans="1:13">
      <c r="A590" s="1" t="s">
        <v>169</v>
      </c>
      <c r="B590" s="1" t="s">
        <v>170</v>
      </c>
      <c r="C590" s="1">
        <v>2013</v>
      </c>
      <c r="D590" s="1" t="s">
        <v>175</v>
      </c>
      <c r="E590" s="1" t="s">
        <v>233</v>
      </c>
      <c r="F590" s="1">
        <v>2013</v>
      </c>
      <c r="G590" s="1" t="s">
        <v>234</v>
      </c>
      <c r="H590" s="1">
        <v>0</v>
      </c>
      <c r="I590" s="21" t="s">
        <v>174</v>
      </c>
      <c r="J590" s="1">
        <f>130215000-H590</f>
        <v>130215000</v>
      </c>
      <c r="K590" s="21">
        <v>0</v>
      </c>
      <c r="L590" s="21" t="s">
        <v>174</v>
      </c>
      <c r="M590" s="21" t="s">
        <v>174</v>
      </c>
    </row>
    <row r="591" spans="1:13">
      <c r="A591" s="1" t="s">
        <v>169</v>
      </c>
      <c r="B591" s="1" t="s">
        <v>170</v>
      </c>
      <c r="C591" s="1">
        <v>2013</v>
      </c>
      <c r="D591" s="1" t="s">
        <v>175</v>
      </c>
      <c r="E591" s="1" t="s">
        <v>233</v>
      </c>
      <c r="F591" s="1">
        <v>2014</v>
      </c>
      <c r="G591" s="1" t="s">
        <v>234</v>
      </c>
      <c r="H591" s="1">
        <v>11925000</v>
      </c>
      <c r="I591" s="21">
        <v>0.75</v>
      </c>
      <c r="J591" s="1">
        <f t="shared" si="20"/>
        <v>118290000</v>
      </c>
      <c r="K591" s="21">
        <v>3937409</v>
      </c>
      <c r="L591" s="21">
        <v>0.19500000000000001</v>
      </c>
      <c r="M591" s="21">
        <v>100.389</v>
      </c>
    </row>
    <row r="592" spans="1:13">
      <c r="A592" s="1" t="s">
        <v>169</v>
      </c>
      <c r="B592" s="1" t="s">
        <v>170</v>
      </c>
      <c r="C592" s="1">
        <v>2013</v>
      </c>
      <c r="D592" s="1" t="s">
        <v>175</v>
      </c>
      <c r="E592" s="1" t="s">
        <v>233</v>
      </c>
      <c r="F592" s="1">
        <v>2015</v>
      </c>
      <c r="G592" s="1" t="s">
        <v>234</v>
      </c>
      <c r="H592" s="1">
        <v>11385000</v>
      </c>
      <c r="I592" s="21">
        <v>3</v>
      </c>
      <c r="J592" s="1">
        <f t="shared" si="20"/>
        <v>106905000</v>
      </c>
      <c r="K592" s="21">
        <v>5513200</v>
      </c>
      <c r="L592" s="21">
        <v>0.54</v>
      </c>
      <c r="M592" s="21">
        <v>104.163</v>
      </c>
    </row>
    <row r="593" spans="1:13">
      <c r="A593" s="1" t="s">
        <v>169</v>
      </c>
      <c r="B593" s="1" t="s">
        <v>170</v>
      </c>
      <c r="C593" s="1">
        <v>2013</v>
      </c>
      <c r="D593" s="1" t="s">
        <v>175</v>
      </c>
      <c r="E593" s="1" t="s">
        <v>233</v>
      </c>
      <c r="F593" s="1">
        <v>2016</v>
      </c>
      <c r="G593" s="1" t="s">
        <v>234</v>
      </c>
      <c r="H593" s="1">
        <v>11620000</v>
      </c>
      <c r="I593" s="21">
        <v>4</v>
      </c>
      <c r="J593" s="1">
        <f t="shared" si="20"/>
        <v>95285000</v>
      </c>
      <c r="K593" s="21">
        <v>5171650</v>
      </c>
      <c r="L593" s="21">
        <v>0.78</v>
      </c>
      <c r="M593" s="21">
        <v>108.59399999999999</v>
      </c>
    </row>
    <row r="594" spans="1:13">
      <c r="A594" s="1" t="s">
        <v>169</v>
      </c>
      <c r="B594" s="1" t="s">
        <v>170</v>
      </c>
      <c r="C594" s="1">
        <v>2013</v>
      </c>
      <c r="D594" s="1" t="s">
        <v>175</v>
      </c>
      <c r="E594" s="1" t="s">
        <v>233</v>
      </c>
      <c r="F594" s="1">
        <v>2017</v>
      </c>
      <c r="G594" s="1" t="s">
        <v>234</v>
      </c>
      <c r="H594" s="1">
        <v>1460000</v>
      </c>
      <c r="I594" s="21">
        <v>4</v>
      </c>
      <c r="J594" s="1">
        <f t="shared" si="20"/>
        <v>93825000</v>
      </c>
      <c r="K594" s="21">
        <v>4706850</v>
      </c>
      <c r="L594" s="21">
        <v>1.1499999999999999</v>
      </c>
      <c r="M594" s="21">
        <v>110.301</v>
      </c>
    </row>
    <row r="595" spans="1:13">
      <c r="A595" s="1" t="s">
        <v>169</v>
      </c>
      <c r="B595" s="1" t="s">
        <v>170</v>
      </c>
      <c r="C595" s="1">
        <v>2013</v>
      </c>
      <c r="D595" s="1" t="s">
        <v>175</v>
      </c>
      <c r="E595" s="1" t="s">
        <v>233</v>
      </c>
      <c r="F595" s="1">
        <v>2018</v>
      </c>
      <c r="G595" s="1" t="s">
        <v>234</v>
      </c>
      <c r="H595" s="1">
        <v>7705000</v>
      </c>
      <c r="I595" s="21">
        <v>5</v>
      </c>
      <c r="J595" s="1">
        <f t="shared" si="20"/>
        <v>86120000</v>
      </c>
      <c r="K595" s="21">
        <v>4648450</v>
      </c>
      <c r="L595" s="21">
        <v>1.6</v>
      </c>
      <c r="M595" s="21">
        <v>115.34099999999999</v>
      </c>
    </row>
    <row r="596" spans="1:13">
      <c r="A596" s="1" t="s">
        <v>169</v>
      </c>
      <c r="B596" s="1" t="s">
        <v>170</v>
      </c>
      <c r="C596" s="1">
        <v>2013</v>
      </c>
      <c r="D596" s="1" t="s">
        <v>175</v>
      </c>
      <c r="E596" s="1" t="s">
        <v>233</v>
      </c>
      <c r="F596" s="1">
        <v>2019</v>
      </c>
      <c r="G596" s="1" t="s">
        <v>234</v>
      </c>
      <c r="H596" s="1">
        <v>10690000</v>
      </c>
      <c r="I596" s="21">
        <v>5</v>
      </c>
      <c r="J596" s="1">
        <f t="shared" si="20"/>
        <v>75430000</v>
      </c>
      <c r="K596" s="21">
        <v>4263200</v>
      </c>
      <c r="L596" s="21">
        <v>2.12</v>
      </c>
      <c r="M596" s="21">
        <v>115.39</v>
      </c>
    </row>
    <row r="597" spans="1:13">
      <c r="A597" s="1" t="s">
        <v>169</v>
      </c>
      <c r="B597" s="1" t="s">
        <v>170</v>
      </c>
      <c r="C597" s="1">
        <v>2013</v>
      </c>
      <c r="D597" s="1" t="s">
        <v>175</v>
      </c>
      <c r="E597" s="1" t="s">
        <v>233</v>
      </c>
      <c r="F597" s="1">
        <v>2020</v>
      </c>
      <c r="G597" s="1" t="s">
        <v>234</v>
      </c>
      <c r="H597" s="1">
        <v>8010000</v>
      </c>
      <c r="I597" s="21">
        <v>5</v>
      </c>
      <c r="J597" s="1">
        <f t="shared" si="20"/>
        <v>67420000</v>
      </c>
      <c r="K597" s="21">
        <v>3728700</v>
      </c>
      <c r="L597" s="21">
        <v>2.64</v>
      </c>
      <c r="M597" s="21">
        <v>114.407</v>
      </c>
    </row>
    <row r="598" spans="1:13">
      <c r="A598" s="1" t="s">
        <v>169</v>
      </c>
      <c r="B598" s="1" t="s">
        <v>170</v>
      </c>
      <c r="C598" s="1">
        <v>2013</v>
      </c>
      <c r="D598" s="1" t="s">
        <v>175</v>
      </c>
      <c r="E598" s="1" t="s">
        <v>233</v>
      </c>
      <c r="F598" s="1">
        <v>2021</v>
      </c>
      <c r="G598" s="1" t="s">
        <v>234</v>
      </c>
      <c r="H598" s="1">
        <v>8190000</v>
      </c>
      <c r="I598" s="21">
        <v>5</v>
      </c>
      <c r="J598" s="1">
        <f t="shared" si="20"/>
        <v>59230000</v>
      </c>
      <c r="K598" s="21">
        <v>3328200</v>
      </c>
      <c r="L598" s="21">
        <v>3</v>
      </c>
      <c r="M598" s="21">
        <v>113.65900000000001</v>
      </c>
    </row>
    <row r="599" spans="1:13">
      <c r="A599" s="1" t="s">
        <v>169</v>
      </c>
      <c r="B599" s="1" t="s">
        <v>170</v>
      </c>
      <c r="C599" s="1">
        <v>2013</v>
      </c>
      <c r="D599" s="1" t="s">
        <v>175</v>
      </c>
      <c r="E599" s="1" t="s">
        <v>233</v>
      </c>
      <c r="F599" s="1">
        <v>2022</v>
      </c>
      <c r="G599" s="1" t="s">
        <v>234</v>
      </c>
      <c r="H599" s="1">
        <v>8530000</v>
      </c>
      <c r="I599" s="21">
        <v>5</v>
      </c>
      <c r="J599" s="1">
        <f t="shared" si="20"/>
        <v>50700000</v>
      </c>
      <c r="K599" s="21">
        <v>2918700</v>
      </c>
      <c r="L599" s="21">
        <v>3.3</v>
      </c>
      <c r="M599" s="21">
        <v>112.764</v>
      </c>
    </row>
    <row r="600" spans="1:13">
      <c r="A600" s="1" t="s">
        <v>169</v>
      </c>
      <c r="B600" s="1" t="s">
        <v>170</v>
      </c>
      <c r="C600" s="1">
        <v>2013</v>
      </c>
      <c r="D600" s="1" t="s">
        <v>175</v>
      </c>
      <c r="E600" s="1" t="s">
        <v>233</v>
      </c>
      <c r="F600" s="1">
        <v>2023</v>
      </c>
      <c r="G600" s="1" t="s">
        <v>234</v>
      </c>
      <c r="H600" s="1">
        <v>8885000</v>
      </c>
      <c r="I600" s="21">
        <v>5</v>
      </c>
      <c r="J600" s="1">
        <f t="shared" si="20"/>
        <v>41815000</v>
      </c>
      <c r="K600" s="21">
        <v>2492200</v>
      </c>
      <c r="L600" s="21">
        <v>3.53</v>
      </c>
      <c r="M600" s="21">
        <v>111.983</v>
      </c>
    </row>
    <row r="601" spans="1:13">
      <c r="A601" s="1" t="s">
        <v>169</v>
      </c>
      <c r="B601" s="1" t="s">
        <v>170</v>
      </c>
      <c r="C601" s="1">
        <v>2013</v>
      </c>
      <c r="D601" s="1" t="s">
        <v>175</v>
      </c>
      <c r="E601" s="1" t="s">
        <v>233</v>
      </c>
      <c r="F601" s="1">
        <v>2024</v>
      </c>
      <c r="G601" s="1" t="s">
        <v>234</v>
      </c>
      <c r="H601" s="1">
        <v>7390000</v>
      </c>
      <c r="I601" s="21">
        <v>5</v>
      </c>
      <c r="J601" s="1">
        <f t="shared" si="20"/>
        <v>34425000</v>
      </c>
      <c r="K601" s="21">
        <v>2047950</v>
      </c>
      <c r="L601" s="21">
        <v>3.75</v>
      </c>
      <c r="M601" s="21">
        <v>110.083</v>
      </c>
    </row>
    <row r="602" spans="1:13">
      <c r="A602" s="1" t="s">
        <v>169</v>
      </c>
      <c r="B602" s="1" t="s">
        <v>170</v>
      </c>
      <c r="C602" s="1">
        <v>2013</v>
      </c>
      <c r="D602" s="1" t="s">
        <v>175</v>
      </c>
      <c r="E602" s="1" t="s">
        <v>233</v>
      </c>
      <c r="F602" s="1">
        <v>2025</v>
      </c>
      <c r="G602" s="1" t="s">
        <v>234</v>
      </c>
      <c r="H602" s="1">
        <v>7840000</v>
      </c>
      <c r="I602" s="21">
        <v>5</v>
      </c>
      <c r="J602" s="1">
        <f t="shared" si="20"/>
        <v>26585000</v>
      </c>
      <c r="K602" s="21">
        <v>1678450</v>
      </c>
      <c r="L602" s="21">
        <v>3.86</v>
      </c>
      <c r="M602" s="21">
        <v>109.14700000000001</v>
      </c>
    </row>
    <row r="603" spans="1:13">
      <c r="A603" s="1" t="s">
        <v>169</v>
      </c>
      <c r="B603" s="1" t="s">
        <v>170</v>
      </c>
      <c r="C603" s="1">
        <v>2013</v>
      </c>
      <c r="D603" s="1" t="s">
        <v>175</v>
      </c>
      <c r="E603" s="1" t="s">
        <v>233</v>
      </c>
      <c r="F603" s="1">
        <v>2026</v>
      </c>
      <c r="G603" s="1" t="s">
        <v>234</v>
      </c>
      <c r="H603" s="1">
        <v>350000</v>
      </c>
      <c r="I603" s="21">
        <v>3.875</v>
      </c>
      <c r="J603" s="1">
        <f t="shared" si="20"/>
        <v>26235000</v>
      </c>
      <c r="K603" s="21">
        <v>1286450</v>
      </c>
      <c r="L603" s="21">
        <v>4.04</v>
      </c>
      <c r="M603" s="21">
        <v>98.367999999999995</v>
      </c>
    </row>
    <row r="604" spans="1:13">
      <c r="A604" s="1" t="s">
        <v>169</v>
      </c>
      <c r="B604" s="1" t="s">
        <v>170</v>
      </c>
      <c r="C604" s="1">
        <v>2013</v>
      </c>
      <c r="D604" s="1" t="s">
        <v>175</v>
      </c>
      <c r="E604" s="1" t="s">
        <v>233</v>
      </c>
      <c r="F604" s="1">
        <v>2027</v>
      </c>
      <c r="G604" s="1" t="s">
        <v>234</v>
      </c>
      <c r="H604" s="1">
        <v>375000</v>
      </c>
      <c r="I604" s="21">
        <v>4</v>
      </c>
      <c r="J604" s="1">
        <f t="shared" si="20"/>
        <v>25860000</v>
      </c>
      <c r="K604" s="21">
        <v>1272888</v>
      </c>
      <c r="L604" s="21">
        <v>4.16</v>
      </c>
      <c r="M604" s="21">
        <v>98.335999999999999</v>
      </c>
    </row>
    <row r="605" spans="1:13">
      <c r="A605" s="1" t="s">
        <v>169</v>
      </c>
      <c r="B605" s="1" t="s">
        <v>170</v>
      </c>
      <c r="C605" s="1">
        <v>2013</v>
      </c>
      <c r="D605" s="1" t="s">
        <v>175</v>
      </c>
      <c r="E605" s="1" t="s">
        <v>233</v>
      </c>
      <c r="F605" s="1">
        <v>2028</v>
      </c>
      <c r="G605" s="1" t="s">
        <v>234</v>
      </c>
      <c r="H605" s="1">
        <v>360000</v>
      </c>
      <c r="I605" s="21">
        <v>4.125</v>
      </c>
      <c r="J605" s="1">
        <f t="shared" si="20"/>
        <v>25500000</v>
      </c>
      <c r="K605" s="21">
        <v>1257888</v>
      </c>
      <c r="L605" s="21">
        <v>4.3099999999999996</v>
      </c>
      <c r="M605" s="21">
        <v>97.995000000000005</v>
      </c>
    </row>
    <row r="606" spans="1:13">
      <c r="A606" s="1" t="s">
        <v>169</v>
      </c>
      <c r="B606" s="1" t="s">
        <v>170</v>
      </c>
      <c r="C606" s="1">
        <v>2013</v>
      </c>
      <c r="D606" s="1" t="s">
        <v>175</v>
      </c>
      <c r="E606" s="1" t="s">
        <v>233</v>
      </c>
      <c r="F606" s="1">
        <v>2029</v>
      </c>
      <c r="G606" s="1" t="s">
        <v>234</v>
      </c>
      <c r="H606" s="1">
        <v>385000</v>
      </c>
      <c r="I606" s="21">
        <v>4.25</v>
      </c>
      <c r="J606" s="1">
        <f t="shared" si="20"/>
        <v>25115000</v>
      </c>
      <c r="K606" s="21">
        <v>1243038</v>
      </c>
      <c r="L606" s="21">
        <v>4.43</v>
      </c>
      <c r="M606" s="21">
        <v>97.972999999999999</v>
      </c>
    </row>
    <row r="607" spans="1:13">
      <c r="A607" s="1" t="s">
        <v>169</v>
      </c>
      <c r="B607" s="1" t="s">
        <v>170</v>
      </c>
      <c r="C607" s="1">
        <v>2013</v>
      </c>
      <c r="D607" s="1" t="s">
        <v>175</v>
      </c>
      <c r="E607" s="1" t="s">
        <v>233</v>
      </c>
      <c r="F607" s="1">
        <v>2030</v>
      </c>
      <c r="G607" s="1" t="s">
        <v>234</v>
      </c>
      <c r="H607" s="1">
        <v>9535000</v>
      </c>
      <c r="I607" s="21">
        <v>5</v>
      </c>
      <c r="J607" s="1">
        <f t="shared" si="20"/>
        <v>15580000</v>
      </c>
      <c r="K607" s="21">
        <v>1226675</v>
      </c>
      <c r="L607" s="21">
        <v>4.5</v>
      </c>
      <c r="M607" s="21">
        <v>103.889</v>
      </c>
    </row>
    <row r="608" spans="1:13">
      <c r="A608" s="1" t="s">
        <v>169</v>
      </c>
      <c r="B608" s="1" t="s">
        <v>170</v>
      </c>
      <c r="C608" s="1">
        <v>2013</v>
      </c>
      <c r="D608" s="1" t="s">
        <v>175</v>
      </c>
      <c r="E608" s="1" t="s">
        <v>233</v>
      </c>
      <c r="F608" s="1">
        <v>2031</v>
      </c>
      <c r="G608" s="1" t="s">
        <v>234</v>
      </c>
      <c r="H608" s="1">
        <v>9765000</v>
      </c>
      <c r="I608" s="21">
        <v>5</v>
      </c>
      <c r="J608" s="1">
        <f t="shared" si="20"/>
        <v>5815000</v>
      </c>
      <c r="K608" s="21">
        <v>749925</v>
      </c>
      <c r="L608" s="21">
        <v>4.59</v>
      </c>
      <c r="M608" s="21">
        <v>103.17400000000001</v>
      </c>
    </row>
    <row r="609" spans="1:13">
      <c r="A609" s="1" t="s">
        <v>169</v>
      </c>
      <c r="B609" s="1" t="s">
        <v>170</v>
      </c>
      <c r="C609" s="1">
        <v>2013</v>
      </c>
      <c r="D609" s="1" t="s">
        <v>175</v>
      </c>
      <c r="E609" s="1" t="s">
        <v>233</v>
      </c>
      <c r="F609" s="1">
        <v>2032</v>
      </c>
      <c r="G609" s="1" t="s">
        <v>234</v>
      </c>
      <c r="H609" s="1">
        <v>2860000</v>
      </c>
      <c r="I609" s="21">
        <v>4.5</v>
      </c>
      <c r="J609" s="1">
        <f t="shared" si="20"/>
        <v>2955000</v>
      </c>
      <c r="K609" s="21">
        <v>261675</v>
      </c>
      <c r="L609" s="21">
        <v>4.66</v>
      </c>
      <c r="M609" s="21">
        <v>98.01</v>
      </c>
    </row>
    <row r="610" spans="1:13">
      <c r="A610" s="1" t="s">
        <v>169</v>
      </c>
      <c r="B610" s="1" t="s">
        <v>170</v>
      </c>
      <c r="C610" s="1">
        <v>2013</v>
      </c>
      <c r="D610" s="1" t="s">
        <v>175</v>
      </c>
      <c r="E610" s="1" t="s">
        <v>233</v>
      </c>
      <c r="F610" s="1">
        <v>2033</v>
      </c>
      <c r="G610" s="1" t="s">
        <v>234</v>
      </c>
      <c r="H610" s="1">
        <v>2955000</v>
      </c>
      <c r="I610" s="21">
        <v>4.5</v>
      </c>
      <c r="J610" s="1">
        <f t="shared" si="20"/>
        <v>0</v>
      </c>
      <c r="K610" s="21">
        <v>132975</v>
      </c>
      <c r="L610" s="21">
        <v>4.71</v>
      </c>
      <c r="M610" s="21">
        <v>97.316000000000003</v>
      </c>
    </row>
    <row r="611" spans="1:13">
      <c r="A611" s="1" t="s">
        <v>169</v>
      </c>
      <c r="B611" s="1" t="s">
        <v>170</v>
      </c>
      <c r="C611" s="1">
        <v>2013</v>
      </c>
      <c r="D611" s="1" t="s">
        <v>182</v>
      </c>
      <c r="E611" s="1" t="s">
        <v>233</v>
      </c>
      <c r="F611" s="1">
        <v>2013</v>
      </c>
      <c r="G611" s="1" t="s">
        <v>234</v>
      </c>
      <c r="H611" s="1">
        <v>0</v>
      </c>
      <c r="I611" s="21" t="s">
        <v>174</v>
      </c>
      <c r="J611" s="1">
        <f>86695000-H611</f>
        <v>86695000</v>
      </c>
      <c r="K611" s="21">
        <v>0</v>
      </c>
      <c r="L611" s="21" t="s">
        <v>174</v>
      </c>
      <c r="M611" s="21" t="s">
        <v>174</v>
      </c>
    </row>
    <row r="612" spans="1:13">
      <c r="A612" s="1" t="s">
        <v>169</v>
      </c>
      <c r="B612" s="1" t="s">
        <v>170</v>
      </c>
      <c r="C612" s="1">
        <v>2013</v>
      </c>
      <c r="D612" s="1" t="s">
        <v>182</v>
      </c>
      <c r="E612" s="1" t="s">
        <v>233</v>
      </c>
      <c r="F612" s="1">
        <v>2014</v>
      </c>
      <c r="G612" s="1" t="s">
        <v>234</v>
      </c>
      <c r="H612" s="1">
        <v>0</v>
      </c>
      <c r="I612" s="21" t="s">
        <v>174</v>
      </c>
      <c r="J612" s="1">
        <f t="shared" si="20"/>
        <v>86695000</v>
      </c>
      <c r="K612" s="21">
        <v>2987785</v>
      </c>
      <c r="L612" s="21" t="s">
        <v>174</v>
      </c>
      <c r="M612" s="21" t="s">
        <v>174</v>
      </c>
    </row>
    <row r="613" spans="1:13">
      <c r="A613" s="1" t="s">
        <v>169</v>
      </c>
      <c r="B613" s="1" t="s">
        <v>170</v>
      </c>
      <c r="C613" s="1">
        <v>2013</v>
      </c>
      <c r="D613" s="1" t="s">
        <v>182</v>
      </c>
      <c r="E613" s="1" t="s">
        <v>233</v>
      </c>
      <c r="F613" s="1">
        <v>2015</v>
      </c>
      <c r="G613" s="1" t="s">
        <v>234</v>
      </c>
      <c r="H613" s="1">
        <v>1815000</v>
      </c>
      <c r="I613" s="21">
        <v>3</v>
      </c>
      <c r="J613" s="1">
        <f t="shared" si="20"/>
        <v>84880000</v>
      </c>
      <c r="K613" s="21">
        <v>4251394</v>
      </c>
      <c r="L613" s="21">
        <v>0.54</v>
      </c>
      <c r="M613" s="21">
        <v>104.163</v>
      </c>
    </row>
    <row r="614" spans="1:13">
      <c r="A614" s="1" t="s">
        <v>169</v>
      </c>
      <c r="B614" s="1" t="s">
        <v>170</v>
      </c>
      <c r="C614" s="1">
        <v>2013</v>
      </c>
      <c r="D614" s="1" t="s">
        <v>182</v>
      </c>
      <c r="E614" s="1" t="s">
        <v>233</v>
      </c>
      <c r="F614" s="1">
        <v>2016</v>
      </c>
      <c r="G614" s="1" t="s">
        <v>234</v>
      </c>
      <c r="H614" s="1">
        <v>1860000</v>
      </c>
      <c r="I614" s="21">
        <v>3</v>
      </c>
      <c r="J614" s="1">
        <f t="shared" si="20"/>
        <v>83020000</v>
      </c>
      <c r="K614" s="21">
        <v>4196944</v>
      </c>
      <c r="L614" s="21">
        <v>0.78</v>
      </c>
      <c r="M614" s="21">
        <v>105.925</v>
      </c>
    </row>
    <row r="615" spans="1:13">
      <c r="A615" s="1" t="s">
        <v>169</v>
      </c>
      <c r="B615" s="1" t="s">
        <v>170</v>
      </c>
      <c r="C615" s="1">
        <v>2013</v>
      </c>
      <c r="D615" s="1" t="s">
        <v>182</v>
      </c>
      <c r="E615" s="1" t="s">
        <v>233</v>
      </c>
      <c r="F615" s="1">
        <v>2017</v>
      </c>
      <c r="G615" s="1" t="s">
        <v>234</v>
      </c>
      <c r="H615" s="1">
        <v>1920000</v>
      </c>
      <c r="I615" s="21">
        <v>4</v>
      </c>
      <c r="J615" s="1">
        <f t="shared" si="20"/>
        <v>81100000</v>
      </c>
      <c r="K615" s="21">
        <v>4141144</v>
      </c>
      <c r="L615" s="21">
        <v>1.1499999999999999</v>
      </c>
      <c r="M615" s="21">
        <v>110.301</v>
      </c>
    </row>
    <row r="616" spans="1:13">
      <c r="A616" s="1" t="s">
        <v>169</v>
      </c>
      <c r="B616" s="1" t="s">
        <v>170</v>
      </c>
      <c r="C616" s="1">
        <v>2013</v>
      </c>
      <c r="D616" s="1" t="s">
        <v>182</v>
      </c>
      <c r="E616" s="1" t="s">
        <v>233</v>
      </c>
      <c r="F616" s="1">
        <v>2018</v>
      </c>
      <c r="G616" s="1" t="s">
        <v>234</v>
      </c>
      <c r="H616" s="1">
        <v>1995000</v>
      </c>
      <c r="I616" s="21">
        <v>4</v>
      </c>
      <c r="J616" s="1">
        <f t="shared" si="20"/>
        <v>79105000</v>
      </c>
      <c r="K616" s="21">
        <v>4064344</v>
      </c>
      <c r="L616" s="21">
        <v>1.6</v>
      </c>
      <c r="M616" s="21">
        <v>110.828</v>
      </c>
    </row>
    <row r="617" spans="1:13">
      <c r="A617" s="1" t="s">
        <v>169</v>
      </c>
      <c r="B617" s="1" t="s">
        <v>170</v>
      </c>
      <c r="C617" s="1">
        <v>2013</v>
      </c>
      <c r="D617" s="1" t="s">
        <v>182</v>
      </c>
      <c r="E617" s="1" t="s">
        <v>233</v>
      </c>
      <c r="F617" s="1">
        <v>2019</v>
      </c>
      <c r="G617" s="1" t="s">
        <v>234</v>
      </c>
      <c r="H617" s="1">
        <v>2075000</v>
      </c>
      <c r="I617" s="21">
        <v>5</v>
      </c>
      <c r="J617" s="1">
        <f t="shared" si="20"/>
        <v>77030000</v>
      </c>
      <c r="K617" s="21">
        <v>3984544</v>
      </c>
      <c r="L617" s="21">
        <v>2.12</v>
      </c>
      <c r="M617" s="21">
        <v>115.39</v>
      </c>
    </row>
    <row r="618" spans="1:13">
      <c r="A618" s="1" t="s">
        <v>169</v>
      </c>
      <c r="B618" s="1" t="s">
        <v>170</v>
      </c>
      <c r="C618" s="1">
        <v>2013</v>
      </c>
      <c r="D618" s="1" t="s">
        <v>182</v>
      </c>
      <c r="E618" s="1" t="s">
        <v>233</v>
      </c>
      <c r="F618" s="1">
        <v>2020</v>
      </c>
      <c r="G618" s="1" t="s">
        <v>234</v>
      </c>
      <c r="H618" s="1">
        <v>2180000</v>
      </c>
      <c r="I618" s="21">
        <v>5</v>
      </c>
      <c r="J618" s="1">
        <f t="shared" si="20"/>
        <v>74850000</v>
      </c>
      <c r="K618" s="21">
        <v>3880794</v>
      </c>
      <c r="L618" s="21">
        <v>2.64</v>
      </c>
      <c r="M618" s="21">
        <v>114.407</v>
      </c>
    </row>
    <row r="619" spans="1:13">
      <c r="A619" s="1" t="s">
        <v>169</v>
      </c>
      <c r="B619" s="1" t="s">
        <v>170</v>
      </c>
      <c r="C619" s="1">
        <v>2013</v>
      </c>
      <c r="D619" s="1" t="s">
        <v>182</v>
      </c>
      <c r="E619" s="1" t="s">
        <v>233</v>
      </c>
      <c r="F619" s="1">
        <v>2021</v>
      </c>
      <c r="G619" s="1" t="s">
        <v>234</v>
      </c>
      <c r="H619" s="1">
        <v>2285000</v>
      </c>
      <c r="I619" s="21">
        <v>5</v>
      </c>
      <c r="J619" s="1">
        <f t="shared" si="20"/>
        <v>72565000</v>
      </c>
      <c r="K619" s="21">
        <v>3771794</v>
      </c>
      <c r="L619" s="21">
        <v>3</v>
      </c>
      <c r="M619" s="21">
        <v>113.65900000000001</v>
      </c>
    </row>
    <row r="620" spans="1:13">
      <c r="A620" s="1" t="s">
        <v>169</v>
      </c>
      <c r="B620" s="1" t="s">
        <v>170</v>
      </c>
      <c r="C620" s="1">
        <v>2013</v>
      </c>
      <c r="D620" s="1" t="s">
        <v>182</v>
      </c>
      <c r="E620" s="1" t="s">
        <v>233</v>
      </c>
      <c r="F620" s="1">
        <v>2022</v>
      </c>
      <c r="G620" s="1" t="s">
        <v>234</v>
      </c>
      <c r="H620" s="1">
        <v>2400000</v>
      </c>
      <c r="I620" s="21">
        <v>5</v>
      </c>
      <c r="J620" s="1">
        <f t="shared" si="20"/>
        <v>70165000</v>
      </c>
      <c r="K620" s="21">
        <v>3657544</v>
      </c>
      <c r="L620" s="21">
        <v>3.3</v>
      </c>
      <c r="M620" s="21">
        <v>112.764</v>
      </c>
    </row>
    <row r="621" spans="1:13">
      <c r="A621" s="1" t="s">
        <v>169</v>
      </c>
      <c r="B621" s="1" t="s">
        <v>170</v>
      </c>
      <c r="C621" s="1">
        <v>2013</v>
      </c>
      <c r="D621" s="1" t="s">
        <v>182</v>
      </c>
      <c r="E621" s="1" t="s">
        <v>233</v>
      </c>
      <c r="F621" s="1">
        <v>2023</v>
      </c>
      <c r="G621" s="1" t="s">
        <v>234</v>
      </c>
      <c r="H621" s="1">
        <v>2520000</v>
      </c>
      <c r="I621" s="21">
        <v>5</v>
      </c>
      <c r="J621" s="1">
        <f t="shared" si="20"/>
        <v>67645000</v>
      </c>
      <c r="K621" s="21">
        <v>3537544</v>
      </c>
      <c r="L621" s="21">
        <v>3.53</v>
      </c>
      <c r="M621" s="21">
        <v>111.983</v>
      </c>
    </row>
    <row r="622" spans="1:13">
      <c r="A622" s="1" t="s">
        <v>169</v>
      </c>
      <c r="B622" s="1" t="s">
        <v>170</v>
      </c>
      <c r="C622" s="1">
        <v>2013</v>
      </c>
      <c r="D622" s="1" t="s">
        <v>182</v>
      </c>
      <c r="E622" s="1" t="s">
        <v>233</v>
      </c>
      <c r="F622" s="1">
        <v>2024</v>
      </c>
      <c r="G622" s="1" t="s">
        <v>234</v>
      </c>
      <c r="H622" s="1">
        <v>2645000</v>
      </c>
      <c r="I622" s="21">
        <v>5</v>
      </c>
      <c r="J622" s="1">
        <f t="shared" si="20"/>
        <v>65000000</v>
      </c>
      <c r="K622" s="21">
        <v>3411544</v>
      </c>
      <c r="L622" s="21">
        <v>3.75</v>
      </c>
      <c r="M622" s="21">
        <v>110.083</v>
      </c>
    </row>
    <row r="623" spans="1:13">
      <c r="A623" s="1" t="s">
        <v>169</v>
      </c>
      <c r="B623" s="1" t="s">
        <v>170</v>
      </c>
      <c r="C623" s="1">
        <v>2013</v>
      </c>
      <c r="D623" s="1" t="s">
        <v>182</v>
      </c>
      <c r="E623" s="1" t="s">
        <v>233</v>
      </c>
      <c r="F623" s="1">
        <v>2025</v>
      </c>
      <c r="G623" s="1" t="s">
        <v>234</v>
      </c>
      <c r="H623" s="1">
        <v>2780000</v>
      </c>
      <c r="I623" s="21">
        <v>5</v>
      </c>
      <c r="J623" s="1">
        <f t="shared" si="20"/>
        <v>62220000</v>
      </c>
      <c r="K623" s="21">
        <v>3279294</v>
      </c>
      <c r="L623" s="21">
        <v>3.86</v>
      </c>
      <c r="M623" s="21">
        <v>109.14700000000001</v>
      </c>
    </row>
    <row r="624" spans="1:13">
      <c r="A624" s="1" t="s">
        <v>169</v>
      </c>
      <c r="B624" s="1" t="s">
        <v>170</v>
      </c>
      <c r="C624" s="1">
        <v>2013</v>
      </c>
      <c r="D624" s="1" t="s">
        <v>182</v>
      </c>
      <c r="E624" s="1" t="s">
        <v>233</v>
      </c>
      <c r="F624" s="1">
        <v>2026</v>
      </c>
      <c r="G624" s="1" t="s">
        <v>234</v>
      </c>
      <c r="H624" s="1">
        <v>2920000</v>
      </c>
      <c r="I624" s="21">
        <v>4</v>
      </c>
      <c r="J624" s="1">
        <f t="shared" si="20"/>
        <v>59300000</v>
      </c>
      <c r="K624" s="21">
        <v>3140294</v>
      </c>
      <c r="L624" s="21">
        <v>4.12</v>
      </c>
      <c r="M624" s="21">
        <v>98.816999999999993</v>
      </c>
    </row>
    <row r="625" spans="1:13">
      <c r="A625" s="1" t="s">
        <v>169</v>
      </c>
      <c r="B625" s="1" t="s">
        <v>170</v>
      </c>
      <c r="C625" s="1">
        <v>2013</v>
      </c>
      <c r="D625" s="1" t="s">
        <v>182</v>
      </c>
      <c r="E625" s="1" t="s">
        <v>233</v>
      </c>
      <c r="F625" s="1">
        <v>2027</v>
      </c>
      <c r="G625" s="1" t="s">
        <v>234</v>
      </c>
      <c r="H625" s="1">
        <v>3035000</v>
      </c>
      <c r="I625" s="21">
        <v>5</v>
      </c>
      <c r="J625" s="1">
        <f t="shared" si="20"/>
        <v>56265000</v>
      </c>
      <c r="K625" s="21">
        <v>3023494</v>
      </c>
      <c r="L625" s="21">
        <v>4.1500000000000004</v>
      </c>
      <c r="M625" s="21">
        <v>106.726</v>
      </c>
    </row>
    <row r="626" spans="1:13">
      <c r="A626" s="1" t="s">
        <v>169</v>
      </c>
      <c r="B626" s="1" t="s">
        <v>170</v>
      </c>
      <c r="C626" s="1">
        <v>2013</v>
      </c>
      <c r="D626" s="1" t="s">
        <v>182</v>
      </c>
      <c r="E626" s="1" t="s">
        <v>233</v>
      </c>
      <c r="F626" s="1">
        <v>2028</v>
      </c>
      <c r="G626" s="1" t="s">
        <v>234</v>
      </c>
      <c r="H626" s="1">
        <v>3185000</v>
      </c>
      <c r="I626" s="21">
        <v>4.125</v>
      </c>
      <c r="J626" s="1">
        <f t="shared" si="20"/>
        <v>53080000</v>
      </c>
      <c r="K626" s="21">
        <v>2871744</v>
      </c>
      <c r="L626" s="21">
        <v>4.3099999999999996</v>
      </c>
      <c r="M626" s="21">
        <v>97.995000000000005</v>
      </c>
    </row>
    <row r="627" spans="1:13">
      <c r="A627" s="1" t="s">
        <v>169</v>
      </c>
      <c r="B627" s="1" t="s">
        <v>170</v>
      </c>
      <c r="C627" s="1">
        <v>2013</v>
      </c>
      <c r="D627" s="1" t="s">
        <v>182</v>
      </c>
      <c r="E627" s="1" t="s">
        <v>233</v>
      </c>
      <c r="F627" s="1">
        <v>2029</v>
      </c>
      <c r="G627" s="1" t="s">
        <v>234</v>
      </c>
      <c r="H627" s="1">
        <v>3320000</v>
      </c>
      <c r="I627" s="21">
        <v>5</v>
      </c>
      <c r="J627" s="1">
        <f t="shared" si="20"/>
        <v>49760000</v>
      </c>
      <c r="K627" s="21">
        <v>2740363</v>
      </c>
      <c r="L627" s="21">
        <v>4.3899999999999997</v>
      </c>
      <c r="M627" s="21">
        <v>104.771</v>
      </c>
    </row>
    <row r="628" spans="1:13">
      <c r="A628" s="1" t="s">
        <v>169</v>
      </c>
      <c r="B628" s="1" t="s">
        <v>170</v>
      </c>
      <c r="C628" s="1">
        <v>2013</v>
      </c>
      <c r="D628" s="1" t="s">
        <v>182</v>
      </c>
      <c r="E628" s="1" t="s">
        <v>233</v>
      </c>
      <c r="F628" s="1">
        <v>2030</v>
      </c>
      <c r="G628" s="1" t="s">
        <v>234</v>
      </c>
      <c r="H628" s="1">
        <v>3485000</v>
      </c>
      <c r="I628" s="21">
        <v>5.25</v>
      </c>
      <c r="J628" s="1">
        <f t="shared" si="20"/>
        <v>46275000</v>
      </c>
      <c r="K628" s="21">
        <v>2574363</v>
      </c>
      <c r="L628" s="21">
        <v>4.45</v>
      </c>
      <c r="M628" s="21">
        <v>106.241</v>
      </c>
    </row>
    <row r="629" spans="1:13">
      <c r="A629" s="1" t="s">
        <v>169</v>
      </c>
      <c r="B629" s="1" t="s">
        <v>170</v>
      </c>
      <c r="C629" s="1">
        <v>2013</v>
      </c>
      <c r="D629" s="1" t="s">
        <v>182</v>
      </c>
      <c r="E629" s="1" t="s">
        <v>233</v>
      </c>
      <c r="F629" s="1">
        <v>2031</v>
      </c>
      <c r="G629" s="1" t="s">
        <v>234</v>
      </c>
      <c r="H629" s="1">
        <v>3665000</v>
      </c>
      <c r="I629" s="21">
        <v>5</v>
      </c>
      <c r="J629" s="1">
        <f t="shared" si="20"/>
        <v>42610000</v>
      </c>
      <c r="K629" s="21">
        <v>2391400</v>
      </c>
      <c r="L629" s="21">
        <v>4.59</v>
      </c>
      <c r="M629" s="21">
        <v>103.17400000000001</v>
      </c>
    </row>
    <row r="630" spans="1:13">
      <c r="A630" s="1" t="s">
        <v>169</v>
      </c>
      <c r="B630" s="1" t="s">
        <v>170</v>
      </c>
      <c r="C630" s="1">
        <v>2013</v>
      </c>
      <c r="D630" s="1" t="s">
        <v>182</v>
      </c>
      <c r="E630" s="1" t="s">
        <v>233</v>
      </c>
      <c r="F630" s="1">
        <v>2032</v>
      </c>
      <c r="G630" s="1" t="s">
        <v>234</v>
      </c>
      <c r="H630" s="1">
        <v>3850000</v>
      </c>
      <c r="I630" s="21">
        <v>4.5</v>
      </c>
      <c r="J630" s="1">
        <f t="shared" si="20"/>
        <v>38760000</v>
      </c>
      <c r="K630" s="21">
        <v>2208150</v>
      </c>
      <c r="L630" s="21">
        <v>4.66</v>
      </c>
      <c r="M630" s="21">
        <v>98.01</v>
      </c>
    </row>
    <row r="631" spans="1:13">
      <c r="A631" s="1" t="s">
        <v>169</v>
      </c>
      <c r="B631" s="1" t="s">
        <v>170</v>
      </c>
      <c r="C631" s="1">
        <v>2013</v>
      </c>
      <c r="D631" s="1" t="s">
        <v>182</v>
      </c>
      <c r="E631" s="1" t="s">
        <v>235</v>
      </c>
      <c r="F631" s="1">
        <v>2033</v>
      </c>
      <c r="G631" s="1" t="s">
        <v>234</v>
      </c>
      <c r="H631" s="1">
        <v>4025000</v>
      </c>
      <c r="I631" s="21">
        <v>5.25</v>
      </c>
      <c r="J631" s="1">
        <f t="shared" si="20"/>
        <v>34735000</v>
      </c>
      <c r="K631" s="21">
        <v>2034900</v>
      </c>
      <c r="L631" s="21">
        <v>4.93</v>
      </c>
      <c r="M631" s="21">
        <v>102.43600000000001</v>
      </c>
    </row>
    <row r="632" spans="1:13">
      <c r="A632" s="1" t="s">
        <v>169</v>
      </c>
      <c r="B632" s="1" t="s">
        <v>170</v>
      </c>
      <c r="C632" s="1">
        <v>2013</v>
      </c>
      <c r="D632" s="1" t="s">
        <v>182</v>
      </c>
      <c r="E632" s="1" t="s">
        <v>235</v>
      </c>
      <c r="F632" s="1">
        <v>2034</v>
      </c>
      <c r="G632" s="1" t="s">
        <v>234</v>
      </c>
      <c r="H632" s="1">
        <v>4235000</v>
      </c>
      <c r="I632" s="21">
        <v>5.25</v>
      </c>
      <c r="J632" s="1">
        <f t="shared" ref="J632:J653" si="21">J631-H632</f>
        <v>30500000</v>
      </c>
      <c r="K632" s="21">
        <v>1823588</v>
      </c>
      <c r="L632" s="21">
        <v>4.93</v>
      </c>
      <c r="M632" s="21">
        <v>102.43600000000001</v>
      </c>
    </row>
    <row r="633" spans="1:13">
      <c r="A633" s="1" t="s">
        <v>169</v>
      </c>
      <c r="B633" s="1" t="s">
        <v>170</v>
      </c>
      <c r="C633" s="1">
        <v>2013</v>
      </c>
      <c r="D633" s="1" t="s">
        <v>182</v>
      </c>
      <c r="E633" s="1" t="s">
        <v>235</v>
      </c>
      <c r="F633" s="1">
        <v>2035</v>
      </c>
      <c r="G633" s="1" t="s">
        <v>234</v>
      </c>
      <c r="H633" s="1">
        <v>4455000</v>
      </c>
      <c r="I633" s="21">
        <v>5.25</v>
      </c>
      <c r="J633" s="1">
        <f t="shared" si="21"/>
        <v>26045000</v>
      </c>
      <c r="K633" s="21">
        <v>1601250</v>
      </c>
      <c r="L633" s="21">
        <v>4.93</v>
      </c>
      <c r="M633" s="21">
        <v>102.43600000000001</v>
      </c>
    </row>
    <row r="634" spans="1:13">
      <c r="A634" s="1" t="s">
        <v>169</v>
      </c>
      <c r="B634" s="1" t="s">
        <v>170</v>
      </c>
      <c r="C634" s="1">
        <v>2013</v>
      </c>
      <c r="D634" s="1" t="s">
        <v>182</v>
      </c>
      <c r="E634" s="1" t="s">
        <v>235</v>
      </c>
      <c r="F634" s="1">
        <v>2036</v>
      </c>
      <c r="G634" s="1" t="s">
        <v>234</v>
      </c>
      <c r="H634" s="1">
        <v>4690000</v>
      </c>
      <c r="I634" s="21">
        <v>5.25</v>
      </c>
      <c r="J634" s="1">
        <f t="shared" si="21"/>
        <v>21355000</v>
      </c>
      <c r="K634" s="21">
        <v>1367363</v>
      </c>
      <c r="L634" s="21">
        <v>4.93</v>
      </c>
      <c r="M634" s="21">
        <v>102.43600000000001</v>
      </c>
    </row>
    <row r="635" spans="1:13">
      <c r="A635" s="1" t="s">
        <v>169</v>
      </c>
      <c r="B635" s="1" t="s">
        <v>170</v>
      </c>
      <c r="C635" s="1">
        <v>2013</v>
      </c>
      <c r="D635" s="1" t="s">
        <v>182</v>
      </c>
      <c r="E635" s="1" t="s">
        <v>235</v>
      </c>
      <c r="F635" s="1">
        <v>2037</v>
      </c>
      <c r="G635" s="1" t="s">
        <v>234</v>
      </c>
      <c r="H635" s="1">
        <v>4935000</v>
      </c>
      <c r="I635" s="21">
        <v>5.25</v>
      </c>
      <c r="J635" s="1">
        <f t="shared" si="21"/>
        <v>16420000</v>
      </c>
      <c r="K635" s="21">
        <v>1121138</v>
      </c>
      <c r="L635" s="21">
        <v>5.0599999999999996</v>
      </c>
      <c r="M635" s="21">
        <v>101.434</v>
      </c>
    </row>
    <row r="636" spans="1:13">
      <c r="A636" s="1" t="s">
        <v>169</v>
      </c>
      <c r="B636" s="1" t="s">
        <v>170</v>
      </c>
      <c r="C636" s="1">
        <v>2013</v>
      </c>
      <c r="D636" s="1" t="s">
        <v>182</v>
      </c>
      <c r="E636" s="1" t="s">
        <v>235</v>
      </c>
      <c r="F636" s="1">
        <v>2038</v>
      </c>
      <c r="G636" s="1" t="s">
        <v>234</v>
      </c>
      <c r="H636" s="1">
        <v>5195000</v>
      </c>
      <c r="I636" s="21">
        <v>5.25</v>
      </c>
      <c r="J636" s="1">
        <f t="shared" si="21"/>
        <v>11225000</v>
      </c>
      <c r="K636" s="21">
        <v>862050</v>
      </c>
      <c r="L636" s="21">
        <v>5.0599999999999996</v>
      </c>
      <c r="M636" s="21">
        <v>101.434</v>
      </c>
    </row>
    <row r="637" spans="1:13">
      <c r="A637" s="1" t="s">
        <v>169</v>
      </c>
      <c r="B637" s="1" t="s">
        <v>170</v>
      </c>
      <c r="C637" s="1">
        <v>2013</v>
      </c>
      <c r="D637" s="1" t="s">
        <v>182</v>
      </c>
      <c r="E637" s="1" t="s">
        <v>235</v>
      </c>
      <c r="F637" s="1">
        <v>2039</v>
      </c>
      <c r="G637" s="1" t="s">
        <v>234</v>
      </c>
      <c r="H637" s="1">
        <v>5470000</v>
      </c>
      <c r="I637" s="21">
        <v>5.25</v>
      </c>
      <c r="J637" s="1">
        <f t="shared" si="21"/>
        <v>5755000</v>
      </c>
      <c r="K637" s="21">
        <v>589313</v>
      </c>
      <c r="L637" s="21">
        <v>5.0599999999999996</v>
      </c>
      <c r="M637" s="21">
        <v>101.434</v>
      </c>
    </row>
    <row r="638" spans="1:13">
      <c r="A638" s="1" t="s">
        <v>169</v>
      </c>
      <c r="B638" s="1" t="s">
        <v>170</v>
      </c>
      <c r="C638" s="1">
        <v>2013</v>
      </c>
      <c r="D638" s="1" t="s">
        <v>182</v>
      </c>
      <c r="E638" s="1" t="s">
        <v>235</v>
      </c>
      <c r="F638" s="1">
        <v>2040</v>
      </c>
      <c r="G638" s="1" t="s">
        <v>234</v>
      </c>
      <c r="H638" s="1">
        <v>5755000</v>
      </c>
      <c r="I638" s="21">
        <v>5.25</v>
      </c>
      <c r="J638" s="1">
        <f t="shared" si="21"/>
        <v>0</v>
      </c>
      <c r="K638" s="21">
        <v>302138</v>
      </c>
      <c r="L638" s="21">
        <v>5.0599999999999996</v>
      </c>
      <c r="M638" s="21">
        <v>101.434</v>
      </c>
    </row>
    <row r="639" spans="1:13">
      <c r="A639" s="1" t="s">
        <v>169</v>
      </c>
      <c r="B639" s="1" t="s">
        <v>170</v>
      </c>
      <c r="C639" s="1">
        <v>2017</v>
      </c>
      <c r="D639" s="1" t="s">
        <v>175</v>
      </c>
      <c r="E639" s="1" t="s">
        <v>233</v>
      </c>
      <c r="F639" s="1">
        <v>2018</v>
      </c>
      <c r="G639" s="1" t="s">
        <v>234</v>
      </c>
      <c r="H639" s="1">
        <v>7925000</v>
      </c>
      <c r="I639" s="21">
        <v>5</v>
      </c>
      <c r="J639" s="1">
        <f>159795000-H639</f>
        <v>151870000</v>
      </c>
      <c r="K639" s="21">
        <v>5424410</v>
      </c>
      <c r="L639" s="21">
        <v>1.34</v>
      </c>
      <c r="M639" s="21">
        <v>102.51900000000001</v>
      </c>
    </row>
    <row r="640" spans="1:13">
      <c r="A640" s="1" t="s">
        <v>169</v>
      </c>
      <c r="B640" s="1" t="s">
        <v>170</v>
      </c>
      <c r="C640" s="1">
        <v>2017</v>
      </c>
      <c r="D640" s="1" t="s">
        <v>175</v>
      </c>
      <c r="E640" s="1" t="s">
        <v>233</v>
      </c>
      <c r="F640" s="1">
        <v>2019</v>
      </c>
      <c r="G640" s="1" t="s">
        <v>234</v>
      </c>
      <c r="H640" s="1">
        <v>9265000</v>
      </c>
      <c r="I640" s="21">
        <v>5</v>
      </c>
      <c r="J640" s="1">
        <f t="shared" si="21"/>
        <v>142605000</v>
      </c>
      <c r="K640" s="21">
        <v>7414900</v>
      </c>
      <c r="L640" s="21">
        <v>1.45</v>
      </c>
      <c r="M640" s="21">
        <v>105.91800000000001</v>
      </c>
    </row>
    <row r="641" spans="1:13">
      <c r="A641" s="1" t="s">
        <v>169</v>
      </c>
      <c r="B641" s="1" t="s">
        <v>170</v>
      </c>
      <c r="C641" s="1">
        <v>2017</v>
      </c>
      <c r="D641" s="1" t="s">
        <v>175</v>
      </c>
      <c r="E641" s="1" t="s">
        <v>233</v>
      </c>
      <c r="F641" s="1">
        <v>2020</v>
      </c>
      <c r="G641" s="1" t="s">
        <v>234</v>
      </c>
      <c r="H641" s="1">
        <v>12995000</v>
      </c>
      <c r="I641" s="21">
        <v>5</v>
      </c>
      <c r="J641" s="1">
        <f t="shared" si="21"/>
        <v>129610000</v>
      </c>
      <c r="K641" s="21">
        <v>6951650</v>
      </c>
      <c r="L641" s="21">
        <v>1.56</v>
      </c>
      <c r="M641" s="21">
        <v>109.039</v>
      </c>
    </row>
    <row r="642" spans="1:13">
      <c r="A642" s="1" t="s">
        <v>169</v>
      </c>
      <c r="B642" s="1" t="s">
        <v>170</v>
      </c>
      <c r="C642" s="1">
        <v>2017</v>
      </c>
      <c r="D642" s="1" t="s">
        <v>175</v>
      </c>
      <c r="E642" s="1" t="s">
        <v>233</v>
      </c>
      <c r="F642" s="1">
        <v>2021</v>
      </c>
      <c r="G642" s="1" t="s">
        <v>234</v>
      </c>
      <c r="H642" s="1">
        <v>13650000</v>
      </c>
      <c r="I642" s="21">
        <v>5</v>
      </c>
      <c r="J642" s="1">
        <f t="shared" si="21"/>
        <v>115960000</v>
      </c>
      <c r="K642" s="21">
        <v>6301900</v>
      </c>
      <c r="L642" s="21">
        <v>1.72</v>
      </c>
      <c r="M642" s="21">
        <v>111.68899999999999</v>
      </c>
    </row>
    <row r="643" spans="1:13">
      <c r="A643" s="1" t="s">
        <v>169</v>
      </c>
      <c r="B643" s="1" t="s">
        <v>170</v>
      </c>
      <c r="C643" s="1">
        <v>2017</v>
      </c>
      <c r="D643" s="1" t="s">
        <v>175</v>
      </c>
      <c r="E643" s="1" t="s">
        <v>233</v>
      </c>
      <c r="F643" s="1">
        <v>2022</v>
      </c>
      <c r="G643" s="1" t="s">
        <v>234</v>
      </c>
      <c r="H643" s="1">
        <v>14360000</v>
      </c>
      <c r="I643" s="21">
        <v>5</v>
      </c>
      <c r="J643" s="1">
        <f t="shared" si="21"/>
        <v>101600000</v>
      </c>
      <c r="K643" s="21">
        <v>5619400</v>
      </c>
      <c r="L643" s="21">
        <v>1.86</v>
      </c>
      <c r="M643" s="21">
        <v>114.06</v>
      </c>
    </row>
    <row r="644" spans="1:13">
      <c r="A644" s="1" t="s">
        <v>169</v>
      </c>
      <c r="B644" s="1" t="s">
        <v>170</v>
      </c>
      <c r="C644" s="1">
        <v>2017</v>
      </c>
      <c r="D644" s="1" t="s">
        <v>175</v>
      </c>
      <c r="E644" s="1" t="s">
        <v>233</v>
      </c>
      <c r="F644" s="1">
        <v>2023</v>
      </c>
      <c r="G644" s="1" t="s">
        <v>234</v>
      </c>
      <c r="H644" s="1">
        <v>15225000</v>
      </c>
      <c r="I644" s="21">
        <v>5</v>
      </c>
      <c r="J644" s="1">
        <f t="shared" si="21"/>
        <v>86375000</v>
      </c>
      <c r="K644" s="21">
        <v>4901400</v>
      </c>
      <c r="L644" s="21">
        <v>1.98</v>
      </c>
      <c r="M644" s="21">
        <v>116.184</v>
      </c>
    </row>
    <row r="645" spans="1:13">
      <c r="A645" s="1" t="s">
        <v>169</v>
      </c>
      <c r="B645" s="1" t="s">
        <v>170</v>
      </c>
      <c r="C645" s="1">
        <v>2017</v>
      </c>
      <c r="D645" s="1" t="s">
        <v>175</v>
      </c>
      <c r="E645" s="1" t="s">
        <v>233</v>
      </c>
      <c r="F645" s="1">
        <v>2024</v>
      </c>
      <c r="G645" s="1" t="s">
        <v>234</v>
      </c>
      <c r="H645" s="1">
        <v>17180000</v>
      </c>
      <c r="I645" s="21">
        <v>5</v>
      </c>
      <c r="J645" s="1">
        <f t="shared" si="21"/>
        <v>69195000</v>
      </c>
      <c r="K645" s="21">
        <v>4140150</v>
      </c>
      <c r="L645" s="21">
        <v>2.09</v>
      </c>
      <c r="M645" s="21">
        <v>118.08799999999999</v>
      </c>
    </row>
    <row r="646" spans="1:13">
      <c r="A646" s="1" t="s">
        <v>169</v>
      </c>
      <c r="B646" s="1" t="s">
        <v>170</v>
      </c>
      <c r="C646" s="1">
        <v>2017</v>
      </c>
      <c r="D646" s="1" t="s">
        <v>175</v>
      </c>
      <c r="E646" s="1" t="s">
        <v>233</v>
      </c>
      <c r="F646" s="1">
        <v>2025</v>
      </c>
      <c r="G646" s="1" t="s">
        <v>234</v>
      </c>
      <c r="H646" s="1">
        <v>18540000</v>
      </c>
      <c r="I646" s="21">
        <v>5</v>
      </c>
      <c r="J646" s="1">
        <f t="shared" si="21"/>
        <v>50655000</v>
      </c>
      <c r="K646" s="21">
        <v>3281150</v>
      </c>
      <c r="L646" s="21">
        <v>2.21</v>
      </c>
      <c r="M646" s="21">
        <v>119.63800000000001</v>
      </c>
    </row>
    <row r="647" spans="1:13">
      <c r="A647" s="1" t="s">
        <v>169</v>
      </c>
      <c r="B647" s="1" t="s">
        <v>170</v>
      </c>
      <c r="C647" s="1">
        <v>2017</v>
      </c>
      <c r="D647" s="1" t="s">
        <v>175</v>
      </c>
      <c r="E647" s="1" t="s">
        <v>233</v>
      </c>
      <c r="F647" s="1">
        <v>2026</v>
      </c>
      <c r="G647" s="1" t="s">
        <v>234</v>
      </c>
      <c r="H647" s="1">
        <v>28535000</v>
      </c>
      <c r="I647" s="21">
        <v>5</v>
      </c>
      <c r="J647" s="1">
        <f t="shared" si="21"/>
        <v>22120000</v>
      </c>
      <c r="K647" s="21">
        <v>2354150</v>
      </c>
      <c r="L647" s="21">
        <v>2.3199999999999998</v>
      </c>
      <c r="M647" s="21">
        <v>120.988</v>
      </c>
    </row>
    <row r="648" spans="1:13">
      <c r="A648" s="1" t="s">
        <v>169</v>
      </c>
      <c r="B648" s="1" t="s">
        <v>170</v>
      </c>
      <c r="C648" s="1">
        <v>2017</v>
      </c>
      <c r="D648" s="1" t="s">
        <v>175</v>
      </c>
      <c r="E648" s="1" t="s">
        <v>233</v>
      </c>
      <c r="F648" s="1">
        <v>2027</v>
      </c>
      <c r="G648" s="1" t="s">
        <v>234</v>
      </c>
      <c r="H648" s="1">
        <v>3060000</v>
      </c>
      <c r="I648" s="21">
        <v>5</v>
      </c>
      <c r="J648" s="1">
        <f t="shared" si="21"/>
        <v>19060000</v>
      </c>
      <c r="K648" s="21">
        <v>927400</v>
      </c>
      <c r="L648" s="21">
        <v>2.42</v>
      </c>
      <c r="M648" s="21">
        <v>122.17100000000001</v>
      </c>
    </row>
    <row r="649" spans="1:13">
      <c r="A649" s="1" t="s">
        <v>169</v>
      </c>
      <c r="B649" s="1" t="s">
        <v>170</v>
      </c>
      <c r="C649" s="1">
        <v>2017</v>
      </c>
      <c r="D649" s="1" t="s">
        <v>175</v>
      </c>
      <c r="E649" s="1" t="s">
        <v>233</v>
      </c>
      <c r="F649" s="1">
        <v>2028</v>
      </c>
      <c r="G649" s="1" t="s">
        <v>234</v>
      </c>
      <c r="H649" s="1">
        <v>3210000</v>
      </c>
      <c r="I649" s="21">
        <v>5</v>
      </c>
      <c r="J649" s="1">
        <f t="shared" si="21"/>
        <v>15850000</v>
      </c>
      <c r="K649" s="21">
        <v>774400</v>
      </c>
      <c r="L649" s="21">
        <v>2.5299999999999998</v>
      </c>
      <c r="M649" s="21">
        <v>121.113</v>
      </c>
    </row>
    <row r="650" spans="1:13">
      <c r="A650" s="1" t="s">
        <v>169</v>
      </c>
      <c r="B650" s="1" t="s">
        <v>170</v>
      </c>
      <c r="C650" s="1">
        <v>2017</v>
      </c>
      <c r="D650" s="1" t="s">
        <v>175</v>
      </c>
      <c r="E650" s="1" t="s">
        <v>233</v>
      </c>
      <c r="F650" s="1">
        <v>2029</v>
      </c>
      <c r="G650" s="1" t="s">
        <v>234</v>
      </c>
      <c r="H650" s="1">
        <v>3375000</v>
      </c>
      <c r="I650" s="21">
        <v>5</v>
      </c>
      <c r="J650" s="1">
        <f t="shared" si="21"/>
        <v>12475000</v>
      </c>
      <c r="K650" s="21">
        <v>613900</v>
      </c>
      <c r="L650" s="21">
        <v>2.61</v>
      </c>
      <c r="M650" s="21">
        <v>120.35</v>
      </c>
    </row>
    <row r="651" spans="1:13">
      <c r="A651" s="1" t="s">
        <v>169</v>
      </c>
      <c r="B651" s="1" t="s">
        <v>170</v>
      </c>
      <c r="C651" s="1">
        <v>2017</v>
      </c>
      <c r="D651" s="1" t="s">
        <v>175</v>
      </c>
      <c r="E651" s="1" t="s">
        <v>233</v>
      </c>
      <c r="F651" s="1">
        <v>2030</v>
      </c>
      <c r="G651" s="1" t="s">
        <v>234</v>
      </c>
      <c r="H651" s="1">
        <v>3545000</v>
      </c>
      <c r="I651" s="21">
        <v>5</v>
      </c>
      <c r="J651" s="1">
        <f t="shared" si="21"/>
        <v>8930000</v>
      </c>
      <c r="K651" s="21">
        <v>445150</v>
      </c>
      <c r="L651" s="21">
        <v>2.68</v>
      </c>
      <c r="M651" s="21">
        <v>119.687</v>
      </c>
    </row>
    <row r="652" spans="1:13">
      <c r="A652" s="1" t="s">
        <v>169</v>
      </c>
      <c r="B652" s="1" t="s">
        <v>170</v>
      </c>
      <c r="C652" s="1">
        <v>2017</v>
      </c>
      <c r="D652" s="1" t="s">
        <v>175</v>
      </c>
      <c r="E652" s="1" t="s">
        <v>233</v>
      </c>
      <c r="F652" s="1">
        <v>2031</v>
      </c>
      <c r="G652" s="1" t="s">
        <v>234</v>
      </c>
      <c r="H652" s="1">
        <v>5105000</v>
      </c>
      <c r="I652" s="21">
        <v>3</v>
      </c>
      <c r="J652" s="1">
        <f t="shared" si="21"/>
        <v>3825000</v>
      </c>
      <c r="K652" s="21">
        <v>267900</v>
      </c>
      <c r="L652" s="21">
        <v>3.08</v>
      </c>
      <c r="M652" s="21">
        <v>99.108000000000004</v>
      </c>
    </row>
    <row r="653" spans="1:13">
      <c r="A653" s="1" t="s">
        <v>169</v>
      </c>
      <c r="B653" s="1" t="s">
        <v>170</v>
      </c>
      <c r="C653" s="1">
        <v>2017</v>
      </c>
      <c r="D653" s="1" t="s">
        <v>175</v>
      </c>
      <c r="E653" s="1" t="s">
        <v>233</v>
      </c>
      <c r="F653" s="1">
        <v>2032</v>
      </c>
      <c r="G653" s="1" t="s">
        <v>234</v>
      </c>
      <c r="H653" s="1">
        <v>3825000</v>
      </c>
      <c r="I653" s="21">
        <v>3</v>
      </c>
      <c r="J653" s="1">
        <f t="shared" si="21"/>
        <v>0</v>
      </c>
      <c r="K653" s="21">
        <v>114750</v>
      </c>
      <c r="L653" s="21">
        <v>3.13</v>
      </c>
      <c r="M653" s="21">
        <v>98.474999999999994</v>
      </c>
    </row>
    <row r="654" spans="1:13">
      <c r="A654" s="1" t="s">
        <v>169</v>
      </c>
      <c r="B654" s="1" t="s">
        <v>170</v>
      </c>
      <c r="C654" s="1">
        <v>2017</v>
      </c>
      <c r="D654" s="1" t="s">
        <v>182</v>
      </c>
      <c r="E654" s="1" t="s">
        <v>233</v>
      </c>
      <c r="F654" s="1">
        <v>2018</v>
      </c>
      <c r="G654" s="1" t="s">
        <v>234</v>
      </c>
      <c r="H654" s="1">
        <v>5595000</v>
      </c>
      <c r="I654" s="21">
        <v>1.891</v>
      </c>
      <c r="J654" s="1">
        <v>0</v>
      </c>
      <c r="K654" s="21">
        <v>73473</v>
      </c>
      <c r="L654" s="21">
        <v>1.891</v>
      </c>
      <c r="M654" s="21">
        <v>100</v>
      </c>
    </row>
    <row r="655" spans="1:13">
      <c r="A655" s="1" t="s">
        <v>169</v>
      </c>
      <c r="B655" s="1" t="s">
        <v>170</v>
      </c>
      <c r="C655" s="1">
        <v>2017</v>
      </c>
      <c r="D655" s="1" t="s">
        <v>184</v>
      </c>
      <c r="E655" s="1" t="s">
        <v>237</v>
      </c>
      <c r="F655" s="1">
        <v>2018</v>
      </c>
      <c r="G655" s="1" t="s">
        <v>234</v>
      </c>
      <c r="H655" s="1">
        <v>0</v>
      </c>
      <c r="I655" s="21" t="s">
        <v>174</v>
      </c>
      <c r="J655" s="1">
        <v>218805000</v>
      </c>
      <c r="K655" s="1">
        <v>6599441</v>
      </c>
      <c r="L655" s="21" t="s">
        <v>174</v>
      </c>
      <c r="M655" s="21">
        <v>100</v>
      </c>
    </row>
    <row r="656" spans="1:13">
      <c r="A656" s="1" t="s">
        <v>169</v>
      </c>
      <c r="B656" s="1" t="s">
        <v>170</v>
      </c>
      <c r="C656" s="1">
        <v>2017</v>
      </c>
      <c r="D656" s="1" t="s">
        <v>184</v>
      </c>
      <c r="E656" s="1" t="s">
        <v>237</v>
      </c>
      <c r="F656" s="1">
        <v>2019</v>
      </c>
      <c r="G656" s="1" t="s">
        <v>234</v>
      </c>
      <c r="H656" s="1">
        <v>0</v>
      </c>
      <c r="I656" s="21" t="s">
        <v>174</v>
      </c>
      <c r="J656" s="1">
        <f>J655-H656</f>
        <v>218805000</v>
      </c>
      <c r="K656" s="1">
        <v>9658828</v>
      </c>
      <c r="L656" s="21" t="s">
        <v>174</v>
      </c>
      <c r="M656" s="21">
        <v>100</v>
      </c>
    </row>
    <row r="657" spans="1:13">
      <c r="A657" s="1" t="s">
        <v>169</v>
      </c>
      <c r="B657" s="1" t="s">
        <v>170</v>
      </c>
      <c r="C657" s="1">
        <v>2017</v>
      </c>
      <c r="D657" s="1" t="s">
        <v>184</v>
      </c>
      <c r="E657" s="1" t="s">
        <v>237</v>
      </c>
      <c r="F657" s="1">
        <v>2020</v>
      </c>
      <c r="G657" s="1" t="s">
        <v>234</v>
      </c>
      <c r="H657" s="1">
        <v>0</v>
      </c>
      <c r="I657" s="21" t="s">
        <v>174</v>
      </c>
      <c r="J657" s="1">
        <f t="shared" ref="J657:J720" si="22">J656-H657</f>
        <v>218805000</v>
      </c>
      <c r="K657" s="1">
        <v>9658852</v>
      </c>
      <c r="L657" s="21" t="s">
        <v>174</v>
      </c>
      <c r="M657" s="21">
        <v>100</v>
      </c>
    </row>
    <row r="658" spans="1:13">
      <c r="A658" s="1" t="s">
        <v>169</v>
      </c>
      <c r="B658" s="1" t="s">
        <v>170</v>
      </c>
      <c r="C658" s="1">
        <v>2017</v>
      </c>
      <c r="D658" s="1" t="s">
        <v>184</v>
      </c>
      <c r="E658" s="1" t="s">
        <v>237</v>
      </c>
      <c r="F658" s="1">
        <v>2021</v>
      </c>
      <c r="G658" s="1" t="s">
        <v>234</v>
      </c>
      <c r="H658" s="1">
        <v>0</v>
      </c>
      <c r="I658" s="21" t="s">
        <v>174</v>
      </c>
      <c r="J658" s="1">
        <f t="shared" si="22"/>
        <v>218805000</v>
      </c>
      <c r="K658" s="1">
        <v>9658804</v>
      </c>
      <c r="L658" s="21" t="s">
        <v>174</v>
      </c>
      <c r="M658" s="21">
        <v>100</v>
      </c>
    </row>
    <row r="659" spans="1:13">
      <c r="A659" s="1" t="s">
        <v>169</v>
      </c>
      <c r="B659" s="1" t="s">
        <v>170</v>
      </c>
      <c r="C659" s="1">
        <v>2017</v>
      </c>
      <c r="D659" s="1" t="s">
        <v>184</v>
      </c>
      <c r="E659" s="1" t="s">
        <v>237</v>
      </c>
      <c r="F659" s="1">
        <v>2022</v>
      </c>
      <c r="G659" s="1" t="s">
        <v>234</v>
      </c>
      <c r="H659" s="1">
        <v>0</v>
      </c>
      <c r="I659" s="21" t="s">
        <v>174</v>
      </c>
      <c r="J659" s="1">
        <f t="shared" si="22"/>
        <v>218805000</v>
      </c>
      <c r="K659" s="1">
        <v>9658828</v>
      </c>
      <c r="L659" s="21" t="s">
        <v>174</v>
      </c>
      <c r="M659" s="21">
        <v>100</v>
      </c>
    </row>
    <row r="660" spans="1:13">
      <c r="A660" s="1" t="s">
        <v>169</v>
      </c>
      <c r="B660" s="1" t="s">
        <v>170</v>
      </c>
      <c r="C660" s="1">
        <v>2017</v>
      </c>
      <c r="D660" s="1" t="s">
        <v>184</v>
      </c>
      <c r="E660" s="1" t="s">
        <v>237</v>
      </c>
      <c r="F660" s="1">
        <v>2023</v>
      </c>
      <c r="G660" s="1" t="s">
        <v>234</v>
      </c>
      <c r="H660" s="1">
        <v>0</v>
      </c>
      <c r="I660" s="21" t="s">
        <v>174</v>
      </c>
      <c r="J660" s="1">
        <f t="shared" si="22"/>
        <v>218805000</v>
      </c>
      <c r="K660" s="1">
        <v>9658828</v>
      </c>
      <c r="L660" s="21" t="s">
        <v>174</v>
      </c>
      <c r="M660" s="21">
        <v>100</v>
      </c>
    </row>
    <row r="661" spans="1:13">
      <c r="A661" s="1" t="s">
        <v>169</v>
      </c>
      <c r="B661" s="1" t="s">
        <v>170</v>
      </c>
      <c r="C661" s="1">
        <v>2017</v>
      </c>
      <c r="D661" s="1" t="s">
        <v>184</v>
      </c>
      <c r="E661" s="1" t="s">
        <v>237</v>
      </c>
      <c r="F661" s="1">
        <v>2024</v>
      </c>
      <c r="G661" s="1" t="s">
        <v>234</v>
      </c>
      <c r="H661" s="1">
        <v>0</v>
      </c>
      <c r="I661" s="21" t="s">
        <v>174</v>
      </c>
      <c r="J661" s="1">
        <f t="shared" si="22"/>
        <v>218805000</v>
      </c>
      <c r="K661" s="1">
        <v>9658852</v>
      </c>
      <c r="L661" s="21" t="s">
        <v>174</v>
      </c>
      <c r="M661" s="21">
        <v>100</v>
      </c>
    </row>
    <row r="662" spans="1:13">
      <c r="A662" s="1" t="s">
        <v>169</v>
      </c>
      <c r="B662" s="1" t="s">
        <v>170</v>
      </c>
      <c r="C662" s="1">
        <v>2017</v>
      </c>
      <c r="D662" s="1" t="s">
        <v>184</v>
      </c>
      <c r="E662" s="1" t="s">
        <v>237</v>
      </c>
      <c r="F662" s="1">
        <v>2025</v>
      </c>
      <c r="G662" s="1" t="s">
        <v>234</v>
      </c>
      <c r="H662" s="1">
        <v>0</v>
      </c>
      <c r="I662" s="21" t="s">
        <v>174</v>
      </c>
      <c r="J662" s="1">
        <f t="shared" si="22"/>
        <v>218805000</v>
      </c>
      <c r="K662" s="1">
        <v>9658804</v>
      </c>
      <c r="L662" s="21" t="s">
        <v>174</v>
      </c>
      <c r="M662" s="21">
        <v>100</v>
      </c>
    </row>
    <row r="663" spans="1:13">
      <c r="A663" s="1" t="s">
        <v>169</v>
      </c>
      <c r="B663" s="1" t="s">
        <v>170</v>
      </c>
      <c r="C663" s="1">
        <v>2017</v>
      </c>
      <c r="D663" s="1" t="s">
        <v>184</v>
      </c>
      <c r="E663" s="1" t="s">
        <v>237</v>
      </c>
      <c r="F663" s="1">
        <v>2026</v>
      </c>
      <c r="G663" s="1" t="s">
        <v>234</v>
      </c>
      <c r="H663" s="1">
        <v>0</v>
      </c>
      <c r="I663" s="21" t="s">
        <v>174</v>
      </c>
      <c r="J663" s="1">
        <f t="shared" si="22"/>
        <v>218805000</v>
      </c>
      <c r="K663" s="1">
        <v>9658828</v>
      </c>
      <c r="L663" s="21" t="s">
        <v>174</v>
      </c>
      <c r="M663" s="21">
        <v>100</v>
      </c>
    </row>
    <row r="664" spans="1:13">
      <c r="A664" s="1" t="s">
        <v>169</v>
      </c>
      <c r="B664" s="1" t="s">
        <v>170</v>
      </c>
      <c r="C664" s="1">
        <v>2017</v>
      </c>
      <c r="D664" s="1" t="s">
        <v>184</v>
      </c>
      <c r="E664" s="1" t="s">
        <v>237</v>
      </c>
      <c r="F664" s="1">
        <v>2027</v>
      </c>
      <c r="G664" s="1" t="s">
        <v>234</v>
      </c>
      <c r="H664" s="1">
        <v>0</v>
      </c>
      <c r="I664" s="21" t="s">
        <v>174</v>
      </c>
      <c r="J664" s="1">
        <f t="shared" si="22"/>
        <v>218805000</v>
      </c>
      <c r="K664" s="1">
        <v>9658828</v>
      </c>
      <c r="L664" s="21" t="s">
        <v>174</v>
      </c>
      <c r="M664" s="21">
        <v>100</v>
      </c>
    </row>
    <row r="665" spans="1:13">
      <c r="A665" s="1" t="s">
        <v>169</v>
      </c>
      <c r="B665" s="1" t="s">
        <v>170</v>
      </c>
      <c r="C665" s="1">
        <v>2017</v>
      </c>
      <c r="D665" s="1" t="s">
        <v>184</v>
      </c>
      <c r="E665" s="1" t="s">
        <v>237</v>
      </c>
      <c r="F665" s="1">
        <v>2028</v>
      </c>
      <c r="G665" s="1" t="s">
        <v>234</v>
      </c>
      <c r="H665" s="1">
        <v>0</v>
      </c>
      <c r="I665" s="21" t="s">
        <v>174</v>
      </c>
      <c r="J665" s="1">
        <f t="shared" si="22"/>
        <v>218805000</v>
      </c>
      <c r="K665" s="1">
        <v>9658852</v>
      </c>
      <c r="L665" s="21" t="s">
        <v>174</v>
      </c>
      <c r="M665" s="21">
        <v>100</v>
      </c>
    </row>
    <row r="666" spans="1:13">
      <c r="A666" s="1" t="s">
        <v>169</v>
      </c>
      <c r="B666" s="1" t="s">
        <v>170</v>
      </c>
      <c r="C666" s="1">
        <v>2017</v>
      </c>
      <c r="D666" s="1" t="s">
        <v>184</v>
      </c>
      <c r="E666" s="1" t="s">
        <v>237</v>
      </c>
      <c r="F666" s="1">
        <v>2029</v>
      </c>
      <c r="G666" s="1" t="s">
        <v>234</v>
      </c>
      <c r="H666" s="1">
        <v>0</v>
      </c>
      <c r="I666" s="21" t="s">
        <v>174</v>
      </c>
      <c r="J666" s="1">
        <f t="shared" si="22"/>
        <v>218805000</v>
      </c>
      <c r="K666" s="1">
        <v>9658804</v>
      </c>
      <c r="L666" s="21" t="s">
        <v>174</v>
      </c>
      <c r="M666" s="21">
        <v>100</v>
      </c>
    </row>
    <row r="667" spans="1:13">
      <c r="A667" s="1" t="s">
        <v>169</v>
      </c>
      <c r="B667" s="1" t="s">
        <v>170</v>
      </c>
      <c r="C667" s="1">
        <v>2017</v>
      </c>
      <c r="D667" s="1" t="s">
        <v>184</v>
      </c>
      <c r="E667" s="1" t="s">
        <v>237</v>
      </c>
      <c r="F667" s="1">
        <v>2030</v>
      </c>
      <c r="G667" s="1" t="s">
        <v>234</v>
      </c>
      <c r="H667" s="1">
        <v>0</v>
      </c>
      <c r="I667" s="21" t="s">
        <v>174</v>
      </c>
      <c r="J667" s="1">
        <f t="shared" si="22"/>
        <v>218805000</v>
      </c>
      <c r="K667" s="1">
        <v>9658828</v>
      </c>
      <c r="L667" s="21" t="s">
        <v>174</v>
      </c>
      <c r="M667" s="21">
        <v>100</v>
      </c>
    </row>
    <row r="668" spans="1:13">
      <c r="A668" s="1" t="s">
        <v>169</v>
      </c>
      <c r="B668" s="1" t="s">
        <v>170</v>
      </c>
      <c r="C668" s="1">
        <v>2017</v>
      </c>
      <c r="D668" s="1" t="s">
        <v>184</v>
      </c>
      <c r="E668" s="1" t="s">
        <v>237</v>
      </c>
      <c r="F668" s="1">
        <v>2031</v>
      </c>
      <c r="G668" s="1" t="s">
        <v>234</v>
      </c>
      <c r="H668" s="1">
        <v>0</v>
      </c>
      <c r="I668" s="21" t="s">
        <v>174</v>
      </c>
      <c r="J668" s="1">
        <f t="shared" si="22"/>
        <v>218805000</v>
      </c>
      <c r="K668" s="1">
        <v>9658828</v>
      </c>
      <c r="L668" s="21" t="s">
        <v>174</v>
      </c>
      <c r="M668" s="21">
        <v>100</v>
      </c>
    </row>
    <row r="669" spans="1:13">
      <c r="A669" s="1" t="s">
        <v>169</v>
      </c>
      <c r="B669" s="1" t="s">
        <v>170</v>
      </c>
      <c r="C669" s="1">
        <v>2017</v>
      </c>
      <c r="D669" s="1" t="s">
        <v>184</v>
      </c>
      <c r="E669" s="1" t="s">
        <v>235</v>
      </c>
      <c r="F669" s="1">
        <v>2032</v>
      </c>
      <c r="G669" s="1" t="s">
        <v>234</v>
      </c>
      <c r="H669" s="1">
        <v>750000</v>
      </c>
      <c r="I669" s="21" t="s">
        <v>174</v>
      </c>
      <c r="J669" s="1">
        <f t="shared" si="22"/>
        <v>218055000</v>
      </c>
      <c r="K669" s="21">
        <v>9655682</v>
      </c>
      <c r="L669" s="21" t="s">
        <v>174</v>
      </c>
      <c r="M669" s="21">
        <v>100</v>
      </c>
    </row>
    <row r="670" spans="1:13">
      <c r="A670" s="1" t="s">
        <v>169</v>
      </c>
      <c r="B670" s="1" t="s">
        <v>170</v>
      </c>
      <c r="C670" s="1">
        <v>2017</v>
      </c>
      <c r="D670" s="1" t="s">
        <v>184</v>
      </c>
      <c r="E670" s="1" t="s">
        <v>235</v>
      </c>
      <c r="F670" s="1">
        <v>2033</v>
      </c>
      <c r="G670" s="1" t="s">
        <v>234</v>
      </c>
      <c r="H670" s="1">
        <v>915000</v>
      </c>
      <c r="I670" s="21" t="s">
        <v>174</v>
      </c>
      <c r="J670" s="1">
        <f t="shared" si="22"/>
        <v>217140000</v>
      </c>
      <c r="K670" s="21">
        <v>9632101</v>
      </c>
      <c r="L670" s="21" t="s">
        <v>174</v>
      </c>
      <c r="M670" s="21">
        <v>100</v>
      </c>
    </row>
    <row r="671" spans="1:13">
      <c r="A671" s="1" t="s">
        <v>169</v>
      </c>
      <c r="B671" s="1" t="s">
        <v>170</v>
      </c>
      <c r="C671" s="1">
        <v>2017</v>
      </c>
      <c r="D671" s="1" t="s">
        <v>184</v>
      </c>
      <c r="E671" s="1" t="s">
        <v>235</v>
      </c>
      <c r="F671" s="1">
        <v>2034</v>
      </c>
      <c r="G671" s="1" t="s">
        <v>234</v>
      </c>
      <c r="H671" s="1">
        <v>4000000</v>
      </c>
      <c r="I671" s="21" t="s">
        <v>174</v>
      </c>
      <c r="J671" s="1">
        <f t="shared" si="22"/>
        <v>213140000</v>
      </c>
      <c r="K671" s="21">
        <v>9601450</v>
      </c>
      <c r="L671" s="21" t="s">
        <v>174</v>
      </c>
      <c r="M671" s="21">
        <v>100</v>
      </c>
    </row>
    <row r="672" spans="1:13">
      <c r="A672" s="1" t="s">
        <v>169</v>
      </c>
      <c r="B672" s="1" t="s">
        <v>170</v>
      </c>
      <c r="C672" s="1">
        <v>2017</v>
      </c>
      <c r="D672" s="1" t="s">
        <v>184</v>
      </c>
      <c r="E672" s="1" t="s">
        <v>235</v>
      </c>
      <c r="F672" s="1">
        <v>2035</v>
      </c>
      <c r="G672" s="1" t="s">
        <v>234</v>
      </c>
      <c r="H672" s="1">
        <v>27400000</v>
      </c>
      <c r="I672" s="21" t="s">
        <v>174</v>
      </c>
      <c r="J672" s="1">
        <f t="shared" si="22"/>
        <v>185740000</v>
      </c>
      <c r="K672" s="21">
        <v>9433117</v>
      </c>
      <c r="L672" s="21" t="s">
        <v>174</v>
      </c>
      <c r="M672" s="21">
        <v>100</v>
      </c>
    </row>
    <row r="673" spans="1:14">
      <c r="A673" s="1" t="s">
        <v>169</v>
      </c>
      <c r="B673" s="1" t="s">
        <v>170</v>
      </c>
      <c r="C673" s="1">
        <v>2017</v>
      </c>
      <c r="D673" s="1" t="s">
        <v>184</v>
      </c>
      <c r="E673" s="1" t="s">
        <v>235</v>
      </c>
      <c r="F673" s="1">
        <v>2036</v>
      </c>
      <c r="G673" s="1" t="s">
        <v>234</v>
      </c>
      <c r="H673" s="1">
        <v>34020000</v>
      </c>
      <c r="I673" s="21" t="s">
        <v>174</v>
      </c>
      <c r="J673" s="1">
        <f t="shared" si="22"/>
        <v>151720000</v>
      </c>
      <c r="K673" s="21">
        <v>8236390</v>
      </c>
      <c r="L673" s="21" t="s">
        <v>174</v>
      </c>
      <c r="M673" s="21">
        <v>100</v>
      </c>
    </row>
    <row r="674" spans="1:14">
      <c r="A674" s="1" t="s">
        <v>169</v>
      </c>
      <c r="B674" s="1" t="s">
        <v>170</v>
      </c>
      <c r="C674" s="1">
        <v>2017</v>
      </c>
      <c r="D674" s="1" t="s">
        <v>184</v>
      </c>
      <c r="E674" s="1" t="s">
        <v>235</v>
      </c>
      <c r="F674" s="1">
        <v>2037</v>
      </c>
      <c r="G674" s="1" t="s">
        <v>234</v>
      </c>
      <c r="H674" s="1">
        <v>35520000</v>
      </c>
      <c r="I674" s="21" t="s">
        <v>174</v>
      </c>
      <c r="J674" s="1">
        <f t="shared" si="22"/>
        <v>116200000</v>
      </c>
      <c r="K674" s="21">
        <v>6733812</v>
      </c>
      <c r="L674" s="21" t="s">
        <v>174</v>
      </c>
      <c r="M674" s="21">
        <v>100</v>
      </c>
    </row>
    <row r="675" spans="1:14">
      <c r="A675" s="1" t="s">
        <v>169</v>
      </c>
      <c r="B675" s="1" t="s">
        <v>170</v>
      </c>
      <c r="C675" s="1">
        <v>2017</v>
      </c>
      <c r="D675" s="1" t="s">
        <v>184</v>
      </c>
      <c r="E675" s="1" t="s">
        <v>235</v>
      </c>
      <c r="F675" s="1">
        <v>2038</v>
      </c>
      <c r="G675" s="1" t="s">
        <v>234</v>
      </c>
      <c r="H675" s="1">
        <v>37085000</v>
      </c>
      <c r="I675" s="21" t="s">
        <v>174</v>
      </c>
      <c r="J675" s="1">
        <f t="shared" si="22"/>
        <v>79115000</v>
      </c>
      <c r="K675" s="21">
        <v>5164982</v>
      </c>
      <c r="L675" s="21" t="s">
        <v>174</v>
      </c>
      <c r="M675" s="21">
        <v>100</v>
      </c>
    </row>
    <row r="676" spans="1:14">
      <c r="A676" s="1" t="s">
        <v>169</v>
      </c>
      <c r="B676" s="1" t="s">
        <v>170</v>
      </c>
      <c r="C676" s="1">
        <v>2017</v>
      </c>
      <c r="D676" s="1" t="s">
        <v>184</v>
      </c>
      <c r="E676" s="1" t="s">
        <v>235</v>
      </c>
      <c r="F676" s="1">
        <v>2039</v>
      </c>
      <c r="G676" s="1" t="s">
        <v>234</v>
      </c>
      <c r="H676" s="1">
        <v>38675000</v>
      </c>
      <c r="I676" s="21" t="s">
        <v>174</v>
      </c>
      <c r="J676" s="1">
        <f t="shared" si="22"/>
        <v>40440000</v>
      </c>
      <c r="K676" s="21">
        <v>3527030</v>
      </c>
      <c r="L676" s="21" t="s">
        <v>174</v>
      </c>
      <c r="M676" s="21">
        <v>100</v>
      </c>
    </row>
    <row r="677" spans="1:14">
      <c r="A677" s="1" t="s">
        <v>169</v>
      </c>
      <c r="B677" s="1" t="s">
        <v>170</v>
      </c>
      <c r="C677" s="1">
        <v>2017</v>
      </c>
      <c r="D677" s="1" t="s">
        <v>184</v>
      </c>
      <c r="E677" s="1" t="s">
        <v>235</v>
      </c>
      <c r="F677" s="1">
        <v>2040</v>
      </c>
      <c r="G677" s="1" t="s">
        <v>234</v>
      </c>
      <c r="H677" s="1">
        <v>40440000</v>
      </c>
      <c r="I677" s="21" t="s">
        <v>174</v>
      </c>
      <c r="J677" s="1">
        <f t="shared" si="22"/>
        <v>0</v>
      </c>
      <c r="K677" s="21">
        <v>1805848</v>
      </c>
      <c r="L677" s="21" t="s">
        <v>174</v>
      </c>
      <c r="M677" s="21">
        <v>100</v>
      </c>
    </row>
    <row r="678" spans="1:14">
      <c r="A678" s="1" t="s">
        <v>169</v>
      </c>
      <c r="B678" s="1" t="s">
        <v>170</v>
      </c>
      <c r="C678" s="1">
        <v>2019</v>
      </c>
      <c r="D678" s="1" t="s">
        <v>175</v>
      </c>
      <c r="E678" s="1" t="s">
        <v>233</v>
      </c>
      <c r="F678" s="1">
        <v>2019</v>
      </c>
      <c r="G678" s="1" t="s">
        <v>234</v>
      </c>
      <c r="H678" s="1">
        <v>0</v>
      </c>
      <c r="I678" s="21" t="s">
        <v>174</v>
      </c>
      <c r="J678" s="1">
        <f>109855000</f>
        <v>109855000</v>
      </c>
      <c r="K678" s="21">
        <v>900201</v>
      </c>
      <c r="L678" s="21" t="s">
        <v>174</v>
      </c>
      <c r="M678" s="21" t="s">
        <v>174</v>
      </c>
      <c r="N678" s="39">
        <v>900201</v>
      </c>
    </row>
    <row r="679" spans="1:14">
      <c r="A679" s="1" t="s">
        <v>169</v>
      </c>
      <c r="B679" s="1" t="s">
        <v>170</v>
      </c>
      <c r="C679" s="1">
        <v>2019</v>
      </c>
      <c r="D679" s="1" t="s">
        <v>175</v>
      </c>
      <c r="E679" s="1" t="s">
        <v>233</v>
      </c>
      <c r="F679" s="1">
        <v>2020</v>
      </c>
      <c r="G679" s="1" t="s">
        <v>234</v>
      </c>
      <c r="H679" s="1">
        <v>2295000</v>
      </c>
      <c r="I679" s="21">
        <v>5</v>
      </c>
      <c r="J679" s="1">
        <f t="shared" si="22"/>
        <v>107560000</v>
      </c>
      <c r="K679" s="21">
        <v>5492750</v>
      </c>
      <c r="L679" s="21">
        <v>1.41</v>
      </c>
      <c r="M679" s="21">
        <v>104.127</v>
      </c>
      <c r="N679" s="39">
        <v>7787750</v>
      </c>
    </row>
    <row r="680" spans="1:14">
      <c r="A680" s="1" t="s">
        <v>169</v>
      </c>
      <c r="B680" s="1" t="s">
        <v>170</v>
      </c>
      <c r="C680" s="1">
        <v>2019</v>
      </c>
      <c r="D680" s="1" t="s">
        <v>175</v>
      </c>
      <c r="E680" s="1" t="s">
        <v>233</v>
      </c>
      <c r="F680" s="1">
        <v>2021</v>
      </c>
      <c r="G680" s="1" t="s">
        <v>234</v>
      </c>
      <c r="H680" s="1">
        <v>2415000</v>
      </c>
      <c r="I680" s="21">
        <v>5</v>
      </c>
      <c r="J680" s="1">
        <f t="shared" si="22"/>
        <v>105145000</v>
      </c>
      <c r="K680" s="21">
        <v>5378000</v>
      </c>
      <c r="L680" s="21">
        <v>1.46</v>
      </c>
      <c r="M680" s="21">
        <v>107.511</v>
      </c>
      <c r="N680" s="39">
        <v>7793000</v>
      </c>
    </row>
    <row r="681" spans="1:14">
      <c r="A681" s="1" t="s">
        <v>169</v>
      </c>
      <c r="B681" s="1" t="s">
        <v>170</v>
      </c>
      <c r="C681" s="1">
        <v>2019</v>
      </c>
      <c r="D681" s="1" t="s">
        <v>175</v>
      </c>
      <c r="E681" s="1" t="s">
        <v>233</v>
      </c>
      <c r="F681" s="1">
        <v>2022</v>
      </c>
      <c r="G681" s="1" t="s">
        <v>234</v>
      </c>
      <c r="H681" s="1">
        <v>2540000</v>
      </c>
      <c r="I681" s="21">
        <v>5</v>
      </c>
      <c r="J681" s="1">
        <f t="shared" si="22"/>
        <v>102605000</v>
      </c>
      <c r="K681" s="21">
        <v>5257250</v>
      </c>
      <c r="L681" s="21">
        <v>1.52</v>
      </c>
      <c r="M681" s="21">
        <v>110.708</v>
      </c>
      <c r="N681" s="39">
        <v>7797250</v>
      </c>
    </row>
    <row r="682" spans="1:14">
      <c r="A682" s="1" t="s">
        <v>169</v>
      </c>
      <c r="B682" s="1" t="s">
        <v>170</v>
      </c>
      <c r="C682" s="1">
        <v>2019</v>
      </c>
      <c r="D682" s="1" t="s">
        <v>175</v>
      </c>
      <c r="E682" s="1" t="s">
        <v>233</v>
      </c>
      <c r="F682" s="1">
        <v>2023</v>
      </c>
      <c r="G682" s="1" t="s">
        <v>234</v>
      </c>
      <c r="H682" s="1">
        <v>2665000</v>
      </c>
      <c r="I682" s="21">
        <v>5</v>
      </c>
      <c r="J682" s="1">
        <f t="shared" si="22"/>
        <v>99940000</v>
      </c>
      <c r="K682" s="21">
        <v>5130250</v>
      </c>
      <c r="L682" s="21">
        <v>1.58</v>
      </c>
      <c r="M682" s="21">
        <v>113.727</v>
      </c>
      <c r="N682" s="39">
        <v>7795250</v>
      </c>
    </row>
    <row r="683" spans="1:14">
      <c r="A683" s="1" t="s">
        <v>169</v>
      </c>
      <c r="B683" s="1" t="s">
        <v>170</v>
      </c>
      <c r="C683" s="1">
        <v>2019</v>
      </c>
      <c r="D683" s="1" t="s">
        <v>175</v>
      </c>
      <c r="E683" s="1" t="s">
        <v>233</v>
      </c>
      <c r="F683" s="1">
        <v>2024</v>
      </c>
      <c r="G683" s="1" t="s">
        <v>234</v>
      </c>
      <c r="H683" s="1">
        <v>2800000</v>
      </c>
      <c r="I683" s="21">
        <v>5</v>
      </c>
      <c r="J683" s="1">
        <f t="shared" si="22"/>
        <v>97140000</v>
      </c>
      <c r="K683" s="21">
        <v>4997000</v>
      </c>
      <c r="L683" s="21">
        <v>1.57</v>
      </c>
      <c r="M683" s="21">
        <v>116.947</v>
      </c>
      <c r="N683" s="39">
        <v>7797000</v>
      </c>
    </row>
    <row r="684" spans="1:14">
      <c r="A684" s="1" t="s">
        <v>169</v>
      </c>
      <c r="B684" s="1" t="s">
        <v>170</v>
      </c>
      <c r="C684" s="1">
        <v>2019</v>
      </c>
      <c r="D684" s="1" t="s">
        <v>175</v>
      </c>
      <c r="E684" s="1" t="s">
        <v>233</v>
      </c>
      <c r="F684" s="1">
        <v>2025</v>
      </c>
      <c r="G684" s="1" t="s">
        <v>234</v>
      </c>
      <c r="H684" s="1">
        <v>2940000</v>
      </c>
      <c r="I684" s="21">
        <v>5</v>
      </c>
      <c r="J684" s="1">
        <f t="shared" si="22"/>
        <v>94200000</v>
      </c>
      <c r="K684" s="21">
        <v>4857000</v>
      </c>
      <c r="L684" s="21">
        <v>1.69</v>
      </c>
      <c r="M684" s="21">
        <v>119.29600000000001</v>
      </c>
      <c r="N684" s="39">
        <v>7797000</v>
      </c>
    </row>
    <row r="685" spans="1:14">
      <c r="A685" s="1" t="s">
        <v>169</v>
      </c>
      <c r="B685" s="1" t="s">
        <v>170</v>
      </c>
      <c r="C685" s="1">
        <v>2019</v>
      </c>
      <c r="D685" s="1" t="s">
        <v>175</v>
      </c>
      <c r="E685" s="1" t="s">
        <v>233</v>
      </c>
      <c r="F685" s="1">
        <v>2026</v>
      </c>
      <c r="G685" s="1" t="s">
        <v>234</v>
      </c>
      <c r="H685" s="1">
        <v>3085000</v>
      </c>
      <c r="I685" s="21">
        <v>5</v>
      </c>
      <c r="J685" s="1">
        <f t="shared" si="22"/>
        <v>91115000</v>
      </c>
      <c r="K685" s="21">
        <v>4710000</v>
      </c>
      <c r="L685" s="21">
        <v>1.82</v>
      </c>
      <c r="M685" s="21">
        <v>121.265</v>
      </c>
      <c r="N685" s="39">
        <v>7795000</v>
      </c>
    </row>
    <row r="686" spans="1:14">
      <c r="A686" s="1" t="s">
        <v>169</v>
      </c>
      <c r="B686" s="1" t="s">
        <v>170</v>
      </c>
      <c r="C686" s="1">
        <v>2019</v>
      </c>
      <c r="D686" s="1" t="s">
        <v>175</v>
      </c>
      <c r="E686" s="1" t="s">
        <v>233</v>
      </c>
      <c r="F686" s="1">
        <v>2027</v>
      </c>
      <c r="G686" s="1" t="s">
        <v>234</v>
      </c>
      <c r="H686" s="1">
        <v>3240000</v>
      </c>
      <c r="I686" s="21">
        <v>5</v>
      </c>
      <c r="J686" s="1">
        <f t="shared" si="22"/>
        <v>87875000</v>
      </c>
      <c r="K686" s="21">
        <v>4555750</v>
      </c>
      <c r="L686" s="21">
        <v>1.94</v>
      </c>
      <c r="M686" s="21">
        <v>122.998</v>
      </c>
      <c r="N686" s="39">
        <v>7795750</v>
      </c>
    </row>
    <row r="687" spans="1:14">
      <c r="A687" s="1" t="s">
        <v>169</v>
      </c>
      <c r="B687" s="1" t="s">
        <v>170</v>
      </c>
      <c r="C687" s="1">
        <v>2019</v>
      </c>
      <c r="D687" s="1" t="s">
        <v>175</v>
      </c>
      <c r="E687" s="1" t="s">
        <v>233</v>
      </c>
      <c r="F687" s="1">
        <v>2028</v>
      </c>
      <c r="G687" s="1" t="s">
        <v>234</v>
      </c>
      <c r="H687" s="1">
        <v>3400000</v>
      </c>
      <c r="I687" s="21">
        <v>5</v>
      </c>
      <c r="J687" s="1">
        <f t="shared" si="22"/>
        <v>84475000</v>
      </c>
      <c r="K687" s="21">
        <v>4393750</v>
      </c>
      <c r="L687" s="21">
        <v>2.04</v>
      </c>
      <c r="M687" s="21">
        <v>124.623</v>
      </c>
      <c r="N687" s="39">
        <v>7793750</v>
      </c>
    </row>
    <row r="688" spans="1:14">
      <c r="A688" s="1" t="s">
        <v>169</v>
      </c>
      <c r="B688" s="1" t="s">
        <v>170</v>
      </c>
      <c r="C688" s="1">
        <v>2019</v>
      </c>
      <c r="D688" s="1" t="s">
        <v>175</v>
      </c>
      <c r="E688" s="1" t="s">
        <v>233</v>
      </c>
      <c r="F688" s="1">
        <v>2029</v>
      </c>
      <c r="G688" s="1" t="s">
        <v>234</v>
      </c>
      <c r="H688" s="1">
        <v>3570000</v>
      </c>
      <c r="I688" s="21">
        <v>5</v>
      </c>
      <c r="J688" s="1">
        <f t="shared" si="22"/>
        <v>80905000</v>
      </c>
      <c r="K688" s="21">
        <v>4223750</v>
      </c>
      <c r="L688" s="21">
        <v>2.13</v>
      </c>
      <c r="M688" s="21">
        <v>126.101</v>
      </c>
      <c r="N688" s="39">
        <v>7793750</v>
      </c>
    </row>
    <row r="689" spans="1:14">
      <c r="A689" s="1" t="s">
        <v>169</v>
      </c>
      <c r="B689" s="1" t="s">
        <v>170</v>
      </c>
      <c r="C689" s="1">
        <v>2019</v>
      </c>
      <c r="D689" s="1" t="s">
        <v>175</v>
      </c>
      <c r="E689" s="1" t="s">
        <v>233</v>
      </c>
      <c r="F689" s="1">
        <v>2030</v>
      </c>
      <c r="G689" s="1" t="s">
        <v>234</v>
      </c>
      <c r="H689" s="1">
        <v>3750000</v>
      </c>
      <c r="I689" s="21">
        <v>5</v>
      </c>
      <c r="J689" s="1">
        <f t="shared" si="22"/>
        <v>77155000</v>
      </c>
      <c r="K689" s="21">
        <v>4045250</v>
      </c>
      <c r="L689" s="21">
        <v>2.21</v>
      </c>
      <c r="M689" s="21">
        <v>125.27</v>
      </c>
      <c r="N689" s="39">
        <v>7795250</v>
      </c>
    </row>
    <row r="690" spans="1:14">
      <c r="A690" s="1" t="s">
        <v>169</v>
      </c>
      <c r="B690" s="1" t="s">
        <v>170</v>
      </c>
      <c r="C690" s="1">
        <v>2019</v>
      </c>
      <c r="D690" s="1" t="s">
        <v>175</v>
      </c>
      <c r="E690" s="1" t="s">
        <v>233</v>
      </c>
      <c r="F690" s="1">
        <v>2031</v>
      </c>
      <c r="G690" s="1" t="s">
        <v>234</v>
      </c>
      <c r="H690" s="1">
        <v>3935000</v>
      </c>
      <c r="I690" s="21">
        <v>5</v>
      </c>
      <c r="J690" s="1">
        <f t="shared" si="22"/>
        <v>73220000</v>
      </c>
      <c r="K690" s="21">
        <v>3857750</v>
      </c>
      <c r="L690" s="21">
        <v>2.27</v>
      </c>
      <c r="M690" s="21">
        <v>124.651</v>
      </c>
      <c r="N690" s="39">
        <v>7792750</v>
      </c>
    </row>
    <row r="691" spans="1:14">
      <c r="A691" s="1" t="s">
        <v>169</v>
      </c>
      <c r="B691" s="1" t="s">
        <v>170</v>
      </c>
      <c r="C691" s="1">
        <v>2019</v>
      </c>
      <c r="D691" s="1" t="s">
        <v>175</v>
      </c>
      <c r="E691" s="1" t="s">
        <v>233</v>
      </c>
      <c r="F691" s="1">
        <v>2032</v>
      </c>
      <c r="G691" s="1" t="s">
        <v>234</v>
      </c>
      <c r="H691" s="1">
        <v>4135000</v>
      </c>
      <c r="I691" s="21">
        <v>5</v>
      </c>
      <c r="J691" s="1">
        <f t="shared" si="22"/>
        <v>69085000</v>
      </c>
      <c r="K691" s="21">
        <v>3661000</v>
      </c>
      <c r="L691" s="21">
        <v>2.33</v>
      </c>
      <c r="M691" s="21">
        <v>124.036</v>
      </c>
      <c r="N691" s="39">
        <v>7796000</v>
      </c>
    </row>
    <row r="692" spans="1:14">
      <c r="A692" s="1" t="s">
        <v>169</v>
      </c>
      <c r="B692" s="1" t="s">
        <v>170</v>
      </c>
      <c r="C692" s="1">
        <v>2019</v>
      </c>
      <c r="D692" s="1" t="s">
        <v>175</v>
      </c>
      <c r="E692" s="1" t="s">
        <v>233</v>
      </c>
      <c r="F692" s="1">
        <v>2033</v>
      </c>
      <c r="G692" s="1" t="s">
        <v>234</v>
      </c>
      <c r="H692" s="1">
        <v>4340000</v>
      </c>
      <c r="I692" s="21">
        <v>5</v>
      </c>
      <c r="J692" s="1">
        <f t="shared" si="22"/>
        <v>64745000</v>
      </c>
      <c r="K692" s="21">
        <v>3454250</v>
      </c>
      <c r="L692" s="21">
        <v>2.37</v>
      </c>
      <c r="M692" s="21">
        <v>123.628</v>
      </c>
      <c r="N692" s="39">
        <v>7794250</v>
      </c>
    </row>
    <row r="693" spans="1:14">
      <c r="A693" s="1" t="s">
        <v>169</v>
      </c>
      <c r="B693" s="1" t="s">
        <v>170</v>
      </c>
      <c r="C693" s="1">
        <v>2019</v>
      </c>
      <c r="D693" s="1" t="s">
        <v>175</v>
      </c>
      <c r="E693" s="1" t="s">
        <v>233</v>
      </c>
      <c r="F693" s="1">
        <v>2034</v>
      </c>
      <c r="G693" s="1" t="s">
        <v>234</v>
      </c>
      <c r="H693" s="1">
        <v>4560000</v>
      </c>
      <c r="I693" s="21">
        <v>5</v>
      </c>
      <c r="J693" s="1">
        <f t="shared" si="22"/>
        <v>60185000</v>
      </c>
      <c r="K693" s="21">
        <v>3237250</v>
      </c>
      <c r="L693" s="21">
        <v>2.4300000000000002</v>
      </c>
      <c r="M693" s="21">
        <v>123.01900000000001</v>
      </c>
      <c r="N693" s="39">
        <v>7797250</v>
      </c>
    </row>
    <row r="694" spans="1:14">
      <c r="A694" s="1" t="s">
        <v>169</v>
      </c>
      <c r="B694" s="1" t="s">
        <v>170</v>
      </c>
      <c r="C694" s="1">
        <v>2019</v>
      </c>
      <c r="D694" s="1" t="s">
        <v>175</v>
      </c>
      <c r="E694" s="1" t="s">
        <v>233</v>
      </c>
      <c r="F694" s="1">
        <v>2035</v>
      </c>
      <c r="G694" s="1" t="s">
        <v>234</v>
      </c>
      <c r="H694" s="1">
        <v>4785000</v>
      </c>
      <c r="I694" s="21">
        <v>5</v>
      </c>
      <c r="J694" s="1">
        <f t="shared" si="22"/>
        <v>55400000</v>
      </c>
      <c r="K694" s="21">
        <v>3009250</v>
      </c>
      <c r="L694" s="21">
        <v>2.48</v>
      </c>
      <c r="M694" s="21">
        <v>122.51300000000001</v>
      </c>
      <c r="N694" s="39">
        <v>7794250</v>
      </c>
    </row>
    <row r="695" spans="1:14">
      <c r="A695" s="1" t="s">
        <v>169</v>
      </c>
      <c r="B695" s="1" t="s">
        <v>170</v>
      </c>
      <c r="C695" s="1">
        <v>2019</v>
      </c>
      <c r="D695" s="1" t="s">
        <v>175</v>
      </c>
      <c r="E695" s="1" t="s">
        <v>233</v>
      </c>
      <c r="F695" s="1">
        <v>2036</v>
      </c>
      <c r="G695" s="1" t="s">
        <v>234</v>
      </c>
      <c r="H695" s="1">
        <v>5025000</v>
      </c>
      <c r="I695" s="21">
        <v>5</v>
      </c>
      <c r="J695" s="1">
        <f t="shared" si="22"/>
        <v>50375000</v>
      </c>
      <c r="K695" s="21">
        <v>2770000</v>
      </c>
      <c r="L695" s="21">
        <v>2.52</v>
      </c>
      <c r="M695" s="21">
        <v>122.111</v>
      </c>
      <c r="N695" s="39">
        <v>7795000</v>
      </c>
    </row>
    <row r="696" spans="1:14">
      <c r="A696" s="1" t="s">
        <v>169</v>
      </c>
      <c r="B696" s="1" t="s">
        <v>170</v>
      </c>
      <c r="C696" s="1">
        <v>2019</v>
      </c>
      <c r="D696" s="1" t="s">
        <v>175</v>
      </c>
      <c r="E696" s="1" t="s">
        <v>233</v>
      </c>
      <c r="F696" s="1">
        <v>2037</v>
      </c>
      <c r="G696" s="1" t="s">
        <v>234</v>
      </c>
      <c r="H696" s="1">
        <v>5275000</v>
      </c>
      <c r="I696" s="21">
        <v>5</v>
      </c>
      <c r="J696" s="1">
        <f t="shared" si="22"/>
        <v>45100000</v>
      </c>
      <c r="K696" s="21">
        <v>2518750</v>
      </c>
      <c r="L696" s="21">
        <v>2.56</v>
      </c>
      <c r="M696" s="21">
        <v>121.711</v>
      </c>
      <c r="N696" s="39">
        <v>7793750</v>
      </c>
    </row>
    <row r="697" spans="1:14">
      <c r="A697" s="1" t="s">
        <v>169</v>
      </c>
      <c r="B697" s="1" t="s">
        <v>170</v>
      </c>
      <c r="C697" s="1">
        <v>2019</v>
      </c>
      <c r="D697" s="1" t="s">
        <v>175</v>
      </c>
      <c r="E697" s="1" t="s">
        <v>233</v>
      </c>
      <c r="F697" s="1">
        <v>2038</v>
      </c>
      <c r="G697" s="1" t="s">
        <v>234</v>
      </c>
      <c r="H697" s="1">
        <v>5540000</v>
      </c>
      <c r="I697" s="21">
        <v>5</v>
      </c>
      <c r="J697" s="1">
        <f t="shared" si="22"/>
        <v>39560000</v>
      </c>
      <c r="K697" s="21">
        <v>2255000</v>
      </c>
      <c r="L697" s="21">
        <v>2.6</v>
      </c>
      <c r="M697" s="21">
        <v>121.31100000000001</v>
      </c>
      <c r="N697" s="39">
        <v>7795000</v>
      </c>
    </row>
    <row r="698" spans="1:14">
      <c r="A698" s="1" t="s">
        <v>169</v>
      </c>
      <c r="B698" s="1" t="s">
        <v>170</v>
      </c>
      <c r="C698" s="1">
        <v>2019</v>
      </c>
      <c r="D698" s="1" t="s">
        <v>175</v>
      </c>
      <c r="E698" s="1" t="s">
        <v>233</v>
      </c>
      <c r="F698" s="1">
        <v>2039</v>
      </c>
      <c r="G698" s="1" t="s">
        <v>234</v>
      </c>
      <c r="H698" s="1">
        <v>5815000</v>
      </c>
      <c r="I698" s="21">
        <v>5</v>
      </c>
      <c r="J698" s="1">
        <f t="shared" si="22"/>
        <v>33745000</v>
      </c>
      <c r="K698" s="21">
        <v>1978000</v>
      </c>
      <c r="L698" s="21">
        <v>2.64</v>
      </c>
      <c r="M698" s="21">
        <v>120.914</v>
      </c>
      <c r="N698" s="39">
        <v>7793000</v>
      </c>
    </row>
    <row r="699" spans="1:14">
      <c r="A699" s="1" t="s">
        <v>169</v>
      </c>
      <c r="B699" s="1" t="s">
        <v>170</v>
      </c>
      <c r="C699" s="1">
        <v>2019</v>
      </c>
      <c r="D699" s="1" t="s">
        <v>175</v>
      </c>
      <c r="E699" s="1" t="s">
        <v>235</v>
      </c>
      <c r="F699" s="1">
        <v>2040</v>
      </c>
      <c r="G699" s="1" t="s">
        <v>234</v>
      </c>
      <c r="H699" s="1">
        <v>6105000</v>
      </c>
      <c r="I699" s="21">
        <v>5</v>
      </c>
      <c r="J699" s="1">
        <f t="shared" si="22"/>
        <v>27640000</v>
      </c>
      <c r="K699" s="21">
        <v>1687250</v>
      </c>
      <c r="L699" s="21">
        <v>2.77</v>
      </c>
      <c r="M699" s="21">
        <v>119.633</v>
      </c>
      <c r="N699" s="39">
        <v>7792250</v>
      </c>
    </row>
    <row r="700" spans="1:14">
      <c r="A700" s="1" t="s">
        <v>169</v>
      </c>
      <c r="B700" s="1" t="s">
        <v>170</v>
      </c>
      <c r="C700" s="1">
        <v>2019</v>
      </c>
      <c r="D700" s="1" t="s">
        <v>175</v>
      </c>
      <c r="E700" s="1" t="s">
        <v>235</v>
      </c>
      <c r="F700" s="1">
        <v>2041</v>
      </c>
      <c r="G700" s="1" t="s">
        <v>234</v>
      </c>
      <c r="H700" s="1">
        <v>6410000</v>
      </c>
      <c r="I700" s="21">
        <v>5</v>
      </c>
      <c r="J700" s="1">
        <f t="shared" si="22"/>
        <v>21230000</v>
      </c>
      <c r="K700" s="21">
        <v>1382000</v>
      </c>
      <c r="L700" s="21">
        <v>2.77</v>
      </c>
      <c r="M700" s="21">
        <v>119.633</v>
      </c>
      <c r="N700" s="39">
        <v>7792000</v>
      </c>
    </row>
    <row r="701" spans="1:14">
      <c r="A701" s="1" t="s">
        <v>169</v>
      </c>
      <c r="B701" s="1" t="s">
        <v>170</v>
      </c>
      <c r="C701" s="1">
        <v>2019</v>
      </c>
      <c r="D701" s="1" t="s">
        <v>175</v>
      </c>
      <c r="E701" s="1" t="s">
        <v>235</v>
      </c>
      <c r="F701" s="1">
        <v>2042</v>
      </c>
      <c r="G701" s="1" t="s">
        <v>234</v>
      </c>
      <c r="H701" s="1">
        <v>6735000</v>
      </c>
      <c r="I701" s="21">
        <v>5</v>
      </c>
      <c r="J701" s="1">
        <f t="shared" si="22"/>
        <v>14495000</v>
      </c>
      <c r="K701" s="21">
        <v>1061500</v>
      </c>
      <c r="L701" s="21">
        <v>2.77</v>
      </c>
      <c r="M701" s="21">
        <v>119.633</v>
      </c>
      <c r="N701" s="39">
        <v>7796500</v>
      </c>
    </row>
    <row r="702" spans="1:14">
      <c r="A702" s="1" t="s">
        <v>169</v>
      </c>
      <c r="B702" s="1" t="s">
        <v>170</v>
      </c>
      <c r="C702" s="1">
        <v>2019</v>
      </c>
      <c r="D702" s="1" t="s">
        <v>175</v>
      </c>
      <c r="E702" s="1" t="s">
        <v>235</v>
      </c>
      <c r="F702" s="1">
        <v>2043</v>
      </c>
      <c r="G702" s="1" t="s">
        <v>234</v>
      </c>
      <c r="H702" s="1">
        <v>7070000</v>
      </c>
      <c r="I702" s="21">
        <v>5</v>
      </c>
      <c r="J702" s="1">
        <f t="shared" si="22"/>
        <v>7425000</v>
      </c>
      <c r="K702" s="21">
        <v>724750</v>
      </c>
      <c r="L702" s="21">
        <v>2.77</v>
      </c>
      <c r="M702" s="21">
        <v>119.633</v>
      </c>
      <c r="N702" s="39">
        <v>7794750</v>
      </c>
    </row>
    <row r="703" spans="1:14">
      <c r="A703" s="1" t="s">
        <v>169</v>
      </c>
      <c r="B703" s="1" t="s">
        <v>170</v>
      </c>
      <c r="C703" s="1">
        <v>2019</v>
      </c>
      <c r="D703" s="1" t="s">
        <v>175</v>
      </c>
      <c r="E703" s="1" t="s">
        <v>235</v>
      </c>
      <c r="F703" s="1">
        <v>2044</v>
      </c>
      <c r="G703" s="1" t="s">
        <v>234</v>
      </c>
      <c r="H703" s="1">
        <v>7425000</v>
      </c>
      <c r="I703" s="21">
        <v>5</v>
      </c>
      <c r="J703" s="1">
        <f t="shared" si="22"/>
        <v>0</v>
      </c>
      <c r="K703" s="21">
        <v>371250</v>
      </c>
      <c r="L703" s="21">
        <v>2.77</v>
      </c>
      <c r="M703" s="21">
        <v>119.633</v>
      </c>
      <c r="N703" s="39">
        <v>7796250</v>
      </c>
    </row>
    <row r="704" spans="1:14">
      <c r="A704" s="1" t="s">
        <v>169</v>
      </c>
      <c r="B704" s="1" t="s">
        <v>170</v>
      </c>
      <c r="C704" s="1">
        <v>2019</v>
      </c>
      <c r="D704" s="1" t="s">
        <v>182</v>
      </c>
      <c r="E704" s="1" t="s">
        <v>233</v>
      </c>
      <c r="F704" s="1">
        <v>2019</v>
      </c>
      <c r="G704" s="1" t="s">
        <v>234</v>
      </c>
      <c r="H704" s="1">
        <v>0</v>
      </c>
      <c r="I704" s="21" t="s">
        <v>174</v>
      </c>
      <c r="J704" s="1">
        <v>104290000</v>
      </c>
      <c r="K704" s="21">
        <v>799434</v>
      </c>
      <c r="L704" s="21" t="s">
        <v>174</v>
      </c>
      <c r="M704" s="21" t="s">
        <v>174</v>
      </c>
      <c r="N704" s="21">
        <v>799434</v>
      </c>
    </row>
    <row r="705" spans="1:14">
      <c r="A705" s="1" t="s">
        <v>169</v>
      </c>
      <c r="B705" s="1" t="s">
        <v>170</v>
      </c>
      <c r="C705" s="1">
        <v>2019</v>
      </c>
      <c r="D705" s="1" t="s">
        <v>182</v>
      </c>
      <c r="E705" s="1" t="s">
        <v>233</v>
      </c>
      <c r="F705" s="1">
        <v>2020</v>
      </c>
      <c r="G705" s="1" t="s">
        <v>234</v>
      </c>
      <c r="H705" s="1">
        <v>0</v>
      </c>
      <c r="I705" s="21" t="s">
        <v>174</v>
      </c>
      <c r="J705" s="1">
        <f t="shared" si="22"/>
        <v>104290000</v>
      </c>
      <c r="K705" s="21">
        <v>4877900</v>
      </c>
      <c r="L705" s="21" t="s">
        <v>174</v>
      </c>
      <c r="M705" s="21" t="s">
        <v>174</v>
      </c>
      <c r="N705" s="21">
        <v>4877900</v>
      </c>
    </row>
    <row r="706" spans="1:14">
      <c r="A706" s="1" t="s">
        <v>169</v>
      </c>
      <c r="B706" s="1" t="s">
        <v>170</v>
      </c>
      <c r="C706" s="1">
        <v>2019</v>
      </c>
      <c r="D706" s="1" t="s">
        <v>182</v>
      </c>
      <c r="E706" s="1" t="s">
        <v>233</v>
      </c>
      <c r="F706" s="1">
        <v>2021</v>
      </c>
      <c r="G706" s="1" t="s">
        <v>234</v>
      </c>
      <c r="H706" s="1">
        <v>0</v>
      </c>
      <c r="I706" s="21" t="s">
        <v>174</v>
      </c>
      <c r="J706" s="1">
        <f t="shared" si="22"/>
        <v>104290000</v>
      </c>
      <c r="K706" s="21">
        <v>4877900</v>
      </c>
      <c r="L706" s="21" t="s">
        <v>174</v>
      </c>
      <c r="M706" s="21" t="s">
        <v>174</v>
      </c>
      <c r="N706" s="21">
        <v>4877900</v>
      </c>
    </row>
    <row r="707" spans="1:14">
      <c r="A707" s="1" t="s">
        <v>169</v>
      </c>
      <c r="B707" s="1" t="s">
        <v>170</v>
      </c>
      <c r="C707" s="1">
        <v>2019</v>
      </c>
      <c r="D707" s="1" t="s">
        <v>182</v>
      </c>
      <c r="E707" s="1" t="s">
        <v>233</v>
      </c>
      <c r="F707" s="1">
        <v>2022</v>
      </c>
      <c r="G707" s="1" t="s">
        <v>234</v>
      </c>
      <c r="H707" s="1">
        <v>0</v>
      </c>
      <c r="I707" s="21" t="s">
        <v>174</v>
      </c>
      <c r="J707" s="1">
        <f t="shared" si="22"/>
        <v>104290000</v>
      </c>
      <c r="K707" s="21">
        <v>4877900</v>
      </c>
      <c r="L707" s="21" t="s">
        <v>174</v>
      </c>
      <c r="M707" s="21" t="s">
        <v>174</v>
      </c>
      <c r="N707" s="21">
        <v>4877900</v>
      </c>
    </row>
    <row r="708" spans="1:14">
      <c r="A708" s="1" t="s">
        <v>169</v>
      </c>
      <c r="B708" s="1" t="s">
        <v>170</v>
      </c>
      <c r="C708" s="1">
        <v>2019</v>
      </c>
      <c r="D708" s="1" t="s">
        <v>182</v>
      </c>
      <c r="E708" s="1" t="s">
        <v>233</v>
      </c>
      <c r="F708" s="1">
        <v>2023</v>
      </c>
      <c r="G708" s="1" t="s">
        <v>234</v>
      </c>
      <c r="H708" s="1">
        <v>0</v>
      </c>
      <c r="I708" s="21" t="s">
        <v>174</v>
      </c>
      <c r="J708" s="1">
        <f t="shared" si="22"/>
        <v>104290000</v>
      </c>
      <c r="K708" s="21">
        <v>4877900</v>
      </c>
      <c r="L708" s="21" t="s">
        <v>174</v>
      </c>
      <c r="M708" s="21" t="s">
        <v>174</v>
      </c>
      <c r="N708" s="21">
        <v>4877900</v>
      </c>
    </row>
    <row r="709" spans="1:14">
      <c r="A709" s="1" t="s">
        <v>169</v>
      </c>
      <c r="B709" s="1" t="s">
        <v>170</v>
      </c>
      <c r="C709" s="1">
        <v>2019</v>
      </c>
      <c r="D709" s="1" t="s">
        <v>182</v>
      </c>
      <c r="E709" s="1" t="s">
        <v>233</v>
      </c>
      <c r="F709" s="1">
        <v>2024</v>
      </c>
      <c r="G709" s="1" t="s">
        <v>234</v>
      </c>
      <c r="H709" s="1">
        <v>0</v>
      </c>
      <c r="I709" s="21" t="s">
        <v>174</v>
      </c>
      <c r="J709" s="1">
        <f t="shared" si="22"/>
        <v>104290000</v>
      </c>
      <c r="K709" s="21">
        <v>4877900</v>
      </c>
      <c r="L709" s="21" t="s">
        <v>174</v>
      </c>
      <c r="M709" s="21" t="s">
        <v>174</v>
      </c>
      <c r="N709" s="21">
        <v>4877900</v>
      </c>
    </row>
    <row r="710" spans="1:14">
      <c r="A710" s="1" t="s">
        <v>169</v>
      </c>
      <c r="B710" s="1" t="s">
        <v>170</v>
      </c>
      <c r="C710" s="1">
        <v>2019</v>
      </c>
      <c r="D710" s="1" t="s">
        <v>182</v>
      </c>
      <c r="E710" s="1" t="s">
        <v>233</v>
      </c>
      <c r="F710" s="1">
        <v>2025</v>
      </c>
      <c r="G710" s="1" t="s">
        <v>234</v>
      </c>
      <c r="H710" s="1">
        <v>0</v>
      </c>
      <c r="I710" s="21" t="s">
        <v>174</v>
      </c>
      <c r="J710" s="1">
        <f t="shared" si="22"/>
        <v>104290000</v>
      </c>
      <c r="K710" s="21">
        <v>4877900</v>
      </c>
      <c r="L710" s="21" t="s">
        <v>174</v>
      </c>
      <c r="M710" s="21" t="s">
        <v>174</v>
      </c>
      <c r="N710" s="21">
        <v>4877900</v>
      </c>
    </row>
    <row r="711" spans="1:14">
      <c r="A711" s="1" t="s">
        <v>169</v>
      </c>
      <c r="B711" s="1" t="s">
        <v>170</v>
      </c>
      <c r="C711" s="1">
        <v>2019</v>
      </c>
      <c r="D711" s="1" t="s">
        <v>182</v>
      </c>
      <c r="E711" s="1" t="s">
        <v>233</v>
      </c>
      <c r="F711" s="1">
        <v>2026</v>
      </c>
      <c r="G711" s="1" t="s">
        <v>234</v>
      </c>
      <c r="H711" s="1">
        <v>0</v>
      </c>
      <c r="I711" s="21" t="s">
        <v>174</v>
      </c>
      <c r="J711" s="1">
        <f t="shared" si="22"/>
        <v>104290000</v>
      </c>
      <c r="K711" s="21">
        <v>4877900</v>
      </c>
      <c r="L711" s="21" t="s">
        <v>174</v>
      </c>
      <c r="M711" s="21" t="s">
        <v>174</v>
      </c>
      <c r="N711" s="21">
        <v>4877900</v>
      </c>
    </row>
    <row r="712" spans="1:14">
      <c r="A712" s="1" t="s">
        <v>169</v>
      </c>
      <c r="B712" s="1" t="s">
        <v>170</v>
      </c>
      <c r="C712" s="1">
        <v>2019</v>
      </c>
      <c r="D712" s="1" t="s">
        <v>182</v>
      </c>
      <c r="E712" s="1" t="s">
        <v>233</v>
      </c>
      <c r="F712" s="1">
        <v>2027</v>
      </c>
      <c r="G712" s="1" t="s">
        <v>234</v>
      </c>
      <c r="H712" s="1">
        <v>0</v>
      </c>
      <c r="I712" s="21" t="s">
        <v>174</v>
      </c>
      <c r="J712" s="1">
        <f t="shared" si="22"/>
        <v>104290000</v>
      </c>
      <c r="K712" s="21">
        <v>4877900</v>
      </c>
      <c r="L712" s="21" t="s">
        <v>174</v>
      </c>
      <c r="M712" s="21" t="s">
        <v>174</v>
      </c>
      <c r="N712" s="21">
        <v>4877900</v>
      </c>
    </row>
    <row r="713" spans="1:14">
      <c r="A713" s="1" t="s">
        <v>169</v>
      </c>
      <c r="B713" s="1" t="s">
        <v>170</v>
      </c>
      <c r="C713" s="1">
        <v>2019</v>
      </c>
      <c r="D713" s="1" t="s">
        <v>182</v>
      </c>
      <c r="E713" s="1" t="s">
        <v>233</v>
      </c>
      <c r="F713" s="1">
        <v>2028</v>
      </c>
      <c r="G713" s="1" t="s">
        <v>234</v>
      </c>
      <c r="H713" s="1">
        <v>0</v>
      </c>
      <c r="I713" s="21" t="s">
        <v>174</v>
      </c>
      <c r="J713" s="1">
        <f t="shared" si="22"/>
        <v>104290000</v>
      </c>
      <c r="K713" s="21">
        <v>4877900</v>
      </c>
      <c r="L713" s="21" t="s">
        <v>174</v>
      </c>
      <c r="M713" s="21" t="s">
        <v>174</v>
      </c>
      <c r="N713" s="21">
        <v>4877900</v>
      </c>
    </row>
    <row r="714" spans="1:14">
      <c r="A714" s="1" t="s">
        <v>169</v>
      </c>
      <c r="B714" s="1" t="s">
        <v>170</v>
      </c>
      <c r="C714" s="1">
        <v>2019</v>
      </c>
      <c r="D714" s="1" t="s">
        <v>182</v>
      </c>
      <c r="E714" s="1" t="s">
        <v>233</v>
      </c>
      <c r="F714" s="1">
        <v>2029</v>
      </c>
      <c r="G714" s="1" t="s">
        <v>234</v>
      </c>
      <c r="H714" s="1">
        <v>0</v>
      </c>
      <c r="I714" s="21" t="s">
        <v>174</v>
      </c>
      <c r="J714" s="1">
        <f t="shared" si="22"/>
        <v>104290000</v>
      </c>
      <c r="K714" s="21">
        <v>4877900</v>
      </c>
      <c r="L714" s="21" t="s">
        <v>174</v>
      </c>
      <c r="M714" s="21" t="s">
        <v>174</v>
      </c>
      <c r="N714" s="21">
        <v>4877900</v>
      </c>
    </row>
    <row r="715" spans="1:14">
      <c r="A715" s="1" t="s">
        <v>169</v>
      </c>
      <c r="B715" s="1" t="s">
        <v>170</v>
      </c>
      <c r="C715" s="1">
        <v>2019</v>
      </c>
      <c r="D715" s="1" t="s">
        <v>182</v>
      </c>
      <c r="E715" s="1" t="s">
        <v>233</v>
      </c>
      <c r="F715" s="1">
        <v>2030</v>
      </c>
      <c r="G715" s="1" t="s">
        <v>234</v>
      </c>
      <c r="H715" s="1">
        <v>2990000</v>
      </c>
      <c r="I715" s="21">
        <v>5</v>
      </c>
      <c r="J715" s="1">
        <f t="shared" si="22"/>
        <v>101300000</v>
      </c>
      <c r="K715" s="21">
        <v>4877900</v>
      </c>
      <c r="L715" s="21">
        <v>2.37</v>
      </c>
      <c r="M715" s="21">
        <v>125.66200000000001</v>
      </c>
      <c r="N715" s="1">
        <v>7867900</v>
      </c>
    </row>
    <row r="716" spans="1:14">
      <c r="A716" s="1" t="s">
        <v>169</v>
      </c>
      <c r="B716" s="1" t="s">
        <v>170</v>
      </c>
      <c r="C716" s="1">
        <v>2019</v>
      </c>
      <c r="D716" s="1" t="s">
        <v>182</v>
      </c>
      <c r="E716" s="1" t="s">
        <v>233</v>
      </c>
      <c r="F716" s="1">
        <v>2031</v>
      </c>
      <c r="G716" s="1" t="s">
        <v>234</v>
      </c>
      <c r="H716" s="1">
        <v>15405000</v>
      </c>
      <c r="I716" s="21">
        <v>5</v>
      </c>
      <c r="J716" s="1">
        <f t="shared" si="22"/>
        <v>85895000</v>
      </c>
      <c r="K716" s="21">
        <v>4728400</v>
      </c>
      <c r="L716" s="21">
        <v>2.5299999999999998</v>
      </c>
      <c r="M716" s="21">
        <v>125.71899999999999</v>
      </c>
      <c r="N716" s="1">
        <v>20133400</v>
      </c>
    </row>
    <row r="717" spans="1:14">
      <c r="A717" s="1" t="s">
        <v>169</v>
      </c>
      <c r="B717" s="1" t="s">
        <v>170</v>
      </c>
      <c r="C717" s="1">
        <v>2019</v>
      </c>
      <c r="D717" s="1" t="s">
        <v>182</v>
      </c>
      <c r="E717" s="1" t="s">
        <v>233</v>
      </c>
      <c r="F717" s="1">
        <v>2032</v>
      </c>
      <c r="G717" s="1" t="s">
        <v>234</v>
      </c>
      <c r="H717" s="1">
        <v>25600000</v>
      </c>
      <c r="I717" s="21">
        <v>5</v>
      </c>
      <c r="J717" s="1">
        <f t="shared" si="22"/>
        <v>60295000</v>
      </c>
      <c r="K717" s="21">
        <v>3958150</v>
      </c>
      <c r="L717" s="21">
        <v>2.6</v>
      </c>
      <c r="M717" s="21">
        <v>126.605</v>
      </c>
      <c r="N717" s="1">
        <v>29558150</v>
      </c>
    </row>
    <row r="718" spans="1:14">
      <c r="A718" s="1" t="s">
        <v>169</v>
      </c>
      <c r="B718" s="1" t="s">
        <v>170</v>
      </c>
      <c r="C718" s="1">
        <v>2019</v>
      </c>
      <c r="D718" s="1" t="s">
        <v>182</v>
      </c>
      <c r="E718" s="1" t="s">
        <v>233</v>
      </c>
      <c r="F718" s="1">
        <v>2033</v>
      </c>
      <c r="G718" s="1" t="s">
        <v>234</v>
      </c>
      <c r="H718" s="1">
        <v>26635000</v>
      </c>
      <c r="I718" s="21">
        <v>5</v>
      </c>
      <c r="J718" s="1">
        <f t="shared" si="22"/>
        <v>33660000</v>
      </c>
      <c r="K718" s="21">
        <v>2678150</v>
      </c>
      <c r="L718" s="21">
        <v>2.69</v>
      </c>
      <c r="M718" s="21">
        <v>127.054</v>
      </c>
      <c r="N718" s="1">
        <v>29313150</v>
      </c>
    </row>
    <row r="719" spans="1:14">
      <c r="A719" s="1" t="s">
        <v>169</v>
      </c>
      <c r="B719" s="1" t="s">
        <v>170</v>
      </c>
      <c r="C719" s="1">
        <v>2019</v>
      </c>
      <c r="D719" s="1" t="s">
        <v>182</v>
      </c>
      <c r="E719" s="1" t="s">
        <v>233</v>
      </c>
      <c r="F719" s="1">
        <v>2034</v>
      </c>
      <c r="G719" s="1" t="s">
        <v>234</v>
      </c>
      <c r="H719" s="1">
        <v>27880000</v>
      </c>
      <c r="I719" s="21">
        <v>4</v>
      </c>
      <c r="J719" s="1">
        <f t="shared" si="22"/>
        <v>5780000</v>
      </c>
      <c r="K719" s="21">
        <v>1346400</v>
      </c>
      <c r="L719" s="21">
        <v>2.69</v>
      </c>
      <c r="M719" s="21">
        <v>111.57899999999999</v>
      </c>
      <c r="N719" s="1">
        <v>29226400</v>
      </c>
    </row>
    <row r="720" spans="1:14">
      <c r="A720" s="1" t="s">
        <v>169</v>
      </c>
      <c r="B720" s="1" t="s">
        <v>170</v>
      </c>
      <c r="C720" s="1">
        <v>2019</v>
      </c>
      <c r="D720" s="1" t="s">
        <v>182</v>
      </c>
      <c r="E720" s="1" t="s">
        <v>233</v>
      </c>
      <c r="F720" s="1">
        <v>2035</v>
      </c>
      <c r="G720" s="1" t="s">
        <v>234</v>
      </c>
      <c r="H720" s="1">
        <v>5780000</v>
      </c>
      <c r="I720" s="21">
        <v>4</v>
      </c>
      <c r="J720" s="1">
        <f t="shared" si="22"/>
        <v>0</v>
      </c>
      <c r="K720" s="21">
        <v>231200</v>
      </c>
      <c r="L720" s="21">
        <v>2.73</v>
      </c>
      <c r="M720" s="21">
        <v>111.202</v>
      </c>
      <c r="N720" s="1">
        <v>6011200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8"/>
  <sheetViews>
    <sheetView topLeftCell="A41" workbookViewId="0">
      <selection activeCell="B69" sqref="B69"/>
    </sheetView>
  </sheetViews>
  <sheetFormatPr defaultColWidth="8.85546875" defaultRowHeight="14.45"/>
  <cols>
    <col min="1" max="1" width="10.140625" style="1" bestFit="1" customWidth="1"/>
    <col min="2" max="3" width="8.85546875" style="1"/>
    <col min="4" max="4" width="10" style="1" bestFit="1" customWidth="1"/>
    <col min="5" max="16384" width="8.85546875" style="1"/>
  </cols>
  <sheetData>
    <row r="1" spans="1:6">
      <c r="A1" s="2" t="s">
        <v>149</v>
      </c>
      <c r="B1" s="2" t="s">
        <v>150</v>
      </c>
      <c r="C1" s="2" t="s">
        <v>151</v>
      </c>
      <c r="D1" s="5" t="s">
        <v>238</v>
      </c>
      <c r="E1" s="4" t="s">
        <v>239</v>
      </c>
      <c r="F1" s="4" t="s">
        <v>168</v>
      </c>
    </row>
    <row r="2" spans="1:6">
      <c r="A2" s="1" t="s">
        <v>169</v>
      </c>
      <c r="B2" s="1" t="s">
        <v>170</v>
      </c>
      <c r="C2" s="1">
        <v>1991</v>
      </c>
      <c r="D2" s="1">
        <v>236682503</v>
      </c>
      <c r="E2" s="1" t="s">
        <v>240</v>
      </c>
    </row>
    <row r="3" spans="1:6">
      <c r="A3" s="1" t="s">
        <v>169</v>
      </c>
      <c r="B3" s="1" t="s">
        <v>170</v>
      </c>
      <c r="C3" s="1">
        <v>1991</v>
      </c>
      <c r="D3" s="1">
        <v>21316500</v>
      </c>
      <c r="E3" s="1" t="s">
        <v>241</v>
      </c>
    </row>
    <row r="4" spans="1:6">
      <c r="A4" s="1" t="s">
        <v>169</v>
      </c>
      <c r="B4" s="1" t="s">
        <v>170</v>
      </c>
      <c r="C4" s="1">
        <v>1991</v>
      </c>
      <c r="D4" s="1">
        <v>1001405</v>
      </c>
      <c r="E4" s="1" t="s">
        <v>242</v>
      </c>
    </row>
    <row r="5" spans="1:6">
      <c r="A5" s="1" t="s">
        <v>169</v>
      </c>
      <c r="B5" s="1" t="s">
        <v>170</v>
      </c>
      <c r="C5" s="1">
        <v>1991</v>
      </c>
      <c r="D5" s="1">
        <v>1872496</v>
      </c>
      <c r="E5" s="1" t="s">
        <v>243</v>
      </c>
    </row>
    <row r="6" spans="1:6">
      <c r="A6" s="1" t="s">
        <v>169</v>
      </c>
      <c r="B6" s="1" t="s">
        <v>170</v>
      </c>
      <c r="C6" s="1">
        <v>1991</v>
      </c>
      <c r="D6" s="1">
        <v>2227520</v>
      </c>
      <c r="E6" s="1" t="s">
        <v>244</v>
      </c>
    </row>
    <row r="7" spans="1:6">
      <c r="A7" s="1" t="s">
        <v>169</v>
      </c>
      <c r="B7" s="1" t="s">
        <v>170</v>
      </c>
      <c r="C7" s="1">
        <v>1991</v>
      </c>
      <c r="D7" s="1">
        <v>10290371</v>
      </c>
      <c r="E7" s="1" t="s">
        <v>245</v>
      </c>
    </row>
    <row r="8" spans="1:6">
      <c r="A8" s="1" t="s">
        <v>169</v>
      </c>
      <c r="B8" s="1" t="s">
        <v>170</v>
      </c>
      <c r="C8" s="1">
        <v>1993</v>
      </c>
      <c r="D8" s="1">
        <v>276612747</v>
      </c>
      <c r="E8" s="1" t="s">
        <v>246</v>
      </c>
    </row>
    <row r="9" spans="1:6">
      <c r="A9" s="1" t="s">
        <v>169</v>
      </c>
      <c r="B9" s="1" t="s">
        <v>170</v>
      </c>
      <c r="C9" s="1">
        <v>1993</v>
      </c>
      <c r="D9" s="1">
        <v>12000000</v>
      </c>
      <c r="E9" s="1" t="s">
        <v>247</v>
      </c>
    </row>
    <row r="10" spans="1:6">
      <c r="A10" s="1" t="s">
        <v>169</v>
      </c>
      <c r="B10" s="1" t="s">
        <v>170</v>
      </c>
      <c r="C10" s="1">
        <v>1993</v>
      </c>
      <c r="D10" s="1">
        <v>1223954</v>
      </c>
      <c r="E10" s="1" t="s">
        <v>242</v>
      </c>
    </row>
    <row r="11" spans="1:6">
      <c r="A11" s="1" t="s">
        <v>169</v>
      </c>
      <c r="B11" s="1" t="s">
        <v>170</v>
      </c>
      <c r="C11" s="1">
        <v>1993</v>
      </c>
      <c r="D11" s="1">
        <v>3561058</v>
      </c>
      <c r="E11" s="1" t="s">
        <v>243</v>
      </c>
    </row>
    <row r="12" spans="1:6">
      <c r="A12" s="1" t="s">
        <v>169</v>
      </c>
      <c r="B12" s="1" t="s">
        <v>170</v>
      </c>
      <c r="C12" s="1">
        <v>1995</v>
      </c>
      <c r="D12" s="1">
        <v>92862667</v>
      </c>
      <c r="E12" s="1" t="s">
        <v>248</v>
      </c>
    </row>
    <row r="13" spans="1:6">
      <c r="A13" s="1" t="s">
        <v>169</v>
      </c>
      <c r="B13" s="1" t="s">
        <v>170</v>
      </c>
      <c r="C13" s="1">
        <v>1995</v>
      </c>
      <c r="D13" s="1">
        <v>80000000</v>
      </c>
      <c r="E13" s="1" t="s">
        <v>249</v>
      </c>
    </row>
    <row r="14" spans="1:6">
      <c r="A14" s="1" t="s">
        <v>169</v>
      </c>
      <c r="B14" s="1" t="s">
        <v>170</v>
      </c>
      <c r="C14" s="1">
        <v>1995</v>
      </c>
      <c r="D14" s="1">
        <v>6352000</v>
      </c>
      <c r="E14" s="1" t="s">
        <v>250</v>
      </c>
    </row>
    <row r="15" spans="1:6">
      <c r="A15" s="1" t="s">
        <v>169</v>
      </c>
      <c r="B15" s="1" t="s">
        <v>170</v>
      </c>
      <c r="C15" s="1">
        <v>1995</v>
      </c>
      <c r="D15" s="1">
        <v>8282000</v>
      </c>
      <c r="E15" s="1" t="s">
        <v>251</v>
      </c>
    </row>
    <row r="16" spans="1:6">
      <c r="A16" s="1" t="s">
        <v>169</v>
      </c>
      <c r="B16" s="1" t="s">
        <v>170</v>
      </c>
      <c r="C16" s="1">
        <v>1995</v>
      </c>
      <c r="D16" s="1">
        <v>159807</v>
      </c>
      <c r="E16" s="1" t="s">
        <v>252</v>
      </c>
    </row>
    <row r="17" spans="1:5">
      <c r="A17" s="1" t="s">
        <v>169</v>
      </c>
      <c r="B17" s="1" t="s">
        <v>170</v>
      </c>
      <c r="C17" s="1">
        <v>1995</v>
      </c>
      <c r="D17" s="1">
        <v>179744</v>
      </c>
      <c r="E17" s="1" t="s">
        <v>253</v>
      </c>
    </row>
    <row r="18" spans="1:5">
      <c r="A18" s="1" t="s">
        <v>169</v>
      </c>
      <c r="B18" s="1" t="s">
        <v>170</v>
      </c>
      <c r="C18" s="1">
        <v>1995</v>
      </c>
      <c r="D18" s="1">
        <v>1702242</v>
      </c>
      <c r="E18" s="1" t="s">
        <v>243</v>
      </c>
    </row>
    <row r="19" spans="1:5">
      <c r="A19" s="1" t="s">
        <v>169</v>
      </c>
      <c r="B19" s="1" t="s">
        <v>170</v>
      </c>
      <c r="C19" s="1">
        <v>1998</v>
      </c>
      <c r="D19" s="1">
        <v>194756004</v>
      </c>
      <c r="E19" s="1" t="s">
        <v>254</v>
      </c>
    </row>
    <row r="20" spans="1:5">
      <c r="A20" s="1" t="s">
        <v>169</v>
      </c>
      <c r="B20" s="1" t="s">
        <v>170</v>
      </c>
      <c r="C20" s="1">
        <v>1998</v>
      </c>
      <c r="D20" s="1">
        <v>36001908</v>
      </c>
      <c r="E20" s="1" t="s">
        <v>249</v>
      </c>
    </row>
    <row r="21" spans="1:5">
      <c r="A21" s="1" t="s">
        <v>169</v>
      </c>
      <c r="B21" s="1" t="s">
        <v>170</v>
      </c>
      <c r="C21" s="1">
        <v>1998</v>
      </c>
      <c r="D21" s="1">
        <v>9910444</v>
      </c>
      <c r="E21" s="1" t="s">
        <v>255</v>
      </c>
    </row>
    <row r="22" spans="1:5">
      <c r="A22" s="1" t="s">
        <v>169</v>
      </c>
      <c r="B22" s="1" t="s">
        <v>170</v>
      </c>
      <c r="C22" s="1">
        <v>1998</v>
      </c>
      <c r="D22" s="1">
        <v>27529</v>
      </c>
      <c r="E22" s="1" t="s">
        <v>256</v>
      </c>
    </row>
    <row r="23" spans="1:5">
      <c r="A23" s="1" t="s">
        <v>169</v>
      </c>
      <c r="B23" s="1" t="s">
        <v>170</v>
      </c>
      <c r="C23" s="1">
        <v>1998</v>
      </c>
      <c r="D23" s="1">
        <v>1980426</v>
      </c>
      <c r="E23" s="1" t="s">
        <v>243</v>
      </c>
    </row>
    <row r="24" spans="1:5">
      <c r="A24" s="1" t="s">
        <v>169</v>
      </c>
      <c r="B24" s="1" t="s">
        <v>170</v>
      </c>
      <c r="C24" s="1">
        <v>2002</v>
      </c>
      <c r="D24" s="1">
        <v>98737892</v>
      </c>
      <c r="E24" s="1" t="s">
        <v>247</v>
      </c>
    </row>
    <row r="25" spans="1:5">
      <c r="A25" s="1" t="s">
        <v>169</v>
      </c>
      <c r="B25" s="1" t="s">
        <v>170</v>
      </c>
      <c r="C25" s="1">
        <v>2002</v>
      </c>
      <c r="D25" s="1">
        <v>373949</v>
      </c>
      <c r="E25" s="1" t="s">
        <v>242</v>
      </c>
    </row>
    <row r="26" spans="1:5">
      <c r="A26" s="1" t="s">
        <v>169</v>
      </c>
      <c r="B26" s="1" t="s">
        <v>170</v>
      </c>
      <c r="C26" s="1">
        <v>2002</v>
      </c>
      <c r="D26" s="1">
        <v>7299038</v>
      </c>
      <c r="E26" s="1" t="s">
        <v>241</v>
      </c>
    </row>
    <row r="27" spans="1:5">
      <c r="A27" s="1" t="s">
        <v>169</v>
      </c>
      <c r="B27" s="1" t="s">
        <v>170</v>
      </c>
      <c r="C27" s="1">
        <v>2002</v>
      </c>
      <c r="D27" s="1">
        <v>1108422</v>
      </c>
      <c r="E27" s="1" t="s">
        <v>243</v>
      </c>
    </row>
    <row r="28" spans="1:5">
      <c r="A28" s="1" t="s">
        <v>169</v>
      </c>
      <c r="B28" s="1" t="s">
        <v>170</v>
      </c>
      <c r="C28" s="1">
        <v>2003</v>
      </c>
      <c r="D28" s="1">
        <v>161948072</v>
      </c>
      <c r="E28" s="1" t="s">
        <v>257</v>
      </c>
    </row>
    <row r="29" spans="1:5">
      <c r="A29" s="1" t="s">
        <v>169</v>
      </c>
      <c r="B29" s="1" t="s">
        <v>170</v>
      </c>
      <c r="C29" s="1">
        <v>2003</v>
      </c>
      <c r="D29" s="1">
        <v>1602425</v>
      </c>
      <c r="E29" s="1" t="s">
        <v>258</v>
      </c>
    </row>
    <row r="30" spans="1:5">
      <c r="A30" s="1" t="s">
        <v>169</v>
      </c>
      <c r="B30" s="1" t="s">
        <v>170</v>
      </c>
      <c r="C30" s="1">
        <v>2003</v>
      </c>
      <c r="D30" s="1">
        <v>3009016</v>
      </c>
      <c r="E30" s="1" t="s">
        <v>243</v>
      </c>
    </row>
    <row r="31" spans="1:5">
      <c r="A31" s="1" t="s">
        <v>169</v>
      </c>
      <c r="B31" s="1" t="s">
        <v>170</v>
      </c>
      <c r="C31" s="1">
        <v>2005</v>
      </c>
      <c r="D31" s="1">
        <v>50000408</v>
      </c>
      <c r="E31" s="1" t="s">
        <v>259</v>
      </c>
    </row>
    <row r="32" spans="1:5">
      <c r="A32" s="1" t="s">
        <v>169</v>
      </c>
      <c r="B32" s="1" t="s">
        <v>170</v>
      </c>
      <c r="C32" s="1">
        <v>2005</v>
      </c>
      <c r="D32" s="1">
        <v>1683943</v>
      </c>
      <c r="E32" s="1" t="s">
        <v>260</v>
      </c>
    </row>
    <row r="33" spans="1:5">
      <c r="A33" s="1" t="s">
        <v>169</v>
      </c>
      <c r="B33" s="1" t="s">
        <v>170</v>
      </c>
      <c r="C33" s="1">
        <v>2005</v>
      </c>
      <c r="D33" s="1">
        <v>936483</v>
      </c>
      <c r="E33" s="1" t="s">
        <v>243</v>
      </c>
    </row>
    <row r="34" spans="1:5">
      <c r="A34" s="1" t="s">
        <v>169</v>
      </c>
      <c r="B34" s="1" t="s">
        <v>170</v>
      </c>
      <c r="C34" s="1">
        <v>2007</v>
      </c>
      <c r="D34" s="1">
        <v>159187690</v>
      </c>
      <c r="E34" s="1" t="s">
        <v>261</v>
      </c>
    </row>
    <row r="35" spans="1:5">
      <c r="A35" s="1" t="s">
        <v>169</v>
      </c>
      <c r="B35" s="1" t="s">
        <v>170</v>
      </c>
      <c r="C35" s="1">
        <v>2007</v>
      </c>
      <c r="D35" s="1">
        <v>241119</v>
      </c>
      <c r="E35" s="1" t="s">
        <v>262</v>
      </c>
    </row>
    <row r="36" spans="1:5">
      <c r="A36" s="1" t="s">
        <v>169</v>
      </c>
      <c r="B36" s="1" t="s">
        <v>170</v>
      </c>
      <c r="C36" s="1">
        <v>2007</v>
      </c>
      <c r="D36" s="1">
        <v>2125740</v>
      </c>
      <c r="E36" s="1" t="s">
        <v>243</v>
      </c>
    </row>
    <row r="37" spans="1:5">
      <c r="A37" s="1" t="s">
        <v>169</v>
      </c>
      <c r="B37" s="1" t="s">
        <v>170</v>
      </c>
      <c r="C37" s="1">
        <v>2008</v>
      </c>
      <c r="D37" s="1">
        <v>27009514</v>
      </c>
      <c r="E37" s="1" t="s">
        <v>263</v>
      </c>
    </row>
    <row r="38" spans="1:5">
      <c r="A38" s="1" t="s">
        <v>169</v>
      </c>
      <c r="B38" s="1" t="s">
        <v>170</v>
      </c>
      <c r="C38" s="1">
        <v>2008</v>
      </c>
      <c r="D38" s="1">
        <v>62026183</v>
      </c>
      <c r="E38" s="1" t="s">
        <v>264</v>
      </c>
    </row>
    <row r="39" spans="1:5">
      <c r="A39" s="1" t="s">
        <v>169</v>
      </c>
      <c r="B39" s="1" t="s">
        <v>170</v>
      </c>
      <c r="C39" s="1">
        <v>2008</v>
      </c>
      <c r="D39" s="1">
        <v>2423085</v>
      </c>
      <c r="E39" s="1" t="s">
        <v>265</v>
      </c>
    </row>
    <row r="40" spans="1:5">
      <c r="A40" s="1" t="s">
        <v>169</v>
      </c>
      <c r="B40" s="1" t="s">
        <v>170</v>
      </c>
      <c r="C40" s="1">
        <v>2008</v>
      </c>
      <c r="D40" s="1">
        <v>145495000</v>
      </c>
      <c r="E40" s="1" t="s">
        <v>266</v>
      </c>
    </row>
    <row r="41" spans="1:5">
      <c r="A41" s="1" t="s">
        <v>169</v>
      </c>
      <c r="B41" s="1" t="s">
        <v>170</v>
      </c>
      <c r="C41" s="1">
        <v>2013</v>
      </c>
      <c r="D41" s="1">
        <v>44648874</v>
      </c>
      <c r="E41" s="1" t="s">
        <v>267</v>
      </c>
    </row>
    <row r="42" spans="1:5">
      <c r="A42" s="1" t="s">
        <v>169</v>
      </c>
      <c r="B42" s="1" t="s">
        <v>170</v>
      </c>
      <c r="C42" s="1">
        <v>2013</v>
      </c>
      <c r="D42" s="1">
        <v>83032984</v>
      </c>
      <c r="E42" s="1" t="s">
        <v>268</v>
      </c>
    </row>
    <row r="43" spans="1:5">
      <c r="A43" s="1" t="s">
        <v>169</v>
      </c>
      <c r="B43" s="1" t="s">
        <v>170</v>
      </c>
      <c r="C43" s="1">
        <v>2013</v>
      </c>
      <c r="D43" s="1">
        <v>12375000</v>
      </c>
      <c r="E43" s="1" t="s">
        <v>269</v>
      </c>
    </row>
    <row r="44" spans="1:5">
      <c r="A44" s="1" t="s">
        <v>169</v>
      </c>
      <c r="B44" s="1" t="s">
        <v>170</v>
      </c>
      <c r="C44" s="1">
        <v>2013</v>
      </c>
      <c r="D44" s="1">
        <v>75000000</v>
      </c>
      <c r="E44" s="1" t="s">
        <v>247</v>
      </c>
    </row>
    <row r="45" spans="1:5">
      <c r="A45" s="1" t="s">
        <v>169</v>
      </c>
      <c r="B45" s="1" t="s">
        <v>170</v>
      </c>
      <c r="C45" s="1">
        <v>2013</v>
      </c>
      <c r="D45" s="1">
        <v>8941131</v>
      </c>
      <c r="E45" s="1" t="s">
        <v>270</v>
      </c>
    </row>
    <row r="46" spans="1:5">
      <c r="A46" s="1" t="s">
        <v>169</v>
      </c>
      <c r="B46" s="1" t="s">
        <v>170</v>
      </c>
      <c r="C46" s="1">
        <v>2013</v>
      </c>
      <c r="D46" s="1">
        <v>6066394</v>
      </c>
      <c r="E46" s="1" t="s">
        <v>241</v>
      </c>
    </row>
    <row r="47" spans="1:5">
      <c r="A47" s="1" t="s">
        <v>169</v>
      </c>
      <c r="B47" s="1" t="s">
        <v>170</v>
      </c>
      <c r="C47" s="1">
        <v>2013</v>
      </c>
      <c r="D47" s="1">
        <v>323487</v>
      </c>
      <c r="E47" s="1" t="s">
        <v>271</v>
      </c>
    </row>
    <row r="48" spans="1:5">
      <c r="A48" s="1" t="s">
        <v>169</v>
      </c>
      <c r="B48" s="1" t="s">
        <v>170</v>
      </c>
      <c r="C48" s="1">
        <v>2013</v>
      </c>
      <c r="D48" s="1">
        <v>1350585</v>
      </c>
      <c r="E48" s="1" t="s">
        <v>243</v>
      </c>
    </row>
    <row r="49" spans="1:5">
      <c r="A49" s="1" t="s">
        <v>169</v>
      </c>
      <c r="B49" s="1" t="s">
        <v>170</v>
      </c>
      <c r="C49" s="1">
        <v>2017</v>
      </c>
      <c r="D49" s="1">
        <v>150000</v>
      </c>
      <c r="E49" s="1" t="s">
        <v>272</v>
      </c>
    </row>
    <row r="50" spans="1:5">
      <c r="A50" s="1" t="s">
        <v>169</v>
      </c>
      <c r="B50" s="1" t="s">
        <v>170</v>
      </c>
      <c r="C50" s="1">
        <v>2017</v>
      </c>
      <c r="D50" s="1">
        <v>186798895</v>
      </c>
      <c r="E50" s="1" t="s">
        <v>273</v>
      </c>
    </row>
    <row r="51" spans="1:5">
      <c r="A51" s="1" t="s">
        <v>169</v>
      </c>
      <c r="B51" s="1" t="s">
        <v>170</v>
      </c>
      <c r="C51" s="1">
        <v>2017</v>
      </c>
      <c r="D51" s="1">
        <v>1809589</v>
      </c>
      <c r="E51" s="1" t="s">
        <v>243</v>
      </c>
    </row>
    <row r="52" spans="1:5">
      <c r="A52" s="1" t="s">
        <v>169</v>
      </c>
      <c r="B52" s="1" t="s">
        <v>170</v>
      </c>
      <c r="C52" s="1">
        <v>2017</v>
      </c>
      <c r="D52" s="1">
        <v>5548</v>
      </c>
      <c r="E52" s="1" t="s">
        <v>274</v>
      </c>
    </row>
    <row r="53" spans="1:5">
      <c r="A53" s="1" t="s">
        <v>169</v>
      </c>
      <c r="B53" s="1" t="s">
        <v>170</v>
      </c>
      <c r="C53" s="1">
        <v>2017</v>
      </c>
      <c r="D53" s="1">
        <v>216720000</v>
      </c>
      <c r="E53" s="1" t="s">
        <v>275</v>
      </c>
    </row>
    <row r="54" spans="1:5">
      <c r="A54" s="1" t="s">
        <v>169</v>
      </c>
      <c r="B54" s="1" t="s">
        <v>170</v>
      </c>
      <c r="C54" s="1">
        <v>2017</v>
      </c>
      <c r="D54" s="1">
        <v>20850000</v>
      </c>
      <c r="E54" s="1" t="s">
        <v>276</v>
      </c>
    </row>
    <row r="55" spans="1:5">
      <c r="A55" s="1" t="s">
        <v>169</v>
      </c>
      <c r="B55" s="1" t="s">
        <v>170</v>
      </c>
      <c r="C55" s="1">
        <v>2019</v>
      </c>
      <c r="D55" s="1">
        <v>131200000</v>
      </c>
      <c r="E55" s="1" t="s">
        <v>277</v>
      </c>
    </row>
    <row r="56" spans="1:5">
      <c r="A56" s="1" t="s">
        <v>169</v>
      </c>
      <c r="B56" s="1" t="s">
        <v>170</v>
      </c>
      <c r="C56" s="1">
        <v>2019</v>
      </c>
      <c r="D56" s="1">
        <v>103660000</v>
      </c>
      <c r="E56" s="1" t="s">
        <v>278</v>
      </c>
    </row>
    <row r="57" spans="1:5">
      <c r="A57" s="1" t="s">
        <v>169</v>
      </c>
      <c r="B57" s="1" t="s">
        <v>170</v>
      </c>
      <c r="C57" s="1">
        <v>2019</v>
      </c>
      <c r="D57" s="1">
        <v>27605000</v>
      </c>
      <c r="E57" s="1" t="s">
        <v>279</v>
      </c>
    </row>
    <row r="58" spans="1:5">
      <c r="A58" s="1" t="s">
        <v>169</v>
      </c>
      <c r="B58" s="1" t="s">
        <v>170</v>
      </c>
      <c r="C58" s="1">
        <v>2019</v>
      </c>
      <c r="D58" s="1">
        <v>2469765</v>
      </c>
      <c r="E58" s="1" t="s">
        <v>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54"/>
  <sheetViews>
    <sheetView topLeftCell="C119" workbookViewId="0">
      <selection activeCell="M152" sqref="M152:M153"/>
    </sheetView>
  </sheetViews>
  <sheetFormatPr defaultColWidth="8.85546875" defaultRowHeight="14.45"/>
  <cols>
    <col min="1" max="1" width="10.140625" style="1" bestFit="1" customWidth="1"/>
    <col min="2" max="3" width="8.85546875" style="1"/>
    <col min="4" max="4" width="47.28515625" style="1" customWidth="1"/>
    <col min="5" max="6" width="8.85546875" style="1"/>
    <col min="7" max="7" width="10" style="1" bestFit="1" customWidth="1"/>
    <col min="8" max="10" width="8.85546875" style="1"/>
    <col min="11" max="11" width="10" style="1" bestFit="1" customWidth="1"/>
    <col min="12" max="16384" width="8.85546875" style="1"/>
  </cols>
  <sheetData>
    <row r="1" spans="1:13">
      <c r="A1" s="2" t="s">
        <v>149</v>
      </c>
      <c r="B1" s="2" t="s">
        <v>150</v>
      </c>
      <c r="C1" s="2" t="s">
        <v>151</v>
      </c>
      <c r="D1" s="2" t="s">
        <v>280</v>
      </c>
      <c r="E1" s="2" t="s">
        <v>152</v>
      </c>
      <c r="F1" s="2" t="s">
        <v>281</v>
      </c>
      <c r="G1" s="5" t="s">
        <v>238</v>
      </c>
      <c r="H1" s="4" t="s">
        <v>158</v>
      </c>
      <c r="I1" s="4" t="s">
        <v>159</v>
      </c>
      <c r="J1" s="6" t="s">
        <v>282</v>
      </c>
      <c r="K1" s="3" t="s">
        <v>283</v>
      </c>
      <c r="L1" s="4" t="s">
        <v>284</v>
      </c>
      <c r="M1" s="4" t="s">
        <v>168</v>
      </c>
    </row>
    <row r="2" spans="1:13">
      <c r="A2" s="1" t="s">
        <v>169</v>
      </c>
      <c r="B2" s="1" t="s">
        <v>170</v>
      </c>
      <c r="C2" s="1">
        <v>1991</v>
      </c>
      <c r="D2" s="1" t="s">
        <v>285</v>
      </c>
      <c r="E2" s="1" t="s">
        <v>171</v>
      </c>
      <c r="F2" s="1" t="s">
        <v>286</v>
      </c>
      <c r="G2" s="1">
        <v>93600000</v>
      </c>
      <c r="H2" s="1">
        <v>1984</v>
      </c>
      <c r="K2" s="1">
        <v>0</v>
      </c>
      <c r="L2" s="1" t="s">
        <v>287</v>
      </c>
      <c r="M2" s="1" t="s">
        <v>288</v>
      </c>
    </row>
    <row r="3" spans="1:13">
      <c r="A3" s="1" t="s">
        <v>169</v>
      </c>
      <c r="B3" s="1" t="s">
        <v>170</v>
      </c>
      <c r="C3" s="1">
        <v>1991</v>
      </c>
      <c r="D3" s="1" t="s">
        <v>289</v>
      </c>
      <c r="E3" s="1" t="s">
        <v>171</v>
      </c>
      <c r="F3" s="1" t="s">
        <v>286</v>
      </c>
      <c r="G3" s="1">
        <v>100000000</v>
      </c>
      <c r="H3" s="1">
        <v>1985</v>
      </c>
      <c r="J3" s="1">
        <v>5.125</v>
      </c>
      <c r="K3" s="1">
        <v>0</v>
      </c>
      <c r="M3" s="1" t="s">
        <v>290</v>
      </c>
    </row>
    <row r="4" spans="1:13">
      <c r="A4" s="1" t="s">
        <v>169</v>
      </c>
      <c r="B4" s="1" t="s">
        <v>170</v>
      </c>
      <c r="C4" s="1">
        <v>1991</v>
      </c>
      <c r="D4" s="1" t="s">
        <v>291</v>
      </c>
      <c r="E4" s="1" t="s">
        <v>171</v>
      </c>
      <c r="F4" s="1" t="s">
        <v>286</v>
      </c>
      <c r="G4" s="1">
        <v>134700000</v>
      </c>
      <c r="H4" s="1">
        <v>1986</v>
      </c>
      <c r="K4" s="1">
        <v>236682503</v>
      </c>
    </row>
    <row r="5" spans="1:13">
      <c r="A5" s="1" t="s">
        <v>169</v>
      </c>
      <c r="B5" s="1" t="s">
        <v>170</v>
      </c>
      <c r="C5" s="1">
        <v>1991</v>
      </c>
      <c r="D5" s="1" t="s">
        <v>292</v>
      </c>
      <c r="E5" s="1" t="s">
        <v>171</v>
      </c>
      <c r="F5" s="1" t="s">
        <v>286</v>
      </c>
      <c r="G5" s="1">
        <v>264090000</v>
      </c>
      <c r="H5" s="1">
        <v>1986</v>
      </c>
      <c r="J5" s="1">
        <f>AVERAGE(5.9,7.625)</f>
        <v>6.7625000000000002</v>
      </c>
      <c r="M5" s="1" t="s">
        <v>293</v>
      </c>
    </row>
    <row r="6" spans="1:13">
      <c r="A6" s="1" t="s">
        <v>169</v>
      </c>
      <c r="B6" s="1" t="s">
        <v>170</v>
      </c>
      <c r="C6" s="1">
        <v>1993</v>
      </c>
      <c r="D6" s="1" t="s">
        <v>294</v>
      </c>
      <c r="E6" s="1" t="s">
        <v>171</v>
      </c>
      <c r="F6" s="1" t="s">
        <v>295</v>
      </c>
      <c r="G6" s="1">
        <v>128410400</v>
      </c>
      <c r="H6" s="1">
        <v>1986</v>
      </c>
      <c r="J6" s="1">
        <v>8</v>
      </c>
      <c r="K6" s="1">
        <v>0</v>
      </c>
      <c r="M6" s="1" t="s">
        <v>296</v>
      </c>
    </row>
    <row r="7" spans="1:13">
      <c r="A7" s="1" t="s">
        <v>169</v>
      </c>
      <c r="B7" s="1" t="s">
        <v>170</v>
      </c>
      <c r="C7" s="1">
        <v>1993</v>
      </c>
      <c r="D7" s="1" t="s">
        <v>297</v>
      </c>
      <c r="E7" s="1" t="s">
        <v>171</v>
      </c>
      <c r="F7" s="1" t="s">
        <v>286</v>
      </c>
      <c r="G7" s="1">
        <v>248329024</v>
      </c>
      <c r="H7" s="1">
        <v>1991</v>
      </c>
      <c r="I7" s="1">
        <v>2016</v>
      </c>
      <c r="J7" s="1">
        <v>6.43</v>
      </c>
    </row>
    <row r="8" spans="1:13">
      <c r="A8" s="1" t="s">
        <v>169</v>
      </c>
      <c r="B8" s="1" t="s">
        <v>170</v>
      </c>
      <c r="C8" s="1">
        <v>1995</v>
      </c>
      <c r="D8" s="1" t="s">
        <v>298</v>
      </c>
      <c r="E8" s="1" t="s">
        <v>171</v>
      </c>
      <c r="F8" s="1" t="s">
        <v>286</v>
      </c>
      <c r="G8" s="1">
        <v>278970000</v>
      </c>
      <c r="H8" s="1">
        <v>1993</v>
      </c>
      <c r="I8" s="1">
        <v>2016</v>
      </c>
      <c r="J8" s="1">
        <v>4.68</v>
      </c>
      <c r="K8" s="1">
        <v>266120000</v>
      </c>
    </row>
    <row r="9" spans="1:13">
      <c r="A9" s="1" t="s">
        <v>169</v>
      </c>
      <c r="B9" s="1" t="s">
        <v>170</v>
      </c>
      <c r="C9" s="1">
        <v>1995</v>
      </c>
      <c r="D9" s="1" t="s">
        <v>299</v>
      </c>
      <c r="E9" s="1" t="s">
        <v>171</v>
      </c>
      <c r="F9" s="1" t="s">
        <v>286</v>
      </c>
      <c r="G9" s="1">
        <v>10785000</v>
      </c>
      <c r="H9" s="1">
        <v>1993</v>
      </c>
      <c r="I9" s="1">
        <v>2023</v>
      </c>
      <c r="J9" s="1">
        <v>5</v>
      </c>
      <c r="K9" s="1">
        <v>10785000</v>
      </c>
    </row>
    <row r="10" spans="1:13">
      <c r="A10" s="1" t="s">
        <v>169</v>
      </c>
      <c r="B10" s="1" t="s">
        <v>170</v>
      </c>
      <c r="C10" s="1">
        <v>2002</v>
      </c>
      <c r="D10" s="1" t="s">
        <v>300</v>
      </c>
      <c r="E10" s="1" t="s">
        <v>171</v>
      </c>
      <c r="F10" s="1" t="s">
        <v>286</v>
      </c>
      <c r="G10" s="1">
        <v>278970000</v>
      </c>
      <c r="H10" s="1">
        <v>1993</v>
      </c>
      <c r="I10" s="1">
        <v>2025</v>
      </c>
      <c r="J10" s="1">
        <v>4.68</v>
      </c>
    </row>
    <row r="11" spans="1:13">
      <c r="A11" s="1" t="s">
        <v>169</v>
      </c>
      <c r="B11" s="1" t="s">
        <v>170</v>
      </c>
      <c r="C11" s="1">
        <v>2002</v>
      </c>
      <c r="D11" s="1" t="s">
        <v>301</v>
      </c>
      <c r="E11" s="1" t="s">
        <v>171</v>
      </c>
      <c r="F11" s="1" t="s">
        <v>286</v>
      </c>
      <c r="G11" s="1">
        <v>231765070</v>
      </c>
      <c r="H11" s="1">
        <v>1998</v>
      </c>
      <c r="I11" s="1">
        <v>2025</v>
      </c>
      <c r="J11" s="1">
        <v>5.07</v>
      </c>
    </row>
    <row r="12" spans="1:13">
      <c r="A12" s="1" t="s">
        <v>169</v>
      </c>
      <c r="B12" s="1" t="s">
        <v>170</v>
      </c>
      <c r="C12" s="1">
        <v>2003</v>
      </c>
      <c r="D12" s="1" t="s">
        <v>300</v>
      </c>
      <c r="E12" s="1" t="s">
        <v>171</v>
      </c>
      <c r="F12" s="1" t="s">
        <v>286</v>
      </c>
      <c r="G12" s="1">
        <v>278970000</v>
      </c>
      <c r="H12" s="1">
        <v>1993</v>
      </c>
      <c r="I12" s="1">
        <v>2025</v>
      </c>
      <c r="J12" s="1">
        <v>4.68</v>
      </c>
      <c r="K12" s="1">
        <v>49105000</v>
      </c>
    </row>
    <row r="13" spans="1:13">
      <c r="A13" s="1" t="s">
        <v>169</v>
      </c>
      <c r="B13" s="1" t="s">
        <v>170</v>
      </c>
      <c r="C13" s="1">
        <v>2003</v>
      </c>
      <c r="D13" s="1" t="s">
        <v>302</v>
      </c>
      <c r="E13" s="1" t="s">
        <v>171</v>
      </c>
      <c r="F13" s="1" t="s">
        <v>286</v>
      </c>
      <c r="G13" s="1">
        <v>93355000</v>
      </c>
      <c r="H13" s="1">
        <v>1998</v>
      </c>
      <c r="I13" s="1">
        <v>2025</v>
      </c>
      <c r="J13" s="1">
        <v>5.0599999999999996</v>
      </c>
      <c r="K13" s="1">
        <v>93355000</v>
      </c>
    </row>
    <row r="14" spans="1:13">
      <c r="A14" s="1" t="s">
        <v>169</v>
      </c>
      <c r="B14" s="1" t="s">
        <v>170</v>
      </c>
      <c r="C14" s="1">
        <v>2003</v>
      </c>
      <c r="D14" s="1" t="s">
        <v>303</v>
      </c>
      <c r="E14" s="1" t="s">
        <v>171</v>
      </c>
      <c r="F14" s="1" t="s">
        <v>286</v>
      </c>
      <c r="G14" s="1">
        <v>36440070</v>
      </c>
      <c r="H14" s="1">
        <v>1998</v>
      </c>
      <c r="I14" s="1">
        <v>2030</v>
      </c>
      <c r="J14" s="1" t="s">
        <v>174</v>
      </c>
      <c r="K14" s="1">
        <v>36439231</v>
      </c>
    </row>
    <row r="15" spans="1:13">
      <c r="A15" s="1" t="s">
        <v>169</v>
      </c>
      <c r="B15" s="1" t="s">
        <v>170</v>
      </c>
      <c r="C15" s="1">
        <v>2003</v>
      </c>
      <c r="D15" s="1" t="s">
        <v>304</v>
      </c>
      <c r="E15" s="1" t="s">
        <v>171</v>
      </c>
      <c r="F15" s="1" t="s">
        <v>286</v>
      </c>
      <c r="G15" s="1">
        <v>101970000</v>
      </c>
      <c r="H15" s="1">
        <v>1998</v>
      </c>
      <c r="I15" s="1">
        <v>2025</v>
      </c>
      <c r="J15" s="1">
        <v>5.08</v>
      </c>
      <c r="K15" s="1">
        <v>101970000</v>
      </c>
    </row>
    <row r="16" spans="1:13">
      <c r="A16" s="1" t="s">
        <v>169</v>
      </c>
      <c r="B16" s="1" t="s">
        <v>170</v>
      </c>
      <c r="C16" s="1">
        <v>2003</v>
      </c>
      <c r="D16" s="1" t="s">
        <v>305</v>
      </c>
      <c r="E16" s="1" t="s">
        <v>171</v>
      </c>
      <c r="F16" s="1" t="s">
        <v>286</v>
      </c>
      <c r="G16" s="1">
        <v>107500000</v>
      </c>
      <c r="H16" s="1">
        <v>2002</v>
      </c>
      <c r="I16" s="1">
        <v>2031</v>
      </c>
      <c r="J16" s="1">
        <v>4.9000000000000004</v>
      </c>
      <c r="K16" s="1">
        <v>107500000</v>
      </c>
    </row>
    <row r="17" spans="1:13">
      <c r="A17" s="1" t="s">
        <v>169</v>
      </c>
      <c r="B17" s="1" t="s">
        <v>170</v>
      </c>
      <c r="C17" s="1">
        <v>2003</v>
      </c>
      <c r="D17" s="1" t="s">
        <v>306</v>
      </c>
      <c r="E17" s="1" t="s">
        <v>171</v>
      </c>
      <c r="F17" s="1" t="s">
        <v>307</v>
      </c>
      <c r="K17" s="1">
        <v>4488000</v>
      </c>
      <c r="M17" s="1" t="s">
        <v>308</v>
      </c>
    </row>
    <row r="18" spans="1:13">
      <c r="A18" s="1" t="s">
        <v>169</v>
      </c>
      <c r="B18" s="1" t="s">
        <v>170</v>
      </c>
      <c r="C18" s="1">
        <v>2005</v>
      </c>
      <c r="D18" s="1" t="s">
        <v>300</v>
      </c>
      <c r="E18" s="1" t="s">
        <v>171</v>
      </c>
      <c r="F18" s="1" t="s">
        <v>286</v>
      </c>
      <c r="G18" s="1">
        <v>278970000</v>
      </c>
      <c r="H18" s="1">
        <v>1993</v>
      </c>
      <c r="I18" s="1">
        <v>2025</v>
      </c>
      <c r="J18" s="1">
        <v>4.68</v>
      </c>
      <c r="K18" s="1">
        <v>49105000</v>
      </c>
    </row>
    <row r="19" spans="1:13">
      <c r="A19" s="1" t="s">
        <v>169</v>
      </c>
      <c r="B19" s="1" t="s">
        <v>170</v>
      </c>
      <c r="C19" s="1">
        <v>2005</v>
      </c>
      <c r="D19" s="1" t="s">
        <v>302</v>
      </c>
      <c r="E19" s="1" t="s">
        <v>171</v>
      </c>
      <c r="F19" s="1" t="s">
        <v>286</v>
      </c>
      <c r="G19" s="1">
        <v>93355000</v>
      </c>
      <c r="H19" s="1">
        <v>1998</v>
      </c>
      <c r="I19" s="1">
        <v>2025</v>
      </c>
      <c r="J19" s="1">
        <v>5.0599999999999996</v>
      </c>
      <c r="K19" s="1">
        <v>92925000</v>
      </c>
    </row>
    <row r="20" spans="1:13">
      <c r="A20" s="1" t="s">
        <v>169</v>
      </c>
      <c r="B20" s="1" t="s">
        <v>170</v>
      </c>
      <c r="C20" s="1">
        <v>2005</v>
      </c>
      <c r="D20" s="1" t="s">
        <v>303</v>
      </c>
      <c r="E20" s="1" t="s">
        <v>171</v>
      </c>
      <c r="F20" s="1" t="s">
        <v>286</v>
      </c>
      <c r="G20" s="1">
        <v>36440070</v>
      </c>
      <c r="H20" s="1">
        <v>1998</v>
      </c>
      <c r="I20" s="1">
        <v>2030</v>
      </c>
      <c r="J20" s="1" t="s">
        <v>174</v>
      </c>
      <c r="K20" s="1">
        <v>36440070</v>
      </c>
    </row>
    <row r="21" spans="1:13">
      <c r="A21" s="1" t="s">
        <v>169</v>
      </c>
      <c r="B21" s="1" t="s">
        <v>170</v>
      </c>
      <c r="C21" s="1">
        <v>2005</v>
      </c>
      <c r="D21" s="1" t="s">
        <v>304</v>
      </c>
      <c r="E21" s="1" t="s">
        <v>171</v>
      </c>
      <c r="F21" s="1" t="s">
        <v>286</v>
      </c>
      <c r="G21" s="1">
        <v>101970000</v>
      </c>
      <c r="H21" s="1">
        <v>1998</v>
      </c>
      <c r="I21" s="1">
        <v>2025</v>
      </c>
      <c r="J21" s="1">
        <v>5.08</v>
      </c>
      <c r="K21" s="1">
        <v>98950000</v>
      </c>
    </row>
    <row r="22" spans="1:13">
      <c r="A22" s="1" t="s">
        <v>169</v>
      </c>
      <c r="B22" s="1" t="s">
        <v>170</v>
      </c>
      <c r="C22" s="1">
        <v>2005</v>
      </c>
      <c r="D22" s="1" t="s">
        <v>305</v>
      </c>
      <c r="E22" s="1" t="s">
        <v>171</v>
      </c>
      <c r="F22" s="1" t="s">
        <v>286</v>
      </c>
      <c r="G22" s="1">
        <v>107500000</v>
      </c>
      <c r="H22" s="1">
        <v>2002</v>
      </c>
      <c r="I22" s="1">
        <v>2031</v>
      </c>
      <c r="J22" s="1">
        <v>4.9000000000000004</v>
      </c>
      <c r="K22" s="1">
        <v>105590000</v>
      </c>
    </row>
    <row r="23" spans="1:13">
      <c r="A23" s="1" t="s">
        <v>169</v>
      </c>
      <c r="B23" s="1" t="s">
        <v>170</v>
      </c>
      <c r="C23" s="1">
        <v>2005</v>
      </c>
      <c r="D23" s="1" t="s">
        <v>309</v>
      </c>
      <c r="E23" s="1" t="s">
        <v>171</v>
      </c>
      <c r="F23" s="1" t="s">
        <v>286</v>
      </c>
      <c r="G23" s="1">
        <v>167390000</v>
      </c>
      <c r="H23" s="1">
        <v>2003</v>
      </c>
      <c r="I23" s="1">
        <v>2023</v>
      </c>
      <c r="J23" s="1">
        <v>3.49</v>
      </c>
      <c r="K23" s="1">
        <v>157535000</v>
      </c>
    </row>
    <row r="24" spans="1:13">
      <c r="A24" s="1" t="s">
        <v>169</v>
      </c>
      <c r="B24" s="1" t="s">
        <v>170</v>
      </c>
      <c r="C24" s="1">
        <v>2005</v>
      </c>
      <c r="D24" s="1" t="s">
        <v>310</v>
      </c>
      <c r="E24" s="1" t="s">
        <v>171</v>
      </c>
      <c r="F24" s="1" t="s">
        <v>307</v>
      </c>
      <c r="G24" s="1">
        <v>15451875</v>
      </c>
      <c r="K24" s="1">
        <v>15300000</v>
      </c>
      <c r="M24" s="1" t="s">
        <v>311</v>
      </c>
    </row>
    <row r="25" spans="1:13">
      <c r="A25" s="1" t="s">
        <v>169</v>
      </c>
      <c r="B25" s="1" t="s">
        <v>170</v>
      </c>
      <c r="C25" s="1">
        <v>2007</v>
      </c>
      <c r="D25" s="1" t="s">
        <v>300</v>
      </c>
      <c r="E25" s="1" t="s">
        <v>171</v>
      </c>
      <c r="F25" s="1" t="s">
        <v>286</v>
      </c>
      <c r="G25" s="1">
        <v>278970000</v>
      </c>
      <c r="H25" s="1">
        <v>1993</v>
      </c>
      <c r="I25" s="1">
        <v>2025</v>
      </c>
      <c r="J25" s="1">
        <v>4.68</v>
      </c>
      <c r="K25" s="1">
        <v>49105000</v>
      </c>
    </row>
    <row r="26" spans="1:13">
      <c r="A26" s="1" t="s">
        <v>169</v>
      </c>
      <c r="B26" s="1" t="s">
        <v>170</v>
      </c>
      <c r="C26" s="1">
        <v>2007</v>
      </c>
      <c r="D26" s="1" t="s">
        <v>302</v>
      </c>
      <c r="E26" s="1" t="s">
        <v>171</v>
      </c>
      <c r="F26" s="1" t="s">
        <v>286</v>
      </c>
      <c r="G26" s="1">
        <v>93355000</v>
      </c>
      <c r="H26" s="1">
        <v>1998</v>
      </c>
      <c r="I26" s="1">
        <v>2025</v>
      </c>
      <c r="J26" s="1">
        <v>5.0599999999999996</v>
      </c>
      <c r="K26" s="1">
        <v>92925000</v>
      </c>
    </row>
    <row r="27" spans="1:13">
      <c r="A27" s="1" t="s">
        <v>169</v>
      </c>
      <c r="B27" s="1" t="s">
        <v>170</v>
      </c>
      <c r="C27" s="1">
        <v>2007</v>
      </c>
      <c r="D27" s="1" t="s">
        <v>303</v>
      </c>
      <c r="E27" s="1" t="s">
        <v>171</v>
      </c>
      <c r="F27" s="1" t="s">
        <v>286</v>
      </c>
      <c r="G27" s="1">
        <v>36440070</v>
      </c>
      <c r="H27" s="1">
        <v>1998</v>
      </c>
      <c r="I27" s="1">
        <v>2030</v>
      </c>
      <c r="J27" s="1" t="s">
        <v>174</v>
      </c>
      <c r="K27" s="1">
        <v>36440070</v>
      </c>
    </row>
    <row r="28" spans="1:13">
      <c r="A28" s="1" t="s">
        <v>169</v>
      </c>
      <c r="B28" s="1" t="s">
        <v>170</v>
      </c>
      <c r="C28" s="1">
        <v>2007</v>
      </c>
      <c r="D28" s="1" t="s">
        <v>304</v>
      </c>
      <c r="E28" s="1" t="s">
        <v>171</v>
      </c>
      <c r="F28" s="1" t="s">
        <v>286</v>
      </c>
      <c r="G28" s="1">
        <v>101970000</v>
      </c>
      <c r="H28" s="1">
        <v>1998</v>
      </c>
      <c r="I28" s="1">
        <v>2025</v>
      </c>
      <c r="J28" s="1">
        <v>5.08</v>
      </c>
      <c r="K28" s="1">
        <v>98850000</v>
      </c>
    </row>
    <row r="29" spans="1:13">
      <c r="A29" s="1" t="s">
        <v>169</v>
      </c>
      <c r="B29" s="1" t="s">
        <v>170</v>
      </c>
      <c r="C29" s="1">
        <v>2007</v>
      </c>
      <c r="D29" s="1" t="s">
        <v>305</v>
      </c>
      <c r="E29" s="1" t="s">
        <v>171</v>
      </c>
      <c r="F29" s="1" t="s">
        <v>286</v>
      </c>
      <c r="G29" s="1">
        <v>107500000</v>
      </c>
      <c r="H29" s="1">
        <v>2002</v>
      </c>
      <c r="I29" s="1">
        <v>2031</v>
      </c>
      <c r="J29" s="1">
        <v>4.9000000000000004</v>
      </c>
      <c r="K29" s="1">
        <v>101530000</v>
      </c>
    </row>
    <row r="30" spans="1:13">
      <c r="A30" s="1" t="s">
        <v>169</v>
      </c>
      <c r="B30" s="1" t="s">
        <v>170</v>
      </c>
      <c r="C30" s="1">
        <v>2007</v>
      </c>
      <c r="D30" s="1" t="s">
        <v>309</v>
      </c>
      <c r="E30" s="1" t="s">
        <v>171</v>
      </c>
      <c r="F30" s="1" t="s">
        <v>286</v>
      </c>
      <c r="G30" s="1">
        <v>167390000</v>
      </c>
      <c r="H30" s="1">
        <v>2003</v>
      </c>
      <c r="I30" s="1">
        <v>2023</v>
      </c>
      <c r="J30" s="1">
        <v>3.49</v>
      </c>
      <c r="K30" s="1">
        <v>130060000</v>
      </c>
    </row>
    <row r="31" spans="1:13">
      <c r="A31" s="1" t="s">
        <v>169</v>
      </c>
      <c r="B31" s="1" t="s">
        <v>170</v>
      </c>
      <c r="C31" s="1">
        <v>2007</v>
      </c>
      <c r="D31" s="1" t="s">
        <v>312</v>
      </c>
      <c r="E31" s="1" t="s">
        <v>171</v>
      </c>
      <c r="F31" s="1" t="s">
        <v>286</v>
      </c>
      <c r="G31" s="1">
        <v>50385000</v>
      </c>
      <c r="H31" s="1">
        <v>2005</v>
      </c>
      <c r="I31" s="1">
        <v>2033</v>
      </c>
      <c r="J31" s="1">
        <v>4.4000000000000004</v>
      </c>
      <c r="K31" s="1">
        <v>49510000</v>
      </c>
    </row>
    <row r="32" spans="1:13">
      <c r="A32" s="1" t="s">
        <v>169</v>
      </c>
      <c r="B32" s="1" t="s">
        <v>170</v>
      </c>
      <c r="C32" s="1">
        <v>2007</v>
      </c>
      <c r="D32" s="1" t="s">
        <v>310</v>
      </c>
      <c r="E32" s="1" t="s">
        <v>171</v>
      </c>
      <c r="F32" s="1" t="s">
        <v>307</v>
      </c>
      <c r="G32" s="1">
        <v>18338340</v>
      </c>
      <c r="K32" s="1">
        <v>14689844</v>
      </c>
    </row>
    <row r="33" spans="1:13">
      <c r="A33" s="1" t="s">
        <v>169</v>
      </c>
      <c r="B33" s="1" t="s">
        <v>170</v>
      </c>
      <c r="C33" s="1">
        <v>2007</v>
      </c>
      <c r="D33" s="1" t="s">
        <v>313</v>
      </c>
      <c r="E33" s="1" t="s">
        <v>314</v>
      </c>
      <c r="F33" s="1" t="s">
        <v>307</v>
      </c>
      <c r="G33" s="1">
        <v>158399</v>
      </c>
      <c r="H33" s="1">
        <v>2002</v>
      </c>
      <c r="L33" s="1" t="s">
        <v>315</v>
      </c>
      <c r="M33" s="1" t="s">
        <v>316</v>
      </c>
    </row>
    <row r="34" spans="1:13">
      <c r="A34" s="1" t="s">
        <v>169</v>
      </c>
      <c r="B34" s="1" t="s">
        <v>170</v>
      </c>
      <c r="C34" s="1">
        <v>2007</v>
      </c>
      <c r="D34" s="1" t="s">
        <v>317</v>
      </c>
      <c r="E34" s="1" t="s">
        <v>318</v>
      </c>
      <c r="F34" s="1" t="s">
        <v>307</v>
      </c>
      <c r="G34" s="1">
        <v>800963</v>
      </c>
      <c r="H34" s="1">
        <v>2002</v>
      </c>
      <c r="L34" s="1" t="s">
        <v>319</v>
      </c>
      <c r="M34" s="1" t="s">
        <v>320</v>
      </c>
    </row>
    <row r="35" spans="1:13">
      <c r="A35" s="1" t="s">
        <v>169</v>
      </c>
      <c r="B35" s="1" t="s">
        <v>170</v>
      </c>
      <c r="C35" s="1">
        <v>2007</v>
      </c>
      <c r="D35" s="1" t="s">
        <v>321</v>
      </c>
      <c r="E35" s="1" t="s">
        <v>322</v>
      </c>
      <c r="F35" s="1" t="s">
        <v>307</v>
      </c>
      <c r="G35" s="1">
        <v>3940114</v>
      </c>
      <c r="H35" s="1">
        <v>2003</v>
      </c>
      <c r="L35" s="1" t="s">
        <v>323</v>
      </c>
      <c r="M35" s="1" t="s">
        <v>324</v>
      </c>
    </row>
    <row r="36" spans="1:13">
      <c r="A36" s="1" t="s">
        <v>169</v>
      </c>
      <c r="B36" s="1" t="s">
        <v>170</v>
      </c>
      <c r="C36" s="1">
        <v>2007</v>
      </c>
      <c r="D36" s="1" t="s">
        <v>325</v>
      </c>
      <c r="E36" s="1" t="s">
        <v>314</v>
      </c>
      <c r="F36" s="1" t="s">
        <v>307</v>
      </c>
      <c r="G36" s="1">
        <v>3505100</v>
      </c>
      <c r="H36" s="1">
        <v>2003</v>
      </c>
      <c r="L36" s="1" t="s">
        <v>326</v>
      </c>
      <c r="M36" s="1" t="s">
        <v>327</v>
      </c>
    </row>
    <row r="37" spans="1:13">
      <c r="A37" s="1" t="s">
        <v>169</v>
      </c>
      <c r="B37" s="1" t="s">
        <v>170</v>
      </c>
      <c r="C37" s="1">
        <v>2007</v>
      </c>
      <c r="D37" s="1" t="s">
        <v>328</v>
      </c>
      <c r="E37" s="1" t="s">
        <v>322</v>
      </c>
      <c r="F37" s="1" t="s">
        <v>307</v>
      </c>
      <c r="G37" s="1">
        <v>5112264</v>
      </c>
      <c r="H37" s="1">
        <v>2004</v>
      </c>
      <c r="L37" s="1" t="s">
        <v>329</v>
      </c>
      <c r="M37" s="1" t="s">
        <v>330</v>
      </c>
    </row>
    <row r="38" spans="1:13">
      <c r="A38" s="1" t="s">
        <v>169</v>
      </c>
      <c r="B38" s="1" t="s">
        <v>170</v>
      </c>
      <c r="C38" s="1">
        <v>2007</v>
      </c>
      <c r="D38" s="1" t="s">
        <v>331</v>
      </c>
      <c r="E38" s="1" t="s">
        <v>322</v>
      </c>
      <c r="F38" s="1" t="s">
        <v>307</v>
      </c>
      <c r="G38" s="1">
        <v>4821500</v>
      </c>
      <c r="H38" s="1">
        <v>2004</v>
      </c>
      <c r="L38" s="1" t="s">
        <v>332</v>
      </c>
      <c r="M38" s="1" t="s">
        <v>333</v>
      </c>
    </row>
    <row r="39" spans="1:13">
      <c r="A39" s="1" t="s">
        <v>169</v>
      </c>
      <c r="B39" s="1" t="s">
        <v>170</v>
      </c>
      <c r="C39" s="1">
        <v>2008</v>
      </c>
      <c r="D39" s="1" t="s">
        <v>300</v>
      </c>
      <c r="E39" s="1" t="s">
        <v>171</v>
      </c>
      <c r="F39" s="1" t="s">
        <v>286</v>
      </c>
      <c r="G39" s="1">
        <v>278970000</v>
      </c>
      <c r="H39" s="1">
        <v>1993</v>
      </c>
      <c r="I39" s="1">
        <v>2025</v>
      </c>
      <c r="J39" s="1">
        <v>4.68</v>
      </c>
      <c r="K39" s="1">
        <v>27230000</v>
      </c>
    </row>
    <row r="40" spans="1:13">
      <c r="A40" s="1" t="s">
        <v>169</v>
      </c>
      <c r="B40" s="1" t="s">
        <v>170</v>
      </c>
      <c r="C40" s="1">
        <v>2008</v>
      </c>
      <c r="D40" s="1" t="s">
        <v>302</v>
      </c>
      <c r="E40" s="1" t="s">
        <v>171</v>
      </c>
      <c r="F40" s="1" t="s">
        <v>286</v>
      </c>
      <c r="G40" s="1">
        <v>93355000</v>
      </c>
      <c r="H40" s="1">
        <v>1998</v>
      </c>
      <c r="I40" s="1">
        <v>2025</v>
      </c>
      <c r="J40" s="1">
        <v>5.0599999999999996</v>
      </c>
      <c r="K40" s="1">
        <v>0</v>
      </c>
    </row>
    <row r="41" spans="1:13">
      <c r="A41" s="1" t="s">
        <v>169</v>
      </c>
      <c r="B41" s="1" t="s">
        <v>170</v>
      </c>
      <c r="C41" s="1">
        <v>2008</v>
      </c>
      <c r="D41" s="1" t="s">
        <v>303</v>
      </c>
      <c r="E41" s="1" t="s">
        <v>171</v>
      </c>
      <c r="F41" s="1" t="s">
        <v>286</v>
      </c>
      <c r="G41" s="1">
        <v>36440070</v>
      </c>
      <c r="H41" s="1">
        <v>1998</v>
      </c>
      <c r="I41" s="1">
        <v>2030</v>
      </c>
      <c r="J41" s="1" t="s">
        <v>174</v>
      </c>
      <c r="K41" s="1">
        <v>36440070</v>
      </c>
    </row>
    <row r="42" spans="1:13">
      <c r="A42" s="1" t="s">
        <v>169</v>
      </c>
      <c r="B42" s="1" t="s">
        <v>170</v>
      </c>
      <c r="C42" s="1">
        <v>2008</v>
      </c>
      <c r="D42" s="1" t="s">
        <v>304</v>
      </c>
      <c r="E42" s="1" t="s">
        <v>171</v>
      </c>
      <c r="F42" s="1" t="s">
        <v>286</v>
      </c>
      <c r="G42" s="1">
        <v>101970000</v>
      </c>
      <c r="H42" s="1">
        <v>1998</v>
      </c>
      <c r="I42" s="1">
        <v>2025</v>
      </c>
      <c r="J42" s="1">
        <v>5.08</v>
      </c>
      <c r="K42" s="1">
        <v>98850000</v>
      </c>
      <c r="M42" s="1" t="s">
        <v>334</v>
      </c>
    </row>
    <row r="43" spans="1:13">
      <c r="A43" s="1" t="s">
        <v>169</v>
      </c>
      <c r="B43" s="1" t="s">
        <v>170</v>
      </c>
      <c r="C43" s="1">
        <v>2008</v>
      </c>
      <c r="D43" s="1" t="s">
        <v>305</v>
      </c>
      <c r="E43" s="1" t="s">
        <v>171</v>
      </c>
      <c r="F43" s="1" t="s">
        <v>286</v>
      </c>
      <c r="G43" s="1">
        <v>107500000</v>
      </c>
      <c r="H43" s="1">
        <v>2002</v>
      </c>
      <c r="I43" s="1">
        <v>2031</v>
      </c>
      <c r="J43" s="1">
        <v>4.9000000000000004</v>
      </c>
      <c r="K43" s="1">
        <v>0</v>
      </c>
    </row>
    <row r="44" spans="1:13">
      <c r="A44" s="1" t="s">
        <v>169</v>
      </c>
      <c r="B44" s="1" t="s">
        <v>170</v>
      </c>
      <c r="C44" s="1">
        <v>2008</v>
      </c>
      <c r="D44" s="1" t="s">
        <v>309</v>
      </c>
      <c r="E44" s="1" t="s">
        <v>171</v>
      </c>
      <c r="F44" s="1" t="s">
        <v>286</v>
      </c>
      <c r="G44" s="1">
        <v>167390000</v>
      </c>
      <c r="H44" s="1">
        <v>2003</v>
      </c>
      <c r="I44" s="1">
        <v>2023</v>
      </c>
      <c r="J44" s="1">
        <v>3.49</v>
      </c>
      <c r="K44" s="1">
        <v>81430000</v>
      </c>
    </row>
    <row r="45" spans="1:13">
      <c r="A45" s="1" t="s">
        <v>169</v>
      </c>
      <c r="B45" s="1" t="s">
        <v>170</v>
      </c>
      <c r="C45" s="1">
        <v>2008</v>
      </c>
      <c r="D45" s="1" t="s">
        <v>312</v>
      </c>
      <c r="E45" s="1" t="s">
        <v>171</v>
      </c>
      <c r="F45" s="1" t="s">
        <v>286</v>
      </c>
      <c r="G45" s="1">
        <v>50385000</v>
      </c>
      <c r="H45" s="1">
        <v>2005</v>
      </c>
      <c r="I45" s="1">
        <v>2033</v>
      </c>
      <c r="J45" s="1">
        <v>4.4000000000000004</v>
      </c>
      <c r="K45" s="1">
        <v>0</v>
      </c>
    </row>
    <row r="46" spans="1:13">
      <c r="A46" s="1" t="s">
        <v>169</v>
      </c>
      <c r="B46" s="1" t="s">
        <v>170</v>
      </c>
      <c r="C46" s="1">
        <v>2008</v>
      </c>
      <c r="D46" s="1" t="s">
        <v>335</v>
      </c>
      <c r="E46" s="1" t="s">
        <v>171</v>
      </c>
      <c r="F46" s="1" t="s">
        <v>286</v>
      </c>
      <c r="G46" s="1">
        <v>159168000</v>
      </c>
      <c r="H46" s="1">
        <v>2007</v>
      </c>
      <c r="I46" s="1">
        <v>2033</v>
      </c>
      <c r="J46" s="1" t="s">
        <v>174</v>
      </c>
      <c r="K46" s="1">
        <v>123960000</v>
      </c>
    </row>
    <row r="47" spans="1:13">
      <c r="A47" s="1" t="s">
        <v>169</v>
      </c>
      <c r="B47" s="1" t="s">
        <v>170</v>
      </c>
      <c r="C47" s="1">
        <v>2008</v>
      </c>
      <c r="D47" s="1" t="s">
        <v>310</v>
      </c>
      <c r="E47" s="1" t="s">
        <v>171</v>
      </c>
      <c r="F47" s="1" t="s">
        <v>307</v>
      </c>
      <c r="G47" s="1">
        <v>18338340</v>
      </c>
      <c r="K47" s="1">
        <v>13821611</v>
      </c>
    </row>
    <row r="48" spans="1:13">
      <c r="A48" s="1" t="s">
        <v>169</v>
      </c>
      <c r="B48" s="1" t="s">
        <v>170</v>
      </c>
      <c r="C48" s="1">
        <v>2010</v>
      </c>
      <c r="D48" s="1" t="s">
        <v>313</v>
      </c>
      <c r="E48" s="1" t="s">
        <v>314</v>
      </c>
      <c r="F48" s="1" t="s">
        <v>307</v>
      </c>
      <c r="G48" s="1">
        <v>158399</v>
      </c>
      <c r="H48" s="1">
        <v>2000</v>
      </c>
      <c r="L48" s="1" t="s">
        <v>315</v>
      </c>
      <c r="M48" s="1" t="s">
        <v>316</v>
      </c>
    </row>
    <row r="49" spans="1:13">
      <c r="A49" s="1" t="s">
        <v>169</v>
      </c>
      <c r="B49" s="1" t="s">
        <v>170</v>
      </c>
      <c r="C49" s="1">
        <v>2010</v>
      </c>
      <c r="D49" s="1" t="s">
        <v>317</v>
      </c>
      <c r="E49" s="1" t="s">
        <v>318</v>
      </c>
      <c r="F49" s="1" t="s">
        <v>307</v>
      </c>
      <c r="G49" s="1">
        <v>800963</v>
      </c>
      <c r="H49" s="1">
        <v>2000</v>
      </c>
      <c r="L49" s="1" t="s">
        <v>319</v>
      </c>
      <c r="M49" s="1" t="s">
        <v>320</v>
      </c>
    </row>
    <row r="50" spans="1:13">
      <c r="A50" s="1" t="s">
        <v>169</v>
      </c>
      <c r="B50" s="1" t="s">
        <v>170</v>
      </c>
      <c r="C50" s="1">
        <v>2010</v>
      </c>
      <c r="D50" s="1" t="s">
        <v>321</v>
      </c>
      <c r="E50" s="1" t="s">
        <v>322</v>
      </c>
      <c r="F50" s="1" t="s">
        <v>307</v>
      </c>
      <c r="G50" s="1">
        <v>3940114</v>
      </c>
      <c r="H50" s="1">
        <v>2001</v>
      </c>
      <c r="L50" s="1" t="s">
        <v>323</v>
      </c>
      <c r="M50" s="1" t="s">
        <v>324</v>
      </c>
    </row>
    <row r="51" spans="1:13">
      <c r="A51" s="1" t="s">
        <v>169</v>
      </c>
      <c r="B51" s="1" t="s">
        <v>170</v>
      </c>
      <c r="C51" s="1">
        <v>2010</v>
      </c>
      <c r="D51" s="1" t="s">
        <v>325</v>
      </c>
      <c r="E51" s="1" t="s">
        <v>314</v>
      </c>
      <c r="F51" s="1" t="s">
        <v>307</v>
      </c>
      <c r="G51" s="1">
        <v>3505100</v>
      </c>
      <c r="H51" s="1">
        <v>2001</v>
      </c>
      <c r="L51" s="1" t="s">
        <v>326</v>
      </c>
      <c r="M51" s="1" t="s">
        <v>327</v>
      </c>
    </row>
    <row r="52" spans="1:13">
      <c r="A52" s="1" t="s">
        <v>169</v>
      </c>
      <c r="B52" s="1" t="s">
        <v>170</v>
      </c>
      <c r="C52" s="1">
        <v>2010</v>
      </c>
      <c r="D52" s="1" t="s">
        <v>328</v>
      </c>
      <c r="E52" s="1" t="s">
        <v>322</v>
      </c>
      <c r="F52" s="1" t="s">
        <v>307</v>
      </c>
      <c r="G52" s="1">
        <v>5112264</v>
      </c>
      <c r="H52" s="1">
        <v>2002</v>
      </c>
      <c r="L52" s="1" t="s">
        <v>329</v>
      </c>
      <c r="M52" s="1" t="s">
        <v>330</v>
      </c>
    </row>
    <row r="53" spans="1:13">
      <c r="A53" s="1" t="s">
        <v>169</v>
      </c>
      <c r="B53" s="1" t="s">
        <v>170</v>
      </c>
      <c r="C53" s="1">
        <v>2010</v>
      </c>
      <c r="D53" s="1" t="s">
        <v>331</v>
      </c>
      <c r="E53" s="1" t="s">
        <v>322</v>
      </c>
      <c r="F53" s="1" t="s">
        <v>307</v>
      </c>
      <c r="G53" s="1">
        <v>4821500</v>
      </c>
      <c r="H53" s="1">
        <v>2002</v>
      </c>
      <c r="L53" s="1" t="s">
        <v>332</v>
      </c>
      <c r="M53" s="1" t="s">
        <v>333</v>
      </c>
    </row>
    <row r="54" spans="1:13">
      <c r="A54" s="1" t="s">
        <v>169</v>
      </c>
      <c r="B54" s="1" t="s">
        <v>170</v>
      </c>
      <c r="C54" s="1">
        <v>2010</v>
      </c>
      <c r="D54" s="1" t="s">
        <v>336</v>
      </c>
      <c r="E54" s="1" t="s">
        <v>314</v>
      </c>
      <c r="F54" s="1" t="s">
        <v>307</v>
      </c>
      <c r="G54" s="1">
        <v>4672410</v>
      </c>
      <c r="H54" s="1">
        <v>2008</v>
      </c>
      <c r="L54" s="1" t="s">
        <v>337</v>
      </c>
      <c r="M54" s="1" t="s">
        <v>338</v>
      </c>
    </row>
    <row r="55" spans="1:13">
      <c r="A55" s="1" t="s">
        <v>169</v>
      </c>
      <c r="B55" s="1" t="s">
        <v>170</v>
      </c>
      <c r="C55" s="1">
        <v>2010</v>
      </c>
      <c r="D55" s="1" t="s">
        <v>339</v>
      </c>
      <c r="E55" s="1" t="s">
        <v>314</v>
      </c>
      <c r="F55" s="1" t="s">
        <v>307</v>
      </c>
      <c r="G55" s="1">
        <v>10264250</v>
      </c>
      <c r="H55" s="1">
        <v>2009</v>
      </c>
      <c r="L55" s="1" t="s">
        <v>337</v>
      </c>
      <c r="M55" s="1" t="s">
        <v>340</v>
      </c>
    </row>
    <row r="56" spans="1:13">
      <c r="A56" s="1" t="s">
        <v>169</v>
      </c>
      <c r="B56" s="1" t="s">
        <v>170</v>
      </c>
      <c r="C56" s="1">
        <v>2010</v>
      </c>
      <c r="D56" s="1" t="s">
        <v>341</v>
      </c>
      <c r="E56" s="1" t="s">
        <v>314</v>
      </c>
      <c r="F56" s="1" t="s">
        <v>307</v>
      </c>
      <c r="G56" s="1">
        <v>4865613</v>
      </c>
      <c r="H56" s="1">
        <v>2009</v>
      </c>
      <c r="L56" s="1" t="s">
        <v>337</v>
      </c>
      <c r="M56" s="1" t="s">
        <v>342</v>
      </c>
    </row>
    <row r="57" spans="1:13">
      <c r="A57" s="1" t="s">
        <v>169</v>
      </c>
      <c r="B57" s="1" t="s">
        <v>170</v>
      </c>
      <c r="C57" s="1">
        <v>2010</v>
      </c>
      <c r="D57" s="1" t="s">
        <v>343</v>
      </c>
      <c r="E57" s="1" t="s">
        <v>322</v>
      </c>
      <c r="F57" s="1" t="s">
        <v>307</v>
      </c>
      <c r="G57" s="1">
        <v>8613546</v>
      </c>
      <c r="H57" s="1">
        <v>2009</v>
      </c>
      <c r="L57" s="1" t="s">
        <v>337</v>
      </c>
      <c r="M57" s="1" t="s">
        <v>344</v>
      </c>
    </row>
    <row r="58" spans="1:13">
      <c r="A58" s="1" t="s">
        <v>169</v>
      </c>
      <c r="B58" s="1" t="s">
        <v>170</v>
      </c>
      <c r="C58" s="1">
        <v>2010</v>
      </c>
      <c r="D58" s="1" t="s">
        <v>345</v>
      </c>
      <c r="E58" s="1" t="s">
        <v>322</v>
      </c>
      <c r="F58" s="1" t="s">
        <v>307</v>
      </c>
      <c r="G58" s="1">
        <v>8393478</v>
      </c>
      <c r="H58" s="1">
        <v>2009</v>
      </c>
      <c r="L58" s="1" t="s">
        <v>337</v>
      </c>
      <c r="M58" s="1" t="s">
        <v>346</v>
      </c>
    </row>
    <row r="59" spans="1:13">
      <c r="A59" s="1" t="s">
        <v>169</v>
      </c>
      <c r="B59" s="1" t="s">
        <v>170</v>
      </c>
      <c r="C59" s="1">
        <v>2012</v>
      </c>
      <c r="D59" s="1" t="s">
        <v>300</v>
      </c>
      <c r="E59" s="1" t="s">
        <v>171</v>
      </c>
      <c r="F59" s="1" t="s">
        <v>286</v>
      </c>
      <c r="G59" s="1">
        <v>278970000</v>
      </c>
      <c r="H59" s="1">
        <v>1993</v>
      </c>
      <c r="I59" s="1">
        <v>2025</v>
      </c>
      <c r="J59" s="1">
        <v>4.68</v>
      </c>
      <c r="K59" s="1">
        <v>16880000</v>
      </c>
    </row>
    <row r="60" spans="1:13">
      <c r="A60" s="1" t="s">
        <v>169</v>
      </c>
      <c r="B60" s="1" t="s">
        <v>170</v>
      </c>
      <c r="C60" s="1">
        <v>2012</v>
      </c>
      <c r="D60" s="1" t="s">
        <v>302</v>
      </c>
      <c r="E60" s="1" t="s">
        <v>171</v>
      </c>
      <c r="F60" s="1" t="s">
        <v>286</v>
      </c>
      <c r="G60" s="1">
        <v>93355000</v>
      </c>
      <c r="H60" s="1">
        <v>1998</v>
      </c>
      <c r="I60" s="1">
        <v>2025</v>
      </c>
      <c r="J60" s="1">
        <v>5.0599999999999996</v>
      </c>
      <c r="K60" s="1">
        <v>0</v>
      </c>
    </row>
    <row r="61" spans="1:13">
      <c r="A61" s="1" t="s">
        <v>169</v>
      </c>
      <c r="B61" s="1" t="s">
        <v>170</v>
      </c>
      <c r="C61" s="1">
        <v>2012</v>
      </c>
      <c r="D61" s="1" t="s">
        <v>303</v>
      </c>
      <c r="E61" s="1" t="s">
        <v>171</v>
      </c>
      <c r="F61" s="1" t="s">
        <v>286</v>
      </c>
      <c r="G61" s="1">
        <v>36440070</v>
      </c>
      <c r="H61" s="1">
        <v>1998</v>
      </c>
      <c r="I61" s="1">
        <v>2030</v>
      </c>
      <c r="J61" s="1" t="s">
        <v>174</v>
      </c>
      <c r="K61" s="1">
        <v>146805000</v>
      </c>
    </row>
    <row r="62" spans="1:13">
      <c r="A62" s="1" t="s">
        <v>169</v>
      </c>
      <c r="B62" s="1" t="s">
        <v>170</v>
      </c>
      <c r="C62" s="1">
        <v>2012</v>
      </c>
      <c r="D62" s="1" t="s">
        <v>304</v>
      </c>
      <c r="E62" s="1" t="s">
        <v>171</v>
      </c>
      <c r="F62" s="1" t="s">
        <v>286</v>
      </c>
      <c r="G62" s="1">
        <v>101970000</v>
      </c>
      <c r="H62" s="1">
        <v>1998</v>
      </c>
      <c r="I62" s="1">
        <v>2025</v>
      </c>
      <c r="J62" s="1">
        <v>5.08</v>
      </c>
      <c r="K62" s="1">
        <v>0</v>
      </c>
    </row>
    <row r="63" spans="1:13">
      <c r="A63" s="1" t="s">
        <v>169</v>
      </c>
      <c r="B63" s="1" t="s">
        <v>170</v>
      </c>
      <c r="C63" s="1">
        <v>2012</v>
      </c>
      <c r="D63" s="1" t="s">
        <v>305</v>
      </c>
      <c r="E63" s="1" t="s">
        <v>171</v>
      </c>
      <c r="F63" s="1" t="s">
        <v>286</v>
      </c>
      <c r="G63" s="1">
        <v>107500000</v>
      </c>
      <c r="H63" s="1">
        <v>2002</v>
      </c>
      <c r="I63" s="1">
        <v>2031</v>
      </c>
      <c r="J63" s="1">
        <v>4.9000000000000004</v>
      </c>
      <c r="K63" s="1">
        <v>0</v>
      </c>
    </row>
    <row r="64" spans="1:13">
      <c r="A64" s="1" t="s">
        <v>169</v>
      </c>
      <c r="B64" s="1" t="s">
        <v>170</v>
      </c>
      <c r="C64" s="1">
        <v>2012</v>
      </c>
      <c r="D64" s="1" t="s">
        <v>309</v>
      </c>
      <c r="E64" s="1" t="s">
        <v>171</v>
      </c>
      <c r="F64" s="1" t="s">
        <v>286</v>
      </c>
      <c r="G64" s="1">
        <v>167390000</v>
      </c>
      <c r="H64" s="1">
        <v>2003</v>
      </c>
      <c r="I64" s="1">
        <v>2023</v>
      </c>
      <c r="J64" s="1">
        <v>3.49</v>
      </c>
      <c r="K64" s="1">
        <v>44945000</v>
      </c>
    </row>
    <row r="65" spans="1:13">
      <c r="A65" s="1" t="s">
        <v>169</v>
      </c>
      <c r="B65" s="1" t="s">
        <v>170</v>
      </c>
      <c r="C65" s="1">
        <v>2012</v>
      </c>
      <c r="D65" s="1" t="s">
        <v>312</v>
      </c>
      <c r="E65" s="1" t="s">
        <v>171</v>
      </c>
      <c r="F65" s="1" t="s">
        <v>286</v>
      </c>
      <c r="G65" s="1">
        <v>50385000</v>
      </c>
      <c r="H65" s="1">
        <v>2005</v>
      </c>
      <c r="I65" s="1">
        <v>2033</v>
      </c>
      <c r="J65" s="1">
        <v>4.4000000000000004</v>
      </c>
      <c r="K65" s="1">
        <v>0</v>
      </c>
    </row>
    <row r="66" spans="1:13">
      <c r="A66" s="1" t="s">
        <v>169</v>
      </c>
      <c r="B66" s="1" t="s">
        <v>170</v>
      </c>
      <c r="C66" s="1">
        <v>2012</v>
      </c>
      <c r="D66" s="1" t="s">
        <v>335</v>
      </c>
      <c r="E66" s="1" t="s">
        <v>171</v>
      </c>
      <c r="F66" s="1" t="s">
        <v>286</v>
      </c>
      <c r="G66" s="1">
        <v>159168000</v>
      </c>
      <c r="H66" s="1">
        <v>2007</v>
      </c>
      <c r="I66" s="1">
        <v>2033</v>
      </c>
      <c r="J66" s="1" t="s">
        <v>174</v>
      </c>
      <c r="K66" s="1">
        <v>111740000</v>
      </c>
    </row>
    <row r="67" spans="1:13">
      <c r="A67" s="1" t="s">
        <v>169</v>
      </c>
      <c r="B67" s="1" t="s">
        <v>170</v>
      </c>
      <c r="C67" s="1">
        <v>2012</v>
      </c>
      <c r="D67" s="1" t="s">
        <v>310</v>
      </c>
      <c r="E67" s="1" t="s">
        <v>171</v>
      </c>
      <c r="F67" s="1" t="s">
        <v>307</v>
      </c>
      <c r="K67" s="1">
        <v>34400000</v>
      </c>
    </row>
    <row r="68" spans="1:13">
      <c r="A68" s="1" t="s">
        <v>169</v>
      </c>
      <c r="B68" s="1" t="s">
        <v>170</v>
      </c>
      <c r="C68" s="1">
        <v>2012</v>
      </c>
      <c r="D68" s="1" t="s">
        <v>347</v>
      </c>
      <c r="E68" s="1" t="s">
        <v>171</v>
      </c>
      <c r="F68" s="1" t="s">
        <v>286</v>
      </c>
      <c r="G68" s="1">
        <v>68970000</v>
      </c>
      <c r="H68" s="1">
        <v>2008</v>
      </c>
      <c r="I68" s="1">
        <v>2024</v>
      </c>
      <c r="K68" s="1">
        <v>68970000</v>
      </c>
    </row>
    <row r="69" spans="1:13">
      <c r="A69" s="1" t="s">
        <v>169</v>
      </c>
      <c r="B69" s="1" t="s">
        <v>170</v>
      </c>
      <c r="C69" s="1">
        <v>2012</v>
      </c>
      <c r="D69" s="1" t="s">
        <v>348</v>
      </c>
      <c r="E69" s="1" t="s">
        <v>171</v>
      </c>
      <c r="F69" s="1" t="s">
        <v>286</v>
      </c>
      <c r="G69" s="1">
        <v>145495000</v>
      </c>
      <c r="H69" s="1">
        <v>2008</v>
      </c>
      <c r="I69" s="1">
        <v>2039</v>
      </c>
      <c r="K69" s="1">
        <v>145495000</v>
      </c>
    </row>
    <row r="70" spans="1:13">
      <c r="A70" s="1" t="s">
        <v>169</v>
      </c>
      <c r="B70" s="1" t="s">
        <v>170</v>
      </c>
      <c r="C70" s="1">
        <v>2012</v>
      </c>
      <c r="D70" s="1" t="s">
        <v>349</v>
      </c>
      <c r="E70" s="1" t="s">
        <v>171</v>
      </c>
      <c r="F70" s="1" t="s">
        <v>286</v>
      </c>
      <c r="G70" s="1">
        <v>24665000</v>
      </c>
      <c r="H70" s="1">
        <v>2008</v>
      </c>
      <c r="I70" s="1">
        <v>2031</v>
      </c>
      <c r="K70" s="1">
        <v>24665000</v>
      </c>
    </row>
    <row r="71" spans="1:13">
      <c r="A71" s="1" t="s">
        <v>169</v>
      </c>
      <c r="B71" s="1" t="s">
        <v>170</v>
      </c>
      <c r="C71" s="1">
        <v>2012</v>
      </c>
      <c r="D71" s="1" t="s">
        <v>350</v>
      </c>
      <c r="E71" s="1" t="s">
        <v>171</v>
      </c>
      <c r="F71" s="1" t="s">
        <v>286</v>
      </c>
      <c r="G71" s="1">
        <v>71225000</v>
      </c>
      <c r="H71" s="1">
        <v>2008</v>
      </c>
      <c r="I71" s="1">
        <v>2040</v>
      </c>
      <c r="K71" s="1">
        <v>71225000</v>
      </c>
      <c r="M71" s="1" t="s">
        <v>351</v>
      </c>
    </row>
    <row r="72" spans="1:13">
      <c r="A72" s="1" t="s">
        <v>169</v>
      </c>
      <c r="B72" s="1" t="s">
        <v>170</v>
      </c>
      <c r="C72" s="1">
        <v>2012</v>
      </c>
      <c r="D72" s="1" t="s">
        <v>352</v>
      </c>
      <c r="E72" s="1" t="s">
        <v>171</v>
      </c>
      <c r="F72" s="1" t="s">
        <v>286</v>
      </c>
      <c r="G72" s="1">
        <v>10000000</v>
      </c>
      <c r="H72" s="1">
        <v>2008</v>
      </c>
      <c r="I72" s="1">
        <v>2035</v>
      </c>
      <c r="K72" s="1">
        <v>10000000</v>
      </c>
    </row>
    <row r="73" spans="1:13">
      <c r="A73" s="1" t="s">
        <v>169</v>
      </c>
      <c r="B73" s="1" t="s">
        <v>170</v>
      </c>
      <c r="C73" s="1">
        <v>2012</v>
      </c>
      <c r="D73" s="1" t="s">
        <v>353</v>
      </c>
      <c r="E73" s="1" t="s">
        <v>171</v>
      </c>
      <c r="F73" s="1" t="s">
        <v>286</v>
      </c>
      <c r="G73" s="1">
        <v>10000000</v>
      </c>
      <c r="H73" s="1">
        <v>2008</v>
      </c>
      <c r="I73" s="1">
        <v>2035</v>
      </c>
      <c r="K73" s="1">
        <v>10000000</v>
      </c>
    </row>
    <row r="74" spans="1:13">
      <c r="A74" s="1" t="s">
        <v>169</v>
      </c>
      <c r="B74" s="1" t="s">
        <v>170</v>
      </c>
      <c r="C74" s="1">
        <v>2012</v>
      </c>
      <c r="D74" s="1" t="s">
        <v>354</v>
      </c>
      <c r="E74" s="1" t="s">
        <v>171</v>
      </c>
      <c r="F74" s="1" t="s">
        <v>286</v>
      </c>
      <c r="G74" s="1">
        <v>5000000</v>
      </c>
      <c r="H74" s="1">
        <v>2008</v>
      </c>
      <c r="I74" s="1">
        <v>2035</v>
      </c>
      <c r="K74" s="1">
        <v>5000000</v>
      </c>
    </row>
    <row r="75" spans="1:13">
      <c r="A75" s="1" t="s">
        <v>169</v>
      </c>
      <c r="B75" s="1" t="s">
        <v>170</v>
      </c>
      <c r="C75" s="1">
        <v>2012</v>
      </c>
      <c r="D75" s="1" t="s">
        <v>355</v>
      </c>
      <c r="E75" s="1" t="s">
        <v>171</v>
      </c>
      <c r="F75" s="1" t="s">
        <v>286</v>
      </c>
      <c r="G75" s="1">
        <v>26910000</v>
      </c>
      <c r="H75" s="1">
        <v>2008</v>
      </c>
      <c r="I75" s="1">
        <v>2035</v>
      </c>
      <c r="K75" s="1">
        <v>26910000</v>
      </c>
    </row>
    <row r="76" spans="1:13">
      <c r="A76" s="1" t="s">
        <v>169</v>
      </c>
      <c r="B76" s="1" t="s">
        <v>170</v>
      </c>
      <c r="C76" s="1">
        <v>2012</v>
      </c>
      <c r="D76" s="1" t="s">
        <v>356</v>
      </c>
      <c r="E76" s="1" t="s">
        <v>171</v>
      </c>
      <c r="F76" s="1" t="s">
        <v>286</v>
      </c>
      <c r="G76" s="1">
        <v>51885000</v>
      </c>
      <c r="H76" s="1">
        <v>2008</v>
      </c>
      <c r="I76" s="1">
        <v>235</v>
      </c>
      <c r="K76" s="1">
        <v>51885000</v>
      </c>
      <c r="M76" s="1" t="s">
        <v>357</v>
      </c>
    </row>
    <row r="77" spans="1:13">
      <c r="A77" s="1" t="s">
        <v>169</v>
      </c>
      <c r="B77" s="1" t="s">
        <v>170</v>
      </c>
      <c r="C77" s="1">
        <v>2013</v>
      </c>
      <c r="D77" s="1" t="s">
        <v>347</v>
      </c>
      <c r="E77" s="1" t="s">
        <v>171</v>
      </c>
      <c r="F77" s="1" t="s">
        <v>286</v>
      </c>
      <c r="G77" s="1">
        <v>68970000</v>
      </c>
      <c r="H77" s="1">
        <v>2008</v>
      </c>
      <c r="I77" s="1">
        <v>2024</v>
      </c>
      <c r="J77" s="1">
        <v>6.45</v>
      </c>
      <c r="K77" s="1">
        <v>68970000</v>
      </c>
    </row>
    <row r="78" spans="1:13">
      <c r="A78" s="1" t="s">
        <v>169</v>
      </c>
      <c r="B78" s="1" t="s">
        <v>170</v>
      </c>
      <c r="C78" s="1">
        <v>2013</v>
      </c>
      <c r="D78" s="1" t="s">
        <v>348</v>
      </c>
      <c r="E78" s="1" t="s">
        <v>171</v>
      </c>
      <c r="F78" s="1" t="s">
        <v>286</v>
      </c>
      <c r="G78" s="1">
        <v>145495000</v>
      </c>
      <c r="H78" s="1">
        <v>2008</v>
      </c>
      <c r="I78" s="1">
        <v>2039</v>
      </c>
      <c r="K78" s="1">
        <v>145495000</v>
      </c>
    </row>
    <row r="79" spans="1:13">
      <c r="A79" s="1" t="s">
        <v>169</v>
      </c>
      <c r="B79" s="1" t="s">
        <v>170</v>
      </c>
      <c r="C79" s="1">
        <v>2013</v>
      </c>
      <c r="D79" s="1" t="s">
        <v>349</v>
      </c>
      <c r="E79" s="1" t="s">
        <v>171</v>
      </c>
      <c r="F79" s="1" t="s">
        <v>286</v>
      </c>
      <c r="G79" s="1">
        <v>24665000</v>
      </c>
      <c r="H79" s="1">
        <v>2008</v>
      </c>
      <c r="I79" s="1">
        <v>2031</v>
      </c>
      <c r="J79" s="1">
        <v>4.75</v>
      </c>
      <c r="K79" s="1">
        <v>24665000</v>
      </c>
    </row>
    <row r="80" spans="1:13">
      <c r="A80" s="1" t="s">
        <v>169</v>
      </c>
      <c r="B80" s="1" t="s">
        <v>170</v>
      </c>
      <c r="C80" s="1">
        <v>2013</v>
      </c>
      <c r="D80" s="1" t="s">
        <v>350</v>
      </c>
      <c r="E80" s="1" t="s">
        <v>171</v>
      </c>
      <c r="F80" s="1" t="s">
        <v>286</v>
      </c>
      <c r="G80" s="1">
        <v>71225000</v>
      </c>
      <c r="H80" s="1">
        <v>2008</v>
      </c>
      <c r="I80" s="1">
        <v>2040</v>
      </c>
      <c r="K80" s="1">
        <v>71225000</v>
      </c>
    </row>
    <row r="81" spans="1:13">
      <c r="A81" s="1" t="s">
        <v>169</v>
      </c>
      <c r="B81" s="1" t="s">
        <v>170</v>
      </c>
      <c r="C81" s="1">
        <v>2013</v>
      </c>
      <c r="D81" s="1" t="s">
        <v>352</v>
      </c>
      <c r="E81" s="1" t="s">
        <v>171</v>
      </c>
      <c r="F81" s="1" t="s">
        <v>286</v>
      </c>
      <c r="G81" s="1">
        <v>10000000</v>
      </c>
      <c r="H81" s="1">
        <v>2008</v>
      </c>
      <c r="I81" s="1">
        <v>2035</v>
      </c>
      <c r="K81" s="1">
        <v>10000000</v>
      </c>
    </row>
    <row r="82" spans="1:13">
      <c r="A82" s="1" t="s">
        <v>169</v>
      </c>
      <c r="B82" s="1" t="s">
        <v>170</v>
      </c>
      <c r="C82" s="1">
        <v>2013</v>
      </c>
      <c r="D82" s="1" t="s">
        <v>353</v>
      </c>
      <c r="E82" s="1" t="s">
        <v>171</v>
      </c>
      <c r="F82" s="1" t="s">
        <v>286</v>
      </c>
      <c r="G82" s="1">
        <v>10000000</v>
      </c>
      <c r="H82" s="1">
        <v>2008</v>
      </c>
      <c r="I82" s="1">
        <v>2035</v>
      </c>
      <c r="K82" s="1">
        <v>10000000</v>
      </c>
    </row>
    <row r="83" spans="1:13">
      <c r="A83" s="1" t="s">
        <v>169</v>
      </c>
      <c r="B83" s="1" t="s">
        <v>170</v>
      </c>
      <c r="C83" s="1">
        <v>2013</v>
      </c>
      <c r="D83" s="1" t="s">
        <v>354</v>
      </c>
      <c r="E83" s="1" t="s">
        <v>171</v>
      </c>
      <c r="F83" s="1" t="s">
        <v>286</v>
      </c>
      <c r="G83" s="1">
        <v>5000000</v>
      </c>
      <c r="H83" s="1">
        <v>2008</v>
      </c>
      <c r="I83" s="1">
        <v>2035</v>
      </c>
      <c r="K83" s="1">
        <v>5000000</v>
      </c>
    </row>
    <row r="84" spans="1:13">
      <c r="A84" s="1" t="s">
        <v>169</v>
      </c>
      <c r="B84" s="1" t="s">
        <v>170</v>
      </c>
      <c r="C84" s="1">
        <v>2013</v>
      </c>
      <c r="D84" s="1" t="s">
        <v>355</v>
      </c>
      <c r="E84" s="1" t="s">
        <v>171</v>
      </c>
      <c r="F84" s="1" t="s">
        <v>286</v>
      </c>
      <c r="G84" s="1">
        <v>26910000</v>
      </c>
      <c r="H84" s="1">
        <v>2008</v>
      </c>
      <c r="I84" s="1">
        <v>2035</v>
      </c>
      <c r="K84" s="1">
        <v>26840000</v>
      </c>
    </row>
    <row r="85" spans="1:13">
      <c r="A85" s="1" t="s">
        <v>169</v>
      </c>
      <c r="B85" s="1" t="s">
        <v>170</v>
      </c>
      <c r="C85" s="1">
        <v>2013</v>
      </c>
      <c r="D85" s="1" t="s">
        <v>356</v>
      </c>
      <c r="E85" s="1" t="s">
        <v>171</v>
      </c>
      <c r="F85" s="1" t="s">
        <v>286</v>
      </c>
      <c r="G85" s="1">
        <v>51885000</v>
      </c>
      <c r="H85" s="1">
        <v>2008</v>
      </c>
      <c r="I85" s="1">
        <v>235</v>
      </c>
      <c r="K85" s="1">
        <v>51820000</v>
      </c>
    </row>
    <row r="86" spans="1:13">
      <c r="A86" s="1" t="s">
        <v>169</v>
      </c>
      <c r="B86" s="1" t="s">
        <v>170</v>
      </c>
      <c r="C86" s="1">
        <v>2013</v>
      </c>
      <c r="D86" s="1" t="s">
        <v>335</v>
      </c>
      <c r="E86" s="1" t="s">
        <v>171</v>
      </c>
      <c r="F86" s="1" t="s">
        <v>286</v>
      </c>
      <c r="G86" s="1">
        <v>159168000</v>
      </c>
      <c r="H86" s="1">
        <v>2007</v>
      </c>
      <c r="I86" s="1">
        <v>2033</v>
      </c>
      <c r="J86" s="1" t="s">
        <v>174</v>
      </c>
      <c r="K86" s="1">
        <v>102980000</v>
      </c>
    </row>
    <row r="87" spans="1:13">
      <c r="A87" s="1" t="s">
        <v>169</v>
      </c>
      <c r="B87" s="1" t="s">
        <v>170</v>
      </c>
      <c r="C87" s="1">
        <v>2013</v>
      </c>
      <c r="D87" s="1" t="s">
        <v>309</v>
      </c>
      <c r="E87" s="1" t="s">
        <v>171</v>
      </c>
      <c r="F87" s="1" t="s">
        <v>286</v>
      </c>
      <c r="G87" s="1">
        <v>167390000</v>
      </c>
      <c r="H87" s="1">
        <v>2003</v>
      </c>
      <c r="I87" s="1">
        <v>2023</v>
      </c>
      <c r="J87" s="1">
        <v>3.49</v>
      </c>
      <c r="K87" s="1">
        <v>44100000</v>
      </c>
    </row>
    <row r="88" spans="1:13">
      <c r="A88" s="1" t="s">
        <v>169</v>
      </c>
      <c r="B88" s="1" t="s">
        <v>170</v>
      </c>
      <c r="C88" s="1">
        <v>2013</v>
      </c>
      <c r="D88" s="1" t="s">
        <v>303</v>
      </c>
      <c r="E88" s="1" t="s">
        <v>171</v>
      </c>
      <c r="F88" s="1" t="s">
        <v>286</v>
      </c>
      <c r="G88" s="1">
        <v>36440070</v>
      </c>
      <c r="H88" s="1">
        <v>1998</v>
      </c>
      <c r="I88" s="1">
        <v>2030</v>
      </c>
      <c r="J88" s="1" t="s">
        <v>174</v>
      </c>
      <c r="K88" s="1">
        <v>32400242</v>
      </c>
    </row>
    <row r="89" spans="1:13">
      <c r="A89" s="1" t="s">
        <v>169</v>
      </c>
      <c r="B89" s="1" t="s">
        <v>170</v>
      </c>
      <c r="C89" s="1">
        <v>2013</v>
      </c>
      <c r="D89" s="1" t="s">
        <v>300</v>
      </c>
      <c r="E89" s="1" t="s">
        <v>171</v>
      </c>
      <c r="F89" s="1" t="s">
        <v>286</v>
      </c>
      <c r="G89" s="1">
        <v>278970000</v>
      </c>
      <c r="H89" s="1">
        <v>1993</v>
      </c>
      <c r="I89" s="1">
        <v>2025</v>
      </c>
      <c r="J89" s="1">
        <v>4.68</v>
      </c>
      <c r="K89" s="1">
        <v>8215</v>
      </c>
      <c r="M89" s="1" t="s">
        <v>358</v>
      </c>
    </row>
    <row r="90" spans="1:13">
      <c r="A90" s="1" t="s">
        <v>169</v>
      </c>
      <c r="B90" s="1" t="s">
        <v>170</v>
      </c>
      <c r="C90" s="1">
        <v>2013</v>
      </c>
      <c r="D90" s="1" t="s">
        <v>309</v>
      </c>
      <c r="E90" s="1" t="s">
        <v>171</v>
      </c>
      <c r="F90" s="1" t="s">
        <v>286</v>
      </c>
      <c r="G90" s="1">
        <v>167390000</v>
      </c>
      <c r="H90" s="1">
        <v>2003</v>
      </c>
      <c r="I90" s="1">
        <v>2023</v>
      </c>
      <c r="J90" s="1">
        <v>3.49</v>
      </c>
      <c r="K90" s="1">
        <v>26130</v>
      </c>
      <c r="M90" s="1" t="s">
        <v>358</v>
      </c>
    </row>
    <row r="91" spans="1:13">
      <c r="A91" s="1" t="s">
        <v>169</v>
      </c>
      <c r="B91" s="1" t="s">
        <v>170</v>
      </c>
      <c r="C91" s="1">
        <v>2013</v>
      </c>
      <c r="D91" s="1" t="s">
        <v>303</v>
      </c>
      <c r="E91" s="1" t="s">
        <v>171</v>
      </c>
      <c r="F91" s="1" t="s">
        <v>286</v>
      </c>
      <c r="G91" s="1">
        <v>36440070</v>
      </c>
      <c r="H91" s="1">
        <v>1998</v>
      </c>
      <c r="I91" s="1">
        <v>2030</v>
      </c>
      <c r="J91" s="1" t="s">
        <v>174</v>
      </c>
      <c r="K91" s="1">
        <v>19800</v>
      </c>
      <c r="M91" s="1" t="s">
        <v>358</v>
      </c>
    </row>
    <row r="92" spans="1:13">
      <c r="A92" s="1" t="s">
        <v>169</v>
      </c>
      <c r="B92" s="1" t="s">
        <v>170</v>
      </c>
      <c r="C92" s="1">
        <v>2013</v>
      </c>
      <c r="D92" s="1" t="s">
        <v>359</v>
      </c>
      <c r="E92" s="1" t="s">
        <v>171</v>
      </c>
      <c r="F92" s="1" t="s">
        <v>286</v>
      </c>
      <c r="G92" s="1">
        <v>69969579</v>
      </c>
    </row>
    <row r="93" spans="1:13">
      <c r="A93" s="1" t="s">
        <v>169</v>
      </c>
      <c r="B93" s="1" t="s">
        <v>170</v>
      </c>
      <c r="C93" s="1">
        <v>2013</v>
      </c>
      <c r="D93" s="1" t="s">
        <v>360</v>
      </c>
      <c r="E93" s="1" t="s">
        <v>171</v>
      </c>
      <c r="F93" s="1" t="s">
        <v>307</v>
      </c>
      <c r="G93" s="1">
        <v>3275316</v>
      </c>
      <c r="H93" s="1">
        <v>2013</v>
      </c>
      <c r="J93" s="1">
        <v>1</v>
      </c>
      <c r="L93" s="1" t="s">
        <v>361</v>
      </c>
      <c r="M93" s="1" t="s">
        <v>362</v>
      </c>
    </row>
    <row r="94" spans="1:13">
      <c r="A94" s="1" t="s">
        <v>169</v>
      </c>
      <c r="B94" s="1" t="s">
        <v>170</v>
      </c>
      <c r="C94" s="1">
        <v>2013</v>
      </c>
      <c r="D94" s="1" t="s">
        <v>363</v>
      </c>
      <c r="E94" s="1" t="s">
        <v>171</v>
      </c>
      <c r="F94" s="1" t="s">
        <v>307</v>
      </c>
      <c r="G94" s="1">
        <v>2713065</v>
      </c>
      <c r="H94" s="1">
        <v>2013</v>
      </c>
      <c r="J94" s="1">
        <v>1</v>
      </c>
      <c r="L94" s="1" t="s">
        <v>364</v>
      </c>
      <c r="M94" s="1" t="s">
        <v>365</v>
      </c>
    </row>
    <row r="95" spans="1:13">
      <c r="A95" s="1" t="s">
        <v>169</v>
      </c>
      <c r="B95" s="1" t="s">
        <v>170</v>
      </c>
      <c r="C95" s="1">
        <v>2013</v>
      </c>
      <c r="D95" s="1" t="s">
        <v>366</v>
      </c>
      <c r="E95" s="1" t="s">
        <v>171</v>
      </c>
      <c r="F95" s="1" t="s">
        <v>307</v>
      </c>
      <c r="G95" s="1">
        <v>3850000</v>
      </c>
      <c r="H95" s="1">
        <v>2013</v>
      </c>
      <c r="I95" s="1">
        <v>2033</v>
      </c>
      <c r="J95" s="1">
        <v>1</v>
      </c>
      <c r="M95" s="1" t="s">
        <v>367</v>
      </c>
    </row>
    <row r="96" spans="1:13">
      <c r="A96" s="1" t="s">
        <v>169</v>
      </c>
      <c r="B96" s="1" t="s">
        <v>170</v>
      </c>
      <c r="C96" s="1">
        <v>2017</v>
      </c>
      <c r="D96" s="1" t="s">
        <v>359</v>
      </c>
      <c r="E96" s="1" t="s">
        <v>171</v>
      </c>
      <c r="F96" s="1" t="s">
        <v>307</v>
      </c>
      <c r="G96" s="1">
        <v>62772052</v>
      </c>
      <c r="K96" s="1">
        <v>31471038</v>
      </c>
    </row>
    <row r="97" spans="1:13">
      <c r="A97" s="1" t="s">
        <v>169</v>
      </c>
      <c r="B97" s="1" t="s">
        <v>170</v>
      </c>
      <c r="C97" s="1">
        <v>2017</v>
      </c>
      <c r="D97" s="1" t="s">
        <v>368</v>
      </c>
      <c r="E97" s="1" t="s">
        <v>171</v>
      </c>
      <c r="F97" s="1" t="s">
        <v>369</v>
      </c>
      <c r="G97" s="1">
        <v>80000000</v>
      </c>
      <c r="H97" s="1">
        <v>2016</v>
      </c>
      <c r="I97" s="1">
        <v>2020</v>
      </c>
      <c r="K97" s="1">
        <v>27900000</v>
      </c>
      <c r="M97" s="1" t="s">
        <v>370</v>
      </c>
    </row>
    <row r="98" spans="1:13">
      <c r="A98" s="1" t="s">
        <v>169</v>
      </c>
      <c r="B98" s="1" t="s">
        <v>170</v>
      </c>
      <c r="C98" s="1">
        <v>2017</v>
      </c>
      <c r="D98" s="1" t="s">
        <v>303</v>
      </c>
      <c r="E98" s="1" t="s">
        <v>171</v>
      </c>
      <c r="F98" s="1" t="s">
        <v>286</v>
      </c>
      <c r="G98" s="1">
        <v>36440070</v>
      </c>
      <c r="H98" s="1">
        <v>1998</v>
      </c>
      <c r="I98" s="1">
        <v>2030</v>
      </c>
      <c r="J98" s="1" t="s">
        <v>174</v>
      </c>
      <c r="K98" s="1">
        <v>87820864</v>
      </c>
      <c r="M98" s="1" t="s">
        <v>371</v>
      </c>
    </row>
    <row r="99" spans="1:13">
      <c r="A99" s="1" t="s">
        <v>169</v>
      </c>
      <c r="B99" s="1" t="s">
        <v>170</v>
      </c>
      <c r="C99" s="1">
        <v>2017</v>
      </c>
      <c r="D99" s="1" t="s">
        <v>372</v>
      </c>
      <c r="E99" s="1" t="s">
        <v>171</v>
      </c>
      <c r="F99" s="1" t="s">
        <v>286</v>
      </c>
      <c r="G99" s="1">
        <v>130215000</v>
      </c>
      <c r="H99" s="1">
        <v>2013</v>
      </c>
      <c r="I99" s="1">
        <v>2033</v>
      </c>
      <c r="K99" s="1">
        <v>93825000</v>
      </c>
    </row>
    <row r="100" spans="1:13">
      <c r="A100" s="1" t="s">
        <v>169</v>
      </c>
      <c r="B100" s="1" t="s">
        <v>170</v>
      </c>
      <c r="C100" s="1">
        <v>2017</v>
      </c>
      <c r="D100" s="1" t="s">
        <v>373</v>
      </c>
      <c r="E100" s="1" t="s">
        <v>171</v>
      </c>
      <c r="F100" s="1" t="s">
        <v>286</v>
      </c>
      <c r="G100" s="1">
        <v>86695000</v>
      </c>
      <c r="H100" s="1">
        <v>2013</v>
      </c>
      <c r="I100" s="1">
        <v>2040</v>
      </c>
      <c r="K100" s="1">
        <v>81100000</v>
      </c>
    </row>
    <row r="101" spans="1:13">
      <c r="A101" s="1" t="s">
        <v>169</v>
      </c>
      <c r="B101" s="1" t="s">
        <v>170</v>
      </c>
      <c r="C101" s="1">
        <v>2017</v>
      </c>
      <c r="D101" s="1" t="s">
        <v>347</v>
      </c>
      <c r="E101" s="1" t="s">
        <v>171</v>
      </c>
      <c r="F101" s="1" t="s">
        <v>286</v>
      </c>
      <c r="G101" s="1">
        <v>68970000</v>
      </c>
      <c r="H101" s="1">
        <v>2008</v>
      </c>
      <c r="I101" s="1">
        <v>2024</v>
      </c>
      <c r="J101" s="1">
        <v>6.45</v>
      </c>
      <c r="K101" s="1">
        <v>60965000</v>
      </c>
    </row>
    <row r="102" spans="1:13">
      <c r="A102" s="1" t="s">
        <v>169</v>
      </c>
      <c r="B102" s="1" t="s">
        <v>170</v>
      </c>
      <c r="C102" s="1">
        <v>2017</v>
      </c>
      <c r="D102" s="1" t="s">
        <v>348</v>
      </c>
      <c r="E102" s="1" t="s">
        <v>171</v>
      </c>
      <c r="F102" s="1" t="s">
        <v>286</v>
      </c>
      <c r="G102" s="1">
        <v>145495000</v>
      </c>
      <c r="H102" s="1">
        <v>2008</v>
      </c>
      <c r="I102" s="1">
        <v>2039</v>
      </c>
      <c r="J102" s="1">
        <v>4.04</v>
      </c>
      <c r="K102" s="1">
        <f>72750000+72745000</f>
        <v>145495000</v>
      </c>
    </row>
    <row r="103" spans="1:13">
      <c r="A103" s="1" t="s">
        <v>169</v>
      </c>
      <c r="B103" s="1" t="s">
        <v>170</v>
      </c>
      <c r="C103" s="1">
        <v>2017</v>
      </c>
      <c r="D103" s="1" t="s">
        <v>352</v>
      </c>
      <c r="E103" s="1" t="s">
        <v>171</v>
      </c>
      <c r="F103" s="1" t="s">
        <v>286</v>
      </c>
      <c r="G103" s="1">
        <v>10000000</v>
      </c>
      <c r="H103" s="1">
        <v>2008</v>
      </c>
      <c r="I103" s="1">
        <v>2035</v>
      </c>
      <c r="J103" s="1">
        <v>3.5</v>
      </c>
      <c r="K103" s="1">
        <v>10000000</v>
      </c>
    </row>
    <row r="104" spans="1:13">
      <c r="A104" s="1" t="s">
        <v>169</v>
      </c>
      <c r="B104" s="1" t="s">
        <v>170</v>
      </c>
      <c r="C104" s="1">
        <v>2017</v>
      </c>
      <c r="D104" s="1" t="s">
        <v>353</v>
      </c>
      <c r="E104" s="1" t="s">
        <v>171</v>
      </c>
      <c r="F104" s="1" t="s">
        <v>286</v>
      </c>
      <c r="G104" s="1">
        <v>10000000</v>
      </c>
      <c r="H104" s="1">
        <v>2008</v>
      </c>
      <c r="I104" s="1">
        <v>2035</v>
      </c>
      <c r="J104" s="1">
        <v>3.5</v>
      </c>
      <c r="K104" s="1">
        <v>10000000</v>
      </c>
    </row>
    <row r="105" spans="1:13">
      <c r="A105" s="1" t="s">
        <v>169</v>
      </c>
      <c r="B105" s="1" t="s">
        <v>170</v>
      </c>
      <c r="C105" s="1">
        <v>2017</v>
      </c>
      <c r="D105" s="1" t="s">
        <v>354</v>
      </c>
      <c r="E105" s="1" t="s">
        <v>171</v>
      </c>
      <c r="F105" s="1" t="s">
        <v>286</v>
      </c>
      <c r="G105" s="1">
        <v>5000000</v>
      </c>
      <c r="H105" s="1">
        <v>2008</v>
      </c>
      <c r="I105" s="1">
        <v>2035</v>
      </c>
      <c r="J105" s="1">
        <v>3.5</v>
      </c>
      <c r="K105" s="1">
        <v>5000000</v>
      </c>
    </row>
    <row r="106" spans="1:13">
      <c r="A106" s="1" t="s">
        <v>169</v>
      </c>
      <c r="B106" s="1" t="s">
        <v>170</v>
      </c>
      <c r="C106" s="1">
        <v>2017</v>
      </c>
      <c r="D106" s="1" t="s">
        <v>355</v>
      </c>
      <c r="E106" s="1" t="s">
        <v>171</v>
      </c>
      <c r="F106" s="1" t="s">
        <v>286</v>
      </c>
      <c r="G106" s="1">
        <v>26910000</v>
      </c>
      <c r="H106" s="1">
        <v>2008</v>
      </c>
      <c r="I106" s="1">
        <v>2035</v>
      </c>
      <c r="J106" s="1">
        <v>3.5</v>
      </c>
      <c r="K106" s="1">
        <v>26840000</v>
      </c>
    </row>
    <row r="107" spans="1:13">
      <c r="A107" s="1" t="s">
        <v>169</v>
      </c>
      <c r="B107" s="1" t="s">
        <v>170</v>
      </c>
      <c r="C107" s="1">
        <v>2017</v>
      </c>
      <c r="D107" s="1" t="s">
        <v>356</v>
      </c>
      <c r="E107" s="1" t="s">
        <v>171</v>
      </c>
      <c r="F107" s="1" t="s">
        <v>286</v>
      </c>
      <c r="G107" s="1">
        <v>51885000</v>
      </c>
      <c r="H107" s="1">
        <v>2008</v>
      </c>
      <c r="I107" s="1">
        <v>2035</v>
      </c>
      <c r="J107" s="1">
        <v>3.5</v>
      </c>
      <c r="K107" s="1">
        <v>51820000</v>
      </c>
    </row>
    <row r="108" spans="1:13">
      <c r="A108" s="1" t="s">
        <v>169</v>
      </c>
      <c r="B108" s="1" t="s">
        <v>170</v>
      </c>
      <c r="C108" s="1">
        <v>2017</v>
      </c>
      <c r="D108" s="1" t="s">
        <v>350</v>
      </c>
      <c r="E108" s="1" t="s">
        <v>171</v>
      </c>
      <c r="F108" s="1" t="s">
        <v>286</v>
      </c>
      <c r="G108" s="1">
        <v>71225000</v>
      </c>
      <c r="H108" s="1">
        <v>2008</v>
      </c>
      <c r="I108" s="1">
        <v>2040</v>
      </c>
      <c r="J108" s="1">
        <v>4.0999999999999996</v>
      </c>
      <c r="K108" s="1">
        <v>71225000</v>
      </c>
    </row>
    <row r="109" spans="1:13">
      <c r="A109" s="1" t="s">
        <v>169</v>
      </c>
      <c r="B109" s="1" t="s">
        <v>170</v>
      </c>
      <c r="C109" s="1" t="s">
        <v>374</v>
      </c>
      <c r="D109" s="1" t="s">
        <v>303</v>
      </c>
      <c r="E109" s="1" t="s">
        <v>171</v>
      </c>
      <c r="F109" s="1" t="s">
        <v>286</v>
      </c>
      <c r="G109" s="1">
        <v>36440070</v>
      </c>
      <c r="H109" s="1">
        <v>1998</v>
      </c>
      <c r="I109" s="1">
        <v>2030</v>
      </c>
      <c r="J109" s="1" t="s">
        <v>174</v>
      </c>
      <c r="K109" s="1">
        <v>53887917</v>
      </c>
    </row>
    <row r="110" spans="1:13">
      <c r="A110" s="1" t="s">
        <v>169</v>
      </c>
      <c r="B110" s="1" t="s">
        <v>170</v>
      </c>
      <c r="C110" s="1" t="s">
        <v>374</v>
      </c>
      <c r="D110" s="1" t="s">
        <v>372</v>
      </c>
      <c r="E110" s="1" t="s">
        <v>171</v>
      </c>
      <c r="F110" s="1" t="s">
        <v>286</v>
      </c>
      <c r="G110" s="1">
        <v>130215000</v>
      </c>
      <c r="H110" s="1">
        <v>2013</v>
      </c>
      <c r="I110" s="1">
        <v>2033</v>
      </c>
      <c r="K110" s="1">
        <v>93825000</v>
      </c>
    </row>
    <row r="111" spans="1:13">
      <c r="A111" s="1" t="s">
        <v>169</v>
      </c>
      <c r="B111" s="1" t="s">
        <v>170</v>
      </c>
      <c r="C111" s="1" t="s">
        <v>374</v>
      </c>
      <c r="D111" s="1" t="s">
        <v>373</v>
      </c>
      <c r="E111" s="1" t="s">
        <v>171</v>
      </c>
      <c r="F111" s="1" t="s">
        <v>286</v>
      </c>
      <c r="G111" s="1">
        <v>86695000</v>
      </c>
      <c r="H111" s="1">
        <v>2013</v>
      </c>
      <c r="I111" s="1">
        <v>2040</v>
      </c>
      <c r="K111" s="1">
        <v>38760000</v>
      </c>
    </row>
    <row r="112" spans="1:13">
      <c r="A112" s="1" t="s">
        <v>169</v>
      </c>
      <c r="B112" s="1" t="s">
        <v>170</v>
      </c>
      <c r="C112" s="1" t="s">
        <v>374</v>
      </c>
      <c r="D112" s="1" t="s">
        <v>375</v>
      </c>
      <c r="E112" s="1" t="s">
        <v>171</v>
      </c>
      <c r="F112" s="1" t="s">
        <v>286</v>
      </c>
      <c r="G112" s="1">
        <v>159795000</v>
      </c>
      <c r="H112" s="1">
        <v>2017</v>
      </c>
      <c r="I112" s="1">
        <v>2032</v>
      </c>
      <c r="K112" s="1">
        <v>159795000</v>
      </c>
    </row>
    <row r="113" spans="1:13">
      <c r="A113" s="1" t="s">
        <v>169</v>
      </c>
      <c r="B113" s="1" t="s">
        <v>170</v>
      </c>
      <c r="C113" s="1" t="s">
        <v>374</v>
      </c>
      <c r="D113" s="1" t="s">
        <v>376</v>
      </c>
      <c r="E113" s="1" t="s">
        <v>171</v>
      </c>
      <c r="F113" s="1" t="s">
        <v>286</v>
      </c>
      <c r="G113" s="1">
        <v>5595000</v>
      </c>
      <c r="H113" s="1">
        <v>2017</v>
      </c>
      <c r="I113" s="1">
        <v>2018</v>
      </c>
      <c r="K113" s="1">
        <v>5595000</v>
      </c>
    </row>
    <row r="114" spans="1:13">
      <c r="A114" s="1" t="s">
        <v>169</v>
      </c>
      <c r="B114" s="1" t="s">
        <v>170</v>
      </c>
      <c r="C114" s="1" t="s">
        <v>374</v>
      </c>
      <c r="D114" s="1" t="s">
        <v>377</v>
      </c>
      <c r="E114" s="1" t="s">
        <v>171</v>
      </c>
      <c r="F114" s="1" t="s">
        <v>286</v>
      </c>
      <c r="G114" s="1">
        <v>218805000</v>
      </c>
      <c r="H114" s="1">
        <v>2017</v>
      </c>
      <c r="I114" s="1">
        <v>2040</v>
      </c>
      <c r="J114" s="1">
        <v>3.5</v>
      </c>
      <c r="K114" s="1">
        <v>218805000</v>
      </c>
    </row>
    <row r="115" spans="1:13">
      <c r="A115" s="1" t="s">
        <v>169</v>
      </c>
      <c r="B115" s="1" t="s">
        <v>170</v>
      </c>
      <c r="C115" s="1" t="s">
        <v>374</v>
      </c>
      <c r="D115" s="1" t="s">
        <v>352</v>
      </c>
      <c r="E115" s="1" t="s">
        <v>171</v>
      </c>
      <c r="F115" s="1" t="s">
        <v>286</v>
      </c>
      <c r="G115" s="1">
        <v>10000000</v>
      </c>
      <c r="H115" s="1">
        <v>2008</v>
      </c>
      <c r="I115" s="1">
        <v>2035</v>
      </c>
      <c r="J115" s="1">
        <v>3.5</v>
      </c>
      <c r="K115" s="1">
        <v>10000000</v>
      </c>
    </row>
    <row r="116" spans="1:13">
      <c r="A116" s="1" t="s">
        <v>169</v>
      </c>
      <c r="B116" s="1" t="s">
        <v>170</v>
      </c>
      <c r="C116" s="1" t="s">
        <v>374</v>
      </c>
      <c r="D116" s="1" t="s">
        <v>353</v>
      </c>
      <c r="E116" s="1" t="s">
        <v>171</v>
      </c>
      <c r="F116" s="1" t="s">
        <v>286</v>
      </c>
      <c r="G116" s="1">
        <v>10000000</v>
      </c>
      <c r="H116" s="1">
        <v>2008</v>
      </c>
      <c r="I116" s="1">
        <v>2035</v>
      </c>
      <c r="J116" s="1">
        <v>3.5</v>
      </c>
      <c r="K116" s="1">
        <v>10000000</v>
      </c>
    </row>
    <row r="117" spans="1:13">
      <c r="A117" s="1" t="s">
        <v>169</v>
      </c>
      <c r="B117" s="1" t="s">
        <v>170</v>
      </c>
      <c r="C117" s="1" t="s">
        <v>374</v>
      </c>
      <c r="D117" s="1" t="s">
        <v>354</v>
      </c>
      <c r="E117" s="1" t="s">
        <v>171</v>
      </c>
      <c r="F117" s="1" t="s">
        <v>286</v>
      </c>
      <c r="G117" s="1">
        <v>5000000</v>
      </c>
      <c r="H117" s="1">
        <v>2008</v>
      </c>
      <c r="I117" s="1">
        <v>2035</v>
      </c>
      <c r="J117" s="1">
        <v>3.5</v>
      </c>
      <c r="K117" s="1">
        <v>5000000</v>
      </c>
    </row>
    <row r="118" spans="1:13">
      <c r="A118" s="1" t="s">
        <v>169</v>
      </c>
      <c r="B118" s="1" t="s">
        <v>170</v>
      </c>
      <c r="C118" s="1" t="s">
        <v>374</v>
      </c>
      <c r="D118" s="1" t="s">
        <v>355</v>
      </c>
      <c r="E118" s="1" t="s">
        <v>171</v>
      </c>
      <c r="F118" s="1" t="s">
        <v>286</v>
      </c>
      <c r="G118" s="1">
        <v>26910000</v>
      </c>
      <c r="H118" s="1">
        <v>2008</v>
      </c>
      <c r="I118" s="1">
        <v>2035</v>
      </c>
      <c r="J118" s="1">
        <v>3.5</v>
      </c>
      <c r="K118" s="1">
        <v>26840000</v>
      </c>
    </row>
    <row r="119" spans="1:13">
      <c r="A119" s="1" t="s">
        <v>169</v>
      </c>
      <c r="B119" s="1" t="s">
        <v>170</v>
      </c>
      <c r="C119" s="1" t="s">
        <v>374</v>
      </c>
      <c r="D119" s="1" t="s">
        <v>356</v>
      </c>
      <c r="E119" s="1" t="s">
        <v>171</v>
      </c>
      <c r="F119" s="1" t="s">
        <v>286</v>
      </c>
      <c r="G119" s="1">
        <v>51885000</v>
      </c>
      <c r="H119" s="1">
        <v>2008</v>
      </c>
      <c r="I119" s="1">
        <v>2035</v>
      </c>
      <c r="K119" s="1">
        <v>51820000</v>
      </c>
    </row>
    <row r="120" spans="1:13">
      <c r="A120" s="1" t="s">
        <v>169</v>
      </c>
      <c r="B120" s="1" t="s">
        <v>170</v>
      </c>
      <c r="C120" s="1" t="s">
        <v>374</v>
      </c>
      <c r="D120" s="1" t="s">
        <v>359</v>
      </c>
      <c r="E120" s="1" t="s">
        <v>171</v>
      </c>
      <c r="F120" s="1" t="s">
        <v>307</v>
      </c>
      <c r="G120" s="1">
        <v>62772052</v>
      </c>
      <c r="K120" s="1">
        <v>31192443</v>
      </c>
    </row>
    <row r="121" spans="1:13">
      <c r="A121" s="1" t="s">
        <v>169</v>
      </c>
      <c r="B121" s="1" t="s">
        <v>170</v>
      </c>
      <c r="C121" s="1" t="s">
        <v>374</v>
      </c>
      <c r="D121" s="1" t="s">
        <v>368</v>
      </c>
      <c r="E121" s="1" t="s">
        <v>171</v>
      </c>
      <c r="F121" s="1" t="s">
        <v>369</v>
      </c>
      <c r="G121" s="1">
        <v>80000000</v>
      </c>
      <c r="H121" s="1">
        <v>2016</v>
      </c>
      <c r="I121" s="1">
        <v>2020</v>
      </c>
      <c r="K121" s="1">
        <v>33200000</v>
      </c>
    </row>
    <row r="122" spans="1:13">
      <c r="A122" s="1" t="s">
        <v>169</v>
      </c>
      <c r="B122" s="1" t="s">
        <v>170</v>
      </c>
      <c r="C122" s="1">
        <v>2017</v>
      </c>
      <c r="D122" s="1" t="s">
        <v>313</v>
      </c>
      <c r="E122" s="1" t="s">
        <v>314</v>
      </c>
      <c r="F122" s="1" t="s">
        <v>307</v>
      </c>
      <c r="G122" s="1">
        <v>158399</v>
      </c>
      <c r="H122" s="1">
        <v>2000</v>
      </c>
      <c r="K122" s="1">
        <v>0</v>
      </c>
      <c r="L122" s="1" t="s">
        <v>315</v>
      </c>
      <c r="M122" s="1" t="s">
        <v>316</v>
      </c>
    </row>
    <row r="123" spans="1:13">
      <c r="A123" s="1" t="s">
        <v>169</v>
      </c>
      <c r="B123" s="1" t="s">
        <v>170</v>
      </c>
      <c r="C123" s="1">
        <v>2017</v>
      </c>
      <c r="D123" s="1" t="s">
        <v>317</v>
      </c>
      <c r="E123" s="1" t="s">
        <v>318</v>
      </c>
      <c r="F123" s="1" t="s">
        <v>307</v>
      </c>
      <c r="G123" s="1">
        <v>800963</v>
      </c>
      <c r="H123" s="1">
        <v>2000</v>
      </c>
      <c r="K123" s="1">
        <v>0</v>
      </c>
      <c r="L123" s="1" t="s">
        <v>319</v>
      </c>
      <c r="M123" s="1" t="s">
        <v>320</v>
      </c>
    </row>
    <row r="124" spans="1:13">
      <c r="A124" s="1" t="s">
        <v>169</v>
      </c>
      <c r="B124" s="1" t="s">
        <v>170</v>
      </c>
      <c r="C124" s="1">
        <v>2017</v>
      </c>
      <c r="D124" s="1" t="s">
        <v>321</v>
      </c>
      <c r="E124" s="1" t="s">
        <v>322</v>
      </c>
      <c r="F124" s="1" t="s">
        <v>307</v>
      </c>
      <c r="G124" s="1">
        <v>3940114</v>
      </c>
      <c r="H124" s="1">
        <v>2001</v>
      </c>
      <c r="K124" s="1">
        <v>0</v>
      </c>
      <c r="L124" s="1" t="s">
        <v>323</v>
      </c>
      <c r="M124" s="1" t="s">
        <v>324</v>
      </c>
    </row>
    <row r="125" spans="1:13">
      <c r="A125" s="1" t="s">
        <v>169</v>
      </c>
      <c r="B125" s="1" t="s">
        <v>170</v>
      </c>
      <c r="C125" s="1">
        <v>2017</v>
      </c>
      <c r="D125" s="1" t="s">
        <v>325</v>
      </c>
      <c r="E125" s="1" t="s">
        <v>314</v>
      </c>
      <c r="F125" s="1" t="s">
        <v>307</v>
      </c>
      <c r="G125" s="1">
        <v>3505100</v>
      </c>
      <c r="H125" s="1">
        <v>2001</v>
      </c>
      <c r="K125" s="1">
        <v>0</v>
      </c>
      <c r="L125" s="1" t="s">
        <v>326</v>
      </c>
      <c r="M125" s="1" t="s">
        <v>327</v>
      </c>
    </row>
    <row r="126" spans="1:13">
      <c r="A126" s="1" t="s">
        <v>169</v>
      </c>
      <c r="B126" s="1" t="s">
        <v>170</v>
      </c>
      <c r="C126" s="1">
        <v>2017</v>
      </c>
      <c r="D126" s="1" t="s">
        <v>328</v>
      </c>
      <c r="E126" s="1" t="s">
        <v>322</v>
      </c>
      <c r="F126" s="1" t="s">
        <v>307</v>
      </c>
      <c r="G126" s="1">
        <v>5112264</v>
      </c>
      <c r="H126" s="1">
        <v>2002</v>
      </c>
      <c r="K126" s="1">
        <v>0</v>
      </c>
      <c r="L126" s="1" t="s">
        <v>329</v>
      </c>
      <c r="M126" s="1" t="s">
        <v>330</v>
      </c>
    </row>
    <row r="127" spans="1:13">
      <c r="A127" s="1" t="s">
        <v>169</v>
      </c>
      <c r="B127" s="1" t="s">
        <v>170</v>
      </c>
      <c r="C127" s="1">
        <v>2017</v>
      </c>
      <c r="D127" s="1" t="s">
        <v>331</v>
      </c>
      <c r="E127" s="1" t="s">
        <v>322</v>
      </c>
      <c r="F127" s="1" t="s">
        <v>307</v>
      </c>
      <c r="G127" s="1">
        <v>4821500</v>
      </c>
      <c r="H127" s="1">
        <v>2002</v>
      </c>
      <c r="K127" s="1">
        <v>0</v>
      </c>
      <c r="L127" s="1" t="s">
        <v>332</v>
      </c>
      <c r="M127" s="1" t="s">
        <v>333</v>
      </c>
    </row>
    <row r="128" spans="1:13">
      <c r="A128" s="1" t="s">
        <v>169</v>
      </c>
      <c r="B128" s="1" t="s">
        <v>170</v>
      </c>
      <c r="C128" s="1">
        <v>2017</v>
      </c>
      <c r="D128" s="1" t="s">
        <v>336</v>
      </c>
      <c r="E128" s="1" t="s">
        <v>314</v>
      </c>
      <c r="F128" s="1" t="s">
        <v>307</v>
      </c>
      <c r="G128" s="1">
        <v>4672410</v>
      </c>
      <c r="H128" s="1">
        <v>2008</v>
      </c>
      <c r="L128" s="1" t="s">
        <v>337</v>
      </c>
      <c r="M128" s="1" t="s">
        <v>338</v>
      </c>
    </row>
    <row r="129" spans="1:13">
      <c r="A129" s="1" t="s">
        <v>169</v>
      </c>
      <c r="B129" s="1" t="s">
        <v>170</v>
      </c>
      <c r="C129" s="1">
        <v>2017</v>
      </c>
      <c r="D129" s="1" t="s">
        <v>339</v>
      </c>
      <c r="E129" s="1" t="s">
        <v>314</v>
      </c>
      <c r="F129" s="1" t="s">
        <v>307</v>
      </c>
      <c r="G129" s="1">
        <v>10264250</v>
      </c>
      <c r="H129" s="1">
        <v>2009</v>
      </c>
      <c r="L129" s="1" t="s">
        <v>337</v>
      </c>
      <c r="M129" s="1" t="s">
        <v>340</v>
      </c>
    </row>
    <row r="130" spans="1:13">
      <c r="A130" s="1" t="s">
        <v>169</v>
      </c>
      <c r="B130" s="1" t="s">
        <v>170</v>
      </c>
      <c r="C130" s="1">
        <v>2017</v>
      </c>
      <c r="D130" s="1" t="s">
        <v>341</v>
      </c>
      <c r="E130" s="1" t="s">
        <v>314</v>
      </c>
      <c r="F130" s="1" t="s">
        <v>307</v>
      </c>
      <c r="G130" s="1">
        <v>4865613</v>
      </c>
      <c r="H130" s="1">
        <v>2009</v>
      </c>
      <c r="L130" s="1" t="s">
        <v>337</v>
      </c>
      <c r="M130" s="1" t="s">
        <v>342</v>
      </c>
    </row>
    <row r="131" spans="1:13">
      <c r="A131" s="1" t="s">
        <v>169</v>
      </c>
      <c r="B131" s="1" t="s">
        <v>170</v>
      </c>
      <c r="C131" s="1">
        <v>2017</v>
      </c>
      <c r="D131" s="1" t="s">
        <v>343</v>
      </c>
      <c r="E131" s="1" t="s">
        <v>322</v>
      </c>
      <c r="F131" s="1" t="s">
        <v>307</v>
      </c>
      <c r="G131" s="1">
        <v>8613546</v>
      </c>
      <c r="H131" s="1">
        <v>2009</v>
      </c>
      <c r="L131" s="1" t="s">
        <v>337</v>
      </c>
      <c r="M131" s="1" t="s">
        <v>344</v>
      </c>
    </row>
    <row r="132" spans="1:13">
      <c r="A132" s="1" t="s">
        <v>169</v>
      </c>
      <c r="B132" s="1" t="s">
        <v>170</v>
      </c>
      <c r="C132" s="1">
        <v>2017</v>
      </c>
      <c r="D132" s="1" t="s">
        <v>345</v>
      </c>
      <c r="E132" s="1" t="s">
        <v>322</v>
      </c>
      <c r="F132" s="1" t="s">
        <v>307</v>
      </c>
      <c r="G132" s="1">
        <v>8393478</v>
      </c>
      <c r="H132" s="1">
        <v>2009</v>
      </c>
      <c r="L132" s="1" t="s">
        <v>337</v>
      </c>
      <c r="M132" s="1" t="s">
        <v>346</v>
      </c>
    </row>
    <row r="133" spans="1:13">
      <c r="A133" s="1" t="s">
        <v>169</v>
      </c>
      <c r="B133" s="1" t="s">
        <v>170</v>
      </c>
      <c r="C133" s="1">
        <v>2017</v>
      </c>
      <c r="D133" s="1" t="s">
        <v>378</v>
      </c>
      <c r="E133" s="1" t="s">
        <v>314</v>
      </c>
      <c r="F133" s="1" t="s">
        <v>307</v>
      </c>
      <c r="G133" s="1">
        <v>3275316</v>
      </c>
      <c r="H133" s="1">
        <v>2013</v>
      </c>
    </row>
    <row r="134" spans="1:13">
      <c r="A134" s="1" t="s">
        <v>169</v>
      </c>
      <c r="B134" s="1" t="s">
        <v>170</v>
      </c>
      <c r="C134" s="1">
        <v>2017</v>
      </c>
      <c r="D134" s="1" t="s">
        <v>379</v>
      </c>
      <c r="E134" s="1" t="s">
        <v>322</v>
      </c>
      <c r="F134" s="1" t="s">
        <v>307</v>
      </c>
      <c r="G134" s="1">
        <v>2713065</v>
      </c>
      <c r="H134" s="1">
        <v>2013</v>
      </c>
    </row>
    <row r="135" spans="1:13">
      <c r="A135" s="1" t="s">
        <v>169</v>
      </c>
      <c r="B135" s="1" t="s">
        <v>170</v>
      </c>
      <c r="C135" s="1">
        <v>2017</v>
      </c>
      <c r="D135" s="1" t="s">
        <v>380</v>
      </c>
      <c r="E135" s="1" t="s">
        <v>322</v>
      </c>
      <c r="F135" s="1" t="s">
        <v>307</v>
      </c>
      <c r="G135" s="1">
        <v>3813561</v>
      </c>
      <c r="H135" s="1">
        <v>2013</v>
      </c>
    </row>
    <row r="136" spans="1:13">
      <c r="A136" s="1" t="s">
        <v>169</v>
      </c>
      <c r="B136" s="1" t="s">
        <v>170</v>
      </c>
      <c r="C136" s="1">
        <v>2017</v>
      </c>
      <c r="D136" s="1" t="s">
        <v>381</v>
      </c>
      <c r="E136" s="1" t="s">
        <v>314</v>
      </c>
      <c r="F136" s="1" t="s">
        <v>307</v>
      </c>
      <c r="G136" s="1">
        <v>1712506</v>
      </c>
      <c r="H136" s="1">
        <v>2013</v>
      </c>
    </row>
    <row r="137" spans="1:13">
      <c r="A137" s="1" t="s">
        <v>169</v>
      </c>
      <c r="B137" s="1" t="s">
        <v>170</v>
      </c>
      <c r="C137" s="1">
        <v>2017</v>
      </c>
      <c r="D137" s="1" t="s">
        <v>382</v>
      </c>
      <c r="E137" s="1" t="s">
        <v>318</v>
      </c>
      <c r="F137" s="1" t="s">
        <v>307</v>
      </c>
      <c r="G137" s="1">
        <v>2361405</v>
      </c>
      <c r="H137" s="1">
        <v>2013</v>
      </c>
    </row>
    <row r="138" spans="1:13">
      <c r="A138" s="1" t="s">
        <v>169</v>
      </c>
      <c r="B138" s="1" t="s">
        <v>170</v>
      </c>
      <c r="C138" s="1">
        <v>2019</v>
      </c>
      <c r="D138" s="1" t="s">
        <v>383</v>
      </c>
      <c r="E138" s="1" t="s">
        <v>171</v>
      </c>
      <c r="F138" s="1" t="s">
        <v>307</v>
      </c>
      <c r="G138" s="1">
        <v>98213283</v>
      </c>
      <c r="J138" s="1" t="s">
        <v>384</v>
      </c>
      <c r="K138" s="1">
        <v>62158911</v>
      </c>
    </row>
    <row r="139" spans="1:13">
      <c r="A139" s="1" t="s">
        <v>169</v>
      </c>
      <c r="B139" s="1" t="s">
        <v>170</v>
      </c>
      <c r="C139" s="1">
        <v>2019</v>
      </c>
      <c r="D139" s="1" t="s">
        <v>368</v>
      </c>
      <c r="E139" s="1" t="s">
        <v>171</v>
      </c>
      <c r="F139" s="1" t="s">
        <v>369</v>
      </c>
      <c r="G139" s="1">
        <v>150000000</v>
      </c>
      <c r="H139" s="1">
        <v>2016</v>
      </c>
      <c r="I139" s="1">
        <v>2020</v>
      </c>
      <c r="J139" s="1">
        <v>3.4289999999999998</v>
      </c>
      <c r="K139" s="1">
        <v>133200000</v>
      </c>
      <c r="M139" s="1" t="s">
        <v>385</v>
      </c>
    </row>
    <row r="140" spans="1:13">
      <c r="A140" s="1" t="s">
        <v>169</v>
      </c>
      <c r="B140" s="1" t="s">
        <v>170</v>
      </c>
      <c r="C140" s="1">
        <v>2019</v>
      </c>
      <c r="D140" s="1" t="s">
        <v>386</v>
      </c>
      <c r="E140" s="1" t="s">
        <v>171</v>
      </c>
      <c r="F140" s="1" t="s">
        <v>369</v>
      </c>
      <c r="G140" s="1">
        <v>20000000</v>
      </c>
      <c r="H140" s="1">
        <v>2018</v>
      </c>
      <c r="J140" s="1">
        <f>3.429+0.65</f>
        <v>4.0789999999999997</v>
      </c>
      <c r="K140" s="1">
        <v>0</v>
      </c>
    </row>
    <row r="141" spans="1:13">
      <c r="A141" s="1" t="s">
        <v>169</v>
      </c>
      <c r="B141" s="1" t="s">
        <v>170</v>
      </c>
      <c r="C141" s="1">
        <v>2019</v>
      </c>
      <c r="D141" s="1" t="s">
        <v>303</v>
      </c>
      <c r="E141" s="1" t="s">
        <v>171</v>
      </c>
      <c r="F141" s="1" t="s">
        <v>286</v>
      </c>
      <c r="G141" s="1">
        <v>36440070</v>
      </c>
      <c r="H141" s="1">
        <v>1998</v>
      </c>
      <c r="I141" s="1">
        <v>2030</v>
      </c>
      <c r="J141" s="1" t="s">
        <v>174</v>
      </c>
      <c r="K141" s="1">
        <v>57564794</v>
      </c>
    </row>
    <row r="142" spans="1:13">
      <c r="A142" s="1" t="s">
        <v>169</v>
      </c>
      <c r="B142" s="1" t="s">
        <v>170</v>
      </c>
      <c r="C142" s="1">
        <v>2019</v>
      </c>
      <c r="D142" s="1" t="s">
        <v>372</v>
      </c>
      <c r="E142" s="1" t="s">
        <v>171</v>
      </c>
      <c r="F142" s="1" t="s">
        <v>286</v>
      </c>
      <c r="G142" s="1">
        <v>130215000</v>
      </c>
      <c r="H142" s="1">
        <v>2013</v>
      </c>
      <c r="I142" s="1">
        <v>2033</v>
      </c>
      <c r="K142" s="1">
        <v>86120000</v>
      </c>
    </row>
    <row r="143" spans="1:13">
      <c r="A143" s="1" t="s">
        <v>169</v>
      </c>
      <c r="B143" s="1" t="s">
        <v>170</v>
      </c>
      <c r="C143" s="1">
        <v>2019</v>
      </c>
      <c r="D143" s="1" t="s">
        <v>373</v>
      </c>
      <c r="E143" s="1" t="s">
        <v>171</v>
      </c>
      <c r="F143" s="1" t="s">
        <v>286</v>
      </c>
      <c r="G143" s="1">
        <v>86695000</v>
      </c>
      <c r="H143" s="1">
        <v>2013</v>
      </c>
      <c r="I143" s="1">
        <v>2040</v>
      </c>
      <c r="K143" s="1">
        <v>38760000</v>
      </c>
    </row>
    <row r="144" spans="1:13">
      <c r="A144" s="1" t="s">
        <v>169</v>
      </c>
      <c r="B144" s="1" t="s">
        <v>170</v>
      </c>
      <c r="C144" s="1">
        <v>2019</v>
      </c>
      <c r="D144" s="1" t="s">
        <v>375</v>
      </c>
      <c r="E144" s="1" t="s">
        <v>171</v>
      </c>
      <c r="F144" s="1" t="s">
        <v>286</v>
      </c>
      <c r="G144" s="1">
        <v>159795000</v>
      </c>
      <c r="H144" s="1">
        <v>2017</v>
      </c>
      <c r="I144" s="1">
        <v>2032</v>
      </c>
      <c r="K144" s="1">
        <v>151870000</v>
      </c>
    </row>
    <row r="145" spans="1:13">
      <c r="A145" s="1" t="s">
        <v>169</v>
      </c>
      <c r="B145" s="1" t="s">
        <v>170</v>
      </c>
      <c r="C145" s="1">
        <v>2019</v>
      </c>
      <c r="D145" s="1" t="s">
        <v>376</v>
      </c>
      <c r="E145" s="1" t="s">
        <v>171</v>
      </c>
      <c r="F145" s="1" t="s">
        <v>286</v>
      </c>
      <c r="G145" s="1">
        <v>5595000</v>
      </c>
      <c r="H145" s="1">
        <v>2017</v>
      </c>
      <c r="I145" s="1">
        <v>2018</v>
      </c>
      <c r="K145" s="1">
        <v>0</v>
      </c>
    </row>
    <row r="146" spans="1:13">
      <c r="A146" s="1" t="s">
        <v>169</v>
      </c>
      <c r="B146" s="1" t="s">
        <v>170</v>
      </c>
      <c r="C146" s="1">
        <v>2019</v>
      </c>
      <c r="D146" s="1" t="s">
        <v>377</v>
      </c>
      <c r="E146" s="1" t="s">
        <v>171</v>
      </c>
      <c r="F146" s="1" t="s">
        <v>286</v>
      </c>
      <c r="G146" s="1">
        <v>218805000</v>
      </c>
      <c r="H146" s="1">
        <v>2017</v>
      </c>
      <c r="I146" s="1">
        <v>2040</v>
      </c>
      <c r="J146" s="1">
        <v>3.7839999999999998</v>
      </c>
      <c r="K146" s="1">
        <f>72747500+72747500+71225000+2085000</f>
        <v>218805000</v>
      </c>
    </row>
    <row r="147" spans="1:13">
      <c r="A147" s="1" t="s">
        <v>169</v>
      </c>
      <c r="B147" s="1" t="s">
        <v>170</v>
      </c>
      <c r="C147" s="1">
        <v>2019</v>
      </c>
      <c r="D147" s="1" t="s">
        <v>352</v>
      </c>
      <c r="E147" s="1" t="s">
        <v>171</v>
      </c>
      <c r="F147" s="1" t="s">
        <v>286</v>
      </c>
      <c r="G147" s="1">
        <v>10000000</v>
      </c>
      <c r="H147" s="1">
        <v>2008</v>
      </c>
      <c r="I147" s="1">
        <v>2035</v>
      </c>
      <c r="J147" s="1">
        <v>3.5</v>
      </c>
      <c r="K147" s="1">
        <v>10000000</v>
      </c>
    </row>
    <row r="148" spans="1:13">
      <c r="A148" s="1" t="s">
        <v>169</v>
      </c>
      <c r="B148" s="1" t="s">
        <v>170</v>
      </c>
      <c r="C148" s="1">
        <v>2019</v>
      </c>
      <c r="D148" s="1" t="s">
        <v>353</v>
      </c>
      <c r="E148" s="1" t="s">
        <v>171</v>
      </c>
      <c r="F148" s="1" t="s">
        <v>286</v>
      </c>
      <c r="G148" s="1">
        <v>10000000</v>
      </c>
      <c r="H148" s="1">
        <v>2008</v>
      </c>
      <c r="I148" s="1">
        <v>2035</v>
      </c>
      <c r="J148" s="1">
        <v>3.5</v>
      </c>
      <c r="K148" s="1">
        <v>10000000</v>
      </c>
    </row>
    <row r="149" spans="1:13">
      <c r="A149" s="1" t="s">
        <v>169</v>
      </c>
      <c r="B149" s="1" t="s">
        <v>170</v>
      </c>
      <c r="C149" s="1">
        <v>2019</v>
      </c>
      <c r="D149" s="1" t="s">
        <v>354</v>
      </c>
      <c r="E149" s="1" t="s">
        <v>171</v>
      </c>
      <c r="F149" s="1" t="s">
        <v>286</v>
      </c>
      <c r="G149" s="1">
        <v>5000000</v>
      </c>
      <c r="H149" s="1">
        <v>2008</v>
      </c>
      <c r="I149" s="1">
        <v>2035</v>
      </c>
      <c r="J149" s="1">
        <v>3.5</v>
      </c>
      <c r="K149" s="1">
        <v>5000000</v>
      </c>
    </row>
    <row r="150" spans="1:13">
      <c r="A150" s="1" t="s">
        <v>169</v>
      </c>
      <c r="B150" s="1" t="s">
        <v>170</v>
      </c>
      <c r="C150" s="1">
        <v>2019</v>
      </c>
      <c r="D150" s="1" t="s">
        <v>355</v>
      </c>
      <c r="E150" s="1" t="s">
        <v>171</v>
      </c>
      <c r="F150" s="1" t="s">
        <v>286</v>
      </c>
      <c r="G150" s="1">
        <v>26910000</v>
      </c>
      <c r="H150" s="1">
        <v>2008</v>
      </c>
      <c r="I150" s="1">
        <v>2035</v>
      </c>
      <c r="J150" s="1">
        <v>3.5</v>
      </c>
      <c r="K150" s="1">
        <v>26840000</v>
      </c>
    </row>
    <row r="151" spans="1:13">
      <c r="A151" s="1" t="s">
        <v>169</v>
      </c>
      <c r="B151" s="1" t="s">
        <v>170</v>
      </c>
      <c r="C151" s="1">
        <v>2019</v>
      </c>
      <c r="D151" s="1" t="s">
        <v>356</v>
      </c>
      <c r="E151" s="1" t="s">
        <v>171</v>
      </c>
      <c r="F151" s="1" t="s">
        <v>286</v>
      </c>
      <c r="G151" s="1">
        <v>51885000</v>
      </c>
      <c r="H151" s="1">
        <v>2008</v>
      </c>
      <c r="I151" s="1">
        <v>2035</v>
      </c>
      <c r="K151" s="1">
        <v>51820000</v>
      </c>
    </row>
    <row r="152" spans="1:13">
      <c r="A152" s="1" t="s">
        <v>169</v>
      </c>
      <c r="B152" s="1" t="s">
        <v>170</v>
      </c>
      <c r="C152" s="1">
        <v>2019</v>
      </c>
      <c r="D152" s="1" t="s">
        <v>387</v>
      </c>
      <c r="E152" s="1" t="s">
        <v>171</v>
      </c>
      <c r="F152" s="1" t="s">
        <v>388</v>
      </c>
      <c r="G152" s="1">
        <v>7445000</v>
      </c>
      <c r="H152" s="1">
        <v>2015</v>
      </c>
      <c r="I152" s="1">
        <v>2025</v>
      </c>
      <c r="K152" s="1">
        <v>5893000</v>
      </c>
      <c r="M152" s="1" t="s">
        <v>389</v>
      </c>
    </row>
    <row r="153" spans="1:13">
      <c r="A153" s="1" t="s">
        <v>169</v>
      </c>
      <c r="B153" s="1" t="s">
        <v>170</v>
      </c>
      <c r="C153" s="1">
        <v>2019</v>
      </c>
      <c r="D153" s="1" t="s">
        <v>390</v>
      </c>
      <c r="E153" s="1" t="s">
        <v>171</v>
      </c>
      <c r="F153" s="1" t="s">
        <v>391</v>
      </c>
      <c r="G153" s="1">
        <v>78431000</v>
      </c>
      <c r="H153" s="1">
        <v>2014</v>
      </c>
      <c r="K153" s="1">
        <v>75236000</v>
      </c>
      <c r="M153" s="1" t="s">
        <v>392</v>
      </c>
    </row>
    <row r="154" spans="1:13">
      <c r="A154" s="1" t="s">
        <v>169</v>
      </c>
      <c r="B154" s="1" t="s">
        <v>170</v>
      </c>
      <c r="C154" s="1">
        <v>2019</v>
      </c>
      <c r="D154" s="1" t="s">
        <v>393</v>
      </c>
      <c r="E154" s="1" t="s">
        <v>322</v>
      </c>
      <c r="F154" s="1" t="s">
        <v>307</v>
      </c>
      <c r="G154" s="1">
        <v>49100000</v>
      </c>
      <c r="H154" s="1">
        <v>2019</v>
      </c>
      <c r="M154" s="1" t="s">
        <v>394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91"/>
  <sheetViews>
    <sheetView workbookViewId="0">
      <pane ySplit="1" topLeftCell="A253" activePane="bottomLeft" state="frozen"/>
      <selection pane="bottomLeft" activeCell="C291" sqref="C291"/>
    </sheetView>
  </sheetViews>
  <sheetFormatPr defaultColWidth="8.85546875" defaultRowHeight="14.45"/>
  <cols>
    <col min="1" max="1" width="10.140625" style="1" bestFit="1" customWidth="1"/>
    <col min="2" max="4" width="8.85546875" style="1"/>
    <col min="5" max="5" width="10" style="1" bestFit="1" customWidth="1"/>
    <col min="6" max="8" width="8.85546875" style="1"/>
    <col min="9" max="9" width="15" style="1" bestFit="1" customWidth="1"/>
    <col min="10" max="10" width="8.85546875" style="1"/>
    <col min="11" max="11" width="10" style="1" bestFit="1" customWidth="1"/>
    <col min="12" max="16384" width="8.85546875" style="1"/>
  </cols>
  <sheetData>
    <row r="1" spans="1:10">
      <c r="A1" s="18" t="s">
        <v>149</v>
      </c>
      <c r="B1" s="18" t="s">
        <v>150</v>
      </c>
      <c r="C1" s="18" t="s">
        <v>151</v>
      </c>
      <c r="D1" s="18" t="s">
        <v>395</v>
      </c>
      <c r="E1" s="18" t="s">
        <v>396</v>
      </c>
      <c r="F1" s="18" t="s">
        <v>230</v>
      </c>
      <c r="G1" s="18" t="s">
        <v>397</v>
      </c>
      <c r="H1" s="18" t="s">
        <v>398</v>
      </c>
      <c r="I1" s="18" t="s">
        <v>399</v>
      </c>
      <c r="J1" s="18" t="s">
        <v>168</v>
      </c>
    </row>
    <row r="2" spans="1:10">
      <c r="A2" s="1" t="s">
        <v>169</v>
      </c>
      <c r="B2" s="1" t="s">
        <v>170</v>
      </c>
      <c r="C2" s="1">
        <v>1993</v>
      </c>
      <c r="D2" s="1">
        <v>1994</v>
      </c>
      <c r="E2" s="1">
        <v>8495000</v>
      </c>
      <c r="F2" s="1">
        <v>12469299</v>
      </c>
      <c r="G2" s="1">
        <v>20964299</v>
      </c>
      <c r="H2" s="1">
        <v>0</v>
      </c>
      <c r="I2" s="1">
        <v>20964299</v>
      </c>
    </row>
    <row r="3" spans="1:10">
      <c r="A3" s="1" t="s">
        <v>169</v>
      </c>
      <c r="B3" s="1" t="s">
        <v>170</v>
      </c>
      <c r="C3" s="1">
        <v>1993</v>
      </c>
      <c r="D3" s="1">
        <v>1995</v>
      </c>
      <c r="E3" s="1">
        <v>4355000</v>
      </c>
      <c r="F3" s="1">
        <v>13908205</v>
      </c>
      <c r="G3" s="1">
        <v>18263205</v>
      </c>
      <c r="H3" s="1">
        <v>0</v>
      </c>
      <c r="I3" s="1">
        <v>18263205</v>
      </c>
    </row>
    <row r="4" spans="1:10">
      <c r="A4" s="1" t="s">
        <v>169</v>
      </c>
      <c r="B4" s="1" t="s">
        <v>170</v>
      </c>
      <c r="C4" s="1">
        <v>1993</v>
      </c>
      <c r="D4" s="1">
        <v>1996</v>
      </c>
      <c r="E4" s="1">
        <v>5945000</v>
      </c>
      <c r="F4" s="1">
        <v>13760135</v>
      </c>
      <c r="G4" s="1">
        <v>19705135</v>
      </c>
      <c r="H4" s="1">
        <v>0</v>
      </c>
      <c r="I4" s="1">
        <v>19705135</v>
      </c>
    </row>
    <row r="5" spans="1:10">
      <c r="A5" s="1" t="s">
        <v>169</v>
      </c>
      <c r="B5" s="1" t="s">
        <v>170</v>
      </c>
      <c r="C5" s="1">
        <v>1993</v>
      </c>
      <c r="D5" s="1">
        <v>1997</v>
      </c>
      <c r="E5" s="1">
        <v>6865000</v>
      </c>
      <c r="F5" s="1">
        <v>13552060</v>
      </c>
      <c r="G5" s="1">
        <v>20417060</v>
      </c>
      <c r="H5" s="1">
        <v>0</v>
      </c>
      <c r="I5" s="1">
        <v>20417060</v>
      </c>
    </row>
    <row r="6" spans="1:10">
      <c r="A6" s="1" t="s">
        <v>169</v>
      </c>
      <c r="B6" s="1" t="s">
        <v>170</v>
      </c>
      <c r="C6" s="1">
        <v>1993</v>
      </c>
      <c r="D6" s="1">
        <v>1998</v>
      </c>
      <c r="E6" s="1">
        <v>8550000</v>
      </c>
      <c r="F6" s="1">
        <v>13294622</v>
      </c>
      <c r="G6" s="1">
        <v>21844622</v>
      </c>
      <c r="H6" s="1">
        <v>0</v>
      </c>
      <c r="I6" s="1">
        <v>21844622</v>
      </c>
    </row>
    <row r="7" spans="1:10">
      <c r="A7" s="1" t="s">
        <v>169</v>
      </c>
      <c r="B7" s="1" t="s">
        <v>170</v>
      </c>
      <c r="C7" s="1">
        <v>1993</v>
      </c>
      <c r="D7" s="1">
        <v>1999</v>
      </c>
      <c r="E7" s="1">
        <v>8885000</v>
      </c>
      <c r="F7" s="1">
        <v>12961173</v>
      </c>
      <c r="G7" s="1">
        <v>21846173</v>
      </c>
      <c r="H7" s="1">
        <v>0</v>
      </c>
      <c r="I7" s="1">
        <v>21846173</v>
      </c>
    </row>
    <row r="8" spans="1:10">
      <c r="A8" s="1" t="s">
        <v>169</v>
      </c>
      <c r="B8" s="1" t="s">
        <v>170</v>
      </c>
      <c r="C8" s="1">
        <v>1993</v>
      </c>
      <c r="D8" s="1">
        <v>2000</v>
      </c>
      <c r="E8" s="1">
        <v>9245000</v>
      </c>
      <c r="F8" s="1">
        <v>12605772</v>
      </c>
      <c r="G8" s="1">
        <v>21850772</v>
      </c>
      <c r="H8" s="1">
        <v>0</v>
      </c>
      <c r="I8" s="1">
        <v>21850772</v>
      </c>
    </row>
    <row r="9" spans="1:10">
      <c r="A9" s="1" t="s">
        <v>169</v>
      </c>
      <c r="B9" s="1" t="s">
        <v>170</v>
      </c>
      <c r="C9" s="1">
        <v>1993</v>
      </c>
      <c r="D9" s="1">
        <v>2001</v>
      </c>
      <c r="E9" s="1">
        <v>9635000</v>
      </c>
      <c r="F9" s="1">
        <v>12212860</v>
      </c>
      <c r="G9" s="1">
        <v>21847860</v>
      </c>
      <c r="H9" s="1">
        <v>0</v>
      </c>
      <c r="I9" s="1">
        <v>21847860</v>
      </c>
    </row>
    <row r="10" spans="1:10">
      <c r="A10" s="1" t="s">
        <v>169</v>
      </c>
      <c r="B10" s="1" t="s">
        <v>170</v>
      </c>
      <c r="C10" s="1">
        <v>1993</v>
      </c>
      <c r="D10" s="1">
        <v>2002</v>
      </c>
      <c r="E10" s="1">
        <v>10065000</v>
      </c>
      <c r="F10" s="1">
        <v>11788920</v>
      </c>
      <c r="G10" s="1">
        <v>21853920</v>
      </c>
      <c r="H10" s="1">
        <v>0</v>
      </c>
      <c r="I10" s="1">
        <v>21853920</v>
      </c>
    </row>
    <row r="11" spans="1:10">
      <c r="A11" s="1" t="s">
        <v>169</v>
      </c>
      <c r="B11" s="1" t="s">
        <v>170</v>
      </c>
      <c r="C11" s="1">
        <v>1993</v>
      </c>
      <c r="D11" s="1">
        <v>2003</v>
      </c>
      <c r="E11" s="1">
        <v>10505000</v>
      </c>
      <c r="F11" s="1">
        <v>11335995</v>
      </c>
      <c r="G11" s="1">
        <v>21840995</v>
      </c>
      <c r="H11" s="1">
        <v>0</v>
      </c>
      <c r="I11" s="1">
        <v>21840995</v>
      </c>
    </row>
    <row r="12" spans="1:10">
      <c r="A12" s="1" t="s">
        <v>169</v>
      </c>
      <c r="B12" s="1" t="s">
        <v>170</v>
      </c>
      <c r="C12" s="1">
        <v>1993</v>
      </c>
      <c r="D12" s="1">
        <v>2004</v>
      </c>
      <c r="E12" s="1">
        <v>11000000</v>
      </c>
      <c r="F12" s="1">
        <v>10852765</v>
      </c>
      <c r="G12" s="1">
        <v>21852765</v>
      </c>
      <c r="H12" s="1">
        <v>0</v>
      </c>
      <c r="I12" s="1">
        <v>21852765</v>
      </c>
    </row>
    <row r="13" spans="1:10">
      <c r="A13" s="1" t="s">
        <v>169</v>
      </c>
      <c r="B13" s="1" t="s">
        <v>170</v>
      </c>
      <c r="C13" s="1">
        <v>1993</v>
      </c>
      <c r="D13" s="1">
        <v>2005</v>
      </c>
      <c r="E13" s="1">
        <v>11515000</v>
      </c>
      <c r="F13" s="1">
        <v>10335765</v>
      </c>
      <c r="G13" s="1">
        <v>21850765</v>
      </c>
      <c r="H13" s="1">
        <v>0</v>
      </c>
      <c r="I13" s="1">
        <v>21850765</v>
      </c>
    </row>
    <row r="14" spans="1:10">
      <c r="A14" s="1" t="s">
        <v>169</v>
      </c>
      <c r="B14" s="1" t="s">
        <v>170</v>
      </c>
      <c r="C14" s="1">
        <v>1993</v>
      </c>
      <c r="D14" s="1">
        <v>2006</v>
      </c>
      <c r="E14" s="1">
        <v>12060000</v>
      </c>
      <c r="F14" s="1">
        <v>9788803</v>
      </c>
      <c r="G14" s="1">
        <v>21848803</v>
      </c>
      <c r="H14" s="1">
        <v>0</v>
      </c>
      <c r="I14" s="1">
        <v>21848803</v>
      </c>
    </row>
    <row r="15" spans="1:10">
      <c r="A15" s="1" t="s">
        <v>169</v>
      </c>
      <c r="B15" s="1" t="s">
        <v>170</v>
      </c>
      <c r="C15" s="1">
        <v>1993</v>
      </c>
      <c r="D15" s="1">
        <v>2007</v>
      </c>
      <c r="E15" s="1">
        <v>12640000</v>
      </c>
      <c r="F15" s="1">
        <v>9209922</v>
      </c>
      <c r="G15" s="1">
        <v>21849922</v>
      </c>
      <c r="H15" s="1">
        <v>0</v>
      </c>
      <c r="I15" s="1">
        <v>21849922</v>
      </c>
    </row>
    <row r="16" spans="1:10">
      <c r="A16" s="1" t="s">
        <v>169</v>
      </c>
      <c r="B16" s="1" t="s">
        <v>170</v>
      </c>
      <c r="C16" s="1">
        <v>1993</v>
      </c>
      <c r="D16" s="1">
        <v>2008</v>
      </c>
      <c r="E16" s="1">
        <v>13260000</v>
      </c>
      <c r="F16" s="1">
        <v>8590563</v>
      </c>
      <c r="G16" s="1">
        <v>21850563</v>
      </c>
      <c r="H16" s="1">
        <v>0</v>
      </c>
      <c r="I16" s="1">
        <v>21850563</v>
      </c>
    </row>
    <row r="17" spans="1:9">
      <c r="A17" s="1" t="s">
        <v>169</v>
      </c>
      <c r="B17" s="1" t="s">
        <v>170</v>
      </c>
      <c r="C17" s="1">
        <v>1993</v>
      </c>
      <c r="D17" s="1">
        <v>2009</v>
      </c>
      <c r="E17" s="1">
        <v>13920000</v>
      </c>
      <c r="F17" s="1">
        <v>7927562</v>
      </c>
      <c r="G17" s="1">
        <v>21847562</v>
      </c>
      <c r="H17" s="1">
        <v>0</v>
      </c>
      <c r="I17" s="1">
        <v>21847562</v>
      </c>
    </row>
    <row r="18" spans="1:9">
      <c r="A18" s="1" t="s">
        <v>169</v>
      </c>
      <c r="B18" s="1" t="s">
        <v>170</v>
      </c>
      <c r="C18" s="1">
        <v>1993</v>
      </c>
      <c r="D18" s="1">
        <v>2010</v>
      </c>
      <c r="E18" s="1">
        <v>14620000</v>
      </c>
      <c r="F18" s="1">
        <v>7231563</v>
      </c>
      <c r="G18" s="1">
        <v>21851563</v>
      </c>
      <c r="H18" s="1">
        <v>0</v>
      </c>
      <c r="I18" s="1">
        <v>21851563</v>
      </c>
    </row>
    <row r="19" spans="1:9">
      <c r="A19" s="1" t="s">
        <v>169</v>
      </c>
      <c r="B19" s="1" t="s">
        <v>170</v>
      </c>
      <c r="C19" s="1">
        <v>1993</v>
      </c>
      <c r="D19" s="1">
        <v>2011</v>
      </c>
      <c r="E19" s="1">
        <v>15350000</v>
      </c>
      <c r="F19" s="1">
        <v>6500562</v>
      </c>
      <c r="G19" s="1">
        <v>21850562</v>
      </c>
      <c r="H19" s="1">
        <v>0</v>
      </c>
      <c r="I19" s="1">
        <v>21850562</v>
      </c>
    </row>
    <row r="20" spans="1:9">
      <c r="A20" s="1" t="s">
        <v>169</v>
      </c>
      <c r="B20" s="1" t="s">
        <v>170</v>
      </c>
      <c r="C20" s="1">
        <v>1993</v>
      </c>
      <c r="D20" s="1">
        <v>2012</v>
      </c>
      <c r="E20" s="1">
        <v>16345000</v>
      </c>
      <c r="F20" s="1">
        <v>5502813</v>
      </c>
      <c r="G20" s="1">
        <v>21847813</v>
      </c>
      <c r="H20" s="1">
        <v>0</v>
      </c>
      <c r="I20" s="1">
        <v>21847813</v>
      </c>
    </row>
    <row r="21" spans="1:9">
      <c r="A21" s="1" t="s">
        <v>169</v>
      </c>
      <c r="B21" s="1" t="s">
        <v>170</v>
      </c>
      <c r="C21" s="1">
        <v>1993</v>
      </c>
      <c r="D21" s="1">
        <v>2013</v>
      </c>
      <c r="E21" s="1">
        <v>17410000</v>
      </c>
      <c r="F21" s="1">
        <v>4440387</v>
      </c>
      <c r="G21" s="1">
        <v>21850387</v>
      </c>
      <c r="H21" s="1">
        <v>0</v>
      </c>
      <c r="I21" s="1">
        <v>21850387</v>
      </c>
    </row>
    <row r="22" spans="1:9">
      <c r="A22" s="1" t="s">
        <v>169</v>
      </c>
      <c r="B22" s="1" t="s">
        <v>170</v>
      </c>
      <c r="C22" s="1">
        <v>1993</v>
      </c>
      <c r="D22" s="1">
        <v>2014</v>
      </c>
      <c r="E22" s="1">
        <v>18540000</v>
      </c>
      <c r="F22" s="1">
        <v>3308737</v>
      </c>
      <c r="G22" s="1">
        <v>21848737</v>
      </c>
      <c r="H22" s="1">
        <v>0</v>
      </c>
      <c r="I22" s="1">
        <v>21848737</v>
      </c>
    </row>
    <row r="23" spans="1:9">
      <c r="A23" s="1" t="s">
        <v>169</v>
      </c>
      <c r="B23" s="1" t="s">
        <v>170</v>
      </c>
      <c r="C23" s="1">
        <v>1993</v>
      </c>
      <c r="D23" s="1">
        <v>2015</v>
      </c>
      <c r="E23" s="1">
        <v>19425000</v>
      </c>
      <c r="F23" s="1">
        <v>2428088</v>
      </c>
      <c r="G23" s="1">
        <v>21853088</v>
      </c>
      <c r="H23" s="1">
        <v>0</v>
      </c>
      <c r="I23" s="1">
        <v>21853088</v>
      </c>
    </row>
    <row r="24" spans="1:9">
      <c r="A24" s="1" t="s">
        <v>169</v>
      </c>
      <c r="B24" s="1" t="s">
        <v>170</v>
      </c>
      <c r="C24" s="1">
        <v>1993</v>
      </c>
      <c r="D24" s="1">
        <v>2016</v>
      </c>
      <c r="E24" s="1">
        <v>20340000</v>
      </c>
      <c r="F24" s="1">
        <v>1505400</v>
      </c>
      <c r="G24" s="1">
        <v>21845400</v>
      </c>
      <c r="H24" s="1">
        <v>0</v>
      </c>
      <c r="I24" s="1">
        <v>21845400</v>
      </c>
    </row>
    <row r="25" spans="1:9">
      <c r="A25" s="1" t="s">
        <v>169</v>
      </c>
      <c r="B25" s="1" t="s">
        <v>170</v>
      </c>
      <c r="C25" s="1">
        <v>1993</v>
      </c>
      <c r="D25" s="1">
        <v>2017</v>
      </c>
      <c r="E25" s="1">
        <v>1325000</v>
      </c>
      <c r="F25" s="1">
        <v>539250</v>
      </c>
      <c r="G25" s="1">
        <v>1864250</v>
      </c>
      <c r="H25" s="1">
        <v>0</v>
      </c>
      <c r="I25" s="1">
        <v>1864250</v>
      </c>
    </row>
    <row r="26" spans="1:9">
      <c r="A26" s="1" t="s">
        <v>169</v>
      </c>
      <c r="B26" s="1" t="s">
        <v>170</v>
      </c>
      <c r="C26" s="1">
        <v>1993</v>
      </c>
      <c r="D26" s="1">
        <v>2018</v>
      </c>
      <c r="E26" s="1">
        <v>1390000</v>
      </c>
      <c r="F26" s="1">
        <v>473000</v>
      </c>
      <c r="G26" s="1">
        <v>1863000</v>
      </c>
      <c r="H26" s="1">
        <v>0</v>
      </c>
      <c r="I26" s="1">
        <v>1863000</v>
      </c>
    </row>
    <row r="27" spans="1:9">
      <c r="A27" s="1" t="s">
        <v>169</v>
      </c>
      <c r="B27" s="1" t="s">
        <v>170</v>
      </c>
      <c r="C27" s="1">
        <v>1993</v>
      </c>
      <c r="D27" s="1">
        <v>2019</v>
      </c>
      <c r="E27" s="1">
        <v>1460000</v>
      </c>
      <c r="F27" s="1">
        <v>403500</v>
      </c>
      <c r="G27" s="1">
        <v>1863500</v>
      </c>
      <c r="H27" s="1">
        <v>0</v>
      </c>
      <c r="I27" s="1">
        <v>1863500</v>
      </c>
    </row>
    <row r="28" spans="1:9">
      <c r="A28" s="1" t="s">
        <v>169</v>
      </c>
      <c r="B28" s="1" t="s">
        <v>170</v>
      </c>
      <c r="C28" s="1">
        <v>1993</v>
      </c>
      <c r="D28" s="1">
        <v>2020</v>
      </c>
      <c r="E28" s="1">
        <v>1535000</v>
      </c>
      <c r="F28" s="1">
        <v>330500</v>
      </c>
      <c r="G28" s="1">
        <v>1865500</v>
      </c>
      <c r="H28" s="1">
        <v>0</v>
      </c>
      <c r="I28" s="1">
        <v>1865500</v>
      </c>
    </row>
    <row r="29" spans="1:9">
      <c r="A29" s="1" t="s">
        <v>169</v>
      </c>
      <c r="B29" s="1" t="s">
        <v>170</v>
      </c>
      <c r="C29" s="1">
        <v>1993</v>
      </c>
      <c r="D29" s="1">
        <v>2021</v>
      </c>
      <c r="E29" s="1">
        <v>1610000</v>
      </c>
      <c r="F29" s="1">
        <v>253750</v>
      </c>
      <c r="G29" s="1">
        <v>1863750</v>
      </c>
      <c r="H29" s="1">
        <v>0</v>
      </c>
      <c r="I29" s="1">
        <v>1863750</v>
      </c>
    </row>
    <row r="30" spans="1:9">
      <c r="A30" s="1" t="s">
        <v>169</v>
      </c>
      <c r="B30" s="1" t="s">
        <v>170</v>
      </c>
      <c r="C30" s="1">
        <v>1993</v>
      </c>
      <c r="D30" s="1">
        <v>2022</v>
      </c>
      <c r="E30" s="1">
        <v>1690000</v>
      </c>
      <c r="F30" s="1">
        <v>173250</v>
      </c>
      <c r="G30" s="1">
        <v>1863250</v>
      </c>
      <c r="H30" s="1">
        <v>0</v>
      </c>
      <c r="I30" s="1">
        <v>1863250</v>
      </c>
    </row>
    <row r="31" spans="1:9">
      <c r="A31" s="1" t="s">
        <v>169</v>
      </c>
      <c r="B31" s="1" t="s">
        <v>170</v>
      </c>
      <c r="C31" s="1">
        <v>1993</v>
      </c>
      <c r="D31" s="1">
        <v>2023</v>
      </c>
      <c r="E31" s="1">
        <v>1775000</v>
      </c>
      <c r="F31" s="1">
        <v>88750</v>
      </c>
      <c r="G31" s="1">
        <v>1863750</v>
      </c>
      <c r="H31" s="1">
        <v>0</v>
      </c>
      <c r="I31" s="1">
        <v>1863750</v>
      </c>
    </row>
    <row r="32" spans="1:9">
      <c r="A32" s="1" t="s">
        <v>169</v>
      </c>
      <c r="B32" s="1" t="s">
        <v>170</v>
      </c>
      <c r="C32" s="1">
        <v>1995</v>
      </c>
      <c r="D32" s="1">
        <v>1995</v>
      </c>
      <c r="E32" s="1">
        <v>0</v>
      </c>
      <c r="F32" s="1">
        <v>0</v>
      </c>
      <c r="G32" s="1">
        <v>0</v>
      </c>
      <c r="H32" s="1">
        <v>18263205</v>
      </c>
      <c r="I32" s="1">
        <v>18263205</v>
      </c>
    </row>
    <row r="33" spans="1:9">
      <c r="A33" s="1" t="s">
        <v>169</v>
      </c>
      <c r="B33" s="1" t="s">
        <v>170</v>
      </c>
      <c r="C33" s="1">
        <v>1995</v>
      </c>
      <c r="D33" s="1">
        <v>1996</v>
      </c>
      <c r="E33" s="1">
        <v>2035000</v>
      </c>
      <c r="F33" s="1">
        <v>11488131</v>
      </c>
      <c r="G33" s="1">
        <v>13523131</v>
      </c>
      <c r="H33" s="1">
        <v>19705135</v>
      </c>
      <c r="I33" s="1">
        <v>33228266</v>
      </c>
    </row>
    <row r="34" spans="1:9">
      <c r="A34" s="1" t="s">
        <v>169</v>
      </c>
      <c r="B34" s="1" t="s">
        <v>170</v>
      </c>
      <c r="C34" s="1">
        <v>1995</v>
      </c>
      <c r="D34" s="1">
        <v>1997</v>
      </c>
      <c r="E34" s="1">
        <v>2575000</v>
      </c>
      <c r="F34" s="1">
        <v>10105120</v>
      </c>
      <c r="G34" s="1">
        <v>12680120</v>
      </c>
      <c r="H34" s="1">
        <v>20417060</v>
      </c>
      <c r="I34" s="1">
        <v>33097180</v>
      </c>
    </row>
    <row r="35" spans="1:9">
      <c r="A35" s="1" t="s">
        <v>169</v>
      </c>
      <c r="B35" s="1" t="s">
        <v>170</v>
      </c>
      <c r="C35" s="1">
        <v>1995</v>
      </c>
      <c r="D35" s="1">
        <v>1998</v>
      </c>
      <c r="E35" s="1">
        <v>4060000</v>
      </c>
      <c r="F35" s="1">
        <v>10002120</v>
      </c>
      <c r="G35" s="1">
        <v>14062120</v>
      </c>
      <c r="H35" s="1">
        <v>21844622</v>
      </c>
      <c r="I35" s="1">
        <v>35906742</v>
      </c>
    </row>
    <row r="36" spans="1:9">
      <c r="A36" s="1" t="s">
        <v>169</v>
      </c>
      <c r="B36" s="1" t="s">
        <v>170</v>
      </c>
      <c r="C36" s="1">
        <v>1995</v>
      </c>
      <c r="D36" s="1">
        <v>1999</v>
      </c>
      <c r="E36" s="1">
        <v>4105000</v>
      </c>
      <c r="F36" s="1">
        <v>9839720</v>
      </c>
      <c r="G36" s="1">
        <v>13944720</v>
      </c>
      <c r="H36" s="1">
        <v>21846173</v>
      </c>
      <c r="I36" s="1">
        <v>35790893</v>
      </c>
    </row>
    <row r="37" spans="1:9">
      <c r="A37" s="1" t="s">
        <v>169</v>
      </c>
      <c r="B37" s="1" t="s">
        <v>170</v>
      </c>
      <c r="C37" s="1">
        <v>1995</v>
      </c>
      <c r="D37" s="1">
        <v>2000</v>
      </c>
      <c r="E37" s="1">
        <v>4275000</v>
      </c>
      <c r="F37" s="1">
        <v>9671011</v>
      </c>
      <c r="G37" s="1">
        <v>13946011</v>
      </c>
      <c r="H37" s="1">
        <v>21850772</v>
      </c>
      <c r="I37" s="1">
        <v>35796783</v>
      </c>
    </row>
    <row r="38" spans="1:9">
      <c r="A38" s="1" t="s">
        <v>169</v>
      </c>
      <c r="B38" s="1" t="s">
        <v>170</v>
      </c>
      <c r="C38" s="1">
        <v>1995</v>
      </c>
      <c r="D38" s="1">
        <v>2001</v>
      </c>
      <c r="E38" s="1">
        <v>4885000</v>
      </c>
      <c r="F38" s="1">
        <v>9489324</v>
      </c>
      <c r="G38" s="1">
        <v>14374324</v>
      </c>
      <c r="H38" s="1">
        <v>21847860</v>
      </c>
      <c r="I38" s="1">
        <v>36222184</v>
      </c>
    </row>
    <row r="39" spans="1:9">
      <c r="A39" s="1" t="s">
        <v>169</v>
      </c>
      <c r="B39" s="1" t="s">
        <v>170</v>
      </c>
      <c r="C39" s="1">
        <v>1995</v>
      </c>
      <c r="D39" s="1">
        <v>2002</v>
      </c>
      <c r="E39" s="1">
        <v>5320000</v>
      </c>
      <c r="F39" s="1">
        <v>9275604</v>
      </c>
      <c r="G39" s="1">
        <v>14595604</v>
      </c>
      <c r="H39" s="1">
        <v>21853920</v>
      </c>
      <c r="I39" s="1">
        <v>36449524</v>
      </c>
    </row>
    <row r="40" spans="1:9">
      <c r="A40" s="1" t="s">
        <v>169</v>
      </c>
      <c r="B40" s="1" t="s">
        <v>170</v>
      </c>
      <c r="C40" s="1">
        <v>1995</v>
      </c>
      <c r="D40" s="1">
        <v>2003</v>
      </c>
      <c r="E40" s="1">
        <v>5565000</v>
      </c>
      <c r="F40" s="1">
        <v>9038036</v>
      </c>
      <c r="G40" s="1">
        <v>14603036</v>
      </c>
      <c r="H40" s="1">
        <v>21840995</v>
      </c>
      <c r="I40" s="1">
        <v>36444031</v>
      </c>
    </row>
    <row r="41" spans="1:9">
      <c r="A41" s="1" t="s">
        <v>169</v>
      </c>
      <c r="B41" s="1" t="s">
        <v>170</v>
      </c>
      <c r="C41" s="1">
        <v>1995</v>
      </c>
      <c r="D41" s="1">
        <v>2004</v>
      </c>
      <c r="E41" s="1">
        <v>5830000</v>
      </c>
      <c r="F41" s="1">
        <v>8783959</v>
      </c>
      <c r="G41" s="1">
        <v>14613959</v>
      </c>
      <c r="H41" s="1">
        <v>21852765</v>
      </c>
      <c r="I41" s="1">
        <v>36466724</v>
      </c>
    </row>
    <row r="42" spans="1:9">
      <c r="A42" s="1" t="s">
        <v>169</v>
      </c>
      <c r="B42" s="1" t="s">
        <v>170</v>
      </c>
      <c r="C42" s="1">
        <v>1995</v>
      </c>
      <c r="D42" s="1">
        <v>2005</v>
      </c>
      <c r="E42" s="1">
        <v>6115000</v>
      </c>
      <c r="F42" s="1">
        <v>8511451</v>
      </c>
      <c r="G42" s="1">
        <v>14626451</v>
      </c>
      <c r="H42" s="1">
        <v>21850765</v>
      </c>
      <c r="I42" s="1">
        <v>36477216</v>
      </c>
    </row>
    <row r="43" spans="1:9">
      <c r="A43" s="1" t="s">
        <v>169</v>
      </c>
      <c r="B43" s="1" t="s">
        <v>170</v>
      </c>
      <c r="C43" s="1">
        <v>1995</v>
      </c>
      <c r="D43" s="1">
        <v>2006</v>
      </c>
      <c r="E43" s="1">
        <v>6415000</v>
      </c>
      <c r="F43" s="1">
        <v>8217929</v>
      </c>
      <c r="G43" s="1">
        <v>14632929</v>
      </c>
      <c r="H43" s="1">
        <v>21848803</v>
      </c>
      <c r="I43" s="1">
        <v>36481732</v>
      </c>
    </row>
    <row r="44" spans="1:9">
      <c r="A44" s="1" t="s">
        <v>169</v>
      </c>
      <c r="B44" s="1" t="s">
        <v>170</v>
      </c>
      <c r="C44" s="1">
        <v>1995</v>
      </c>
      <c r="D44" s="1">
        <v>2007</v>
      </c>
      <c r="E44" s="1">
        <v>6280000</v>
      </c>
      <c r="F44" s="1">
        <v>7897181</v>
      </c>
      <c r="G44" s="1">
        <v>14177181</v>
      </c>
      <c r="H44" s="1">
        <v>21849922</v>
      </c>
      <c r="I44" s="1">
        <v>36027103</v>
      </c>
    </row>
    <row r="45" spans="1:9">
      <c r="A45" s="1" t="s">
        <v>169</v>
      </c>
      <c r="B45" s="1" t="s">
        <v>170</v>
      </c>
      <c r="C45" s="1">
        <v>1995</v>
      </c>
      <c r="D45" s="1">
        <v>2008</v>
      </c>
      <c r="E45" s="1">
        <v>5215000</v>
      </c>
      <c r="F45" s="1">
        <v>7579199</v>
      </c>
      <c r="G45" s="1">
        <v>12794199</v>
      </c>
      <c r="H45" s="1">
        <v>21850563</v>
      </c>
      <c r="I45" s="1">
        <v>34644762</v>
      </c>
    </row>
    <row r="46" spans="1:9">
      <c r="A46" s="1" t="s">
        <v>169</v>
      </c>
      <c r="B46" s="1" t="s">
        <v>170</v>
      </c>
      <c r="C46" s="1">
        <v>1995</v>
      </c>
      <c r="D46" s="1">
        <v>2009</v>
      </c>
      <c r="E46" s="1">
        <v>4505000</v>
      </c>
      <c r="F46" s="1">
        <v>7308021</v>
      </c>
      <c r="G46" s="1">
        <v>11813021</v>
      </c>
      <c r="H46" s="1">
        <v>21847562</v>
      </c>
      <c r="I46" s="1">
        <v>33660583</v>
      </c>
    </row>
    <row r="47" spans="1:9">
      <c r="A47" s="1" t="s">
        <v>169</v>
      </c>
      <c r="B47" s="1" t="s">
        <v>170</v>
      </c>
      <c r="C47" s="1">
        <v>1995</v>
      </c>
      <c r="D47" s="1">
        <v>2010</v>
      </c>
      <c r="E47" s="1">
        <v>4745000</v>
      </c>
      <c r="F47" s="1">
        <v>7069255</v>
      </c>
      <c r="G47" s="1">
        <v>11814255</v>
      </c>
      <c r="H47" s="1">
        <v>21851563</v>
      </c>
      <c r="I47" s="1">
        <v>33665818</v>
      </c>
    </row>
    <row r="48" spans="1:9">
      <c r="A48" s="1" t="s">
        <v>169</v>
      </c>
      <c r="B48" s="1" t="s">
        <v>170</v>
      </c>
      <c r="C48" s="1">
        <v>1995</v>
      </c>
      <c r="D48" s="1">
        <v>2011</v>
      </c>
      <c r="E48" s="1">
        <v>5000000</v>
      </c>
      <c r="F48" s="1">
        <v>6815699</v>
      </c>
      <c r="G48" s="1">
        <v>11815699</v>
      </c>
      <c r="H48" s="1">
        <v>21850562</v>
      </c>
      <c r="I48" s="1">
        <v>33666261</v>
      </c>
    </row>
    <row r="49" spans="1:9">
      <c r="A49" s="1" t="s">
        <v>169</v>
      </c>
      <c r="B49" s="1" t="s">
        <v>170</v>
      </c>
      <c r="C49" s="1">
        <v>1995</v>
      </c>
      <c r="D49" s="1">
        <v>2012</v>
      </c>
      <c r="E49" s="1">
        <v>5270000</v>
      </c>
      <c r="F49" s="1">
        <v>6543521</v>
      </c>
      <c r="G49" s="1">
        <v>11813521</v>
      </c>
      <c r="H49" s="1">
        <v>21847813</v>
      </c>
      <c r="I49" s="1">
        <v>33661334</v>
      </c>
    </row>
    <row r="50" spans="1:9">
      <c r="A50" s="1" t="s">
        <v>169</v>
      </c>
      <c r="B50" s="1" t="s">
        <v>170</v>
      </c>
      <c r="C50" s="1">
        <v>1995</v>
      </c>
      <c r="D50" s="1">
        <v>2013</v>
      </c>
      <c r="E50" s="1">
        <v>5555000</v>
      </c>
      <c r="F50" s="1">
        <v>6256639</v>
      </c>
      <c r="G50" s="1">
        <v>11811639</v>
      </c>
      <c r="H50" s="1">
        <v>21850387</v>
      </c>
      <c r="I50" s="1">
        <v>33662026</v>
      </c>
    </row>
    <row r="51" spans="1:9">
      <c r="A51" s="1" t="s">
        <v>169</v>
      </c>
      <c r="B51" s="1" t="s">
        <v>170</v>
      </c>
      <c r="C51" s="1">
        <v>1995</v>
      </c>
      <c r="D51" s="1">
        <v>2014</v>
      </c>
      <c r="E51" s="1">
        <v>5870000</v>
      </c>
      <c r="F51" s="1">
        <v>5948691</v>
      </c>
      <c r="G51" s="1">
        <v>11818691</v>
      </c>
      <c r="H51" s="1">
        <v>21848737</v>
      </c>
      <c r="I51" s="1">
        <v>33667428</v>
      </c>
    </row>
    <row r="52" spans="1:9">
      <c r="A52" s="1" t="s">
        <v>169</v>
      </c>
      <c r="B52" s="1" t="s">
        <v>170</v>
      </c>
      <c r="C52" s="1">
        <v>1995</v>
      </c>
      <c r="D52" s="1">
        <v>2015</v>
      </c>
      <c r="E52" s="1">
        <v>6190000</v>
      </c>
      <c r="F52" s="1">
        <v>5623274</v>
      </c>
      <c r="G52" s="1">
        <v>11813274</v>
      </c>
      <c r="H52" s="1">
        <v>21853088</v>
      </c>
      <c r="I52" s="1">
        <v>33666362</v>
      </c>
    </row>
    <row r="53" spans="1:9">
      <c r="A53" s="1" t="s">
        <v>169</v>
      </c>
      <c r="B53" s="1" t="s">
        <v>170</v>
      </c>
      <c r="C53" s="1">
        <v>1995</v>
      </c>
      <c r="D53" s="1">
        <v>2016</v>
      </c>
      <c r="E53" s="1">
        <v>6535000</v>
      </c>
      <c r="F53" s="1">
        <v>5280121</v>
      </c>
      <c r="G53" s="1">
        <v>11815121</v>
      </c>
      <c r="H53" s="1">
        <v>21845400</v>
      </c>
      <c r="I53" s="1">
        <v>33660521</v>
      </c>
    </row>
    <row r="54" spans="1:9">
      <c r="A54" s="1" t="s">
        <v>169</v>
      </c>
      <c r="B54" s="1" t="s">
        <v>170</v>
      </c>
      <c r="C54" s="1">
        <v>1995</v>
      </c>
      <c r="D54" s="1">
        <v>2017</v>
      </c>
      <c r="E54" s="1">
        <v>6905000</v>
      </c>
      <c r="F54" s="1">
        <v>4911299</v>
      </c>
      <c r="G54" s="1">
        <v>11816299</v>
      </c>
      <c r="H54" s="1">
        <v>1864250</v>
      </c>
      <c r="I54" s="1">
        <v>13680549</v>
      </c>
    </row>
    <row r="55" spans="1:9">
      <c r="A55" s="1" t="s">
        <v>169</v>
      </c>
      <c r="B55" s="1" t="s">
        <v>170</v>
      </c>
      <c r="C55" s="1">
        <v>1995</v>
      </c>
      <c r="D55" s="1">
        <v>2018</v>
      </c>
      <c r="E55" s="1">
        <v>7295000</v>
      </c>
      <c r="F55" s="1">
        <v>4521601</v>
      </c>
      <c r="G55" s="1">
        <v>11816601</v>
      </c>
      <c r="H55" s="1">
        <v>1863000</v>
      </c>
      <c r="I55" s="1">
        <v>13679601</v>
      </c>
    </row>
    <row r="56" spans="1:9">
      <c r="A56" s="1" t="s">
        <v>169</v>
      </c>
      <c r="B56" s="1" t="s">
        <v>170</v>
      </c>
      <c r="C56" s="1">
        <v>1995</v>
      </c>
      <c r="D56" s="1">
        <v>2019</v>
      </c>
      <c r="E56" s="1">
        <v>7705000</v>
      </c>
      <c r="F56" s="1">
        <v>4109884</v>
      </c>
      <c r="G56" s="1">
        <v>11814884</v>
      </c>
      <c r="H56" s="1">
        <v>1863500</v>
      </c>
      <c r="I56" s="1">
        <v>13678384</v>
      </c>
    </row>
    <row r="57" spans="1:9">
      <c r="A57" s="1" t="s">
        <v>169</v>
      </c>
      <c r="B57" s="1" t="s">
        <v>170</v>
      </c>
      <c r="C57" s="1">
        <v>1995</v>
      </c>
      <c r="D57" s="1">
        <v>2020</v>
      </c>
      <c r="E57" s="1">
        <v>8140000</v>
      </c>
      <c r="F57" s="1">
        <v>3675031</v>
      </c>
      <c r="G57" s="1">
        <v>11815031</v>
      </c>
      <c r="H57" s="1">
        <v>1865500</v>
      </c>
      <c r="I57" s="1">
        <v>13680531</v>
      </c>
    </row>
    <row r="58" spans="1:9">
      <c r="A58" s="1" t="s">
        <v>169</v>
      </c>
      <c r="B58" s="1" t="s">
        <v>170</v>
      </c>
      <c r="C58" s="1">
        <v>1995</v>
      </c>
      <c r="D58" s="1">
        <v>2021</v>
      </c>
      <c r="E58" s="1">
        <v>8600000</v>
      </c>
      <c r="F58" s="1">
        <v>3215619</v>
      </c>
      <c r="G58" s="1">
        <v>11815619</v>
      </c>
      <c r="H58" s="1">
        <v>1863750</v>
      </c>
      <c r="I58" s="1">
        <v>13679369</v>
      </c>
    </row>
    <row r="59" spans="1:9">
      <c r="A59" s="1" t="s">
        <v>169</v>
      </c>
      <c r="B59" s="1" t="s">
        <v>170</v>
      </c>
      <c r="C59" s="1">
        <v>1995</v>
      </c>
      <c r="D59" s="1">
        <v>2022</v>
      </c>
      <c r="E59" s="1">
        <v>9090000</v>
      </c>
      <c r="F59" s="1">
        <v>2728366</v>
      </c>
      <c r="G59" s="1">
        <v>11818366</v>
      </c>
      <c r="H59" s="1">
        <v>1863250</v>
      </c>
      <c r="I59" s="1">
        <v>13681616</v>
      </c>
    </row>
    <row r="60" spans="1:9">
      <c r="A60" s="1" t="s">
        <v>169</v>
      </c>
      <c r="B60" s="1" t="s">
        <v>170</v>
      </c>
      <c r="C60" s="1">
        <v>1995</v>
      </c>
      <c r="D60" s="1">
        <v>2023</v>
      </c>
      <c r="E60" s="1">
        <v>9600000</v>
      </c>
      <c r="F60" s="1">
        <v>2213339</v>
      </c>
      <c r="G60" s="1">
        <v>11813339</v>
      </c>
      <c r="H60" s="1">
        <v>1863750</v>
      </c>
      <c r="I60" s="1">
        <v>13677089</v>
      </c>
    </row>
    <row r="61" spans="1:9">
      <c r="A61" s="1" t="s">
        <v>169</v>
      </c>
      <c r="B61" s="1" t="s">
        <v>170</v>
      </c>
      <c r="C61" s="1">
        <v>1995</v>
      </c>
      <c r="D61" s="1">
        <v>2024</v>
      </c>
      <c r="E61" s="1">
        <v>10150000</v>
      </c>
      <c r="F61" s="1">
        <v>1666725</v>
      </c>
      <c r="G61" s="1">
        <v>11816725</v>
      </c>
      <c r="H61" s="1">
        <v>0</v>
      </c>
      <c r="I61" s="1">
        <v>11816725</v>
      </c>
    </row>
    <row r="62" spans="1:9">
      <c r="A62" s="1" t="s">
        <v>169</v>
      </c>
      <c r="B62" s="1" t="s">
        <v>170</v>
      </c>
      <c r="C62" s="1">
        <v>1995</v>
      </c>
      <c r="D62" s="1">
        <v>2025</v>
      </c>
      <c r="E62" s="1">
        <v>19040000</v>
      </c>
      <c r="F62" s="1">
        <v>1088790</v>
      </c>
      <c r="G62" s="1">
        <v>20128790</v>
      </c>
      <c r="H62" s="1">
        <v>0</v>
      </c>
      <c r="I62" s="1">
        <v>20128790</v>
      </c>
    </row>
    <row r="63" spans="1:9">
      <c r="A63" s="1" t="s">
        <v>169</v>
      </c>
      <c r="B63" s="1" t="s">
        <v>170</v>
      </c>
      <c r="C63" s="1">
        <v>1998</v>
      </c>
      <c r="D63" s="1">
        <v>1998</v>
      </c>
      <c r="E63" s="1">
        <v>0</v>
      </c>
      <c r="F63" s="1">
        <v>4955222</v>
      </c>
      <c r="G63" s="1">
        <v>4955222</v>
      </c>
      <c r="H63" s="1">
        <v>21844623</v>
      </c>
      <c r="I63" s="1">
        <v>26799845</v>
      </c>
    </row>
    <row r="64" spans="1:9">
      <c r="A64" s="1" t="s">
        <v>169</v>
      </c>
      <c r="B64" s="1" t="s">
        <v>170</v>
      </c>
      <c r="C64" s="1">
        <v>1998</v>
      </c>
      <c r="D64" s="1">
        <v>1999</v>
      </c>
      <c r="E64" s="1">
        <v>0</v>
      </c>
      <c r="F64" s="1">
        <v>9910443</v>
      </c>
      <c r="G64" s="1">
        <v>9910443</v>
      </c>
      <c r="H64" s="1">
        <v>21846172</v>
      </c>
      <c r="I64" s="1">
        <v>31756615</v>
      </c>
    </row>
    <row r="65" spans="1:9">
      <c r="A65" s="1" t="s">
        <v>169</v>
      </c>
      <c r="B65" s="1" t="s">
        <v>170</v>
      </c>
      <c r="C65" s="1">
        <v>1998</v>
      </c>
      <c r="D65" s="1">
        <v>2000</v>
      </c>
      <c r="E65" s="1">
        <v>0</v>
      </c>
      <c r="F65" s="1">
        <v>9910444</v>
      </c>
      <c r="G65" s="1">
        <v>9910444</v>
      </c>
      <c r="H65" s="1">
        <v>21850773</v>
      </c>
      <c r="I65" s="1">
        <v>31761217</v>
      </c>
    </row>
    <row r="66" spans="1:9">
      <c r="A66" s="1" t="s">
        <v>169</v>
      </c>
      <c r="B66" s="1" t="s">
        <v>170</v>
      </c>
      <c r="C66" s="1">
        <v>1998</v>
      </c>
      <c r="D66" s="1">
        <v>2001</v>
      </c>
      <c r="E66" s="1">
        <v>0</v>
      </c>
      <c r="F66" s="1">
        <v>9910443</v>
      </c>
      <c r="G66" s="1">
        <v>9910443</v>
      </c>
      <c r="H66" s="1">
        <v>21847860</v>
      </c>
      <c r="I66" s="1">
        <v>31758303</v>
      </c>
    </row>
    <row r="67" spans="1:9">
      <c r="A67" s="1" t="s">
        <v>169</v>
      </c>
      <c r="B67" s="1" t="s">
        <v>170</v>
      </c>
      <c r="C67" s="1">
        <v>1998</v>
      </c>
      <c r="D67" s="1">
        <v>2002</v>
      </c>
      <c r="E67" s="1">
        <v>0</v>
      </c>
      <c r="F67" s="1">
        <v>9910445</v>
      </c>
      <c r="G67" s="1">
        <v>9910445</v>
      </c>
      <c r="H67" s="1">
        <v>21853920</v>
      </c>
      <c r="I67" s="1">
        <v>31764365</v>
      </c>
    </row>
    <row r="68" spans="1:9">
      <c r="A68" s="1" t="s">
        <v>169</v>
      </c>
      <c r="B68" s="1" t="s">
        <v>170</v>
      </c>
      <c r="C68" s="1">
        <v>1998</v>
      </c>
      <c r="D68" s="1">
        <v>2003</v>
      </c>
      <c r="E68" s="1">
        <v>0</v>
      </c>
      <c r="F68" s="1">
        <v>9910443</v>
      </c>
      <c r="G68" s="1">
        <v>9910443</v>
      </c>
      <c r="H68" s="1">
        <v>21840995</v>
      </c>
      <c r="I68" s="1">
        <v>31751438</v>
      </c>
    </row>
    <row r="69" spans="1:9">
      <c r="A69" s="1" t="s">
        <v>169</v>
      </c>
      <c r="B69" s="1" t="s">
        <v>170</v>
      </c>
      <c r="C69" s="1">
        <v>1998</v>
      </c>
      <c r="D69" s="1">
        <v>2004</v>
      </c>
      <c r="E69" s="1">
        <v>0</v>
      </c>
      <c r="F69" s="1">
        <v>9910444</v>
      </c>
      <c r="G69" s="1">
        <v>9910444</v>
      </c>
      <c r="H69" s="1">
        <v>21852765</v>
      </c>
      <c r="I69" s="1">
        <v>31763209</v>
      </c>
    </row>
    <row r="70" spans="1:9">
      <c r="A70" s="1" t="s">
        <v>169</v>
      </c>
      <c r="B70" s="1" t="s">
        <v>170</v>
      </c>
      <c r="C70" s="1">
        <v>1998</v>
      </c>
      <c r="D70" s="1">
        <v>2005</v>
      </c>
      <c r="E70" s="1">
        <v>0</v>
      </c>
      <c r="F70" s="1">
        <v>9910443</v>
      </c>
      <c r="G70" s="1">
        <v>9910443</v>
      </c>
      <c r="H70" s="1">
        <v>21850765</v>
      </c>
      <c r="I70" s="1">
        <v>31761208</v>
      </c>
    </row>
    <row r="71" spans="1:9">
      <c r="A71" s="1" t="s">
        <v>169</v>
      </c>
      <c r="B71" s="1" t="s">
        <v>170</v>
      </c>
      <c r="C71" s="1">
        <v>1998</v>
      </c>
      <c r="D71" s="1">
        <v>2006</v>
      </c>
      <c r="E71" s="1">
        <v>0</v>
      </c>
      <c r="F71" s="1">
        <v>9910445</v>
      </c>
      <c r="G71" s="1">
        <v>9910445</v>
      </c>
      <c r="H71" s="1">
        <v>21848803</v>
      </c>
      <c r="I71" s="1">
        <v>31759248</v>
      </c>
    </row>
    <row r="72" spans="1:9">
      <c r="A72" s="1" t="s">
        <v>169</v>
      </c>
      <c r="B72" s="1" t="s">
        <v>170</v>
      </c>
      <c r="C72" s="1">
        <v>1998</v>
      </c>
      <c r="D72" s="1">
        <v>2007</v>
      </c>
      <c r="E72" s="1">
        <v>0</v>
      </c>
      <c r="F72" s="1">
        <v>9910443</v>
      </c>
      <c r="G72" s="1">
        <v>9910443</v>
      </c>
      <c r="H72" s="1">
        <v>21849922</v>
      </c>
      <c r="I72" s="1">
        <v>31760365</v>
      </c>
    </row>
    <row r="73" spans="1:9">
      <c r="A73" s="1" t="s">
        <v>169</v>
      </c>
      <c r="B73" s="1" t="s">
        <v>170</v>
      </c>
      <c r="C73" s="1">
        <v>1998</v>
      </c>
      <c r="D73" s="1">
        <v>2008</v>
      </c>
      <c r="E73" s="1">
        <v>0</v>
      </c>
      <c r="F73" s="1">
        <v>9910444</v>
      </c>
      <c r="G73" s="1">
        <v>9910444</v>
      </c>
      <c r="H73" s="1">
        <v>21850563</v>
      </c>
      <c r="I73" s="1">
        <v>31761007</v>
      </c>
    </row>
    <row r="74" spans="1:9">
      <c r="A74" s="1" t="s">
        <v>169</v>
      </c>
      <c r="B74" s="1" t="s">
        <v>170</v>
      </c>
      <c r="C74" s="1">
        <v>1998</v>
      </c>
      <c r="D74" s="1">
        <v>2009</v>
      </c>
      <c r="E74" s="1">
        <v>0</v>
      </c>
      <c r="F74" s="1">
        <v>9910443</v>
      </c>
      <c r="G74" s="1">
        <v>9910443</v>
      </c>
      <c r="H74" s="1">
        <v>21847562</v>
      </c>
      <c r="I74" s="1">
        <v>31758005</v>
      </c>
    </row>
    <row r="75" spans="1:9">
      <c r="A75" s="1" t="s">
        <v>169</v>
      </c>
      <c r="B75" s="1" t="s">
        <v>170</v>
      </c>
      <c r="C75" s="1">
        <v>1998</v>
      </c>
      <c r="D75" s="1">
        <v>2010</v>
      </c>
      <c r="E75" s="1">
        <v>0</v>
      </c>
      <c r="F75" s="1">
        <v>9910445</v>
      </c>
      <c r="G75" s="1">
        <v>9910445</v>
      </c>
      <c r="H75" s="1">
        <v>21851563</v>
      </c>
      <c r="I75" s="1">
        <v>31762008</v>
      </c>
    </row>
    <row r="76" spans="1:9">
      <c r="A76" s="1" t="s">
        <v>169</v>
      </c>
      <c r="B76" s="1" t="s">
        <v>170</v>
      </c>
      <c r="C76" s="1">
        <v>1998</v>
      </c>
      <c r="D76" s="1">
        <v>2011</v>
      </c>
      <c r="E76" s="1">
        <v>0</v>
      </c>
      <c r="F76" s="1">
        <v>9910443</v>
      </c>
      <c r="G76" s="1">
        <v>9910443</v>
      </c>
      <c r="H76" s="1">
        <v>21850562</v>
      </c>
      <c r="I76" s="1">
        <v>31761005</v>
      </c>
    </row>
    <row r="77" spans="1:9">
      <c r="A77" s="1" t="s">
        <v>169</v>
      </c>
      <c r="B77" s="1" t="s">
        <v>170</v>
      </c>
      <c r="C77" s="1">
        <v>1998</v>
      </c>
      <c r="D77" s="1">
        <v>2012</v>
      </c>
      <c r="E77" s="1">
        <v>0</v>
      </c>
      <c r="F77" s="1">
        <v>9910444</v>
      </c>
      <c r="G77" s="1">
        <v>9910444</v>
      </c>
      <c r="H77" s="1">
        <v>21847813</v>
      </c>
      <c r="I77" s="1">
        <v>31758257</v>
      </c>
    </row>
    <row r="78" spans="1:9">
      <c r="A78" s="1" t="s">
        <v>169</v>
      </c>
      <c r="B78" s="1" t="s">
        <v>170</v>
      </c>
      <c r="C78" s="1">
        <v>1998</v>
      </c>
      <c r="D78" s="1">
        <v>2013</v>
      </c>
      <c r="E78" s="1">
        <v>0</v>
      </c>
      <c r="F78" s="1">
        <v>9910443</v>
      </c>
      <c r="G78" s="1">
        <v>9910443</v>
      </c>
      <c r="H78" s="1">
        <v>21850387</v>
      </c>
      <c r="I78" s="1">
        <v>31760830</v>
      </c>
    </row>
    <row r="79" spans="1:9">
      <c r="A79" s="1" t="s">
        <v>169</v>
      </c>
      <c r="B79" s="1" t="s">
        <v>170</v>
      </c>
      <c r="C79" s="1">
        <v>1998</v>
      </c>
      <c r="D79" s="1">
        <v>2014</v>
      </c>
      <c r="E79" s="1">
        <v>0</v>
      </c>
      <c r="F79" s="1">
        <v>9910445</v>
      </c>
      <c r="G79" s="1">
        <v>9910445</v>
      </c>
      <c r="H79" s="1">
        <v>21848738</v>
      </c>
      <c r="I79" s="1">
        <v>31759183</v>
      </c>
    </row>
    <row r="80" spans="1:9">
      <c r="A80" s="1" t="s">
        <v>169</v>
      </c>
      <c r="B80" s="1" t="s">
        <v>170</v>
      </c>
      <c r="C80" s="1">
        <v>1998</v>
      </c>
      <c r="D80" s="1">
        <v>2015</v>
      </c>
      <c r="E80" s="1">
        <v>0</v>
      </c>
      <c r="F80" s="1">
        <v>9910443</v>
      </c>
      <c r="G80" s="1">
        <v>9910443</v>
      </c>
      <c r="H80" s="1">
        <v>21853087</v>
      </c>
      <c r="I80" s="1">
        <v>31763530</v>
      </c>
    </row>
    <row r="81" spans="1:9">
      <c r="A81" s="1" t="s">
        <v>169</v>
      </c>
      <c r="B81" s="1" t="s">
        <v>170</v>
      </c>
      <c r="C81" s="1">
        <v>1998</v>
      </c>
      <c r="D81" s="1">
        <v>2016</v>
      </c>
      <c r="E81" s="1">
        <v>0</v>
      </c>
      <c r="F81" s="1">
        <v>9910444</v>
      </c>
      <c r="G81" s="1">
        <v>9910444</v>
      </c>
      <c r="H81" s="1">
        <v>21845400</v>
      </c>
      <c r="I81" s="1">
        <v>31755844</v>
      </c>
    </row>
    <row r="82" spans="1:9">
      <c r="A82" s="1" t="s">
        <v>169</v>
      </c>
      <c r="B82" s="1" t="s">
        <v>170</v>
      </c>
      <c r="C82" s="1">
        <v>1998</v>
      </c>
      <c r="D82" s="1">
        <v>2017</v>
      </c>
      <c r="E82" s="1">
        <v>18528723</v>
      </c>
      <c r="F82" s="1">
        <v>11361720</v>
      </c>
      <c r="G82" s="1">
        <v>29890443</v>
      </c>
      <c r="H82" s="1">
        <v>1864250</v>
      </c>
      <c r="I82" s="1">
        <v>31754693</v>
      </c>
    </row>
    <row r="83" spans="1:9">
      <c r="A83" s="1" t="s">
        <v>169</v>
      </c>
      <c r="B83" s="1" t="s">
        <v>170</v>
      </c>
      <c r="C83" s="1">
        <v>1998</v>
      </c>
      <c r="D83" s="1">
        <v>2018</v>
      </c>
      <c r="E83" s="1">
        <v>19366757</v>
      </c>
      <c r="F83" s="1">
        <v>10514688</v>
      </c>
      <c r="G83" s="1">
        <v>29881445</v>
      </c>
      <c r="H83" s="1">
        <v>1863000</v>
      </c>
      <c r="I83" s="1">
        <v>31744445</v>
      </c>
    </row>
    <row r="84" spans="1:9">
      <c r="A84" s="1" t="s">
        <v>169</v>
      </c>
      <c r="B84" s="1" t="s">
        <v>170</v>
      </c>
      <c r="C84" s="1">
        <v>1998</v>
      </c>
      <c r="D84" s="1">
        <v>2019</v>
      </c>
      <c r="E84" s="1">
        <v>20254115</v>
      </c>
      <c r="F84" s="1">
        <v>9639078</v>
      </c>
      <c r="G84" s="1">
        <v>29893193</v>
      </c>
      <c r="H84" s="1">
        <v>1863500</v>
      </c>
      <c r="I84" s="1">
        <v>31756693</v>
      </c>
    </row>
    <row r="85" spans="1:9">
      <c r="A85" s="1" t="s">
        <v>169</v>
      </c>
      <c r="B85" s="1" t="s">
        <v>170</v>
      </c>
      <c r="C85" s="1">
        <v>1998</v>
      </c>
      <c r="D85" s="1">
        <v>2020</v>
      </c>
      <c r="E85" s="1">
        <v>21190958</v>
      </c>
      <c r="F85" s="1">
        <v>8702486</v>
      </c>
      <c r="G85" s="1">
        <v>29893444</v>
      </c>
      <c r="H85" s="1">
        <v>1865500</v>
      </c>
      <c r="I85" s="1">
        <v>31758944</v>
      </c>
    </row>
    <row r="86" spans="1:9">
      <c r="A86" s="1" t="s">
        <v>169</v>
      </c>
      <c r="B86" s="1" t="s">
        <v>170</v>
      </c>
      <c r="C86" s="1">
        <v>1998</v>
      </c>
      <c r="D86" s="1">
        <v>2021</v>
      </c>
      <c r="E86" s="1">
        <v>22184029</v>
      </c>
      <c r="F86" s="1">
        <v>7710234</v>
      </c>
      <c r="G86" s="1">
        <v>29894263</v>
      </c>
      <c r="H86" s="1">
        <v>1863750</v>
      </c>
      <c r="I86" s="1">
        <v>31758013</v>
      </c>
    </row>
    <row r="87" spans="1:9">
      <c r="A87" s="1" t="s">
        <v>169</v>
      </c>
      <c r="B87" s="1" t="s">
        <v>170</v>
      </c>
      <c r="C87" s="1">
        <v>1998</v>
      </c>
      <c r="D87" s="1">
        <v>2022</v>
      </c>
      <c r="E87" s="1">
        <v>23231068</v>
      </c>
      <c r="F87" s="1">
        <v>6661722</v>
      </c>
      <c r="G87" s="1">
        <v>29892790</v>
      </c>
      <c r="H87" s="1">
        <v>1863250</v>
      </c>
      <c r="I87" s="1">
        <v>31756040</v>
      </c>
    </row>
    <row r="88" spans="1:9">
      <c r="A88" s="1" t="s">
        <v>169</v>
      </c>
      <c r="B88" s="1" t="s">
        <v>170</v>
      </c>
      <c r="C88" s="1">
        <v>1998</v>
      </c>
      <c r="D88" s="1">
        <v>2023</v>
      </c>
      <c r="E88" s="1">
        <v>24372053</v>
      </c>
      <c r="F88" s="1">
        <v>5521208</v>
      </c>
      <c r="G88" s="1">
        <v>29893261</v>
      </c>
      <c r="H88" s="1">
        <v>1863750</v>
      </c>
      <c r="I88" s="1">
        <v>31757011</v>
      </c>
    </row>
    <row r="89" spans="1:9">
      <c r="A89" s="1" t="s">
        <v>169</v>
      </c>
      <c r="B89" s="1" t="s">
        <v>170</v>
      </c>
      <c r="C89" s="1">
        <v>1998</v>
      </c>
      <c r="D89" s="1">
        <v>2024</v>
      </c>
      <c r="E89" s="1">
        <v>26044568</v>
      </c>
      <c r="F89" s="1">
        <v>5711812</v>
      </c>
      <c r="G89" s="1">
        <v>31756380</v>
      </c>
      <c r="H89" s="1">
        <v>0</v>
      </c>
      <c r="I89" s="1">
        <v>31756380</v>
      </c>
    </row>
    <row r="90" spans="1:9">
      <c r="A90" s="1" t="s">
        <v>169</v>
      </c>
      <c r="B90" s="1" t="s">
        <v>170</v>
      </c>
      <c r="C90" s="1">
        <v>1998</v>
      </c>
      <c r="D90" s="1">
        <v>2025</v>
      </c>
      <c r="E90" s="1">
        <v>27266362</v>
      </c>
      <c r="F90" s="1">
        <v>4490273</v>
      </c>
      <c r="G90" s="1">
        <v>31756635</v>
      </c>
      <c r="H90" s="1">
        <v>0</v>
      </c>
      <c r="I90" s="1">
        <v>31756635</v>
      </c>
    </row>
    <row r="91" spans="1:9">
      <c r="A91" s="1" t="s">
        <v>169</v>
      </c>
      <c r="B91" s="1" t="s">
        <v>170</v>
      </c>
      <c r="C91" s="1">
        <v>1998</v>
      </c>
      <c r="D91" s="1">
        <v>2026</v>
      </c>
      <c r="E91" s="1">
        <v>7242045</v>
      </c>
      <c r="F91" s="1">
        <v>24512955</v>
      </c>
      <c r="G91" s="1">
        <v>31755000</v>
      </c>
      <c r="H91" s="1">
        <v>0</v>
      </c>
      <c r="I91" s="1">
        <v>31755000</v>
      </c>
    </row>
    <row r="92" spans="1:9">
      <c r="A92" s="1" t="s">
        <v>169</v>
      </c>
      <c r="B92" s="1" t="s">
        <v>170</v>
      </c>
      <c r="C92" s="1">
        <v>1998</v>
      </c>
      <c r="D92" s="1">
        <v>2027</v>
      </c>
      <c r="E92" s="1">
        <v>6761910</v>
      </c>
      <c r="F92" s="1">
        <v>24993090</v>
      </c>
      <c r="G92" s="1">
        <v>31755000</v>
      </c>
      <c r="H92" s="1">
        <v>0</v>
      </c>
      <c r="I92" s="1">
        <v>31755000</v>
      </c>
    </row>
    <row r="93" spans="1:9">
      <c r="A93" s="1" t="s">
        <v>169</v>
      </c>
      <c r="B93" s="1" t="s">
        <v>170</v>
      </c>
      <c r="C93" s="1">
        <v>1998</v>
      </c>
      <c r="D93" s="1">
        <v>2028</v>
      </c>
      <c r="E93" s="1">
        <v>6478020</v>
      </c>
      <c r="F93" s="1">
        <v>25276980</v>
      </c>
      <c r="G93" s="1">
        <v>31755000</v>
      </c>
      <c r="H93" s="1">
        <v>0</v>
      </c>
      <c r="I93" s="1">
        <v>31755000</v>
      </c>
    </row>
    <row r="94" spans="1:9">
      <c r="A94" s="1" t="s">
        <v>169</v>
      </c>
      <c r="B94" s="1" t="s">
        <v>170</v>
      </c>
      <c r="C94" s="1">
        <v>1998</v>
      </c>
      <c r="D94" s="1">
        <v>2029</v>
      </c>
      <c r="E94" s="1">
        <v>6105534</v>
      </c>
      <c r="F94" s="1">
        <v>25649466</v>
      </c>
      <c r="G94" s="1">
        <v>31755000</v>
      </c>
      <c r="H94" s="1">
        <v>0</v>
      </c>
      <c r="I94" s="1">
        <v>31755000</v>
      </c>
    </row>
    <row r="95" spans="1:9">
      <c r="A95" s="1" t="s">
        <v>169</v>
      </c>
      <c r="B95" s="1" t="s">
        <v>170</v>
      </c>
      <c r="C95" s="1">
        <v>1998</v>
      </c>
      <c r="D95" s="1">
        <v>2030</v>
      </c>
      <c r="E95" s="1">
        <v>2738928</v>
      </c>
      <c r="F95" s="1">
        <v>11921072</v>
      </c>
      <c r="G95" s="1">
        <v>14660000</v>
      </c>
      <c r="H95" s="1">
        <v>0</v>
      </c>
      <c r="I95" s="1">
        <v>14660000</v>
      </c>
    </row>
    <row r="96" spans="1:9">
      <c r="A96" s="1" t="s">
        <v>169</v>
      </c>
      <c r="B96" s="1" t="s">
        <v>170</v>
      </c>
      <c r="C96" s="1">
        <v>2002</v>
      </c>
      <c r="D96" s="1">
        <v>2002</v>
      </c>
      <c r="E96" s="1">
        <v>0</v>
      </c>
      <c r="F96" s="21">
        <v>4038647</v>
      </c>
      <c r="G96" s="1">
        <v>4038647</v>
      </c>
      <c r="H96" s="1">
        <v>31764364</v>
      </c>
      <c r="I96" s="1">
        <v>35803011</v>
      </c>
    </row>
    <row r="97" spans="1:9">
      <c r="A97" s="1" t="s">
        <v>169</v>
      </c>
      <c r="B97" s="1" t="s">
        <v>170</v>
      </c>
      <c r="C97" s="1">
        <v>2002</v>
      </c>
      <c r="D97" s="1">
        <v>2003</v>
      </c>
      <c r="E97" s="1">
        <v>0</v>
      </c>
      <c r="F97" s="21">
        <v>5384863</v>
      </c>
      <c r="G97" s="1">
        <v>5384863</v>
      </c>
      <c r="H97" s="1">
        <v>31751438</v>
      </c>
      <c r="I97" s="1">
        <v>37136301</v>
      </c>
    </row>
    <row r="98" spans="1:9">
      <c r="A98" s="1" t="s">
        <v>169</v>
      </c>
      <c r="B98" s="1" t="s">
        <v>170</v>
      </c>
      <c r="C98" s="1">
        <v>2002</v>
      </c>
      <c r="D98" s="1">
        <v>2004</v>
      </c>
      <c r="E98" s="1">
        <v>1910000</v>
      </c>
      <c r="F98" s="21">
        <v>5384862</v>
      </c>
      <c r="G98" s="1">
        <v>7294862</v>
      </c>
      <c r="H98" s="1">
        <v>31763209</v>
      </c>
      <c r="I98" s="1">
        <v>39058071</v>
      </c>
    </row>
    <row r="99" spans="1:9">
      <c r="A99" s="1" t="s">
        <v>169</v>
      </c>
      <c r="B99" s="1" t="s">
        <v>170</v>
      </c>
      <c r="C99" s="1">
        <v>2002</v>
      </c>
      <c r="D99" s="1">
        <v>2005</v>
      </c>
      <c r="E99" s="1">
        <v>1990000</v>
      </c>
      <c r="F99" s="21">
        <v>5308463</v>
      </c>
      <c r="G99" s="1">
        <v>7298463</v>
      </c>
      <c r="H99" s="1">
        <v>31761208</v>
      </c>
      <c r="I99" s="1">
        <v>39059671</v>
      </c>
    </row>
    <row r="100" spans="1:9">
      <c r="A100" s="1" t="s">
        <v>169</v>
      </c>
      <c r="B100" s="1" t="s">
        <v>170</v>
      </c>
      <c r="C100" s="1">
        <v>2002</v>
      </c>
      <c r="D100" s="1">
        <v>2006</v>
      </c>
      <c r="E100" s="1">
        <v>2070000</v>
      </c>
      <c r="F100" s="21">
        <v>5228862</v>
      </c>
      <c r="G100" s="1">
        <v>7298862</v>
      </c>
      <c r="H100" s="1">
        <v>31759247</v>
      </c>
      <c r="I100" s="1">
        <v>39058109</v>
      </c>
    </row>
    <row r="101" spans="1:9">
      <c r="A101" s="1" t="s">
        <v>169</v>
      </c>
      <c r="B101" s="1" t="s">
        <v>170</v>
      </c>
      <c r="C101" s="1">
        <v>2002</v>
      </c>
      <c r="D101" s="1">
        <v>2007</v>
      </c>
      <c r="E101" s="1">
        <v>2150000</v>
      </c>
      <c r="F101" s="21">
        <v>5146063</v>
      </c>
      <c r="G101" s="1">
        <v>7296063</v>
      </c>
      <c r="H101" s="1">
        <v>31760366</v>
      </c>
      <c r="I101" s="1">
        <v>39056429</v>
      </c>
    </row>
    <row r="102" spans="1:9">
      <c r="A102" s="1" t="s">
        <v>169</v>
      </c>
      <c r="B102" s="1" t="s">
        <v>170</v>
      </c>
      <c r="C102" s="1">
        <v>2002</v>
      </c>
      <c r="D102" s="1">
        <v>2008</v>
      </c>
      <c r="E102" s="1">
        <v>2235000</v>
      </c>
      <c r="F102" s="21">
        <v>5060062</v>
      </c>
      <c r="G102" s="1">
        <v>7295062</v>
      </c>
      <c r="H102" s="1">
        <v>31761006</v>
      </c>
      <c r="I102" s="1">
        <v>39056068</v>
      </c>
    </row>
    <row r="103" spans="1:9">
      <c r="A103" s="1" t="s">
        <v>169</v>
      </c>
      <c r="B103" s="1" t="s">
        <v>170</v>
      </c>
      <c r="C103" s="1">
        <v>2002</v>
      </c>
      <c r="D103" s="1">
        <v>2009</v>
      </c>
      <c r="E103" s="1">
        <v>2335000</v>
      </c>
      <c r="F103" s="21">
        <v>4959488</v>
      </c>
      <c r="G103" s="1">
        <v>7294488</v>
      </c>
      <c r="H103" s="1">
        <v>31758006</v>
      </c>
      <c r="I103" s="1">
        <v>39052494</v>
      </c>
    </row>
    <row r="104" spans="1:9">
      <c r="A104" s="1" t="s">
        <v>169</v>
      </c>
      <c r="B104" s="1" t="s">
        <v>170</v>
      </c>
      <c r="C104" s="1">
        <v>2002</v>
      </c>
      <c r="D104" s="1">
        <v>2010</v>
      </c>
      <c r="E104" s="1">
        <v>2440000</v>
      </c>
      <c r="F104" s="21">
        <v>4854412</v>
      </c>
      <c r="G104" s="1">
        <v>7294412</v>
      </c>
      <c r="H104" s="1">
        <v>31762007</v>
      </c>
      <c r="I104" s="1">
        <v>39056419</v>
      </c>
    </row>
    <row r="105" spans="1:9">
      <c r="A105" s="1" t="s">
        <v>169</v>
      </c>
      <c r="B105" s="1" t="s">
        <v>170</v>
      </c>
      <c r="C105" s="1">
        <v>2002</v>
      </c>
      <c r="D105" s="1">
        <v>2011</v>
      </c>
      <c r="E105" s="1">
        <v>2540000</v>
      </c>
      <c r="F105" s="21">
        <v>4756813</v>
      </c>
      <c r="G105" s="1">
        <v>7296813</v>
      </c>
      <c r="H105" s="1">
        <v>31761006</v>
      </c>
      <c r="I105" s="1">
        <v>39057819</v>
      </c>
    </row>
    <row r="106" spans="1:9">
      <c r="A106" s="1" t="s">
        <v>169</v>
      </c>
      <c r="B106" s="1" t="s">
        <v>170</v>
      </c>
      <c r="C106" s="1">
        <v>2002</v>
      </c>
      <c r="D106" s="1">
        <v>2012</v>
      </c>
      <c r="E106" s="1">
        <v>2665000</v>
      </c>
      <c r="F106" s="21">
        <v>4629812</v>
      </c>
      <c r="G106" s="1">
        <v>7294812</v>
      </c>
      <c r="H106" s="1">
        <v>31758256</v>
      </c>
      <c r="I106" s="1">
        <v>39053068</v>
      </c>
    </row>
    <row r="107" spans="1:9">
      <c r="A107" s="1" t="s">
        <v>169</v>
      </c>
      <c r="B107" s="1" t="s">
        <v>170</v>
      </c>
      <c r="C107" s="1">
        <v>2002</v>
      </c>
      <c r="D107" s="1">
        <v>2013</v>
      </c>
      <c r="E107" s="1">
        <v>2815000</v>
      </c>
      <c r="F107" s="21">
        <v>4483238</v>
      </c>
      <c r="G107" s="1">
        <v>7298238</v>
      </c>
      <c r="H107" s="1">
        <v>31760830</v>
      </c>
      <c r="I107" s="1">
        <v>39059068</v>
      </c>
    </row>
    <row r="108" spans="1:9">
      <c r="A108" s="1" t="s">
        <v>169</v>
      </c>
      <c r="B108" s="1" t="s">
        <v>170</v>
      </c>
      <c r="C108" s="1">
        <v>2002</v>
      </c>
      <c r="D108" s="1">
        <v>2014</v>
      </c>
      <c r="E108" s="1">
        <v>2955000</v>
      </c>
      <c r="F108" s="21">
        <v>4342487</v>
      </c>
      <c r="G108" s="1">
        <v>7297487</v>
      </c>
      <c r="H108" s="1">
        <v>31759181</v>
      </c>
      <c r="I108" s="1">
        <v>39056668</v>
      </c>
    </row>
    <row r="109" spans="1:9">
      <c r="A109" s="1" t="s">
        <v>169</v>
      </c>
      <c r="B109" s="1" t="s">
        <v>170</v>
      </c>
      <c r="C109" s="1">
        <v>2002</v>
      </c>
      <c r="D109" s="1">
        <v>2015</v>
      </c>
      <c r="E109" s="1">
        <v>3100000</v>
      </c>
      <c r="F109" s="21">
        <v>4194738</v>
      </c>
      <c r="G109" s="1">
        <v>7294738</v>
      </c>
      <c r="H109" s="1">
        <v>31763531</v>
      </c>
      <c r="I109" s="1">
        <v>39058269</v>
      </c>
    </row>
    <row r="110" spans="1:9">
      <c r="A110" s="1" t="s">
        <v>169</v>
      </c>
      <c r="B110" s="1" t="s">
        <v>170</v>
      </c>
      <c r="C110" s="1">
        <v>2002</v>
      </c>
      <c r="D110" s="1">
        <v>2016</v>
      </c>
      <c r="E110" s="1">
        <v>3270000</v>
      </c>
      <c r="F110" s="21">
        <v>4024237</v>
      </c>
      <c r="G110" s="1">
        <v>7294237</v>
      </c>
      <c r="H110" s="1">
        <v>31755844</v>
      </c>
      <c r="I110" s="1">
        <v>39050081</v>
      </c>
    </row>
    <row r="111" spans="1:9">
      <c r="A111" s="1" t="s">
        <v>169</v>
      </c>
      <c r="B111" s="1" t="s">
        <v>170</v>
      </c>
      <c r="C111" s="1">
        <v>2002</v>
      </c>
      <c r="D111" s="1">
        <v>2017</v>
      </c>
      <c r="E111" s="1">
        <v>3450000</v>
      </c>
      <c r="F111" s="21">
        <v>3844388</v>
      </c>
      <c r="G111" s="1">
        <v>7294388</v>
      </c>
      <c r="H111" s="1">
        <v>31754693</v>
      </c>
      <c r="I111" s="1">
        <v>39049081</v>
      </c>
    </row>
    <row r="112" spans="1:9">
      <c r="A112" s="1" t="s">
        <v>169</v>
      </c>
      <c r="B112" s="1" t="s">
        <v>170</v>
      </c>
      <c r="C112" s="1">
        <v>2002</v>
      </c>
      <c r="D112" s="1">
        <v>2018</v>
      </c>
      <c r="E112" s="1">
        <v>3615000</v>
      </c>
      <c r="F112" s="21">
        <v>3680512</v>
      </c>
      <c r="G112" s="1">
        <v>7295512</v>
      </c>
      <c r="H112" s="1">
        <v>31754444</v>
      </c>
      <c r="I112" s="1">
        <v>39049956</v>
      </c>
    </row>
    <row r="113" spans="1:9">
      <c r="A113" s="1" t="s">
        <v>169</v>
      </c>
      <c r="B113" s="1" t="s">
        <v>170</v>
      </c>
      <c r="C113" s="1">
        <v>2002</v>
      </c>
      <c r="D113" s="1">
        <v>2019</v>
      </c>
      <c r="E113" s="1">
        <v>3795000</v>
      </c>
      <c r="F113" s="21">
        <v>3499763</v>
      </c>
      <c r="G113" s="1">
        <v>7294763</v>
      </c>
      <c r="H113" s="1">
        <v>31756693</v>
      </c>
      <c r="I113" s="1">
        <v>39051456</v>
      </c>
    </row>
    <row r="114" spans="1:9">
      <c r="A114" s="1" t="s">
        <v>169</v>
      </c>
      <c r="B114" s="1" t="s">
        <v>170</v>
      </c>
      <c r="C114" s="1">
        <v>2002</v>
      </c>
      <c r="D114" s="1">
        <v>2020</v>
      </c>
      <c r="E114" s="1">
        <v>3985000</v>
      </c>
      <c r="F114" s="21">
        <v>3310012</v>
      </c>
      <c r="G114" s="1">
        <v>7295012</v>
      </c>
      <c r="H114" s="1">
        <v>31758944</v>
      </c>
      <c r="I114" s="1">
        <v>39053956</v>
      </c>
    </row>
    <row r="115" spans="1:9">
      <c r="A115" s="1" t="s">
        <v>169</v>
      </c>
      <c r="B115" s="1" t="s">
        <v>170</v>
      </c>
      <c r="C115" s="1">
        <v>2002</v>
      </c>
      <c r="D115" s="1">
        <v>2021</v>
      </c>
      <c r="E115" s="1">
        <v>4195000</v>
      </c>
      <c r="F115" s="21">
        <v>3100800</v>
      </c>
      <c r="G115" s="1">
        <v>7295800</v>
      </c>
      <c r="H115" s="1">
        <v>31758014</v>
      </c>
      <c r="I115" s="1">
        <v>39053814</v>
      </c>
    </row>
    <row r="116" spans="1:9">
      <c r="A116" s="1" t="s">
        <v>169</v>
      </c>
      <c r="B116" s="1" t="s">
        <v>170</v>
      </c>
      <c r="C116" s="1">
        <v>2002</v>
      </c>
      <c r="D116" s="1">
        <v>2022</v>
      </c>
      <c r="E116" s="1">
        <v>4415000</v>
      </c>
      <c r="F116" s="21">
        <v>2880563</v>
      </c>
      <c r="G116" s="1">
        <v>7295563</v>
      </c>
      <c r="H116" s="1">
        <v>31756038</v>
      </c>
      <c r="I116" s="1">
        <v>39051601</v>
      </c>
    </row>
    <row r="117" spans="1:9">
      <c r="A117" s="1" t="s">
        <v>169</v>
      </c>
      <c r="B117" s="1" t="s">
        <v>170</v>
      </c>
      <c r="C117" s="1">
        <v>2002</v>
      </c>
      <c r="D117" s="1">
        <v>2023</v>
      </c>
      <c r="E117" s="1">
        <v>4650000</v>
      </c>
      <c r="F117" s="21">
        <v>2648775</v>
      </c>
      <c r="G117" s="1">
        <v>7298775</v>
      </c>
      <c r="H117" s="1">
        <v>31757012</v>
      </c>
      <c r="I117" s="1">
        <v>39055787</v>
      </c>
    </row>
    <row r="118" spans="1:9">
      <c r="A118" s="1" t="s">
        <v>169</v>
      </c>
      <c r="B118" s="1" t="s">
        <v>170</v>
      </c>
      <c r="C118" s="1">
        <v>2002</v>
      </c>
      <c r="D118" s="1">
        <v>2024</v>
      </c>
      <c r="E118" s="1">
        <v>4890000</v>
      </c>
      <c r="F118" s="21">
        <v>2404650</v>
      </c>
      <c r="G118" s="1">
        <v>7294650</v>
      </c>
      <c r="H118" s="1">
        <v>31756380</v>
      </c>
      <c r="I118" s="1">
        <v>39051030</v>
      </c>
    </row>
    <row r="119" spans="1:9">
      <c r="A119" s="1" t="s">
        <v>169</v>
      </c>
      <c r="B119" s="1" t="s">
        <v>170</v>
      </c>
      <c r="C119" s="1">
        <v>2002</v>
      </c>
      <c r="D119" s="1">
        <v>2025</v>
      </c>
      <c r="E119" s="1">
        <v>5145000</v>
      </c>
      <c r="F119" s="21">
        <v>2154037</v>
      </c>
      <c r="G119" s="1">
        <v>7299037</v>
      </c>
      <c r="H119" s="1">
        <v>31756636</v>
      </c>
      <c r="I119" s="1">
        <v>39055673</v>
      </c>
    </row>
    <row r="120" spans="1:9">
      <c r="A120" s="1" t="s">
        <v>169</v>
      </c>
      <c r="B120" s="1" t="s">
        <v>170</v>
      </c>
      <c r="C120" s="1">
        <v>2002</v>
      </c>
      <c r="D120" s="1">
        <v>2026</v>
      </c>
      <c r="E120" s="1">
        <v>5405000</v>
      </c>
      <c r="F120" s="21">
        <v>1890356</v>
      </c>
      <c r="G120" s="1">
        <v>7295356</v>
      </c>
      <c r="H120" s="1">
        <v>31755000</v>
      </c>
      <c r="I120" s="1">
        <v>39050356</v>
      </c>
    </row>
    <row r="121" spans="1:9">
      <c r="A121" s="1" t="s">
        <v>169</v>
      </c>
      <c r="B121" s="1" t="s">
        <v>170</v>
      </c>
      <c r="C121" s="1">
        <v>2002</v>
      </c>
      <c r="D121" s="1">
        <v>2027</v>
      </c>
      <c r="E121" s="1">
        <v>5685000</v>
      </c>
      <c r="F121" s="21">
        <v>1613350</v>
      </c>
      <c r="G121" s="1">
        <v>7298350</v>
      </c>
      <c r="H121" s="1">
        <v>31755000</v>
      </c>
      <c r="I121" s="1">
        <v>39053350</v>
      </c>
    </row>
    <row r="122" spans="1:9">
      <c r="A122" s="1" t="s">
        <v>169</v>
      </c>
      <c r="B122" s="1" t="s">
        <v>170</v>
      </c>
      <c r="C122" s="1">
        <v>2002</v>
      </c>
      <c r="D122" s="1">
        <v>2028</v>
      </c>
      <c r="E122" s="1">
        <v>5975000</v>
      </c>
      <c r="F122" s="21">
        <v>1321994</v>
      </c>
      <c r="G122" s="1">
        <v>7296994</v>
      </c>
      <c r="H122" s="1">
        <v>31755000</v>
      </c>
      <c r="I122" s="1">
        <v>39051994</v>
      </c>
    </row>
    <row r="123" spans="1:9">
      <c r="A123" s="1" t="s">
        <v>169</v>
      </c>
      <c r="B123" s="1" t="s">
        <v>170</v>
      </c>
      <c r="C123" s="1">
        <v>2002</v>
      </c>
      <c r="D123" s="1">
        <v>2029</v>
      </c>
      <c r="E123" s="1">
        <v>6280000</v>
      </c>
      <c r="F123" s="21">
        <v>1015775</v>
      </c>
      <c r="G123" s="1">
        <v>7295775</v>
      </c>
      <c r="H123" s="1">
        <v>31755000</v>
      </c>
      <c r="I123" s="1">
        <v>39050775</v>
      </c>
    </row>
    <row r="124" spans="1:9">
      <c r="A124" s="1" t="s">
        <v>169</v>
      </c>
      <c r="B124" s="1" t="s">
        <v>170</v>
      </c>
      <c r="C124" s="1">
        <v>2002</v>
      </c>
      <c r="D124" s="1">
        <v>2030</v>
      </c>
      <c r="E124" s="1">
        <v>6600000</v>
      </c>
      <c r="F124" s="21">
        <v>693925</v>
      </c>
      <c r="G124" s="1">
        <v>7293925</v>
      </c>
      <c r="H124" s="1">
        <v>14660000</v>
      </c>
      <c r="I124" s="1">
        <v>21953925</v>
      </c>
    </row>
    <row r="125" spans="1:9">
      <c r="A125" s="1" t="s">
        <v>169</v>
      </c>
      <c r="B125" s="1" t="s">
        <v>170</v>
      </c>
      <c r="C125" s="1">
        <v>2002</v>
      </c>
      <c r="D125" s="1">
        <v>2031</v>
      </c>
      <c r="E125" s="1">
        <v>6940000</v>
      </c>
      <c r="F125" s="21">
        <v>355675</v>
      </c>
      <c r="G125" s="1">
        <v>7295675</v>
      </c>
      <c r="H125" s="1">
        <v>0</v>
      </c>
      <c r="I125" s="1">
        <v>7295675</v>
      </c>
    </row>
    <row r="126" spans="1:9">
      <c r="A126" s="1" t="s">
        <v>169</v>
      </c>
      <c r="B126" s="1" t="s">
        <v>170</v>
      </c>
      <c r="C126" s="1">
        <v>2003</v>
      </c>
      <c r="D126" s="1">
        <v>2004</v>
      </c>
      <c r="E126" s="1">
        <v>9855000</v>
      </c>
      <c r="F126" s="21">
        <v>4931241</v>
      </c>
      <c r="G126" s="1">
        <v>14786241</v>
      </c>
      <c r="H126" s="1">
        <v>20397132</v>
      </c>
      <c r="I126" s="1">
        <v>35183373</v>
      </c>
    </row>
    <row r="127" spans="1:9">
      <c r="A127" s="1" t="s">
        <v>169</v>
      </c>
      <c r="B127" s="1" t="s">
        <v>170</v>
      </c>
      <c r="C127" s="1">
        <v>2003</v>
      </c>
      <c r="D127" s="1">
        <v>2005</v>
      </c>
      <c r="E127" s="1">
        <v>13640000</v>
      </c>
      <c r="F127" s="21">
        <v>5017439</v>
      </c>
      <c r="G127" s="1">
        <v>18657439</v>
      </c>
      <c r="H127" s="1">
        <v>20400731</v>
      </c>
      <c r="I127" s="1">
        <v>39058170</v>
      </c>
    </row>
    <row r="128" spans="1:9">
      <c r="A128" s="1" t="s">
        <v>169</v>
      </c>
      <c r="B128" s="1" t="s">
        <v>170</v>
      </c>
      <c r="C128" s="1">
        <v>2003</v>
      </c>
      <c r="D128" s="1">
        <v>2006</v>
      </c>
      <c r="E128" s="1">
        <v>13835000</v>
      </c>
      <c r="F128" s="21">
        <v>4819659</v>
      </c>
      <c r="G128" s="1">
        <v>18654659</v>
      </c>
      <c r="H128" s="1">
        <v>20401131</v>
      </c>
      <c r="I128" s="1">
        <v>39055790</v>
      </c>
    </row>
    <row r="129" spans="1:9">
      <c r="A129" s="1" t="s">
        <v>169</v>
      </c>
      <c r="B129" s="1" t="s">
        <v>170</v>
      </c>
      <c r="C129" s="1">
        <v>2003</v>
      </c>
      <c r="D129" s="1">
        <v>2007</v>
      </c>
      <c r="E129" s="1">
        <v>14100000</v>
      </c>
      <c r="F129" s="21">
        <v>4556794</v>
      </c>
      <c r="G129" s="1">
        <v>18656794</v>
      </c>
      <c r="H129" s="1">
        <v>20398331</v>
      </c>
      <c r="I129" s="1">
        <v>39055125</v>
      </c>
    </row>
    <row r="130" spans="1:9">
      <c r="A130" s="1" t="s">
        <v>169</v>
      </c>
      <c r="B130" s="1" t="s">
        <v>170</v>
      </c>
      <c r="C130" s="1">
        <v>2003</v>
      </c>
      <c r="D130" s="1">
        <v>2008</v>
      </c>
      <c r="E130" s="1">
        <v>14425000</v>
      </c>
      <c r="F130" s="21">
        <v>4232494</v>
      </c>
      <c r="G130" s="1">
        <v>18657494</v>
      </c>
      <c r="H130" s="1">
        <v>20397331</v>
      </c>
      <c r="I130" s="1">
        <v>39054825</v>
      </c>
    </row>
    <row r="131" spans="1:9">
      <c r="A131" s="1" t="s">
        <v>169</v>
      </c>
      <c r="B131" s="1" t="s">
        <v>170</v>
      </c>
      <c r="C131" s="1">
        <v>2003</v>
      </c>
      <c r="D131" s="1">
        <v>2009</v>
      </c>
      <c r="E131" s="1">
        <v>14805000</v>
      </c>
      <c r="F131" s="21">
        <v>3850231</v>
      </c>
      <c r="G131" s="1">
        <v>18655231</v>
      </c>
      <c r="H131" s="1">
        <v>20396756</v>
      </c>
      <c r="I131" s="1">
        <v>39051987</v>
      </c>
    </row>
    <row r="132" spans="1:9">
      <c r="A132" s="1" t="s">
        <v>169</v>
      </c>
      <c r="B132" s="1" t="s">
        <v>170</v>
      </c>
      <c r="C132" s="1">
        <v>2003</v>
      </c>
      <c r="D132" s="1">
        <v>2010</v>
      </c>
      <c r="E132" s="1">
        <v>15250000</v>
      </c>
      <c r="F132" s="21">
        <v>3406081</v>
      </c>
      <c r="G132" s="1">
        <v>18656081</v>
      </c>
      <c r="H132" s="1">
        <v>20396682</v>
      </c>
      <c r="I132" s="1">
        <v>39052763</v>
      </c>
    </row>
    <row r="133" spans="1:9">
      <c r="A133" s="1" t="s">
        <v>169</v>
      </c>
      <c r="B133" s="1" t="s">
        <v>170</v>
      </c>
      <c r="C133" s="1">
        <v>2003</v>
      </c>
      <c r="D133" s="1">
        <v>2011</v>
      </c>
      <c r="E133" s="1">
        <v>405000</v>
      </c>
      <c r="F133" s="21">
        <v>2902831</v>
      </c>
      <c r="G133" s="1">
        <v>3307831</v>
      </c>
      <c r="H133" s="1">
        <v>35749081</v>
      </c>
      <c r="I133" s="1">
        <v>39056912</v>
      </c>
    </row>
    <row r="134" spans="1:9">
      <c r="A134" s="1" t="s">
        <v>169</v>
      </c>
      <c r="B134" s="1" t="s">
        <v>170</v>
      </c>
      <c r="C134" s="1">
        <v>2003</v>
      </c>
      <c r="D134" s="1">
        <v>2012</v>
      </c>
      <c r="E134" s="1">
        <v>415000</v>
      </c>
      <c r="F134" s="21">
        <v>2889162</v>
      </c>
      <c r="G134" s="1">
        <v>3304162</v>
      </c>
      <c r="H134" s="1">
        <v>35744332</v>
      </c>
      <c r="I134" s="1">
        <v>39048494</v>
      </c>
    </row>
    <row r="135" spans="1:9">
      <c r="A135" s="1" t="s">
        <v>169</v>
      </c>
      <c r="B135" s="1" t="s">
        <v>170</v>
      </c>
      <c r="C135" s="1">
        <v>2003</v>
      </c>
      <c r="D135" s="1">
        <v>2013</v>
      </c>
      <c r="E135" s="1">
        <v>430000</v>
      </c>
      <c r="F135" s="21">
        <v>2874119</v>
      </c>
      <c r="G135" s="1">
        <v>3304119</v>
      </c>
      <c r="H135" s="1">
        <v>35750331</v>
      </c>
      <c r="I135" s="1">
        <v>39054450</v>
      </c>
    </row>
    <row r="136" spans="1:9">
      <c r="A136" s="1" t="s">
        <v>169</v>
      </c>
      <c r="B136" s="1" t="s">
        <v>170</v>
      </c>
      <c r="C136" s="1">
        <v>2003</v>
      </c>
      <c r="D136" s="1">
        <v>2014</v>
      </c>
      <c r="E136" s="1">
        <v>18990000</v>
      </c>
      <c r="F136" s="21">
        <v>2857994</v>
      </c>
      <c r="G136" s="1">
        <v>21847994</v>
      </c>
      <c r="H136" s="1">
        <v>17207931</v>
      </c>
      <c r="I136" s="1">
        <v>39055925</v>
      </c>
    </row>
    <row r="137" spans="1:9">
      <c r="A137" s="1" t="s">
        <v>169</v>
      </c>
      <c r="B137" s="1" t="s">
        <v>170</v>
      </c>
      <c r="C137" s="1">
        <v>2003</v>
      </c>
      <c r="D137" s="1">
        <v>2015</v>
      </c>
      <c r="E137" s="1">
        <v>19750000</v>
      </c>
      <c r="F137" s="21">
        <v>2098394</v>
      </c>
      <c r="G137" s="1">
        <v>21848394</v>
      </c>
      <c r="H137" s="1">
        <v>17205181</v>
      </c>
      <c r="I137" s="1">
        <v>39053575</v>
      </c>
    </row>
    <row r="138" spans="1:9">
      <c r="A138" s="1" t="s">
        <v>169</v>
      </c>
      <c r="B138" s="1" t="s">
        <v>170</v>
      </c>
      <c r="C138" s="1">
        <v>2003</v>
      </c>
      <c r="D138" s="1">
        <v>2016</v>
      </c>
      <c r="E138" s="1">
        <v>20535000</v>
      </c>
      <c r="F138" s="21">
        <v>1308394</v>
      </c>
      <c r="G138" s="1">
        <v>21843394</v>
      </c>
      <c r="H138" s="1">
        <v>17204681</v>
      </c>
      <c r="I138" s="1">
        <v>39048075</v>
      </c>
    </row>
    <row r="139" spans="1:9">
      <c r="A139" s="1" t="s">
        <v>169</v>
      </c>
      <c r="B139" s="1" t="s">
        <v>170</v>
      </c>
      <c r="C139" s="1">
        <v>2003</v>
      </c>
      <c r="D139" s="1">
        <v>2017</v>
      </c>
      <c r="E139" s="1">
        <v>1375000</v>
      </c>
      <c r="F139" s="21">
        <v>486994</v>
      </c>
      <c r="G139" s="1">
        <v>1861994</v>
      </c>
      <c r="H139" s="1">
        <v>37184831</v>
      </c>
      <c r="I139" s="1">
        <v>39046825</v>
      </c>
    </row>
    <row r="140" spans="1:9">
      <c r="A140" s="1" t="s">
        <v>169</v>
      </c>
      <c r="B140" s="1" t="s">
        <v>170</v>
      </c>
      <c r="C140" s="1">
        <v>2003</v>
      </c>
      <c r="D140" s="1">
        <v>2018</v>
      </c>
      <c r="E140" s="1">
        <v>1430000</v>
      </c>
      <c r="F140" s="21">
        <v>430275</v>
      </c>
      <c r="G140" s="1">
        <v>1860275</v>
      </c>
      <c r="H140" s="1">
        <v>37186956</v>
      </c>
      <c r="I140" s="1">
        <v>39047231</v>
      </c>
    </row>
    <row r="141" spans="1:9">
      <c r="A141" s="1" t="s">
        <v>169</v>
      </c>
      <c r="B141" s="1" t="s">
        <v>170</v>
      </c>
      <c r="C141" s="1">
        <v>2003</v>
      </c>
      <c r="D141" s="1">
        <v>2019</v>
      </c>
      <c r="E141" s="1">
        <v>1490000</v>
      </c>
      <c r="F141" s="21">
        <v>369500</v>
      </c>
      <c r="G141" s="1">
        <v>1859500</v>
      </c>
      <c r="H141" s="1">
        <v>37187956</v>
      </c>
      <c r="I141" s="1">
        <v>39047456</v>
      </c>
    </row>
    <row r="142" spans="1:9">
      <c r="A142" s="1" t="s">
        <v>169</v>
      </c>
      <c r="B142" s="1" t="s">
        <v>170</v>
      </c>
      <c r="C142" s="1">
        <v>2003</v>
      </c>
      <c r="D142" s="1">
        <v>2020</v>
      </c>
      <c r="E142" s="1">
        <v>1560000</v>
      </c>
      <c r="F142" s="21">
        <v>304313</v>
      </c>
      <c r="G142" s="1">
        <v>1864313</v>
      </c>
      <c r="H142" s="1">
        <v>37188456</v>
      </c>
      <c r="I142" s="1">
        <v>39052769</v>
      </c>
    </row>
    <row r="143" spans="1:9">
      <c r="A143" s="1" t="s">
        <v>169</v>
      </c>
      <c r="B143" s="1" t="s">
        <v>170</v>
      </c>
      <c r="C143" s="1">
        <v>2003</v>
      </c>
      <c r="D143" s="1">
        <v>2021</v>
      </c>
      <c r="E143" s="1">
        <v>1625000</v>
      </c>
      <c r="F143" s="21">
        <v>236062</v>
      </c>
      <c r="G143" s="1">
        <v>1861062</v>
      </c>
      <c r="H143" s="1">
        <v>37190064</v>
      </c>
      <c r="I143" s="1">
        <v>39051126</v>
      </c>
    </row>
    <row r="144" spans="1:9">
      <c r="A144" s="1" t="s">
        <v>169</v>
      </c>
      <c r="B144" s="1" t="s">
        <v>170</v>
      </c>
      <c r="C144" s="1">
        <v>2003</v>
      </c>
      <c r="D144" s="1">
        <v>2022</v>
      </c>
      <c r="E144" s="1">
        <v>1700000</v>
      </c>
      <c r="F144" s="21">
        <v>162938</v>
      </c>
      <c r="G144" s="1">
        <v>1862938</v>
      </c>
      <c r="H144" s="1">
        <v>37188351</v>
      </c>
      <c r="I144" s="1">
        <v>39051289</v>
      </c>
    </row>
    <row r="145" spans="1:10">
      <c r="A145" s="1" t="s">
        <v>169</v>
      </c>
      <c r="B145" s="1" t="s">
        <v>170</v>
      </c>
      <c r="C145" s="1">
        <v>2003</v>
      </c>
      <c r="D145" s="1">
        <v>2023</v>
      </c>
      <c r="E145" s="1">
        <v>1775000</v>
      </c>
      <c r="F145" s="21">
        <v>84312</v>
      </c>
      <c r="G145" s="1">
        <v>1859312</v>
      </c>
      <c r="H145" s="1">
        <v>37192037</v>
      </c>
      <c r="I145" s="1">
        <v>39051349</v>
      </c>
    </row>
    <row r="146" spans="1:10">
      <c r="A146" s="1" t="s">
        <v>169</v>
      </c>
      <c r="B146" s="1" t="s">
        <v>170</v>
      </c>
      <c r="C146" s="1">
        <v>2003</v>
      </c>
      <c r="D146" s="1">
        <v>2024</v>
      </c>
      <c r="E146" s="1">
        <v>0</v>
      </c>
      <c r="F146" s="1">
        <v>0</v>
      </c>
      <c r="G146" s="1">
        <v>0</v>
      </c>
      <c r="H146" s="1">
        <v>39051030</v>
      </c>
      <c r="I146" s="1">
        <v>39051030</v>
      </c>
    </row>
    <row r="147" spans="1:10">
      <c r="A147" s="1" t="s">
        <v>169</v>
      </c>
      <c r="B147" s="1" t="s">
        <v>170</v>
      </c>
      <c r="C147" s="1">
        <v>2003</v>
      </c>
      <c r="D147" s="1">
        <v>2025</v>
      </c>
      <c r="E147" s="1">
        <v>0</v>
      </c>
      <c r="F147" s="1">
        <v>0</v>
      </c>
      <c r="G147" s="1">
        <v>0</v>
      </c>
      <c r="H147" s="1">
        <v>39055672</v>
      </c>
      <c r="I147" s="1">
        <v>39055672</v>
      </c>
    </row>
    <row r="148" spans="1:10">
      <c r="A148" s="1" t="s">
        <v>169</v>
      </c>
      <c r="B148" s="1" t="s">
        <v>170</v>
      </c>
      <c r="C148" s="1">
        <v>2003</v>
      </c>
      <c r="D148" s="1">
        <v>2026</v>
      </c>
      <c r="E148" s="1">
        <v>0</v>
      </c>
      <c r="F148" s="1">
        <v>0</v>
      </c>
      <c r="G148" s="1">
        <v>0</v>
      </c>
      <c r="H148" s="1">
        <v>39050356</v>
      </c>
      <c r="I148" s="1">
        <v>39050356</v>
      </c>
    </row>
    <row r="149" spans="1:10">
      <c r="A149" s="1" t="s">
        <v>169</v>
      </c>
      <c r="B149" s="1" t="s">
        <v>170</v>
      </c>
      <c r="C149" s="1">
        <v>2003</v>
      </c>
      <c r="D149" s="1">
        <v>2027</v>
      </c>
      <c r="E149" s="1">
        <v>0</v>
      </c>
      <c r="F149" s="1">
        <v>0</v>
      </c>
      <c r="G149" s="1">
        <v>0</v>
      </c>
      <c r="H149" s="1">
        <v>39053350</v>
      </c>
      <c r="I149" s="1">
        <v>39053350</v>
      </c>
    </row>
    <row r="150" spans="1:10">
      <c r="A150" s="1" t="s">
        <v>169</v>
      </c>
      <c r="B150" s="1" t="s">
        <v>170</v>
      </c>
      <c r="C150" s="1">
        <v>2003</v>
      </c>
      <c r="D150" s="1">
        <v>2028</v>
      </c>
      <c r="E150" s="1">
        <v>0</v>
      </c>
      <c r="F150" s="1">
        <v>0</v>
      </c>
      <c r="G150" s="1">
        <v>0</v>
      </c>
      <c r="H150" s="1">
        <v>39051994</v>
      </c>
      <c r="I150" s="1">
        <v>39051994</v>
      </c>
    </row>
    <row r="151" spans="1:10">
      <c r="A151" s="1" t="s">
        <v>169</v>
      </c>
      <c r="B151" s="1" t="s">
        <v>170</v>
      </c>
      <c r="C151" s="1">
        <v>2003</v>
      </c>
      <c r="D151" s="1">
        <v>2029</v>
      </c>
      <c r="E151" s="1">
        <v>0</v>
      </c>
      <c r="F151" s="1">
        <v>0</v>
      </c>
      <c r="G151" s="1">
        <v>0</v>
      </c>
      <c r="H151" s="1">
        <v>39050775</v>
      </c>
      <c r="I151" s="1">
        <v>39050775</v>
      </c>
    </row>
    <row r="152" spans="1:10">
      <c r="A152" s="1" t="s">
        <v>169</v>
      </c>
      <c r="B152" s="1" t="s">
        <v>170</v>
      </c>
      <c r="C152" s="1">
        <v>2003</v>
      </c>
      <c r="D152" s="1">
        <v>2030</v>
      </c>
      <c r="E152" s="1">
        <v>0</v>
      </c>
      <c r="F152" s="1">
        <v>0</v>
      </c>
      <c r="G152" s="1">
        <v>0</v>
      </c>
      <c r="H152" s="1">
        <v>21953925</v>
      </c>
      <c r="I152" s="1">
        <v>21953925</v>
      </c>
    </row>
    <row r="153" spans="1:10">
      <c r="A153" s="1" t="s">
        <v>169</v>
      </c>
      <c r="B153" s="1" t="s">
        <v>170</v>
      </c>
      <c r="C153" s="1">
        <v>2003</v>
      </c>
      <c r="D153" s="1">
        <v>2031</v>
      </c>
      <c r="E153" s="1">
        <v>0</v>
      </c>
      <c r="F153" s="1">
        <v>0</v>
      </c>
      <c r="G153" s="1">
        <v>0</v>
      </c>
      <c r="H153" s="1">
        <v>7295675</v>
      </c>
      <c r="I153" s="1">
        <v>7295675</v>
      </c>
    </row>
    <row r="154" spans="1:10">
      <c r="A154" s="1" t="s">
        <v>169</v>
      </c>
      <c r="B154" s="1" t="s">
        <v>170</v>
      </c>
      <c r="C154" s="1">
        <v>2005</v>
      </c>
      <c r="D154" s="1">
        <v>2005</v>
      </c>
      <c r="E154" s="1">
        <v>0</v>
      </c>
      <c r="F154" s="1">
        <v>0</v>
      </c>
      <c r="G154" s="1">
        <v>0</v>
      </c>
      <c r="H154" s="1">
        <v>39564670</v>
      </c>
      <c r="I154" s="1">
        <v>39564670</v>
      </c>
      <c r="J154" s="1" t="s">
        <v>400</v>
      </c>
    </row>
    <row r="155" spans="1:10">
      <c r="A155" s="1" t="s">
        <v>169</v>
      </c>
      <c r="B155" s="1" t="s">
        <v>170</v>
      </c>
      <c r="C155" s="1">
        <v>2005</v>
      </c>
      <c r="D155" s="1">
        <v>2006</v>
      </c>
      <c r="E155" s="1">
        <v>875000</v>
      </c>
      <c r="F155" s="1">
        <v>1189575</v>
      </c>
      <c r="G155" s="1">
        <v>2064575</v>
      </c>
      <c r="H155" s="1">
        <v>39707290</v>
      </c>
      <c r="I155" s="1">
        <v>41771865</v>
      </c>
      <c r="J155" s="1" t="s">
        <v>400</v>
      </c>
    </row>
    <row r="156" spans="1:10">
      <c r="A156" s="1" t="s">
        <v>169</v>
      </c>
      <c r="B156" s="1" t="s">
        <v>170</v>
      </c>
      <c r="C156" s="1">
        <v>2005</v>
      </c>
      <c r="D156" s="1">
        <v>2007</v>
      </c>
      <c r="E156" s="1">
        <v>970000</v>
      </c>
      <c r="F156" s="1">
        <v>2318150</v>
      </c>
      <c r="G156" s="1">
        <v>3288150</v>
      </c>
      <c r="H156" s="1">
        <v>39711625</v>
      </c>
      <c r="I156" s="1">
        <v>42999775</v>
      </c>
      <c r="J156" s="1" t="s">
        <v>400</v>
      </c>
    </row>
    <row r="157" spans="1:10">
      <c r="A157" s="1" t="s">
        <v>169</v>
      </c>
      <c r="B157" s="1" t="s">
        <v>170</v>
      </c>
      <c r="C157" s="1">
        <v>2005</v>
      </c>
      <c r="D157" s="1">
        <v>2008</v>
      </c>
      <c r="E157" s="1">
        <v>995000</v>
      </c>
      <c r="F157" s="1">
        <v>2293050</v>
      </c>
      <c r="G157" s="1">
        <v>3288050</v>
      </c>
      <c r="H157" s="1">
        <v>39715325</v>
      </c>
      <c r="I157" s="1">
        <v>43003375</v>
      </c>
      <c r="J157" s="1" t="s">
        <v>400</v>
      </c>
    </row>
    <row r="158" spans="1:10">
      <c r="A158" s="1" t="s">
        <v>169</v>
      </c>
      <c r="B158" s="1" t="s">
        <v>170</v>
      </c>
      <c r="C158" s="1">
        <v>2005</v>
      </c>
      <c r="D158" s="1">
        <v>2009</v>
      </c>
      <c r="E158" s="1">
        <v>1030000</v>
      </c>
      <c r="F158" s="1">
        <v>2262450</v>
      </c>
      <c r="G158" s="1">
        <v>3292450</v>
      </c>
      <c r="H158" s="1">
        <v>39728488</v>
      </c>
      <c r="I158" s="1">
        <v>43020938</v>
      </c>
      <c r="J158" s="1" t="s">
        <v>400</v>
      </c>
    </row>
    <row r="159" spans="1:10">
      <c r="A159" s="1" t="s">
        <v>169</v>
      </c>
      <c r="B159" s="1" t="s">
        <v>170</v>
      </c>
      <c r="C159" s="1">
        <v>2008</v>
      </c>
      <c r="D159" s="1">
        <v>2008</v>
      </c>
      <c r="E159" s="1">
        <v>0</v>
      </c>
      <c r="F159" s="1" t="s">
        <v>174</v>
      </c>
      <c r="G159" s="1">
        <v>3994674</v>
      </c>
      <c r="H159" s="1">
        <v>34704710</v>
      </c>
      <c r="I159" s="1">
        <v>36624750</v>
      </c>
      <c r="J159" s="1" t="s">
        <v>400</v>
      </c>
    </row>
    <row r="160" spans="1:10">
      <c r="A160" s="1" t="s">
        <v>169</v>
      </c>
      <c r="B160" s="1" t="s">
        <v>170</v>
      </c>
      <c r="C160" s="1">
        <v>2008</v>
      </c>
      <c r="D160" s="1">
        <v>2009</v>
      </c>
      <c r="E160" s="1">
        <v>0</v>
      </c>
      <c r="F160" s="1" t="s">
        <v>174</v>
      </c>
      <c r="G160" s="1">
        <v>6008469</v>
      </c>
      <c r="H160" s="1">
        <v>33340000</v>
      </c>
      <c r="I160" s="1">
        <v>39348469</v>
      </c>
      <c r="J160" s="1" t="s">
        <v>400</v>
      </c>
    </row>
    <row r="161" spans="1:10">
      <c r="A161" s="1" t="s">
        <v>169</v>
      </c>
      <c r="B161" s="1" t="s">
        <v>170</v>
      </c>
      <c r="C161" s="1">
        <v>2008</v>
      </c>
      <c r="D161" s="1">
        <v>2010</v>
      </c>
      <c r="E161" s="1">
        <v>0</v>
      </c>
      <c r="F161" s="1" t="s">
        <v>174</v>
      </c>
      <c r="G161" s="1">
        <v>7360469</v>
      </c>
      <c r="H161" s="1">
        <v>33346362</v>
      </c>
      <c r="I161" s="1">
        <v>40706831</v>
      </c>
      <c r="J161" s="1" t="s">
        <v>400</v>
      </c>
    </row>
    <row r="162" spans="1:10">
      <c r="A162" s="1" t="s">
        <v>169</v>
      </c>
      <c r="B162" s="1" t="s">
        <v>170</v>
      </c>
      <c r="C162" s="1">
        <v>2008</v>
      </c>
      <c r="D162" s="1">
        <v>2011</v>
      </c>
      <c r="E162" s="1">
        <v>0</v>
      </c>
      <c r="F162" s="1" t="s">
        <v>174</v>
      </c>
      <c r="G162" s="1">
        <v>7510688</v>
      </c>
      <c r="H162" s="1">
        <v>33349312</v>
      </c>
      <c r="I162" s="1">
        <v>40860000</v>
      </c>
      <c r="J162" s="1" t="s">
        <v>400</v>
      </c>
    </row>
    <row r="163" spans="1:10">
      <c r="A163" s="1" t="s">
        <v>169</v>
      </c>
      <c r="B163" s="1" t="s">
        <v>170</v>
      </c>
      <c r="C163" s="1">
        <v>2008</v>
      </c>
      <c r="D163" s="1">
        <v>2012</v>
      </c>
      <c r="E163" s="1">
        <v>0</v>
      </c>
      <c r="F163" s="1" t="s">
        <v>174</v>
      </c>
      <c r="G163" s="1">
        <v>7899404</v>
      </c>
      <c r="H163" s="1">
        <v>33337693</v>
      </c>
      <c r="I163" s="1">
        <v>41237097</v>
      </c>
      <c r="J163" s="1" t="s">
        <v>400</v>
      </c>
    </row>
    <row r="164" spans="1:10">
      <c r="A164" s="1" t="s">
        <v>169</v>
      </c>
      <c r="B164" s="1" t="s">
        <v>170</v>
      </c>
      <c r="C164" s="1">
        <v>2012</v>
      </c>
      <c r="D164" s="1">
        <v>2013</v>
      </c>
      <c r="I164" s="1">
        <v>40634700</v>
      </c>
    </row>
    <row r="165" spans="1:10">
      <c r="A165" s="1" t="s">
        <v>169</v>
      </c>
      <c r="B165" s="1" t="s">
        <v>170</v>
      </c>
      <c r="C165" s="1">
        <v>2012</v>
      </c>
      <c r="D165" s="1">
        <v>2014</v>
      </c>
      <c r="I165" s="1">
        <v>40889214</v>
      </c>
    </row>
    <row r="166" spans="1:10">
      <c r="A166" s="1" t="s">
        <v>169</v>
      </c>
      <c r="B166" s="1" t="s">
        <v>170</v>
      </c>
      <c r="C166" s="1">
        <v>2012</v>
      </c>
      <c r="D166" s="1">
        <v>2015</v>
      </c>
      <c r="I166" s="1">
        <v>40953864</v>
      </c>
    </row>
    <row r="167" spans="1:10">
      <c r="A167" s="1" t="s">
        <v>169</v>
      </c>
      <c r="B167" s="1" t="s">
        <v>170</v>
      </c>
      <c r="C167" s="1">
        <v>2012</v>
      </c>
      <c r="D167" s="1">
        <v>2016</v>
      </c>
      <c r="I167" s="1">
        <v>40999889</v>
      </c>
    </row>
    <row r="168" spans="1:10">
      <c r="A168" s="1" t="s">
        <v>169</v>
      </c>
      <c r="B168" s="1" t="s">
        <v>170</v>
      </c>
      <c r="C168" s="1">
        <v>2012</v>
      </c>
      <c r="D168" s="1">
        <v>2017</v>
      </c>
      <c r="I168" s="1">
        <v>40682489</v>
      </c>
    </row>
    <row r="169" spans="1:10">
      <c r="A169" s="1" t="s">
        <v>169</v>
      </c>
      <c r="B169" s="1" t="s">
        <v>170</v>
      </c>
      <c r="C169" s="1">
        <v>2012</v>
      </c>
      <c r="D169" s="1">
        <v>2018</v>
      </c>
      <c r="I169" s="1">
        <v>40667652</v>
      </c>
    </row>
    <row r="170" spans="1:10">
      <c r="A170" s="1" t="s">
        <v>169</v>
      </c>
      <c r="B170" s="1" t="s">
        <v>170</v>
      </c>
      <c r="C170" s="1">
        <v>2012</v>
      </c>
      <c r="D170" s="1">
        <v>2019</v>
      </c>
      <c r="I170" s="1">
        <v>40682668</v>
      </c>
    </row>
    <row r="171" spans="1:10">
      <c r="A171" s="1" t="s">
        <v>169</v>
      </c>
      <c r="B171" s="1" t="s">
        <v>170</v>
      </c>
      <c r="C171" s="1">
        <v>2012</v>
      </c>
      <c r="D171" s="1">
        <v>2020</v>
      </c>
      <c r="I171" s="1">
        <v>40707303</v>
      </c>
    </row>
    <row r="172" spans="1:10">
      <c r="A172" s="1" t="s">
        <v>169</v>
      </c>
      <c r="B172" s="1" t="s">
        <v>170</v>
      </c>
      <c r="C172" s="1">
        <v>2012</v>
      </c>
      <c r="D172" s="1">
        <v>2021</v>
      </c>
      <c r="I172" s="1">
        <v>40720449</v>
      </c>
    </row>
    <row r="173" spans="1:10">
      <c r="A173" s="1" t="s">
        <v>169</v>
      </c>
      <c r="B173" s="1" t="s">
        <v>170</v>
      </c>
      <c r="C173" s="1">
        <v>2012</v>
      </c>
      <c r="D173" s="1">
        <v>2022</v>
      </c>
      <c r="I173" s="1">
        <v>40756390</v>
      </c>
    </row>
    <row r="174" spans="1:10">
      <c r="A174" s="1" t="s">
        <v>169</v>
      </c>
      <c r="B174" s="1" t="s">
        <v>170</v>
      </c>
      <c r="C174" s="1">
        <v>2012</v>
      </c>
      <c r="D174" s="1">
        <v>2023</v>
      </c>
      <c r="I174" s="1">
        <v>40920472</v>
      </c>
    </row>
    <row r="175" spans="1:10">
      <c r="A175" s="1" t="s">
        <v>169</v>
      </c>
      <c r="B175" s="1" t="s">
        <v>170</v>
      </c>
      <c r="C175" s="1">
        <v>2012</v>
      </c>
      <c r="D175" s="1">
        <v>2024</v>
      </c>
      <c r="I175" s="1">
        <v>41124823</v>
      </c>
    </row>
    <row r="176" spans="1:10">
      <c r="A176" s="1" t="s">
        <v>169</v>
      </c>
      <c r="B176" s="1" t="s">
        <v>170</v>
      </c>
      <c r="C176" s="1">
        <v>2012</v>
      </c>
      <c r="D176" s="1">
        <v>2025</v>
      </c>
      <c r="I176" s="1">
        <v>41607750</v>
      </c>
    </row>
    <row r="177" spans="1:9">
      <c r="A177" s="1" t="s">
        <v>169</v>
      </c>
      <c r="B177" s="1" t="s">
        <v>170</v>
      </c>
      <c r="C177" s="1">
        <v>2012</v>
      </c>
      <c r="D177" s="1">
        <v>2026</v>
      </c>
      <c r="I177" s="1">
        <v>42095828</v>
      </c>
    </row>
    <row r="178" spans="1:9">
      <c r="A178" s="1" t="s">
        <v>169</v>
      </c>
      <c r="B178" s="1" t="s">
        <v>170</v>
      </c>
      <c r="C178" s="1">
        <v>2012</v>
      </c>
      <c r="D178" s="1">
        <v>2027</v>
      </c>
      <c r="I178" s="1">
        <v>42114819</v>
      </c>
    </row>
    <row r="179" spans="1:9">
      <c r="A179" s="1" t="s">
        <v>169</v>
      </c>
      <c r="B179" s="1" t="s">
        <v>170</v>
      </c>
      <c r="C179" s="1">
        <v>2012</v>
      </c>
      <c r="D179" s="1">
        <v>2028</v>
      </c>
      <c r="I179" s="1">
        <v>42087630</v>
      </c>
    </row>
    <row r="180" spans="1:9">
      <c r="A180" s="1" t="s">
        <v>169</v>
      </c>
      <c r="B180" s="1" t="s">
        <v>170</v>
      </c>
      <c r="C180" s="1">
        <v>2012</v>
      </c>
      <c r="D180" s="1">
        <v>2029</v>
      </c>
      <c r="I180" s="1">
        <v>42101030</v>
      </c>
    </row>
    <row r="181" spans="1:9">
      <c r="A181" s="1" t="s">
        <v>169</v>
      </c>
      <c r="B181" s="1" t="s">
        <v>170</v>
      </c>
      <c r="C181" s="1">
        <v>2012</v>
      </c>
      <c r="D181" s="1">
        <v>2030</v>
      </c>
      <c r="I181" s="1">
        <v>41758448</v>
      </c>
    </row>
    <row r="182" spans="1:9">
      <c r="A182" s="1" t="s">
        <v>169</v>
      </c>
      <c r="B182" s="1" t="s">
        <v>170</v>
      </c>
      <c r="C182" s="1">
        <v>2012</v>
      </c>
      <c r="D182" s="1">
        <v>2031</v>
      </c>
      <c r="I182" s="1">
        <v>41721408</v>
      </c>
    </row>
    <row r="183" spans="1:9">
      <c r="A183" s="1" t="s">
        <v>169</v>
      </c>
      <c r="B183" s="1" t="s">
        <v>170</v>
      </c>
      <c r="C183" s="1">
        <v>2012</v>
      </c>
      <c r="D183" s="1">
        <v>2032</v>
      </c>
      <c r="I183" s="1">
        <v>41675049</v>
      </c>
    </row>
    <row r="184" spans="1:9">
      <c r="A184" s="1" t="s">
        <v>169</v>
      </c>
      <c r="B184" s="1" t="s">
        <v>170</v>
      </c>
      <c r="C184" s="1">
        <v>2012</v>
      </c>
      <c r="D184" s="1">
        <v>2033</v>
      </c>
      <c r="I184" s="1">
        <v>41573573</v>
      </c>
    </row>
    <row r="185" spans="1:9">
      <c r="A185" s="1" t="s">
        <v>169</v>
      </c>
      <c r="B185" s="1" t="s">
        <v>170</v>
      </c>
      <c r="C185" s="1">
        <v>2012</v>
      </c>
      <c r="D185" s="1">
        <v>2034</v>
      </c>
      <c r="I185" s="1">
        <v>41489815</v>
      </c>
    </row>
    <row r="186" spans="1:9">
      <c r="A186" s="1" t="s">
        <v>169</v>
      </c>
      <c r="B186" s="1" t="s">
        <v>170</v>
      </c>
      <c r="C186" s="1">
        <v>2012</v>
      </c>
      <c r="D186" s="1">
        <v>2035</v>
      </c>
      <c r="I186" s="1">
        <v>41524047</v>
      </c>
    </row>
    <row r="187" spans="1:9">
      <c r="A187" s="1" t="s">
        <v>169</v>
      </c>
      <c r="B187" s="1" t="s">
        <v>170</v>
      </c>
      <c r="C187" s="1">
        <v>2012</v>
      </c>
      <c r="D187" s="1">
        <v>2036</v>
      </c>
      <c r="I187" s="1">
        <v>41563806</v>
      </c>
    </row>
    <row r="188" spans="1:9">
      <c r="A188" s="1" t="s">
        <v>169</v>
      </c>
      <c r="B188" s="1" t="s">
        <v>170</v>
      </c>
      <c r="C188" s="1">
        <v>2012</v>
      </c>
      <c r="D188" s="1">
        <v>2037</v>
      </c>
      <c r="I188" s="1">
        <v>41690078</v>
      </c>
    </row>
    <row r="189" spans="1:9">
      <c r="A189" s="1" t="s">
        <v>169</v>
      </c>
      <c r="B189" s="1" t="s">
        <v>170</v>
      </c>
      <c r="C189" s="1">
        <v>2012</v>
      </c>
      <c r="D189" s="1">
        <v>2038</v>
      </c>
      <c r="I189" s="1">
        <v>41820781</v>
      </c>
    </row>
    <row r="190" spans="1:9">
      <c r="A190" s="1" t="s">
        <v>169</v>
      </c>
      <c r="B190" s="1" t="s">
        <v>170</v>
      </c>
      <c r="C190" s="1">
        <v>2012</v>
      </c>
      <c r="D190" s="1">
        <v>2039</v>
      </c>
      <c r="I190" s="1">
        <v>41913288</v>
      </c>
    </row>
    <row r="191" spans="1:9">
      <c r="A191" s="1" t="s">
        <v>169</v>
      </c>
      <c r="B191" s="1" t="s">
        <v>170</v>
      </c>
      <c r="C191" s="1">
        <v>2012</v>
      </c>
      <c r="D191" s="1">
        <v>2040</v>
      </c>
      <c r="I191" s="1">
        <v>42099253</v>
      </c>
    </row>
    <row r="192" spans="1:9">
      <c r="A192" s="1" t="s">
        <v>169</v>
      </c>
      <c r="B192" s="1" t="s">
        <v>170</v>
      </c>
      <c r="C192" s="1">
        <v>2013</v>
      </c>
      <c r="D192" s="1">
        <v>2014</v>
      </c>
      <c r="E192" s="1">
        <v>11925000</v>
      </c>
      <c r="F192" s="1">
        <v>6925194</v>
      </c>
      <c r="G192" s="1">
        <v>18850194</v>
      </c>
      <c r="H192" s="1">
        <v>24963029</v>
      </c>
      <c r="I192" s="1">
        <v>43813223</v>
      </c>
    </row>
    <row r="193" spans="1:9">
      <c r="A193" s="1" t="s">
        <v>169</v>
      </c>
      <c r="B193" s="1" t="s">
        <v>170</v>
      </c>
      <c r="C193" s="1">
        <v>2013</v>
      </c>
      <c r="D193" s="1">
        <v>2015</v>
      </c>
      <c r="E193" s="1">
        <v>13200000</v>
      </c>
      <c r="F193" s="1">
        <v>9764594</v>
      </c>
      <c r="G193" s="1">
        <v>22964594</v>
      </c>
      <c r="H193" s="1">
        <v>24960078</v>
      </c>
      <c r="I193" s="1">
        <v>47924672</v>
      </c>
    </row>
    <row r="194" spans="1:9">
      <c r="A194" s="1" t="s">
        <v>169</v>
      </c>
      <c r="B194" s="1" t="s">
        <v>170</v>
      </c>
      <c r="C194" s="1">
        <v>2013</v>
      </c>
      <c r="D194" s="1">
        <v>2016</v>
      </c>
      <c r="E194" s="1">
        <v>13480000</v>
      </c>
      <c r="F194" s="1">
        <v>9368594</v>
      </c>
      <c r="G194" s="1">
        <v>22848594</v>
      </c>
      <c r="H194" s="1">
        <v>24963103</v>
      </c>
      <c r="I194" s="1">
        <v>47811697</v>
      </c>
    </row>
    <row r="195" spans="1:9">
      <c r="A195" s="1" t="s">
        <v>169</v>
      </c>
      <c r="B195" s="1" t="s">
        <v>170</v>
      </c>
      <c r="C195" s="1">
        <v>2013</v>
      </c>
      <c r="D195" s="1">
        <v>2017</v>
      </c>
      <c r="E195" s="1">
        <v>3380000</v>
      </c>
      <c r="F195" s="1">
        <v>8847994</v>
      </c>
      <c r="G195" s="1">
        <v>12227994</v>
      </c>
      <c r="H195" s="1">
        <v>35267103</v>
      </c>
      <c r="I195" s="1">
        <v>47495097</v>
      </c>
    </row>
    <row r="196" spans="1:9">
      <c r="A196" s="1" t="s">
        <v>169</v>
      </c>
      <c r="B196" s="1" t="s">
        <v>170</v>
      </c>
      <c r="C196" s="1">
        <v>2013</v>
      </c>
      <c r="D196" s="1">
        <v>2018</v>
      </c>
      <c r="E196" s="1">
        <v>9700000</v>
      </c>
      <c r="F196" s="1">
        <v>8712794</v>
      </c>
      <c r="G196" s="1">
        <v>18412794</v>
      </c>
      <c r="H196" s="1">
        <v>29068985</v>
      </c>
      <c r="I196" s="1">
        <v>47481779</v>
      </c>
    </row>
    <row r="197" spans="1:9">
      <c r="A197" s="1" t="s">
        <v>169</v>
      </c>
      <c r="B197" s="1" t="s">
        <v>170</v>
      </c>
      <c r="C197" s="1">
        <v>2013</v>
      </c>
      <c r="D197" s="1">
        <v>2019</v>
      </c>
      <c r="E197" s="1">
        <v>12765000</v>
      </c>
      <c r="F197" s="1">
        <v>8247744</v>
      </c>
      <c r="G197" s="1">
        <v>21012744</v>
      </c>
      <c r="H197" s="1">
        <v>26402971</v>
      </c>
      <c r="I197" s="1">
        <v>47415715</v>
      </c>
    </row>
    <row r="198" spans="1:9">
      <c r="A198" s="1" t="s">
        <v>169</v>
      </c>
      <c r="B198" s="1" t="s">
        <v>170</v>
      </c>
      <c r="C198" s="1">
        <v>2013</v>
      </c>
      <c r="D198" s="1">
        <v>2020</v>
      </c>
      <c r="E198" s="1">
        <v>10190000</v>
      </c>
      <c r="F198" s="1">
        <v>7609494</v>
      </c>
      <c r="G198" s="1">
        <v>17799494</v>
      </c>
      <c r="H198" s="1">
        <v>29674998</v>
      </c>
      <c r="I198" s="1">
        <v>47474492</v>
      </c>
    </row>
    <row r="199" spans="1:9">
      <c r="A199" s="1" t="s">
        <v>169</v>
      </c>
      <c r="B199" s="1" t="s">
        <v>170</v>
      </c>
      <c r="C199" s="1">
        <v>2013</v>
      </c>
      <c r="D199" s="1">
        <v>2021</v>
      </c>
      <c r="E199" s="1">
        <v>10475000</v>
      </c>
      <c r="F199" s="1">
        <v>7099994</v>
      </c>
      <c r="G199" s="1">
        <v>17574994</v>
      </c>
      <c r="H199" s="1">
        <v>29681768</v>
      </c>
      <c r="I199" s="1">
        <v>47256762</v>
      </c>
    </row>
    <row r="200" spans="1:9">
      <c r="A200" s="1" t="s">
        <v>169</v>
      </c>
      <c r="B200" s="1" t="s">
        <v>170</v>
      </c>
      <c r="C200" s="1">
        <v>2013</v>
      </c>
      <c r="D200" s="1">
        <v>2022</v>
      </c>
      <c r="E200" s="1">
        <v>10930000</v>
      </c>
      <c r="F200" s="1">
        <v>6576244</v>
      </c>
      <c r="G200" s="1">
        <v>17506244</v>
      </c>
      <c r="H200" s="1">
        <v>29705235</v>
      </c>
      <c r="I200" s="1">
        <v>47211479</v>
      </c>
    </row>
    <row r="201" spans="1:9">
      <c r="A201" s="1" t="s">
        <v>169</v>
      </c>
      <c r="B201" s="1" t="s">
        <v>170</v>
      </c>
      <c r="C201" s="1">
        <v>2013</v>
      </c>
      <c r="D201" s="1">
        <v>2023</v>
      </c>
      <c r="E201" s="1">
        <v>11405000</v>
      </c>
      <c r="F201" s="1">
        <v>6029744</v>
      </c>
      <c r="G201" s="1">
        <v>17434744</v>
      </c>
      <c r="H201" s="1">
        <v>29852762</v>
      </c>
      <c r="I201" s="1">
        <v>47287506</v>
      </c>
    </row>
    <row r="202" spans="1:9">
      <c r="A202" s="1" t="s">
        <v>169</v>
      </c>
      <c r="B202" s="1" t="s">
        <v>170</v>
      </c>
      <c r="C202" s="1">
        <v>2013</v>
      </c>
      <c r="D202" s="1">
        <v>2024</v>
      </c>
      <c r="E202" s="1">
        <v>10035000</v>
      </c>
      <c r="F202" s="1">
        <v>5459494</v>
      </c>
      <c r="G202" s="1">
        <v>15494494</v>
      </c>
      <c r="H202" s="1">
        <v>31907451</v>
      </c>
      <c r="I202" s="1">
        <v>47401945</v>
      </c>
    </row>
    <row r="203" spans="1:9">
      <c r="A203" s="1" t="s">
        <v>169</v>
      </c>
      <c r="B203" s="1" t="s">
        <v>170</v>
      </c>
      <c r="C203" s="1">
        <v>2013</v>
      </c>
      <c r="D203" s="1">
        <v>2025</v>
      </c>
      <c r="E203" s="1">
        <v>10620000</v>
      </c>
      <c r="F203" s="1">
        <v>4957744</v>
      </c>
      <c r="G203" s="1">
        <v>15577744</v>
      </c>
      <c r="H203" s="1">
        <v>32367611</v>
      </c>
      <c r="I203" s="1">
        <v>47945355</v>
      </c>
    </row>
    <row r="204" spans="1:9">
      <c r="A204" s="1" t="s">
        <v>169</v>
      </c>
      <c r="B204" s="1" t="s">
        <v>170</v>
      </c>
      <c r="C204" s="1">
        <v>2013</v>
      </c>
      <c r="D204" s="1">
        <v>2026</v>
      </c>
      <c r="E204" s="1">
        <v>3270000</v>
      </c>
      <c r="F204" s="1">
        <v>4426744</v>
      </c>
      <c r="G204" s="1">
        <v>7696744</v>
      </c>
      <c r="H204" s="1">
        <v>40490111</v>
      </c>
      <c r="I204" s="1">
        <v>48186855</v>
      </c>
    </row>
    <row r="205" spans="1:9">
      <c r="A205" s="1" t="s">
        <v>169</v>
      </c>
      <c r="B205" s="1" t="s">
        <v>170</v>
      </c>
      <c r="C205" s="1">
        <v>2013</v>
      </c>
      <c r="D205" s="1">
        <v>2027</v>
      </c>
      <c r="E205" s="1">
        <v>3410000</v>
      </c>
      <c r="F205" s="1">
        <v>4296382</v>
      </c>
      <c r="G205" s="1">
        <v>7706382</v>
      </c>
      <c r="H205" s="1">
        <v>40490111</v>
      </c>
      <c r="I205" s="1">
        <v>48196493</v>
      </c>
    </row>
    <row r="206" spans="1:9">
      <c r="A206" s="1" t="s">
        <v>169</v>
      </c>
      <c r="B206" s="1" t="s">
        <v>170</v>
      </c>
      <c r="C206" s="1">
        <v>2013</v>
      </c>
      <c r="D206" s="1">
        <v>2028</v>
      </c>
      <c r="E206" s="1">
        <v>3545000</v>
      </c>
      <c r="F206" s="1">
        <v>4129632</v>
      </c>
      <c r="G206" s="1">
        <v>7674632</v>
      </c>
      <c r="H206" s="1">
        <v>40490111</v>
      </c>
      <c r="I206" s="1">
        <v>48164743</v>
      </c>
    </row>
    <row r="207" spans="1:9">
      <c r="A207" s="1" t="s">
        <v>169</v>
      </c>
      <c r="B207" s="1" t="s">
        <v>170</v>
      </c>
      <c r="C207" s="1">
        <v>2013</v>
      </c>
      <c r="D207" s="1">
        <v>2029</v>
      </c>
      <c r="E207" s="1">
        <v>3705000</v>
      </c>
      <c r="F207" s="1">
        <v>3983401</v>
      </c>
      <c r="G207" s="1">
        <v>7688401</v>
      </c>
      <c r="H207" s="1">
        <v>40490111</v>
      </c>
      <c r="I207" s="1">
        <v>48178512</v>
      </c>
    </row>
    <row r="208" spans="1:9">
      <c r="A208" s="1" t="s">
        <v>169</v>
      </c>
      <c r="B208" s="1" t="s">
        <v>170</v>
      </c>
      <c r="C208" s="1">
        <v>2013</v>
      </c>
      <c r="D208" s="1">
        <v>2030</v>
      </c>
      <c r="E208" s="1">
        <v>13020000</v>
      </c>
      <c r="F208" s="1">
        <v>3801038</v>
      </c>
      <c r="G208" s="1">
        <v>16821038</v>
      </c>
      <c r="H208" s="1">
        <v>31160111</v>
      </c>
      <c r="I208" s="1">
        <v>47981149</v>
      </c>
    </row>
    <row r="209" spans="1:9">
      <c r="A209" s="1" t="s">
        <v>169</v>
      </c>
      <c r="B209" s="1" t="s">
        <v>170</v>
      </c>
      <c r="C209" s="1">
        <v>2013</v>
      </c>
      <c r="D209" s="1">
        <v>2031</v>
      </c>
      <c r="E209" s="1">
        <v>13430000</v>
      </c>
      <c r="F209" s="1">
        <v>3141325</v>
      </c>
      <c r="G209" s="1">
        <v>16571325</v>
      </c>
      <c r="H209" s="1">
        <v>31108068</v>
      </c>
      <c r="I209" s="1">
        <v>47679393</v>
      </c>
    </row>
    <row r="210" spans="1:9">
      <c r="A210" s="1" t="s">
        <v>169</v>
      </c>
      <c r="B210" s="1" t="s">
        <v>170</v>
      </c>
      <c r="C210" s="1">
        <v>2013</v>
      </c>
      <c r="D210" s="1">
        <v>2032</v>
      </c>
      <c r="E210" s="1">
        <v>6710000</v>
      </c>
      <c r="F210" s="1">
        <v>2469825</v>
      </c>
      <c r="G210" s="1">
        <v>9179825</v>
      </c>
      <c r="H210" s="1">
        <v>38378500</v>
      </c>
      <c r="I210" s="1">
        <v>47558325</v>
      </c>
    </row>
    <row r="211" spans="1:9">
      <c r="A211" s="1" t="s">
        <v>169</v>
      </c>
      <c r="B211" s="1" t="s">
        <v>170</v>
      </c>
      <c r="C211" s="1">
        <v>2013</v>
      </c>
      <c r="D211" s="1">
        <v>2033</v>
      </c>
      <c r="E211" s="1">
        <v>6980000</v>
      </c>
      <c r="F211" s="1">
        <v>2167875</v>
      </c>
      <c r="G211" s="1">
        <v>9147875</v>
      </c>
      <c r="H211" s="1">
        <v>38347668</v>
      </c>
      <c r="I211" s="1">
        <v>47495543</v>
      </c>
    </row>
    <row r="212" spans="1:9">
      <c r="A212" s="1" t="s">
        <v>169</v>
      </c>
      <c r="B212" s="1" t="s">
        <v>170</v>
      </c>
      <c r="C212" s="1">
        <v>2013</v>
      </c>
      <c r="D212" s="1">
        <v>2034</v>
      </c>
      <c r="E212" s="1">
        <v>4235000</v>
      </c>
      <c r="F212" s="1">
        <v>1823588</v>
      </c>
      <c r="G212" s="1">
        <v>6058588</v>
      </c>
      <c r="H212" s="1">
        <v>41391902</v>
      </c>
      <c r="I212" s="1">
        <v>47450490</v>
      </c>
    </row>
    <row r="213" spans="1:9">
      <c r="A213" s="1" t="s">
        <v>169</v>
      </c>
      <c r="B213" s="1" t="s">
        <v>170</v>
      </c>
      <c r="C213" s="1">
        <v>2013</v>
      </c>
      <c r="D213" s="1">
        <v>2035</v>
      </c>
      <c r="E213" s="1">
        <v>4455000</v>
      </c>
      <c r="F213" s="1">
        <v>4589035</v>
      </c>
      <c r="G213" s="1">
        <v>9044035</v>
      </c>
      <c r="H213" s="1">
        <v>38519394</v>
      </c>
      <c r="I213" s="1">
        <v>47563429</v>
      </c>
    </row>
    <row r="214" spans="1:9">
      <c r="A214" s="1" t="s">
        <v>169</v>
      </c>
      <c r="B214" s="1" t="s">
        <v>170</v>
      </c>
      <c r="C214" s="1">
        <v>2013</v>
      </c>
      <c r="D214" s="1">
        <v>2036</v>
      </c>
      <c r="E214" s="1">
        <v>6505000</v>
      </c>
      <c r="F214" s="1">
        <v>5618757</v>
      </c>
      <c r="G214" s="1">
        <v>12123757</v>
      </c>
      <c r="H214" s="1">
        <v>35497411</v>
      </c>
      <c r="I214" s="1">
        <v>47621168</v>
      </c>
    </row>
    <row r="215" spans="1:9">
      <c r="A215" s="1" t="s">
        <v>169</v>
      </c>
      <c r="B215" s="1" t="s">
        <v>170</v>
      </c>
      <c r="C215" s="1">
        <v>2013</v>
      </c>
      <c r="D215" s="1">
        <v>2037</v>
      </c>
      <c r="E215" s="1">
        <v>6795000</v>
      </c>
      <c r="F215" s="1">
        <v>5318082</v>
      </c>
      <c r="G215" s="1">
        <v>12113082</v>
      </c>
      <c r="H215" s="1">
        <v>35633134</v>
      </c>
      <c r="I215" s="1">
        <v>47746216</v>
      </c>
    </row>
    <row r="216" spans="1:9">
      <c r="A216" s="1" t="s">
        <v>169</v>
      </c>
      <c r="B216" s="1" t="s">
        <v>170</v>
      </c>
      <c r="C216" s="1">
        <v>2013</v>
      </c>
      <c r="D216" s="1">
        <v>2038</v>
      </c>
      <c r="E216" s="1">
        <v>7115000</v>
      </c>
      <c r="F216" s="1">
        <v>5003194</v>
      </c>
      <c r="G216" s="1">
        <v>12118194</v>
      </c>
      <c r="H216" s="1">
        <v>35759637</v>
      </c>
      <c r="I216" s="1">
        <v>47877831</v>
      </c>
    </row>
    <row r="217" spans="1:9">
      <c r="A217" s="1" t="s">
        <v>169</v>
      </c>
      <c r="B217" s="1" t="s">
        <v>170</v>
      </c>
      <c r="C217" s="1">
        <v>2013</v>
      </c>
      <c r="D217" s="1">
        <v>2039</v>
      </c>
      <c r="E217" s="1">
        <v>7465000</v>
      </c>
      <c r="F217" s="1">
        <v>4653657</v>
      </c>
      <c r="G217" s="1">
        <v>12118657</v>
      </c>
      <c r="H217" s="1">
        <v>35853944</v>
      </c>
      <c r="I217" s="1">
        <v>47972601</v>
      </c>
    </row>
    <row r="218" spans="1:9">
      <c r="A218" s="1" t="s">
        <v>169</v>
      </c>
      <c r="B218" s="1" t="s">
        <v>170</v>
      </c>
      <c r="C218" s="1">
        <v>2013</v>
      </c>
      <c r="D218" s="1">
        <v>2040</v>
      </c>
      <c r="E218" s="1">
        <v>7830000</v>
      </c>
      <c r="F218" s="1">
        <v>4286682</v>
      </c>
      <c r="G218" s="1">
        <v>12116682</v>
      </c>
      <c r="H218" s="1">
        <v>36039709</v>
      </c>
      <c r="I218" s="1">
        <v>48156391</v>
      </c>
    </row>
    <row r="219" spans="1:9">
      <c r="A219" s="1" t="s">
        <v>169</v>
      </c>
      <c r="B219" s="1" t="s">
        <v>170</v>
      </c>
      <c r="C219" s="1">
        <v>2017</v>
      </c>
      <c r="D219" s="1">
        <v>2018</v>
      </c>
      <c r="E219" s="1">
        <v>13520000</v>
      </c>
      <c r="F219" s="1">
        <v>5497883</v>
      </c>
      <c r="G219" s="1">
        <v>19017883</v>
      </c>
      <c r="H219" s="1">
        <v>27562746</v>
      </c>
      <c r="I219" s="1">
        <v>46580629</v>
      </c>
    </row>
    <row r="220" spans="1:9">
      <c r="A220" s="1" t="s">
        <v>169</v>
      </c>
      <c r="B220" s="1" t="s">
        <v>170</v>
      </c>
      <c r="C220" s="1">
        <v>2017</v>
      </c>
      <c r="D220" s="1">
        <v>2019</v>
      </c>
      <c r="E220" s="1">
        <v>9265000</v>
      </c>
      <c r="F220" s="21">
        <v>7414900</v>
      </c>
      <c r="G220" s="1">
        <v>16679900</v>
      </c>
      <c r="H220" s="1">
        <v>30162496</v>
      </c>
      <c r="I220" s="1">
        <v>46842396</v>
      </c>
    </row>
    <row r="221" spans="1:9">
      <c r="A221" s="1" t="s">
        <v>169</v>
      </c>
      <c r="B221" s="1" t="s">
        <v>170</v>
      </c>
      <c r="C221" s="1">
        <v>2017</v>
      </c>
      <c r="D221" s="1">
        <v>2020</v>
      </c>
      <c r="E221" s="1">
        <v>12995000</v>
      </c>
      <c r="F221" s="21">
        <v>6951650</v>
      </c>
      <c r="G221" s="1">
        <v>19946650</v>
      </c>
      <c r="H221" s="1">
        <v>26947996</v>
      </c>
      <c r="I221" s="1">
        <v>46894646</v>
      </c>
    </row>
    <row r="222" spans="1:9">
      <c r="A222" s="1" t="s">
        <v>169</v>
      </c>
      <c r="B222" s="1" t="s">
        <v>170</v>
      </c>
      <c r="C222" s="1">
        <v>2017</v>
      </c>
      <c r="D222" s="1">
        <v>2021</v>
      </c>
      <c r="E222" s="1">
        <v>13650000</v>
      </c>
      <c r="F222" s="21">
        <v>6301900</v>
      </c>
      <c r="G222" s="1">
        <v>19951900</v>
      </c>
      <c r="H222" s="1">
        <v>26727496</v>
      </c>
      <c r="I222" s="1">
        <v>46679396</v>
      </c>
    </row>
    <row r="223" spans="1:9">
      <c r="A223" s="1" t="s">
        <v>169</v>
      </c>
      <c r="B223" s="1" t="s">
        <v>170</v>
      </c>
      <c r="C223" s="1">
        <v>2017</v>
      </c>
      <c r="D223" s="1">
        <v>2022</v>
      </c>
      <c r="E223" s="1">
        <v>14360000</v>
      </c>
      <c r="F223" s="21">
        <v>5619400</v>
      </c>
      <c r="G223" s="1">
        <v>19979400</v>
      </c>
      <c r="H223" s="1">
        <v>26657996</v>
      </c>
      <c r="I223" s="1">
        <v>46637396</v>
      </c>
    </row>
    <row r="224" spans="1:9">
      <c r="A224" s="1" t="s">
        <v>169</v>
      </c>
      <c r="B224" s="1" t="s">
        <v>170</v>
      </c>
      <c r="C224" s="1">
        <v>2017</v>
      </c>
      <c r="D224" s="1">
        <v>2023</v>
      </c>
      <c r="E224" s="1">
        <v>15225000</v>
      </c>
      <c r="F224" s="21">
        <v>4901400</v>
      </c>
      <c r="G224" s="1">
        <v>20126400</v>
      </c>
      <c r="H224" s="1">
        <v>26586496</v>
      </c>
      <c r="I224" s="1">
        <v>46712896</v>
      </c>
    </row>
    <row r="225" spans="1:9">
      <c r="A225" s="1" t="s">
        <v>169</v>
      </c>
      <c r="B225" s="1" t="s">
        <v>170</v>
      </c>
      <c r="C225" s="1">
        <v>2017</v>
      </c>
      <c r="D225" s="1">
        <v>2024</v>
      </c>
      <c r="E225" s="1">
        <v>17180000</v>
      </c>
      <c r="F225" s="21">
        <v>4140150</v>
      </c>
      <c r="G225" s="1">
        <v>21320150</v>
      </c>
      <c r="H225" s="1">
        <v>24647246</v>
      </c>
      <c r="I225" s="1">
        <v>45967396</v>
      </c>
    </row>
    <row r="226" spans="1:9">
      <c r="A226" s="1" t="s">
        <v>169</v>
      </c>
      <c r="B226" s="1" t="s">
        <v>170</v>
      </c>
      <c r="C226" s="1">
        <v>2017</v>
      </c>
      <c r="D226" s="1">
        <v>2025</v>
      </c>
      <c r="E226" s="1">
        <v>18540000</v>
      </c>
      <c r="F226" s="21">
        <v>3281150</v>
      </c>
      <c r="G226" s="1">
        <v>21821150</v>
      </c>
      <c r="H226" s="1">
        <v>24727746</v>
      </c>
      <c r="I226" s="1">
        <v>46548896</v>
      </c>
    </row>
    <row r="227" spans="1:9">
      <c r="A227" s="1" t="s">
        <v>169</v>
      </c>
      <c r="B227" s="1" t="s">
        <v>170</v>
      </c>
      <c r="C227" s="1">
        <v>2017</v>
      </c>
      <c r="D227" s="1">
        <v>2026</v>
      </c>
      <c r="E227" s="1">
        <v>28535000</v>
      </c>
      <c r="F227" s="21">
        <v>2354150</v>
      </c>
      <c r="G227" s="1">
        <v>30889150</v>
      </c>
      <c r="H227" s="1">
        <v>16845746</v>
      </c>
      <c r="I227" s="1">
        <v>47734896</v>
      </c>
    </row>
    <row r="228" spans="1:9">
      <c r="A228" s="1" t="s">
        <v>169</v>
      </c>
      <c r="B228" s="1" t="s">
        <v>170</v>
      </c>
      <c r="C228" s="1">
        <v>2017</v>
      </c>
      <c r="D228" s="1">
        <v>2027</v>
      </c>
      <c r="E228" s="1">
        <v>3060000</v>
      </c>
      <c r="F228" s="21">
        <v>927400</v>
      </c>
      <c r="G228" s="1">
        <v>3987400</v>
      </c>
      <c r="H228" s="1">
        <v>43787183</v>
      </c>
      <c r="I228" s="1">
        <v>47774583</v>
      </c>
    </row>
    <row r="229" spans="1:9">
      <c r="A229" s="1" t="s">
        <v>169</v>
      </c>
      <c r="B229" s="1" t="s">
        <v>170</v>
      </c>
      <c r="C229" s="1">
        <v>2017</v>
      </c>
      <c r="D229" s="1">
        <v>2028</v>
      </c>
      <c r="E229" s="1">
        <v>3210000</v>
      </c>
      <c r="F229" s="21">
        <v>774400</v>
      </c>
      <c r="G229" s="1">
        <v>3984400</v>
      </c>
      <c r="H229" s="1">
        <v>43757183</v>
      </c>
      <c r="I229" s="1">
        <v>47741583</v>
      </c>
    </row>
    <row r="230" spans="1:9">
      <c r="A230" s="1" t="s">
        <v>169</v>
      </c>
      <c r="B230" s="1" t="s">
        <v>170</v>
      </c>
      <c r="C230" s="1">
        <v>2017</v>
      </c>
      <c r="D230" s="1">
        <v>2029</v>
      </c>
      <c r="E230" s="1">
        <v>3375000</v>
      </c>
      <c r="F230" s="21">
        <v>613900</v>
      </c>
      <c r="G230" s="1">
        <v>3988900</v>
      </c>
      <c r="H230" s="1">
        <v>43767333</v>
      </c>
      <c r="I230" s="1">
        <v>47756233</v>
      </c>
    </row>
    <row r="231" spans="1:9">
      <c r="A231" s="1" t="s">
        <v>169</v>
      </c>
      <c r="B231" s="1" t="s">
        <v>170</v>
      </c>
      <c r="C231" s="1">
        <v>2017</v>
      </c>
      <c r="D231" s="1">
        <v>2030</v>
      </c>
      <c r="E231" s="1">
        <v>3545000</v>
      </c>
      <c r="F231" s="21">
        <v>445150</v>
      </c>
      <c r="G231" s="1">
        <v>3990150</v>
      </c>
      <c r="H231" s="1">
        <v>43570971</v>
      </c>
      <c r="I231" s="1">
        <v>47561121</v>
      </c>
    </row>
    <row r="232" spans="1:9">
      <c r="A232" s="1" t="s">
        <v>169</v>
      </c>
      <c r="B232" s="1" t="s">
        <v>170</v>
      </c>
      <c r="C232" s="1">
        <v>2017</v>
      </c>
      <c r="D232" s="1">
        <v>2031</v>
      </c>
      <c r="E232" s="1">
        <v>5105000</v>
      </c>
      <c r="F232" s="21">
        <v>267900</v>
      </c>
      <c r="G232" s="1">
        <v>5372900</v>
      </c>
      <c r="H232" s="1">
        <v>40945081</v>
      </c>
      <c r="I232" s="1">
        <v>46317981</v>
      </c>
    </row>
    <row r="233" spans="1:9">
      <c r="A233" s="1" t="s">
        <v>169</v>
      </c>
      <c r="B233" s="1" t="s">
        <v>170</v>
      </c>
      <c r="C233" s="1">
        <v>2017</v>
      </c>
      <c r="D233" s="1">
        <v>2032</v>
      </c>
      <c r="E233" s="1">
        <v>3825000</v>
      </c>
      <c r="F233" s="21">
        <v>114750</v>
      </c>
      <c r="G233" s="1">
        <v>3939750</v>
      </c>
      <c r="H233" s="1">
        <v>43303904</v>
      </c>
      <c r="I233" s="1">
        <v>47243654</v>
      </c>
    </row>
    <row r="234" spans="1:9">
      <c r="A234" s="1" t="s">
        <v>169</v>
      </c>
      <c r="B234" s="1" t="s">
        <v>170</v>
      </c>
      <c r="C234" s="1">
        <v>2017</v>
      </c>
      <c r="D234" s="1">
        <v>2033</v>
      </c>
      <c r="E234" s="1">
        <v>0</v>
      </c>
      <c r="F234" s="1">
        <v>0</v>
      </c>
      <c r="G234" s="1">
        <v>0</v>
      </c>
      <c r="H234" s="1">
        <v>47333432</v>
      </c>
      <c r="I234" s="1">
        <v>47333432</v>
      </c>
    </row>
    <row r="235" spans="1:9">
      <c r="A235" s="1" t="s">
        <v>169</v>
      </c>
      <c r="B235" s="1" t="s">
        <v>170</v>
      </c>
      <c r="C235" s="1">
        <v>2017</v>
      </c>
      <c r="D235" s="1">
        <v>2034</v>
      </c>
      <c r="E235" s="1">
        <v>0</v>
      </c>
      <c r="F235" s="1">
        <v>0</v>
      </c>
      <c r="G235" s="1">
        <v>0</v>
      </c>
      <c r="H235" s="1">
        <v>47360056</v>
      </c>
      <c r="I235" s="1">
        <v>47360056</v>
      </c>
    </row>
    <row r="236" spans="1:9">
      <c r="A236" s="1" t="s">
        <v>169</v>
      </c>
      <c r="B236" s="1" t="s">
        <v>170</v>
      </c>
      <c r="C236" s="1">
        <v>2017</v>
      </c>
      <c r="D236" s="1">
        <v>2035</v>
      </c>
      <c r="E236" s="1">
        <v>0</v>
      </c>
      <c r="F236" s="1">
        <v>0</v>
      </c>
      <c r="G236" s="1">
        <v>0</v>
      </c>
      <c r="H236" s="1">
        <v>47547855</v>
      </c>
      <c r="I236" s="1">
        <v>47547855</v>
      </c>
    </row>
    <row r="237" spans="1:9">
      <c r="A237" s="1" t="s">
        <v>169</v>
      </c>
      <c r="B237" s="1" t="s">
        <v>170</v>
      </c>
      <c r="C237" s="1">
        <v>2017</v>
      </c>
      <c r="D237" s="1">
        <v>2036</v>
      </c>
      <c r="E237" s="1">
        <v>0</v>
      </c>
      <c r="F237" s="1">
        <v>0</v>
      </c>
      <c r="G237" s="1">
        <v>0</v>
      </c>
      <c r="H237" s="1">
        <v>47621168</v>
      </c>
      <c r="I237" s="1">
        <v>47621168</v>
      </c>
    </row>
    <row r="238" spans="1:9">
      <c r="A238" s="1" t="s">
        <v>169</v>
      </c>
      <c r="B238" s="1" t="s">
        <v>170</v>
      </c>
      <c r="C238" s="1">
        <v>2017</v>
      </c>
      <c r="D238" s="1">
        <v>2037</v>
      </c>
      <c r="E238" s="1">
        <v>0</v>
      </c>
      <c r="F238" s="1">
        <v>0</v>
      </c>
      <c r="G238" s="1">
        <v>0</v>
      </c>
      <c r="H238" s="1">
        <v>47746216</v>
      </c>
      <c r="I238" s="1">
        <v>47746216</v>
      </c>
    </row>
    <row r="239" spans="1:9">
      <c r="A239" s="1" t="s">
        <v>169</v>
      </c>
      <c r="B239" s="1" t="s">
        <v>170</v>
      </c>
      <c r="C239" s="1">
        <v>2017</v>
      </c>
      <c r="D239" s="1">
        <v>2038</v>
      </c>
      <c r="E239" s="1">
        <v>0</v>
      </c>
      <c r="F239" s="1">
        <v>0</v>
      </c>
      <c r="G239" s="1">
        <v>0</v>
      </c>
      <c r="H239" s="1">
        <v>47877831</v>
      </c>
      <c r="I239" s="1">
        <v>47877831</v>
      </c>
    </row>
    <row r="240" spans="1:9">
      <c r="A240" s="1" t="s">
        <v>169</v>
      </c>
      <c r="B240" s="1" t="s">
        <v>170</v>
      </c>
      <c r="C240" s="1">
        <v>2017</v>
      </c>
      <c r="D240" s="1">
        <v>2039</v>
      </c>
      <c r="E240" s="1">
        <v>0</v>
      </c>
      <c r="F240" s="1">
        <v>0</v>
      </c>
      <c r="G240" s="1">
        <v>0</v>
      </c>
      <c r="H240" s="1">
        <v>47972601</v>
      </c>
      <c r="I240" s="1">
        <v>47972601</v>
      </c>
    </row>
    <row r="241" spans="1:10">
      <c r="A241" s="1" t="s">
        <v>169</v>
      </c>
      <c r="B241" s="1" t="s">
        <v>170</v>
      </c>
      <c r="C241" s="1">
        <v>2017</v>
      </c>
      <c r="D241" s="1">
        <v>2040</v>
      </c>
      <c r="E241" s="1">
        <v>0</v>
      </c>
      <c r="F241" s="1">
        <v>0</v>
      </c>
      <c r="G241" s="1">
        <v>0</v>
      </c>
      <c r="H241" s="1">
        <v>48156391</v>
      </c>
      <c r="I241" s="1">
        <v>48156391</v>
      </c>
    </row>
    <row r="242" spans="1:10">
      <c r="A242" s="1" t="s">
        <v>169</v>
      </c>
      <c r="B242" s="1" t="s">
        <v>170</v>
      </c>
      <c r="C242" s="1">
        <v>2017</v>
      </c>
      <c r="D242" s="1">
        <v>2018</v>
      </c>
      <c r="E242" s="1">
        <v>0</v>
      </c>
      <c r="F242" s="1">
        <v>6599441</v>
      </c>
      <c r="G242" s="1">
        <v>6599441</v>
      </c>
      <c r="H242" s="1">
        <v>37743179</v>
      </c>
      <c r="I242" s="1">
        <v>44342620</v>
      </c>
      <c r="J242" s="1" t="s">
        <v>401</v>
      </c>
    </row>
    <row r="243" spans="1:10">
      <c r="A243" s="1" t="s">
        <v>169</v>
      </c>
      <c r="B243" s="1" t="s">
        <v>170</v>
      </c>
      <c r="C243" s="1">
        <v>2017</v>
      </c>
      <c r="D243" s="1">
        <v>2019</v>
      </c>
      <c r="E243" s="1">
        <v>0</v>
      </c>
      <c r="F243" s="1">
        <v>9658828</v>
      </c>
      <c r="G243" s="1">
        <v>9658828</v>
      </c>
      <c r="H243" s="1">
        <v>38044946</v>
      </c>
      <c r="I243" s="1">
        <v>47703774</v>
      </c>
    </row>
    <row r="244" spans="1:10">
      <c r="A244" s="1" t="s">
        <v>169</v>
      </c>
      <c r="B244" s="1" t="s">
        <v>170</v>
      </c>
      <c r="C244" s="1">
        <v>2017</v>
      </c>
      <c r="D244" s="1">
        <v>2020</v>
      </c>
      <c r="E244" s="1">
        <v>0</v>
      </c>
      <c r="F244" s="1">
        <v>9658852</v>
      </c>
      <c r="G244" s="1">
        <v>9658852</v>
      </c>
      <c r="H244" s="1">
        <v>38097196</v>
      </c>
      <c r="I244" s="1">
        <v>47756048</v>
      </c>
    </row>
    <row r="245" spans="1:10">
      <c r="A245" s="1" t="s">
        <v>169</v>
      </c>
      <c r="B245" s="1" t="s">
        <v>170</v>
      </c>
      <c r="C245" s="1">
        <v>2017</v>
      </c>
      <c r="D245" s="1">
        <v>2021</v>
      </c>
      <c r="E245" s="1">
        <v>0</v>
      </c>
      <c r="F245" s="1">
        <v>9658804</v>
      </c>
      <c r="G245" s="1">
        <v>9658804</v>
      </c>
      <c r="H245" s="1">
        <v>37881946</v>
      </c>
      <c r="I245" s="1">
        <v>47540750</v>
      </c>
    </row>
    <row r="246" spans="1:10">
      <c r="A246" s="1" t="s">
        <v>169</v>
      </c>
      <c r="B246" s="1" t="s">
        <v>170</v>
      </c>
      <c r="C246" s="1">
        <v>2017</v>
      </c>
      <c r="D246" s="1">
        <v>2022</v>
      </c>
      <c r="E246" s="1">
        <v>0</v>
      </c>
      <c r="F246" s="1">
        <v>9658828</v>
      </c>
      <c r="G246" s="1">
        <v>9658828</v>
      </c>
      <c r="H246" s="1">
        <v>37839946</v>
      </c>
      <c r="I246" s="1">
        <v>47498774</v>
      </c>
    </row>
    <row r="247" spans="1:10">
      <c r="A247" s="1" t="s">
        <v>169</v>
      </c>
      <c r="B247" s="1" t="s">
        <v>170</v>
      </c>
      <c r="C247" s="1">
        <v>2017</v>
      </c>
      <c r="D247" s="1">
        <v>2023</v>
      </c>
      <c r="E247" s="1">
        <v>0</v>
      </c>
      <c r="F247" s="1">
        <v>9658828</v>
      </c>
      <c r="G247" s="1">
        <v>9658828</v>
      </c>
      <c r="H247" s="1">
        <v>37915446</v>
      </c>
      <c r="I247" s="1">
        <v>47574274</v>
      </c>
    </row>
    <row r="248" spans="1:10">
      <c r="A248" s="1" t="s">
        <v>169</v>
      </c>
      <c r="B248" s="1" t="s">
        <v>170</v>
      </c>
      <c r="C248" s="1">
        <v>2017</v>
      </c>
      <c r="D248" s="1">
        <v>2024</v>
      </c>
      <c r="E248" s="1">
        <v>0</v>
      </c>
      <c r="F248" s="1">
        <v>9658852</v>
      </c>
      <c r="G248" s="1">
        <v>9658852</v>
      </c>
      <c r="H248" s="1">
        <v>37169946</v>
      </c>
      <c r="I248" s="1">
        <v>46828798</v>
      </c>
    </row>
    <row r="249" spans="1:10">
      <c r="A249" s="1" t="s">
        <v>169</v>
      </c>
      <c r="B249" s="1" t="s">
        <v>170</v>
      </c>
      <c r="C249" s="1">
        <v>2017</v>
      </c>
      <c r="D249" s="1">
        <v>2025</v>
      </c>
      <c r="E249" s="1">
        <v>0</v>
      </c>
      <c r="F249" s="1">
        <v>9658804</v>
      </c>
      <c r="G249" s="1">
        <v>9658804</v>
      </c>
      <c r="H249" s="1">
        <v>37751446</v>
      </c>
      <c r="I249" s="1">
        <v>47410250</v>
      </c>
    </row>
    <row r="250" spans="1:10">
      <c r="A250" s="1" t="s">
        <v>169</v>
      </c>
      <c r="B250" s="1" t="s">
        <v>170</v>
      </c>
      <c r="C250" s="1">
        <v>2017</v>
      </c>
      <c r="D250" s="1">
        <v>2026</v>
      </c>
      <c r="E250" s="1">
        <v>0</v>
      </c>
      <c r="F250" s="1">
        <v>9658828</v>
      </c>
      <c r="G250" s="1">
        <v>9658828</v>
      </c>
      <c r="H250" s="1">
        <v>38937446</v>
      </c>
      <c r="I250" s="1">
        <v>48596274</v>
      </c>
    </row>
    <row r="251" spans="1:10">
      <c r="A251" s="1" t="s">
        <v>169</v>
      </c>
      <c r="B251" s="1" t="s">
        <v>170</v>
      </c>
      <c r="C251" s="1">
        <v>2017</v>
      </c>
      <c r="D251" s="1">
        <v>2027</v>
      </c>
      <c r="E251" s="1">
        <v>0</v>
      </c>
      <c r="F251" s="1">
        <v>9658828</v>
      </c>
      <c r="G251" s="1">
        <v>9658828</v>
      </c>
      <c r="H251" s="1">
        <v>38977133</v>
      </c>
      <c r="I251" s="1">
        <v>48635961</v>
      </c>
    </row>
    <row r="252" spans="1:10">
      <c r="A252" s="1" t="s">
        <v>169</v>
      </c>
      <c r="B252" s="1" t="s">
        <v>170</v>
      </c>
      <c r="C252" s="1">
        <v>2017</v>
      </c>
      <c r="D252" s="1">
        <v>2028</v>
      </c>
      <c r="E252" s="1">
        <v>0</v>
      </c>
      <c r="F252" s="1">
        <v>9658852</v>
      </c>
      <c r="G252" s="1">
        <v>9658852</v>
      </c>
      <c r="H252" s="1">
        <v>38944133</v>
      </c>
      <c r="I252" s="1">
        <v>48602985</v>
      </c>
    </row>
    <row r="253" spans="1:10">
      <c r="A253" s="1" t="s">
        <v>169</v>
      </c>
      <c r="B253" s="1" t="s">
        <v>170</v>
      </c>
      <c r="C253" s="1">
        <v>2017</v>
      </c>
      <c r="D253" s="1">
        <v>2029</v>
      </c>
      <c r="E253" s="1">
        <v>0</v>
      </c>
      <c r="F253" s="1">
        <v>9658804</v>
      </c>
      <c r="G253" s="1">
        <v>9658804</v>
      </c>
      <c r="H253" s="1">
        <v>38958783</v>
      </c>
      <c r="I253" s="1">
        <v>48617587</v>
      </c>
    </row>
    <row r="254" spans="1:10">
      <c r="A254" s="1" t="s">
        <v>169</v>
      </c>
      <c r="B254" s="1" t="s">
        <v>170</v>
      </c>
      <c r="C254" s="1">
        <v>2017</v>
      </c>
      <c r="D254" s="1">
        <v>2030</v>
      </c>
      <c r="E254" s="1">
        <v>0</v>
      </c>
      <c r="F254" s="1">
        <v>9658828</v>
      </c>
      <c r="G254" s="1">
        <v>9658828</v>
      </c>
      <c r="H254" s="1">
        <v>38763671</v>
      </c>
      <c r="I254" s="1">
        <v>48422499</v>
      </c>
    </row>
    <row r="255" spans="1:10">
      <c r="A255" s="1" t="s">
        <v>169</v>
      </c>
      <c r="B255" s="1" t="s">
        <v>170</v>
      </c>
      <c r="C255" s="1">
        <v>2017</v>
      </c>
      <c r="D255" s="1">
        <v>2031</v>
      </c>
      <c r="E255" s="1">
        <v>0</v>
      </c>
      <c r="F255" s="1">
        <v>9658828</v>
      </c>
      <c r="G255" s="1">
        <v>9658828</v>
      </c>
      <c r="H255" s="1">
        <v>37520531</v>
      </c>
      <c r="I255" s="1">
        <v>47179359</v>
      </c>
    </row>
    <row r="256" spans="1:10">
      <c r="A256" s="1" t="s">
        <v>169</v>
      </c>
      <c r="B256" s="1" t="s">
        <v>170</v>
      </c>
      <c r="C256" s="1">
        <v>2017</v>
      </c>
      <c r="D256" s="1">
        <v>2032</v>
      </c>
      <c r="E256" s="1">
        <v>750000</v>
      </c>
      <c r="F256" s="1">
        <v>9655682</v>
      </c>
      <c r="G256" s="1">
        <v>10405682</v>
      </c>
      <c r="H256" s="1">
        <v>38206204</v>
      </c>
      <c r="I256" s="1">
        <v>48611886</v>
      </c>
    </row>
    <row r="257" spans="1:9">
      <c r="A257" s="1" t="s">
        <v>169</v>
      </c>
      <c r="B257" s="1" t="s">
        <v>170</v>
      </c>
      <c r="C257" s="1">
        <v>2017</v>
      </c>
      <c r="D257" s="1">
        <v>2033</v>
      </c>
      <c r="E257" s="1">
        <v>915000</v>
      </c>
      <c r="F257" s="1">
        <v>9632101</v>
      </c>
      <c r="G257" s="1">
        <v>10547101</v>
      </c>
      <c r="H257" s="1">
        <v>38150830</v>
      </c>
      <c r="I257" s="1">
        <v>48697931</v>
      </c>
    </row>
    <row r="258" spans="1:9">
      <c r="A258" s="1" t="s">
        <v>169</v>
      </c>
      <c r="B258" s="1" t="s">
        <v>170</v>
      </c>
      <c r="C258" s="1">
        <v>2017</v>
      </c>
      <c r="D258" s="1">
        <v>2034</v>
      </c>
      <c r="E258" s="1">
        <v>4000000</v>
      </c>
      <c r="F258" s="1">
        <v>9601450</v>
      </c>
      <c r="G258" s="1">
        <v>13601450</v>
      </c>
      <c r="H258" s="1">
        <v>35113660</v>
      </c>
      <c r="I258" s="1">
        <v>48715110</v>
      </c>
    </row>
    <row r="259" spans="1:9">
      <c r="A259" s="1" t="s">
        <v>169</v>
      </c>
      <c r="B259" s="1" t="s">
        <v>170</v>
      </c>
      <c r="C259" s="1">
        <v>2017</v>
      </c>
      <c r="D259" s="1">
        <v>2035</v>
      </c>
      <c r="E259" s="1">
        <v>27400000</v>
      </c>
      <c r="F259" s="1">
        <v>9433117</v>
      </c>
      <c r="G259" s="1">
        <v>36833117</v>
      </c>
      <c r="H259" s="1">
        <v>12049039</v>
      </c>
      <c r="I259" s="1">
        <v>48882156</v>
      </c>
    </row>
    <row r="260" spans="1:9">
      <c r="A260" s="1" t="s">
        <v>169</v>
      </c>
      <c r="B260" s="1" t="s">
        <v>170</v>
      </c>
      <c r="C260" s="1">
        <v>2017</v>
      </c>
      <c r="D260" s="1">
        <v>2036</v>
      </c>
      <c r="E260" s="1">
        <v>34020000</v>
      </c>
      <c r="F260" s="1">
        <v>8236390</v>
      </c>
      <c r="G260" s="1">
        <v>42256390</v>
      </c>
      <c r="H260" s="1">
        <v>6057363</v>
      </c>
      <c r="I260" s="1">
        <v>48313753</v>
      </c>
    </row>
    <row r="261" spans="1:9">
      <c r="A261" s="1" t="s">
        <v>169</v>
      </c>
      <c r="B261" s="1" t="s">
        <v>170</v>
      </c>
      <c r="C261" s="1">
        <v>2017</v>
      </c>
      <c r="D261" s="1">
        <v>2037</v>
      </c>
      <c r="E261" s="1">
        <v>35520000</v>
      </c>
      <c r="F261" s="1">
        <v>6733812</v>
      </c>
      <c r="G261" s="1">
        <v>42253812</v>
      </c>
      <c r="H261" s="1">
        <v>6056137</v>
      </c>
      <c r="I261" s="1">
        <v>48309949</v>
      </c>
    </row>
    <row r="262" spans="1:9">
      <c r="A262" s="1" t="s">
        <v>169</v>
      </c>
      <c r="B262" s="1" t="s">
        <v>170</v>
      </c>
      <c r="C262" s="1">
        <v>2017</v>
      </c>
      <c r="D262" s="1">
        <v>2038</v>
      </c>
      <c r="E262" s="1">
        <v>37085000</v>
      </c>
      <c r="F262" s="1">
        <v>5164982</v>
      </c>
      <c r="G262" s="1">
        <v>42249982</v>
      </c>
      <c r="H262" s="1">
        <v>6057050</v>
      </c>
      <c r="I262" s="1">
        <v>48307032</v>
      </c>
    </row>
    <row r="263" spans="1:9">
      <c r="A263" s="1" t="s">
        <v>169</v>
      </c>
      <c r="B263" s="1" t="s">
        <v>170</v>
      </c>
      <c r="C263" s="1">
        <v>2017</v>
      </c>
      <c r="D263" s="1">
        <v>2039</v>
      </c>
      <c r="E263" s="1">
        <v>38675000</v>
      </c>
      <c r="F263" s="1">
        <v>3527030</v>
      </c>
      <c r="G263" s="1">
        <v>42202030</v>
      </c>
      <c r="H263" s="1">
        <v>6059313</v>
      </c>
      <c r="I263" s="1">
        <v>48261343</v>
      </c>
    </row>
    <row r="264" spans="1:9">
      <c r="A264" s="1" t="s">
        <v>169</v>
      </c>
      <c r="B264" s="1" t="s">
        <v>170</v>
      </c>
      <c r="C264" s="1">
        <v>2017</v>
      </c>
      <c r="D264" s="1">
        <v>2040</v>
      </c>
      <c r="E264" s="1">
        <v>40440000</v>
      </c>
      <c r="F264" s="1">
        <v>1805848</v>
      </c>
      <c r="G264" s="1">
        <v>42245848</v>
      </c>
      <c r="H264" s="1">
        <v>6057138</v>
      </c>
      <c r="I264" s="1">
        <v>48302986</v>
      </c>
    </row>
    <row r="265" spans="1:9">
      <c r="A265" s="1" t="s">
        <v>169</v>
      </c>
      <c r="B265" s="1" t="s">
        <v>170</v>
      </c>
      <c r="C265" s="1">
        <v>2019</v>
      </c>
      <c r="D265" s="1">
        <v>2019</v>
      </c>
      <c r="E265" s="1">
        <v>0</v>
      </c>
      <c r="F265" s="1">
        <v>1699635</v>
      </c>
      <c r="G265" s="1">
        <v>1699635</v>
      </c>
      <c r="H265" s="1">
        <v>50310278</v>
      </c>
      <c r="I265" s="1">
        <v>52009913</v>
      </c>
    </row>
    <row r="266" spans="1:9">
      <c r="A266" s="1" t="s">
        <v>169</v>
      </c>
      <c r="B266" s="1" t="s">
        <v>170</v>
      </c>
      <c r="C266" s="1">
        <v>2019</v>
      </c>
      <c r="D266" s="1">
        <v>2020</v>
      </c>
      <c r="E266" s="1">
        <v>2295000</v>
      </c>
      <c r="F266" s="1">
        <v>10370650</v>
      </c>
      <c r="G266" s="1">
        <v>12665650</v>
      </c>
      <c r="H266" s="1">
        <v>48619110</v>
      </c>
      <c r="I266" s="1">
        <v>61284760</v>
      </c>
    </row>
    <row r="267" spans="1:9">
      <c r="A267" s="1" t="s">
        <v>169</v>
      </c>
      <c r="B267" s="1" t="s">
        <v>170</v>
      </c>
      <c r="C267" s="1">
        <v>2019</v>
      </c>
      <c r="D267" s="1">
        <v>2021</v>
      </c>
      <c r="E267" s="1">
        <v>2415000</v>
      </c>
      <c r="F267" s="1">
        <v>10255900</v>
      </c>
      <c r="G267" s="1">
        <v>12670900</v>
      </c>
      <c r="H267" s="1">
        <v>48718393</v>
      </c>
      <c r="I267" s="1">
        <v>61389293</v>
      </c>
    </row>
    <row r="268" spans="1:9">
      <c r="A268" s="1" t="s">
        <v>169</v>
      </c>
      <c r="B268" s="1" t="s">
        <v>170</v>
      </c>
      <c r="C268" s="1">
        <v>2019</v>
      </c>
      <c r="D268" s="1">
        <v>2022</v>
      </c>
      <c r="E268" s="1">
        <v>2540000</v>
      </c>
      <c r="F268" s="1">
        <v>10135150</v>
      </c>
      <c r="G268" s="1">
        <v>12675150</v>
      </c>
      <c r="H268" s="1">
        <v>48636517</v>
      </c>
      <c r="I268" s="1">
        <v>61311667</v>
      </c>
    </row>
    <row r="269" spans="1:9">
      <c r="A269" s="1" t="s">
        <v>169</v>
      </c>
      <c r="B269" s="1" t="s">
        <v>170</v>
      </c>
      <c r="C269" s="1">
        <v>2019</v>
      </c>
      <c r="D269" s="1">
        <v>2023</v>
      </c>
      <c r="E269" s="1">
        <v>2665000</v>
      </c>
      <c r="F269" s="1">
        <v>10008150</v>
      </c>
      <c r="G269" s="1">
        <v>12673150</v>
      </c>
      <c r="H269" s="1">
        <v>48019385</v>
      </c>
      <c r="I269" s="1">
        <v>60692535</v>
      </c>
    </row>
    <row r="270" spans="1:9">
      <c r="A270" s="1" t="s">
        <v>169</v>
      </c>
      <c r="B270" s="1" t="s">
        <v>170</v>
      </c>
      <c r="C270" s="1">
        <v>2019</v>
      </c>
      <c r="D270" s="1">
        <v>2024</v>
      </c>
      <c r="E270" s="1">
        <v>2800000</v>
      </c>
      <c r="F270" s="1">
        <v>9874900</v>
      </c>
      <c r="G270" s="1">
        <v>12674900</v>
      </c>
      <c r="H270" s="1">
        <v>46601871</v>
      </c>
      <c r="I270" s="1">
        <v>59276771</v>
      </c>
    </row>
    <row r="271" spans="1:9">
      <c r="A271" s="1" t="s">
        <v>169</v>
      </c>
      <c r="B271" s="1" t="s">
        <v>170</v>
      </c>
      <c r="C271" s="1">
        <v>2019</v>
      </c>
      <c r="D271" s="1">
        <v>2025</v>
      </c>
      <c r="E271" s="1">
        <v>2940000</v>
      </c>
      <c r="F271" s="1">
        <v>9734900</v>
      </c>
      <c r="G271" s="1">
        <v>12674900</v>
      </c>
      <c r="H271" s="1">
        <v>46679724</v>
      </c>
      <c r="I271" s="1">
        <v>59354624</v>
      </c>
    </row>
    <row r="272" spans="1:9">
      <c r="A272" s="1" t="s">
        <v>169</v>
      </c>
      <c r="B272" s="1" t="s">
        <v>170</v>
      </c>
      <c r="C272" s="1">
        <v>2019</v>
      </c>
      <c r="D272" s="1">
        <v>2026</v>
      </c>
      <c r="E272" s="1">
        <v>3085000</v>
      </c>
      <c r="F272" s="1">
        <v>9587900</v>
      </c>
      <c r="G272" s="1">
        <v>12672900</v>
      </c>
      <c r="H272" s="1">
        <v>47328880</v>
      </c>
      <c r="I272" s="1">
        <v>60001780</v>
      </c>
    </row>
    <row r="273" spans="1:9">
      <c r="A273" s="1" t="s">
        <v>169</v>
      </c>
      <c r="B273" s="1" t="s">
        <v>170</v>
      </c>
      <c r="C273" s="1">
        <v>2019</v>
      </c>
      <c r="D273" s="1">
        <v>2027</v>
      </c>
      <c r="E273" s="1">
        <v>3240000</v>
      </c>
      <c r="F273" s="1">
        <v>9433650</v>
      </c>
      <c r="G273" s="1">
        <v>12673650</v>
      </c>
      <c r="H273" s="1">
        <v>47312385</v>
      </c>
      <c r="I273" s="1">
        <v>59986035</v>
      </c>
    </row>
    <row r="274" spans="1:9">
      <c r="A274" s="1" t="s">
        <v>169</v>
      </c>
      <c r="B274" s="1" t="s">
        <v>170</v>
      </c>
      <c r="C274" s="1">
        <v>2019</v>
      </c>
      <c r="D274" s="1">
        <v>2028</v>
      </c>
      <c r="E274" s="1">
        <v>3400000</v>
      </c>
      <c r="F274" s="1">
        <v>9271650</v>
      </c>
      <c r="G274" s="1">
        <v>12671650</v>
      </c>
      <c r="H274" s="1">
        <v>47279385</v>
      </c>
      <c r="I274" s="1">
        <v>59951035</v>
      </c>
    </row>
    <row r="275" spans="1:9">
      <c r="A275" s="1" t="s">
        <v>169</v>
      </c>
      <c r="B275" s="1" t="s">
        <v>170</v>
      </c>
      <c r="C275" s="1">
        <v>2019</v>
      </c>
      <c r="D275" s="1">
        <v>2029</v>
      </c>
      <c r="E275" s="1">
        <v>3570000</v>
      </c>
      <c r="F275" s="1">
        <v>9101650</v>
      </c>
      <c r="G275" s="1">
        <v>12671650</v>
      </c>
      <c r="H275" s="1">
        <v>47006585</v>
      </c>
      <c r="I275" s="1">
        <v>59678235</v>
      </c>
    </row>
    <row r="276" spans="1:9">
      <c r="A276" s="1" t="s">
        <v>169</v>
      </c>
      <c r="B276" s="1" t="s">
        <v>170</v>
      </c>
      <c r="C276" s="1">
        <v>2019</v>
      </c>
      <c r="D276" s="1">
        <v>2030</v>
      </c>
      <c r="E276" s="1">
        <v>6740000</v>
      </c>
      <c r="F276" s="1">
        <v>8923150</v>
      </c>
      <c r="G276" s="1">
        <v>15663150</v>
      </c>
      <c r="H276" s="1">
        <v>43352135</v>
      </c>
      <c r="I276" s="1">
        <v>59015285</v>
      </c>
    </row>
    <row r="277" spans="1:9">
      <c r="A277" s="1" t="s">
        <v>169</v>
      </c>
      <c r="B277" s="1" t="s">
        <v>170</v>
      </c>
      <c r="C277" s="1">
        <v>2019</v>
      </c>
      <c r="D277" s="1">
        <v>2031</v>
      </c>
      <c r="E277" s="1">
        <v>19340000</v>
      </c>
      <c r="F277" s="1">
        <v>8586150</v>
      </c>
      <c r="G277" s="1">
        <v>27926150</v>
      </c>
      <c r="H277" s="1">
        <v>29625693</v>
      </c>
      <c r="I277" s="1">
        <v>57551843</v>
      </c>
    </row>
    <row r="278" spans="1:9">
      <c r="A278" s="1" t="s">
        <v>169</v>
      </c>
      <c r="B278" s="1" t="s">
        <v>170</v>
      </c>
      <c r="C278" s="1">
        <v>2019</v>
      </c>
      <c r="D278" s="1">
        <v>2032</v>
      </c>
      <c r="E278" s="1">
        <v>29735000</v>
      </c>
      <c r="F278" s="1">
        <v>7619150</v>
      </c>
      <c r="G278" s="1">
        <v>37354150</v>
      </c>
      <c r="H278" s="1">
        <v>21197793</v>
      </c>
      <c r="I278" s="1">
        <v>58551943</v>
      </c>
    </row>
    <row r="279" spans="1:9">
      <c r="A279" s="1" t="s">
        <v>169</v>
      </c>
      <c r="B279" s="1" t="s">
        <v>170</v>
      </c>
      <c r="C279" s="1">
        <v>2019</v>
      </c>
      <c r="D279" s="1">
        <v>2033</v>
      </c>
      <c r="E279" s="1">
        <v>30975000</v>
      </c>
      <c r="F279" s="1">
        <v>6132400</v>
      </c>
      <c r="G279" s="1">
        <v>37107400</v>
      </c>
      <c r="H279" s="1">
        <v>21334990</v>
      </c>
      <c r="I279" s="1">
        <v>58442390</v>
      </c>
    </row>
    <row r="280" spans="1:9">
      <c r="A280" s="1" t="s">
        <v>169</v>
      </c>
      <c r="B280" s="1" t="s">
        <v>170</v>
      </c>
      <c r="C280" s="1">
        <v>2019</v>
      </c>
      <c r="D280" s="1">
        <v>2034</v>
      </c>
      <c r="E280" s="1">
        <v>32440000</v>
      </c>
      <c r="F280" s="1">
        <v>4583650</v>
      </c>
      <c r="G280" s="1">
        <v>37023650</v>
      </c>
      <c r="H280" s="1">
        <v>21261441</v>
      </c>
      <c r="I280" s="1">
        <v>58285091</v>
      </c>
    </row>
    <row r="281" spans="1:9">
      <c r="A281" s="1" t="s">
        <v>169</v>
      </c>
      <c r="B281" s="1" t="s">
        <v>170</v>
      </c>
      <c r="C281" s="1">
        <v>2019</v>
      </c>
      <c r="D281" s="1">
        <v>2035</v>
      </c>
      <c r="E281" s="1">
        <v>10565000</v>
      </c>
      <c r="F281" s="1">
        <v>3240450</v>
      </c>
      <c r="G281" s="1">
        <v>13805450</v>
      </c>
      <c r="H281" s="1">
        <v>44490802</v>
      </c>
      <c r="I281" s="1">
        <v>58296252</v>
      </c>
    </row>
    <row r="282" spans="1:9">
      <c r="A282" s="1" t="s">
        <v>169</v>
      </c>
      <c r="B282" s="1" t="s">
        <v>170</v>
      </c>
      <c r="C282" s="1">
        <v>2019</v>
      </c>
      <c r="D282" s="1">
        <v>2036</v>
      </c>
      <c r="E282" s="1">
        <v>5025000</v>
      </c>
      <c r="F282" s="1">
        <v>2770000</v>
      </c>
      <c r="G282" s="1">
        <v>7795000</v>
      </c>
      <c r="H282" s="1">
        <v>49911884</v>
      </c>
      <c r="I282" s="1">
        <v>57706884</v>
      </c>
    </row>
    <row r="283" spans="1:9">
      <c r="A283" s="1" t="s">
        <v>169</v>
      </c>
      <c r="B283" s="1" t="s">
        <v>170</v>
      </c>
      <c r="C283" s="1">
        <v>2019</v>
      </c>
      <c r="D283" s="1">
        <v>2037</v>
      </c>
      <c r="E283" s="1">
        <v>5275000</v>
      </c>
      <c r="F283" s="1">
        <v>2518750</v>
      </c>
      <c r="G283" s="1">
        <v>7793750</v>
      </c>
      <c r="H283" s="1">
        <v>49908081</v>
      </c>
      <c r="I283" s="1">
        <v>57701831</v>
      </c>
    </row>
    <row r="284" spans="1:9">
      <c r="A284" s="1" t="s">
        <v>169</v>
      </c>
      <c r="B284" s="1" t="s">
        <v>170</v>
      </c>
      <c r="C284" s="1">
        <v>2019</v>
      </c>
      <c r="D284" s="1">
        <v>2038</v>
      </c>
      <c r="E284" s="1">
        <v>5540000</v>
      </c>
      <c r="F284" s="1">
        <v>2255000</v>
      </c>
      <c r="G284" s="1">
        <v>7795000</v>
      </c>
      <c r="H284" s="1">
        <v>49905164</v>
      </c>
      <c r="I284" s="1">
        <v>57700164</v>
      </c>
    </row>
    <row r="285" spans="1:9">
      <c r="A285" s="1" t="s">
        <v>169</v>
      </c>
      <c r="B285" s="1" t="s">
        <v>170</v>
      </c>
      <c r="C285" s="1">
        <v>2019</v>
      </c>
      <c r="D285" s="1">
        <v>2039</v>
      </c>
      <c r="E285" s="1">
        <v>5815000</v>
      </c>
      <c r="F285" s="1">
        <v>1978000</v>
      </c>
      <c r="G285" s="1">
        <v>7793000</v>
      </c>
      <c r="H285" s="1">
        <v>49859474</v>
      </c>
      <c r="I285" s="1">
        <v>57652474</v>
      </c>
    </row>
    <row r="286" spans="1:9">
      <c r="A286" s="1" t="s">
        <v>169</v>
      </c>
      <c r="B286" s="1" t="s">
        <v>170</v>
      </c>
      <c r="C286" s="1">
        <v>2019</v>
      </c>
      <c r="D286" s="1">
        <v>2040</v>
      </c>
      <c r="E286" s="1">
        <v>6105000</v>
      </c>
      <c r="F286" s="1">
        <v>1687250</v>
      </c>
      <c r="G286" s="1">
        <v>7792250</v>
      </c>
      <c r="H286" s="1">
        <v>49901117</v>
      </c>
      <c r="I286" s="1">
        <v>57693367</v>
      </c>
    </row>
    <row r="287" spans="1:9">
      <c r="A287" s="1" t="s">
        <v>169</v>
      </c>
      <c r="B287" s="1" t="s">
        <v>170</v>
      </c>
      <c r="C287" s="1">
        <v>2019</v>
      </c>
      <c r="D287" s="1">
        <v>2041</v>
      </c>
      <c r="E287" s="1">
        <v>6410000</v>
      </c>
      <c r="F287" s="1">
        <v>1382000</v>
      </c>
      <c r="G287" s="1">
        <v>7792000</v>
      </c>
      <c r="H287" s="1">
        <v>1598132</v>
      </c>
      <c r="I287" s="1">
        <v>9390132</v>
      </c>
    </row>
    <row r="288" spans="1:9">
      <c r="A288" s="1" t="s">
        <v>169</v>
      </c>
      <c r="B288" s="1" t="s">
        <v>170</v>
      </c>
      <c r="C288" s="1">
        <v>2019</v>
      </c>
      <c r="D288" s="1">
        <v>2042</v>
      </c>
      <c r="E288" s="1">
        <v>6735000</v>
      </c>
      <c r="F288" s="1">
        <v>1061500</v>
      </c>
      <c r="G288" s="1">
        <v>7796500</v>
      </c>
      <c r="H288" s="1">
        <v>1598132</v>
      </c>
      <c r="I288" s="1">
        <v>9394632</v>
      </c>
    </row>
    <row r="289" spans="1:9">
      <c r="A289" s="1" t="s">
        <v>169</v>
      </c>
      <c r="B289" s="1" t="s">
        <v>170</v>
      </c>
      <c r="C289" s="1">
        <v>2019</v>
      </c>
      <c r="D289" s="1">
        <v>2043</v>
      </c>
      <c r="E289" s="1">
        <v>7070000</v>
      </c>
      <c r="F289" s="1">
        <v>724750</v>
      </c>
      <c r="G289" s="1">
        <v>7794750</v>
      </c>
      <c r="H289" s="1">
        <v>1598132</v>
      </c>
      <c r="I289" s="1">
        <v>9392882</v>
      </c>
    </row>
    <row r="290" spans="1:9">
      <c r="A290" s="1" t="s">
        <v>169</v>
      </c>
      <c r="B290" s="1" t="s">
        <v>170</v>
      </c>
      <c r="C290" s="1">
        <v>2019</v>
      </c>
      <c r="D290" s="1">
        <v>2044</v>
      </c>
      <c r="E290" s="1">
        <v>7425000</v>
      </c>
      <c r="F290" s="1">
        <v>371250</v>
      </c>
      <c r="G290" s="1">
        <v>7796250</v>
      </c>
      <c r="H290" s="1">
        <v>1598132</v>
      </c>
      <c r="I290" s="1">
        <v>9394382</v>
      </c>
    </row>
    <row r="291" spans="1:9">
      <c r="A291" s="1" t="s">
        <v>169</v>
      </c>
      <c r="B291" s="1" t="s">
        <v>170</v>
      </c>
      <c r="C291" s="1">
        <v>2019</v>
      </c>
      <c r="D291" s="1">
        <v>2045</v>
      </c>
      <c r="E291" s="1">
        <v>0</v>
      </c>
      <c r="F291" s="1">
        <v>0</v>
      </c>
      <c r="G291" s="1">
        <v>0</v>
      </c>
      <c r="H291" s="1">
        <v>532711</v>
      </c>
      <c r="I291" s="1">
        <v>532711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9"/>
  <sheetViews>
    <sheetView workbookViewId="0">
      <selection activeCell="H32" sqref="H32"/>
    </sheetView>
  </sheetViews>
  <sheetFormatPr defaultColWidth="8.85546875" defaultRowHeight="14.45"/>
  <cols>
    <col min="1" max="1" width="10.140625" style="1" bestFit="1" customWidth="1"/>
    <col min="2" max="4" width="8.85546875" style="1"/>
    <col min="5" max="5" width="10.7109375" style="1" bestFit="1" customWidth="1"/>
    <col min="6" max="6" width="8.85546875" style="1"/>
    <col min="7" max="7" width="10" style="1" bestFit="1" customWidth="1"/>
    <col min="8" max="16384" width="8.85546875" style="1"/>
  </cols>
  <sheetData>
    <row r="1" spans="1:11">
      <c r="A1" s="2" t="s">
        <v>149</v>
      </c>
      <c r="B1" s="2" t="s">
        <v>150</v>
      </c>
      <c r="C1" s="2" t="s">
        <v>151</v>
      </c>
      <c r="D1" s="2" t="s">
        <v>395</v>
      </c>
      <c r="E1" s="4" t="s">
        <v>402</v>
      </c>
      <c r="F1" s="4" t="s">
        <v>403</v>
      </c>
      <c r="G1" s="4" t="s">
        <v>404</v>
      </c>
      <c r="H1" s="4" t="s">
        <v>405</v>
      </c>
      <c r="I1" s="4" t="s">
        <v>406</v>
      </c>
      <c r="J1" s="4" t="s">
        <v>407</v>
      </c>
      <c r="K1" s="1" t="s">
        <v>408</v>
      </c>
    </row>
    <row r="2" spans="1:11">
      <c r="A2" s="1" t="s">
        <v>169</v>
      </c>
      <c r="B2" s="1" t="s">
        <v>170</v>
      </c>
      <c r="C2" s="1">
        <v>1991</v>
      </c>
      <c r="D2" s="1">
        <v>1986</v>
      </c>
      <c r="E2" s="1">
        <v>27252000</v>
      </c>
      <c r="G2" s="1">
        <v>7753000</v>
      </c>
      <c r="I2" s="20">
        <f>E2/G2</f>
        <v>3.5150264413775312</v>
      </c>
      <c r="J2" s="1">
        <v>1.28</v>
      </c>
      <c r="K2" s="1" t="s">
        <v>409</v>
      </c>
    </row>
    <row r="3" spans="1:11">
      <c r="A3" s="1" t="s">
        <v>169</v>
      </c>
      <c r="B3" s="1" t="s">
        <v>170</v>
      </c>
      <c r="C3" s="1">
        <v>1991</v>
      </c>
      <c r="D3" s="1">
        <v>1987</v>
      </c>
      <c r="E3" s="1">
        <v>25266000</v>
      </c>
      <c r="G3" s="1">
        <v>12017000</v>
      </c>
      <c r="I3" s="20">
        <f t="shared" ref="I3:I24" si="0">E3/G3</f>
        <v>2.1025214279770323</v>
      </c>
      <c r="J3" s="1">
        <v>1.19</v>
      </c>
    </row>
    <row r="4" spans="1:11">
      <c r="A4" s="1" t="s">
        <v>169</v>
      </c>
      <c r="B4" s="1" t="s">
        <v>170</v>
      </c>
      <c r="C4" s="1">
        <v>1991</v>
      </c>
      <c r="D4" s="1">
        <v>1988</v>
      </c>
      <c r="E4" s="1">
        <v>28926000</v>
      </c>
      <c r="G4" s="1">
        <v>13595000</v>
      </c>
      <c r="I4" s="20">
        <f t="shared" si="0"/>
        <v>2.1276940051489519</v>
      </c>
      <c r="J4" s="1">
        <v>1.36</v>
      </c>
    </row>
    <row r="5" spans="1:11">
      <c r="A5" s="1" t="s">
        <v>169</v>
      </c>
      <c r="B5" s="1" t="s">
        <v>170</v>
      </c>
      <c r="C5" s="1">
        <v>1991</v>
      </c>
      <c r="D5" s="1">
        <v>1989</v>
      </c>
      <c r="E5" s="1">
        <v>31981000</v>
      </c>
      <c r="G5" s="1">
        <v>14334000</v>
      </c>
      <c r="I5" s="20">
        <f t="shared" si="0"/>
        <v>2.2311287847076882</v>
      </c>
      <c r="J5" s="1">
        <v>1.5</v>
      </c>
    </row>
    <row r="6" spans="1:11">
      <c r="A6" s="1" t="s">
        <v>169</v>
      </c>
      <c r="B6" s="1" t="s">
        <v>170</v>
      </c>
      <c r="C6" s="1">
        <v>1991</v>
      </c>
      <c r="D6" s="1">
        <v>1990</v>
      </c>
      <c r="E6" s="1">
        <v>31541000</v>
      </c>
      <c r="G6" s="1">
        <v>14395000</v>
      </c>
      <c r="I6" s="20">
        <f t="shared" si="0"/>
        <v>2.1911080236193121</v>
      </c>
      <c r="J6" s="1">
        <v>1.48</v>
      </c>
    </row>
    <row r="7" spans="1:11">
      <c r="A7" s="1" t="s">
        <v>169</v>
      </c>
      <c r="B7" s="1" t="s">
        <v>170</v>
      </c>
      <c r="C7" s="1">
        <v>1993</v>
      </c>
      <c r="D7" s="1">
        <v>1991</v>
      </c>
      <c r="E7" s="1">
        <v>27731000</v>
      </c>
      <c r="G7" s="1">
        <v>15120000</v>
      </c>
      <c r="I7" s="20">
        <f t="shared" si="0"/>
        <v>1.8340608465608466</v>
      </c>
      <c r="J7" s="1">
        <v>1.3</v>
      </c>
    </row>
    <row r="8" spans="1:11">
      <c r="A8" s="1" t="s">
        <v>169</v>
      </c>
      <c r="B8" s="1" t="s">
        <v>170</v>
      </c>
      <c r="C8" s="1">
        <v>1993</v>
      </c>
      <c r="D8" s="1">
        <v>1992</v>
      </c>
      <c r="E8" s="1">
        <v>26871000</v>
      </c>
      <c r="G8" s="1">
        <v>15958000</v>
      </c>
      <c r="I8" s="20">
        <f t="shared" si="0"/>
        <v>1.683857626268956</v>
      </c>
      <c r="J8" s="1">
        <v>1.26</v>
      </c>
    </row>
    <row r="9" spans="1:11">
      <c r="A9" s="1" t="s">
        <v>169</v>
      </c>
      <c r="B9" s="1" t="s">
        <v>170</v>
      </c>
      <c r="C9" s="1">
        <v>2013</v>
      </c>
      <c r="D9" s="1">
        <v>2012</v>
      </c>
      <c r="E9" s="1">
        <v>87512128</v>
      </c>
      <c r="F9" s="1">
        <v>45836128</v>
      </c>
      <c r="G9" s="1">
        <v>48151128</v>
      </c>
      <c r="I9" s="20">
        <f t="shared" si="0"/>
        <v>1.8174471011354085</v>
      </c>
      <c r="J9" s="20">
        <f>F9/G9</f>
        <v>0.95192220626690194</v>
      </c>
    </row>
    <row r="10" spans="1:11">
      <c r="A10" s="1" t="s">
        <v>169</v>
      </c>
      <c r="B10" s="1" t="s">
        <v>170</v>
      </c>
      <c r="C10" s="1">
        <v>2013</v>
      </c>
      <c r="D10" s="1">
        <v>2013</v>
      </c>
      <c r="E10" s="1">
        <v>89220858</v>
      </c>
      <c r="F10" s="1">
        <v>50325842</v>
      </c>
      <c r="G10" s="1">
        <v>47622095</v>
      </c>
      <c r="I10" s="20">
        <f t="shared" si="0"/>
        <v>1.8735181222077693</v>
      </c>
      <c r="J10" s="20">
        <f t="shared" ref="J10:J14" si="1">F10/G10</f>
        <v>1.0567750536804397</v>
      </c>
    </row>
    <row r="11" spans="1:11">
      <c r="A11" s="1" t="s">
        <v>169</v>
      </c>
      <c r="B11" s="1" t="s">
        <v>170</v>
      </c>
      <c r="C11" s="1">
        <v>2013</v>
      </c>
      <c r="D11" s="1">
        <v>2014</v>
      </c>
      <c r="E11" s="1">
        <v>104479836</v>
      </c>
      <c r="F11" s="1">
        <v>61513500</v>
      </c>
      <c r="G11" s="1">
        <v>53059217</v>
      </c>
      <c r="I11" s="20">
        <f t="shared" si="0"/>
        <v>1.969117561610455</v>
      </c>
      <c r="J11" s="20">
        <f t="shared" si="1"/>
        <v>1.1593367463375872</v>
      </c>
    </row>
    <row r="12" spans="1:11">
      <c r="A12" s="1" t="s">
        <v>169</v>
      </c>
      <c r="B12" s="1" t="s">
        <v>170</v>
      </c>
      <c r="C12" s="1">
        <v>2013</v>
      </c>
      <c r="D12" s="1">
        <v>2015</v>
      </c>
      <c r="E12" s="1">
        <v>108150146</v>
      </c>
      <c r="F12" s="1">
        <v>56729527</v>
      </c>
      <c r="G12" s="1">
        <v>56368455</v>
      </c>
      <c r="I12" s="20">
        <f t="shared" si="0"/>
        <v>1.9186288856063201</v>
      </c>
      <c r="J12" s="20">
        <f t="shared" si="1"/>
        <v>1.006405568504583</v>
      </c>
    </row>
    <row r="13" spans="1:11">
      <c r="A13" s="1" t="s">
        <v>169</v>
      </c>
      <c r="B13" s="1" t="s">
        <v>170</v>
      </c>
      <c r="C13" s="1">
        <v>2013</v>
      </c>
      <c r="D13" s="1">
        <v>2016</v>
      </c>
      <c r="E13" s="1">
        <v>109386953</v>
      </c>
      <c r="F13" s="1">
        <v>57605261</v>
      </c>
      <c r="G13" s="1">
        <v>56680457</v>
      </c>
      <c r="I13" s="20">
        <f t="shared" si="0"/>
        <v>1.9298883387619827</v>
      </c>
      <c r="J13" s="20">
        <f t="shared" si="1"/>
        <v>1.0163160999213539</v>
      </c>
    </row>
    <row r="14" spans="1:11">
      <c r="A14" s="1" t="s">
        <v>169</v>
      </c>
      <c r="B14" s="1" t="s">
        <v>170</v>
      </c>
      <c r="C14" s="1">
        <v>2013</v>
      </c>
      <c r="D14" s="1">
        <v>2017</v>
      </c>
      <c r="E14" s="1">
        <v>109977463</v>
      </c>
      <c r="F14" s="1">
        <v>57270967</v>
      </c>
      <c r="G14" s="1">
        <v>56421146</v>
      </c>
      <c r="I14" s="20">
        <f t="shared" si="0"/>
        <v>1.9492241968995099</v>
      </c>
      <c r="J14" s="20">
        <f t="shared" si="1"/>
        <v>1.0150621010073066</v>
      </c>
    </row>
    <row r="15" spans="1:11">
      <c r="A15" s="1" t="s">
        <v>169</v>
      </c>
      <c r="B15" s="1" t="s">
        <v>170</v>
      </c>
      <c r="C15" s="1">
        <v>2017</v>
      </c>
      <c r="D15" s="1">
        <v>2018</v>
      </c>
      <c r="E15" s="1">
        <v>76249000</v>
      </c>
      <c r="G15" s="1">
        <v>50409000</v>
      </c>
      <c r="I15" s="20">
        <f t="shared" si="0"/>
        <v>1.5126068757563134</v>
      </c>
      <c r="K15" s="1" t="s">
        <v>410</v>
      </c>
    </row>
    <row r="16" spans="1:11">
      <c r="A16" s="1" t="s">
        <v>169</v>
      </c>
      <c r="B16" s="1" t="s">
        <v>170</v>
      </c>
      <c r="C16" s="1">
        <v>2017</v>
      </c>
      <c r="D16" s="1">
        <v>2019</v>
      </c>
      <c r="E16" s="1">
        <v>84449000</v>
      </c>
      <c r="G16" s="1">
        <v>57509000</v>
      </c>
      <c r="I16" s="20">
        <f>E16/G16</f>
        <v>1.4684484167695491</v>
      </c>
      <c r="K16" s="1" t="s">
        <v>410</v>
      </c>
    </row>
    <row r="17" spans="1:11">
      <c r="A17" s="1" t="s">
        <v>169</v>
      </c>
      <c r="B17" s="1" t="s">
        <v>170</v>
      </c>
      <c r="C17" s="1">
        <v>2017</v>
      </c>
      <c r="D17" s="1">
        <v>2020</v>
      </c>
      <c r="E17" s="1">
        <v>103355000</v>
      </c>
      <c r="G17" s="1">
        <v>72434000</v>
      </c>
      <c r="I17" s="20">
        <f t="shared" si="0"/>
        <v>1.426885164425546</v>
      </c>
      <c r="K17" s="1" t="s">
        <v>410</v>
      </c>
    </row>
    <row r="18" spans="1:11">
      <c r="A18" s="1" t="s">
        <v>169</v>
      </c>
      <c r="B18" s="1" t="s">
        <v>170</v>
      </c>
      <c r="C18" s="1">
        <v>2017</v>
      </c>
      <c r="D18" s="1">
        <v>2021</v>
      </c>
      <c r="E18" s="1">
        <v>129776000</v>
      </c>
      <c r="G18" s="1">
        <v>92709000</v>
      </c>
      <c r="I18" s="20">
        <f t="shared" si="0"/>
        <v>1.3998209451078105</v>
      </c>
      <c r="K18" s="1" t="s">
        <v>410</v>
      </c>
    </row>
    <row r="19" spans="1:11">
      <c r="A19" s="1" t="s">
        <v>169</v>
      </c>
      <c r="B19" s="1" t="s">
        <v>170</v>
      </c>
      <c r="C19" s="1">
        <v>2017</v>
      </c>
      <c r="D19" s="1">
        <v>2022</v>
      </c>
      <c r="E19" s="1">
        <v>156306000</v>
      </c>
      <c r="G19" s="1">
        <v>112918000</v>
      </c>
      <c r="I19" s="20">
        <f t="shared" si="0"/>
        <v>1.3842434332878726</v>
      </c>
      <c r="K19" s="1" t="s">
        <v>410</v>
      </c>
    </row>
    <row r="20" spans="1:11">
      <c r="A20" s="1" t="s">
        <v>169</v>
      </c>
      <c r="B20" s="1" t="s">
        <v>170</v>
      </c>
      <c r="C20" s="1">
        <v>2019</v>
      </c>
      <c r="D20" s="1">
        <v>2014</v>
      </c>
      <c r="E20" s="1">
        <f>164255000-111454000</f>
        <v>52801000</v>
      </c>
      <c r="F20" s="1">
        <v>33953000</v>
      </c>
      <c r="G20" s="1">
        <f>57023000/1.2</f>
        <v>47519166.666666672</v>
      </c>
      <c r="I20" s="20">
        <f>SUM(E20:F20)/G20</f>
        <v>1.8256633288322255</v>
      </c>
    </row>
    <row r="21" spans="1:11">
      <c r="A21" s="1" t="s">
        <v>169</v>
      </c>
      <c r="B21" s="1" t="s">
        <v>170</v>
      </c>
      <c r="C21" s="1">
        <v>2019</v>
      </c>
      <c r="D21" s="1">
        <v>2015</v>
      </c>
      <c r="E21" s="1">
        <f>174164000-116908000</f>
        <v>57256000</v>
      </c>
      <c r="F21" s="1">
        <v>31432000</v>
      </c>
      <c r="G21" s="1">
        <f>61694000/1.2</f>
        <v>51411666.666666672</v>
      </c>
      <c r="I21" s="20">
        <f>SUM(E21:F21)/G21</f>
        <v>1.7250559211592698</v>
      </c>
    </row>
    <row r="22" spans="1:11">
      <c r="A22" s="1" t="s">
        <v>169</v>
      </c>
      <c r="B22" s="1" t="s">
        <v>170</v>
      </c>
      <c r="C22" s="1">
        <v>2019</v>
      </c>
      <c r="D22" s="1">
        <v>2016</v>
      </c>
      <c r="E22" s="1">
        <f>180727000-131936000</f>
        <v>48791000</v>
      </c>
      <c r="F22" s="1">
        <v>28564000</v>
      </c>
      <c r="G22" s="1">
        <f>63809000/1.2</f>
        <v>53174166.666666672</v>
      </c>
      <c r="I22" s="20">
        <f>SUM(E22:F22)/G22</f>
        <v>1.4547477628547696</v>
      </c>
    </row>
    <row r="23" spans="1:11">
      <c r="A23" s="1" t="s">
        <v>169</v>
      </c>
      <c r="B23" s="1" t="s">
        <v>170</v>
      </c>
      <c r="C23" s="1">
        <v>2019</v>
      </c>
      <c r="D23" s="1">
        <v>2017</v>
      </c>
      <c r="E23" s="1">
        <f>202996000-157220000</f>
        <v>45776000</v>
      </c>
      <c r="F23" s="1">
        <v>22157000</v>
      </c>
      <c r="G23" s="1">
        <f>62764000/1.2</f>
        <v>52303333.333333336</v>
      </c>
      <c r="I23" s="20">
        <f>SUM(E23:F23)/G23</f>
        <v>1.2988273532598305</v>
      </c>
    </row>
    <row r="24" spans="1:11">
      <c r="A24" s="1" t="s">
        <v>169</v>
      </c>
      <c r="B24" s="1" t="s">
        <v>170</v>
      </c>
      <c r="C24" s="1">
        <v>2019</v>
      </c>
      <c r="D24" s="1">
        <v>2018</v>
      </c>
      <c r="E24" s="1">
        <f>231734000-153180000</f>
        <v>78554000</v>
      </c>
      <c r="F24" s="1">
        <v>11606000</v>
      </c>
      <c r="G24" s="1">
        <f>63078000/1.2</f>
        <v>52565000</v>
      </c>
      <c r="I24" s="20">
        <f>SUM(E24:F24)/G24</f>
        <v>1.7152097403215067</v>
      </c>
    </row>
    <row r="25" spans="1:11">
      <c r="A25" s="1" t="s">
        <v>169</v>
      </c>
      <c r="B25" s="1" t="s">
        <v>170</v>
      </c>
      <c r="C25" s="1">
        <v>2019</v>
      </c>
      <c r="D25" s="1">
        <v>2019</v>
      </c>
      <c r="E25" s="1">
        <v>75130000</v>
      </c>
      <c r="G25" s="1">
        <v>53630000</v>
      </c>
      <c r="I25" s="20">
        <f t="shared" ref="I25:I29" si="2">SUM(E25:F25)/G25</f>
        <v>1.4008950214432221</v>
      </c>
      <c r="J25" s="1">
        <v>1.7</v>
      </c>
    </row>
    <row r="26" spans="1:11">
      <c r="A26" s="1" t="s">
        <v>169</v>
      </c>
      <c r="B26" s="1" t="s">
        <v>170</v>
      </c>
      <c r="C26" s="1">
        <v>2019</v>
      </c>
      <c r="D26" s="1">
        <v>2020</v>
      </c>
      <c r="E26" s="1">
        <v>75526000</v>
      </c>
      <c r="G26" s="1">
        <v>65035000</v>
      </c>
      <c r="I26" s="20">
        <f t="shared" si="2"/>
        <v>1.1613131390789575</v>
      </c>
      <c r="J26" s="1">
        <v>1.48</v>
      </c>
    </row>
    <row r="27" spans="1:11">
      <c r="A27" s="1" t="s">
        <v>169</v>
      </c>
      <c r="B27" s="1" t="s">
        <v>170</v>
      </c>
      <c r="C27" s="1">
        <v>2019</v>
      </c>
      <c r="D27" s="1">
        <v>2021</v>
      </c>
      <c r="E27" s="1">
        <v>98632000</v>
      </c>
      <c r="G27" s="1">
        <v>80533000</v>
      </c>
      <c r="I27" s="20">
        <f t="shared" si="2"/>
        <v>1.2247401686265258</v>
      </c>
      <c r="J27" s="1">
        <v>1.49</v>
      </c>
    </row>
    <row r="28" spans="1:11">
      <c r="A28" s="1" t="s">
        <v>169</v>
      </c>
      <c r="B28" s="1" t="s">
        <v>170</v>
      </c>
      <c r="C28" s="1">
        <v>2019</v>
      </c>
      <c r="D28" s="1">
        <v>2022</v>
      </c>
      <c r="E28" s="1">
        <v>117408000</v>
      </c>
      <c r="G28" s="1">
        <v>94394000</v>
      </c>
      <c r="I28" s="20">
        <f t="shared" si="2"/>
        <v>1.2438078691442254</v>
      </c>
      <c r="J28" s="1">
        <v>1.46</v>
      </c>
    </row>
    <row r="29" spans="1:11">
      <c r="A29" s="1" t="s">
        <v>169</v>
      </c>
      <c r="B29" s="1" t="s">
        <v>170</v>
      </c>
      <c r="C29" s="1">
        <v>2019</v>
      </c>
      <c r="D29" s="1">
        <v>2023</v>
      </c>
      <c r="E29" s="1">
        <v>135883000</v>
      </c>
      <c r="G29" s="1">
        <v>110678000</v>
      </c>
      <c r="I29" s="20">
        <f t="shared" si="2"/>
        <v>1.2277327020726794</v>
      </c>
      <c r="J29" s="1">
        <v>1.46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6"/>
  <sheetViews>
    <sheetView topLeftCell="A81" workbookViewId="0">
      <selection activeCell="A107" sqref="A107"/>
    </sheetView>
  </sheetViews>
  <sheetFormatPr defaultColWidth="8.85546875" defaultRowHeight="14.45"/>
  <cols>
    <col min="1" max="1" width="10.140625" style="1" bestFit="1" customWidth="1"/>
    <col min="2" max="3" width="8.85546875" style="1"/>
    <col min="4" max="4" width="15.7109375" style="1" bestFit="1" customWidth="1"/>
    <col min="5" max="5" width="8.85546875" style="1"/>
    <col min="6" max="6" width="10.140625" style="1" bestFit="1" customWidth="1"/>
    <col min="7" max="7" width="11.28515625" style="1" bestFit="1" customWidth="1"/>
    <col min="8" max="16384" width="8.85546875" style="1"/>
  </cols>
  <sheetData>
    <row r="1" spans="1:8">
      <c r="A1" s="18" t="s">
        <v>149</v>
      </c>
      <c r="B1" s="18" t="s">
        <v>150</v>
      </c>
      <c r="C1" s="18" t="s">
        <v>151</v>
      </c>
      <c r="D1" s="18" t="s">
        <v>411</v>
      </c>
      <c r="E1" s="18" t="s">
        <v>412</v>
      </c>
      <c r="F1" s="18" t="s">
        <v>413</v>
      </c>
      <c r="G1" s="18" t="s">
        <v>414</v>
      </c>
      <c r="H1" s="18" t="s">
        <v>168</v>
      </c>
    </row>
    <row r="2" spans="1:8">
      <c r="A2" s="1" t="s">
        <v>169</v>
      </c>
      <c r="B2" s="1" t="s">
        <v>170</v>
      </c>
      <c r="C2" s="1">
        <v>1991</v>
      </c>
      <c r="D2" s="1" t="s">
        <v>415</v>
      </c>
      <c r="E2" s="1" t="s">
        <v>416</v>
      </c>
      <c r="F2" s="1">
        <v>1995</v>
      </c>
      <c r="H2" s="1" t="s">
        <v>417</v>
      </c>
    </row>
    <row r="3" spans="1:8">
      <c r="A3" s="1" t="s">
        <v>169</v>
      </c>
      <c r="B3" s="1" t="s">
        <v>170</v>
      </c>
      <c r="C3" s="1">
        <v>1991</v>
      </c>
      <c r="D3" s="1" t="s">
        <v>418</v>
      </c>
      <c r="E3" s="1" t="s">
        <v>419</v>
      </c>
      <c r="F3" s="1">
        <v>1996</v>
      </c>
    </row>
    <row r="4" spans="1:8">
      <c r="A4" s="1" t="s">
        <v>169</v>
      </c>
      <c r="B4" s="1" t="s">
        <v>170</v>
      </c>
      <c r="C4" s="1">
        <v>1991</v>
      </c>
      <c r="D4" s="1" t="s">
        <v>420</v>
      </c>
      <c r="E4" s="1" t="s">
        <v>421</v>
      </c>
      <c r="F4" s="1">
        <v>1993</v>
      </c>
      <c r="H4" s="1" t="s">
        <v>422</v>
      </c>
    </row>
    <row r="5" spans="1:8">
      <c r="A5" s="1" t="s">
        <v>169</v>
      </c>
      <c r="B5" s="1" t="s">
        <v>170</v>
      </c>
      <c r="C5" s="1">
        <v>1991</v>
      </c>
      <c r="D5" s="1" t="s">
        <v>423</v>
      </c>
      <c r="E5" s="1" t="s">
        <v>424</v>
      </c>
      <c r="F5" s="1">
        <v>1996</v>
      </c>
      <c r="H5" s="1" t="s">
        <v>425</v>
      </c>
    </row>
    <row r="6" spans="1:8">
      <c r="A6" s="1" t="s">
        <v>169</v>
      </c>
      <c r="B6" s="1" t="s">
        <v>170</v>
      </c>
      <c r="C6" s="1">
        <v>1991</v>
      </c>
      <c r="D6" s="1" t="s">
        <v>426</v>
      </c>
      <c r="E6" s="1" t="s">
        <v>427</v>
      </c>
      <c r="F6" s="1">
        <v>1992</v>
      </c>
    </row>
    <row r="7" spans="1:8">
      <c r="A7" s="1" t="s">
        <v>169</v>
      </c>
      <c r="B7" s="1" t="s">
        <v>170</v>
      </c>
      <c r="C7" s="1">
        <v>1991</v>
      </c>
      <c r="D7" s="1" t="s">
        <v>428</v>
      </c>
      <c r="E7" s="1" t="s">
        <v>419</v>
      </c>
      <c r="F7" s="1">
        <v>1992</v>
      </c>
    </row>
    <row r="8" spans="1:8">
      <c r="A8" s="1" t="s">
        <v>169</v>
      </c>
      <c r="B8" s="1" t="s">
        <v>170</v>
      </c>
      <c r="C8" s="1">
        <v>1991</v>
      </c>
      <c r="D8" s="1" t="s">
        <v>429</v>
      </c>
      <c r="E8" s="1" t="s">
        <v>419</v>
      </c>
      <c r="F8" s="1">
        <v>1994</v>
      </c>
    </row>
    <row r="9" spans="1:8">
      <c r="A9" s="1" t="s">
        <v>169</v>
      </c>
      <c r="B9" s="1" t="s">
        <v>170</v>
      </c>
      <c r="C9" s="1">
        <v>1993</v>
      </c>
      <c r="D9" s="1" t="s">
        <v>430</v>
      </c>
      <c r="E9" s="1" t="s">
        <v>416</v>
      </c>
      <c r="F9" s="1">
        <v>1995</v>
      </c>
    </row>
    <row r="10" spans="1:8">
      <c r="A10" s="1" t="s">
        <v>169</v>
      </c>
      <c r="B10" s="1" t="s">
        <v>170</v>
      </c>
      <c r="C10" s="1">
        <v>1993</v>
      </c>
      <c r="D10" s="1" t="s">
        <v>418</v>
      </c>
      <c r="E10" s="1" t="s">
        <v>419</v>
      </c>
      <c r="F10" s="1">
        <v>1996</v>
      </c>
    </row>
    <row r="11" spans="1:8">
      <c r="A11" s="1" t="s">
        <v>169</v>
      </c>
      <c r="B11" s="1" t="s">
        <v>170</v>
      </c>
      <c r="C11" s="1">
        <v>1993</v>
      </c>
      <c r="D11" s="1" t="s">
        <v>431</v>
      </c>
      <c r="E11" s="1" t="s">
        <v>421</v>
      </c>
      <c r="F11" s="1">
        <v>1998</v>
      </c>
      <c r="H11" s="1" t="s">
        <v>422</v>
      </c>
    </row>
    <row r="12" spans="1:8">
      <c r="A12" s="1" t="s">
        <v>169</v>
      </c>
      <c r="B12" s="1" t="s">
        <v>170</v>
      </c>
      <c r="C12" s="1">
        <v>1993</v>
      </c>
      <c r="D12" s="1" t="s">
        <v>423</v>
      </c>
      <c r="E12" s="1" t="s">
        <v>424</v>
      </c>
      <c r="F12" s="1">
        <v>1996</v>
      </c>
      <c r="H12" s="1" t="s">
        <v>425</v>
      </c>
    </row>
    <row r="13" spans="1:8">
      <c r="A13" s="1" t="s">
        <v>169</v>
      </c>
      <c r="B13" s="1" t="s">
        <v>170</v>
      </c>
      <c r="C13" s="1">
        <v>1993</v>
      </c>
      <c r="D13" s="1" t="s">
        <v>428</v>
      </c>
      <c r="E13" s="1" t="s">
        <v>419</v>
      </c>
      <c r="F13" s="1">
        <v>1992</v>
      </c>
      <c r="H13" s="1" t="s">
        <v>432</v>
      </c>
    </row>
    <row r="14" spans="1:8">
      <c r="A14" s="1" t="s">
        <v>169</v>
      </c>
      <c r="B14" s="1" t="s">
        <v>170</v>
      </c>
      <c r="C14" s="1">
        <v>1993</v>
      </c>
      <c r="D14" s="1" t="s">
        <v>429</v>
      </c>
      <c r="E14" s="1" t="s">
        <v>419</v>
      </c>
      <c r="F14" s="1">
        <v>1994</v>
      </c>
    </row>
    <row r="15" spans="1:8">
      <c r="A15" s="1" t="s">
        <v>169</v>
      </c>
      <c r="B15" s="1" t="s">
        <v>170</v>
      </c>
      <c r="C15" s="1">
        <v>1993</v>
      </c>
      <c r="D15" s="1" t="s">
        <v>433</v>
      </c>
      <c r="E15" s="1" t="s">
        <v>419</v>
      </c>
      <c r="F15" s="1">
        <v>1994</v>
      </c>
    </row>
    <row r="16" spans="1:8">
      <c r="A16" s="1" t="s">
        <v>169</v>
      </c>
      <c r="B16" s="1" t="s">
        <v>170</v>
      </c>
      <c r="C16" s="1">
        <v>1995</v>
      </c>
      <c r="D16" s="1" t="s">
        <v>418</v>
      </c>
      <c r="E16" s="1" t="s">
        <v>416</v>
      </c>
      <c r="F16" s="1">
        <v>1996</v>
      </c>
    </row>
    <row r="17" spans="1:8">
      <c r="A17" s="1" t="s">
        <v>169</v>
      </c>
      <c r="B17" s="1" t="s">
        <v>170</v>
      </c>
      <c r="C17" s="1">
        <v>1995</v>
      </c>
      <c r="D17" s="1" t="s">
        <v>429</v>
      </c>
      <c r="E17" s="1" t="s">
        <v>434</v>
      </c>
      <c r="F17" s="1">
        <v>1994</v>
      </c>
      <c r="H17" s="1" t="s">
        <v>435</v>
      </c>
    </row>
    <row r="18" spans="1:8">
      <c r="A18" s="1" t="s">
        <v>169</v>
      </c>
      <c r="B18" s="1" t="s">
        <v>170</v>
      </c>
      <c r="C18" s="1">
        <v>1995</v>
      </c>
      <c r="D18" s="1" t="s">
        <v>436</v>
      </c>
      <c r="E18" s="1" t="s">
        <v>424</v>
      </c>
      <c r="F18" s="1">
        <v>1996</v>
      </c>
      <c r="H18" s="1" t="s">
        <v>437</v>
      </c>
    </row>
    <row r="19" spans="1:8">
      <c r="A19" s="1" t="s">
        <v>169</v>
      </c>
      <c r="B19" s="1" t="s">
        <v>170</v>
      </c>
      <c r="C19" s="1">
        <v>1995</v>
      </c>
      <c r="D19" s="1" t="s">
        <v>438</v>
      </c>
      <c r="E19" s="1" t="s">
        <v>421</v>
      </c>
      <c r="F19" s="1">
        <v>1998</v>
      </c>
      <c r="H19" s="1" t="s">
        <v>439</v>
      </c>
    </row>
    <row r="20" spans="1:8">
      <c r="A20" s="1" t="s">
        <v>169</v>
      </c>
      <c r="B20" s="1" t="s">
        <v>170</v>
      </c>
      <c r="C20" s="1">
        <v>1995</v>
      </c>
      <c r="D20" s="1" t="s">
        <v>440</v>
      </c>
      <c r="E20" s="1" t="s">
        <v>427</v>
      </c>
      <c r="F20" s="1">
        <v>1997</v>
      </c>
      <c r="H20" s="1" t="s">
        <v>441</v>
      </c>
    </row>
    <row r="21" spans="1:8">
      <c r="A21" s="1" t="s">
        <v>169</v>
      </c>
      <c r="B21" s="1" t="s">
        <v>170</v>
      </c>
      <c r="C21" s="1">
        <v>1995</v>
      </c>
      <c r="D21" s="1" t="s">
        <v>428</v>
      </c>
      <c r="E21" s="1" t="s">
        <v>419</v>
      </c>
      <c r="F21" s="1">
        <v>1992</v>
      </c>
      <c r="H21" s="1" t="s">
        <v>432</v>
      </c>
    </row>
    <row r="22" spans="1:8">
      <c r="A22" s="1" t="s">
        <v>169</v>
      </c>
      <c r="B22" s="1" t="s">
        <v>170</v>
      </c>
      <c r="C22" s="1">
        <v>1995</v>
      </c>
      <c r="D22" s="1" t="s">
        <v>442</v>
      </c>
      <c r="E22" s="1" t="s">
        <v>419</v>
      </c>
      <c r="F22" s="1">
        <v>1995</v>
      </c>
      <c r="H22" s="1" t="s">
        <v>432</v>
      </c>
    </row>
    <row r="23" spans="1:8">
      <c r="A23" s="1" t="s">
        <v>169</v>
      </c>
      <c r="B23" s="1" t="s">
        <v>170</v>
      </c>
      <c r="C23" s="1">
        <v>1998</v>
      </c>
      <c r="D23" s="1" t="s">
        <v>418</v>
      </c>
      <c r="E23" s="1" t="s">
        <v>416</v>
      </c>
      <c r="F23" s="1">
        <v>2001</v>
      </c>
    </row>
    <row r="24" spans="1:8">
      <c r="A24" s="1" t="s">
        <v>169</v>
      </c>
      <c r="B24" s="1" t="s">
        <v>170</v>
      </c>
      <c r="C24" s="1">
        <v>1998</v>
      </c>
      <c r="D24" s="1" t="s">
        <v>429</v>
      </c>
      <c r="E24" s="1" t="s">
        <v>434</v>
      </c>
      <c r="F24" s="1">
        <v>1999</v>
      </c>
    </row>
    <row r="25" spans="1:8">
      <c r="A25" s="1" t="s">
        <v>169</v>
      </c>
      <c r="B25" s="1" t="s">
        <v>170</v>
      </c>
      <c r="C25" s="1">
        <v>1998</v>
      </c>
      <c r="D25" s="1" t="s">
        <v>443</v>
      </c>
      <c r="E25" s="1" t="s">
        <v>424</v>
      </c>
      <c r="F25" s="1">
        <v>2003</v>
      </c>
      <c r="H25" s="1" t="s">
        <v>437</v>
      </c>
    </row>
    <row r="26" spans="1:8">
      <c r="A26" s="1" t="s">
        <v>169</v>
      </c>
      <c r="B26" s="1" t="s">
        <v>170</v>
      </c>
      <c r="C26" s="1">
        <v>1998</v>
      </c>
      <c r="D26" s="1" t="s">
        <v>440</v>
      </c>
      <c r="E26" s="1" t="s">
        <v>421</v>
      </c>
      <c r="F26" s="1">
        <v>2002</v>
      </c>
      <c r="H26" s="1" t="s">
        <v>441</v>
      </c>
    </row>
    <row r="27" spans="1:8">
      <c r="A27" s="1" t="s">
        <v>169</v>
      </c>
      <c r="B27" s="1" t="s">
        <v>170</v>
      </c>
      <c r="C27" s="1">
        <v>1998</v>
      </c>
      <c r="D27" s="1" t="s">
        <v>442</v>
      </c>
      <c r="E27" s="1" t="s">
        <v>427</v>
      </c>
      <c r="F27" s="1">
        <v>2000</v>
      </c>
    </row>
    <row r="28" spans="1:8">
      <c r="A28" s="1" t="s">
        <v>169</v>
      </c>
      <c r="B28" s="1" t="s">
        <v>170</v>
      </c>
      <c r="C28" s="1">
        <v>1998</v>
      </c>
      <c r="D28" s="1" t="s">
        <v>428</v>
      </c>
      <c r="E28" s="1" t="s">
        <v>419</v>
      </c>
      <c r="F28" s="1">
        <v>1992</v>
      </c>
      <c r="H28" s="1" t="s">
        <v>444</v>
      </c>
    </row>
    <row r="29" spans="1:8">
      <c r="A29" s="1" t="s">
        <v>169</v>
      </c>
      <c r="B29" s="1" t="s">
        <v>170</v>
      </c>
      <c r="C29" s="1">
        <v>1998</v>
      </c>
      <c r="D29" s="1" t="s">
        <v>445</v>
      </c>
      <c r="E29" s="1" t="s">
        <v>419</v>
      </c>
      <c r="F29" s="1">
        <v>2001</v>
      </c>
      <c r="H29" s="1" t="s">
        <v>446</v>
      </c>
    </row>
    <row r="30" spans="1:8">
      <c r="A30" s="1" t="s">
        <v>169</v>
      </c>
      <c r="B30" s="1" t="s">
        <v>170</v>
      </c>
      <c r="C30" s="1">
        <v>2002</v>
      </c>
      <c r="D30" s="1" t="s">
        <v>418</v>
      </c>
      <c r="E30" s="1" t="s">
        <v>416</v>
      </c>
      <c r="H30" s="1" t="s">
        <v>447</v>
      </c>
    </row>
    <row r="31" spans="1:8">
      <c r="A31" s="1" t="s">
        <v>169</v>
      </c>
      <c r="B31" s="1" t="s">
        <v>170</v>
      </c>
      <c r="C31" s="1">
        <v>2002</v>
      </c>
      <c r="D31" s="1" t="s">
        <v>443</v>
      </c>
      <c r="E31" s="1" t="s">
        <v>434</v>
      </c>
      <c r="F31" s="1">
        <v>2003</v>
      </c>
    </row>
    <row r="32" spans="1:8">
      <c r="A32" s="1" t="s">
        <v>169</v>
      </c>
      <c r="B32" s="1" t="s">
        <v>170</v>
      </c>
      <c r="C32" s="1">
        <v>2002</v>
      </c>
      <c r="D32" s="1" t="s">
        <v>448</v>
      </c>
      <c r="E32" s="1" t="s">
        <v>424</v>
      </c>
      <c r="H32" s="1" t="s">
        <v>449</v>
      </c>
    </row>
    <row r="33" spans="1:8">
      <c r="A33" s="1" t="s">
        <v>169</v>
      </c>
      <c r="B33" s="1" t="s">
        <v>170</v>
      </c>
      <c r="C33" s="1">
        <v>2002</v>
      </c>
      <c r="D33" s="1" t="s">
        <v>450</v>
      </c>
      <c r="E33" s="1" t="s">
        <v>421</v>
      </c>
      <c r="H33" s="1" t="s">
        <v>451</v>
      </c>
    </row>
    <row r="34" spans="1:8">
      <c r="A34" s="1" t="s">
        <v>169</v>
      </c>
      <c r="B34" s="1" t="s">
        <v>170</v>
      </c>
      <c r="C34" s="1">
        <v>2002</v>
      </c>
      <c r="D34" s="1" t="s">
        <v>442</v>
      </c>
      <c r="E34" s="1" t="s">
        <v>427</v>
      </c>
      <c r="H34" s="1" t="s">
        <v>452</v>
      </c>
    </row>
    <row r="35" spans="1:8">
      <c r="A35" s="1" t="s">
        <v>169</v>
      </c>
      <c r="B35" s="1" t="s">
        <v>170</v>
      </c>
      <c r="C35" s="1">
        <v>2002</v>
      </c>
      <c r="D35" s="1" t="s">
        <v>428</v>
      </c>
      <c r="E35" s="1" t="s">
        <v>419</v>
      </c>
    </row>
    <row r="36" spans="1:8">
      <c r="A36" s="1" t="s">
        <v>169</v>
      </c>
      <c r="B36" s="1" t="s">
        <v>170</v>
      </c>
      <c r="C36" s="1">
        <v>2002</v>
      </c>
      <c r="D36" s="1" t="s">
        <v>453</v>
      </c>
      <c r="E36" s="1" t="s">
        <v>419</v>
      </c>
    </row>
    <row r="37" spans="1:8">
      <c r="A37" s="1" t="s">
        <v>169</v>
      </c>
      <c r="B37" s="1" t="s">
        <v>170</v>
      </c>
      <c r="C37" s="1">
        <v>2003</v>
      </c>
      <c r="D37" s="1" t="s">
        <v>418</v>
      </c>
      <c r="E37" s="1" t="s">
        <v>416</v>
      </c>
    </row>
    <row r="38" spans="1:8">
      <c r="A38" s="1" t="s">
        <v>169</v>
      </c>
      <c r="B38" s="1" t="s">
        <v>170</v>
      </c>
      <c r="C38" s="1">
        <v>2003</v>
      </c>
      <c r="D38" s="1" t="s">
        <v>443</v>
      </c>
      <c r="E38" s="1" t="s">
        <v>434</v>
      </c>
      <c r="H38" s="1" t="s">
        <v>454</v>
      </c>
    </row>
    <row r="39" spans="1:8">
      <c r="A39" s="1" t="s">
        <v>169</v>
      </c>
      <c r="B39" s="1" t="s">
        <v>170</v>
      </c>
      <c r="C39" s="1">
        <v>2003</v>
      </c>
      <c r="D39" s="1" t="s">
        <v>455</v>
      </c>
      <c r="E39" s="1" t="s">
        <v>424</v>
      </c>
    </row>
    <row r="40" spans="1:8">
      <c r="A40" s="1" t="s">
        <v>169</v>
      </c>
      <c r="B40" s="1" t="s">
        <v>170</v>
      </c>
      <c r="C40" s="1">
        <v>2003</v>
      </c>
      <c r="D40" s="1" t="s">
        <v>450</v>
      </c>
      <c r="E40" s="1" t="s">
        <v>421</v>
      </c>
      <c r="H40" s="1" t="s">
        <v>456</v>
      </c>
    </row>
    <row r="41" spans="1:8">
      <c r="A41" s="1" t="s">
        <v>169</v>
      </c>
      <c r="B41" s="1" t="s">
        <v>170</v>
      </c>
      <c r="C41" s="1">
        <v>2003</v>
      </c>
      <c r="D41" s="1" t="s">
        <v>442</v>
      </c>
      <c r="E41" s="1" t="s">
        <v>427</v>
      </c>
      <c r="H41" s="1" t="s">
        <v>452</v>
      </c>
    </row>
    <row r="42" spans="1:8">
      <c r="A42" s="1" t="s">
        <v>169</v>
      </c>
      <c r="B42" s="1" t="s">
        <v>170</v>
      </c>
      <c r="C42" s="1">
        <v>2003</v>
      </c>
      <c r="D42" s="1" t="s">
        <v>428</v>
      </c>
      <c r="E42" s="1" t="s">
        <v>419</v>
      </c>
    </row>
    <row r="43" spans="1:8">
      <c r="A43" s="1" t="s">
        <v>169</v>
      </c>
      <c r="B43" s="1" t="s">
        <v>170</v>
      </c>
      <c r="C43" s="1">
        <v>2003</v>
      </c>
      <c r="D43" s="1" t="s">
        <v>457</v>
      </c>
      <c r="E43" s="1" t="s">
        <v>419</v>
      </c>
      <c r="H43" s="1" t="s">
        <v>458</v>
      </c>
    </row>
    <row r="44" spans="1:8">
      <c r="A44" s="1" t="s">
        <v>169</v>
      </c>
      <c r="B44" s="1" t="s">
        <v>170</v>
      </c>
      <c r="C44" s="1">
        <v>2005</v>
      </c>
      <c r="D44" s="1" t="s">
        <v>418</v>
      </c>
      <c r="E44" s="1" t="s">
        <v>416</v>
      </c>
    </row>
    <row r="45" spans="1:8">
      <c r="A45" s="1" t="s">
        <v>169</v>
      </c>
      <c r="B45" s="1" t="s">
        <v>170</v>
      </c>
      <c r="C45" s="1">
        <v>2005</v>
      </c>
      <c r="D45" s="1" t="s">
        <v>443</v>
      </c>
      <c r="E45" s="1" t="s">
        <v>421</v>
      </c>
    </row>
    <row r="46" spans="1:8">
      <c r="A46" s="1" t="s">
        <v>169</v>
      </c>
      <c r="B46" s="1" t="s">
        <v>170</v>
      </c>
      <c r="C46" s="1">
        <v>2005</v>
      </c>
      <c r="D46" s="1" t="s">
        <v>457</v>
      </c>
      <c r="E46" s="1" t="s">
        <v>424</v>
      </c>
    </row>
    <row r="47" spans="1:8">
      <c r="A47" s="1" t="s">
        <v>169</v>
      </c>
      <c r="B47" s="1" t="s">
        <v>170</v>
      </c>
      <c r="C47" s="1">
        <v>2005</v>
      </c>
      <c r="D47" s="1" t="s">
        <v>442</v>
      </c>
      <c r="E47" s="1" t="s">
        <v>427</v>
      </c>
    </row>
    <row r="48" spans="1:8">
      <c r="A48" s="1" t="s">
        <v>169</v>
      </c>
      <c r="B48" s="1" t="s">
        <v>170</v>
      </c>
      <c r="C48" s="1">
        <v>2005</v>
      </c>
      <c r="D48" s="1" t="s">
        <v>428</v>
      </c>
      <c r="E48" s="1" t="s">
        <v>419</v>
      </c>
    </row>
    <row r="49" spans="1:5">
      <c r="A49" s="1" t="s">
        <v>169</v>
      </c>
      <c r="B49" s="1" t="s">
        <v>170</v>
      </c>
      <c r="C49" s="1">
        <v>2005</v>
      </c>
      <c r="D49" s="1" t="s">
        <v>433</v>
      </c>
      <c r="E49" s="1" t="s">
        <v>419</v>
      </c>
    </row>
    <row r="50" spans="1:5">
      <c r="A50" s="1" t="s">
        <v>169</v>
      </c>
      <c r="B50" s="1" t="s">
        <v>170</v>
      </c>
      <c r="C50" s="1">
        <v>2005</v>
      </c>
      <c r="D50" s="1" t="s">
        <v>433</v>
      </c>
      <c r="E50" s="1" t="s">
        <v>419</v>
      </c>
    </row>
    <row r="51" spans="1:5">
      <c r="A51" s="1" t="s">
        <v>169</v>
      </c>
      <c r="B51" s="1" t="s">
        <v>170</v>
      </c>
      <c r="C51" s="1">
        <v>2007</v>
      </c>
      <c r="D51" s="1" t="s">
        <v>459</v>
      </c>
      <c r="E51" s="1" t="s">
        <v>416</v>
      </c>
    </row>
    <row r="52" spans="1:5">
      <c r="A52" s="1" t="s">
        <v>169</v>
      </c>
      <c r="B52" s="1" t="s">
        <v>170</v>
      </c>
      <c r="C52" s="1">
        <v>2007</v>
      </c>
      <c r="D52" s="1" t="s">
        <v>460</v>
      </c>
      <c r="E52" s="1" t="s">
        <v>434</v>
      </c>
    </row>
    <row r="53" spans="1:5">
      <c r="A53" s="1" t="s">
        <v>169</v>
      </c>
      <c r="B53" s="1" t="s">
        <v>170</v>
      </c>
      <c r="C53" s="1">
        <v>2007</v>
      </c>
      <c r="D53" s="1" t="s">
        <v>443</v>
      </c>
      <c r="E53" s="1" t="s">
        <v>421</v>
      </c>
    </row>
    <row r="54" spans="1:5">
      <c r="A54" s="1" t="s">
        <v>169</v>
      </c>
      <c r="B54" s="1" t="s">
        <v>170</v>
      </c>
      <c r="C54" s="1">
        <v>2007</v>
      </c>
      <c r="D54" s="1" t="s">
        <v>461</v>
      </c>
      <c r="E54" s="1" t="s">
        <v>424</v>
      </c>
    </row>
    <row r="55" spans="1:5">
      <c r="A55" s="1" t="s">
        <v>169</v>
      </c>
      <c r="B55" s="1" t="s">
        <v>170</v>
      </c>
      <c r="C55" s="1">
        <v>2007</v>
      </c>
      <c r="D55" s="1" t="s">
        <v>457</v>
      </c>
      <c r="E55" s="1" t="s">
        <v>427</v>
      </c>
    </row>
    <row r="56" spans="1:5">
      <c r="A56" s="1" t="s">
        <v>169</v>
      </c>
      <c r="B56" s="1" t="s">
        <v>170</v>
      </c>
      <c r="C56" s="1">
        <v>2007</v>
      </c>
      <c r="D56" s="1" t="s">
        <v>462</v>
      </c>
      <c r="E56" s="1" t="s">
        <v>419</v>
      </c>
    </row>
    <row r="57" spans="1:5">
      <c r="A57" s="1" t="s">
        <v>169</v>
      </c>
      <c r="B57" s="1" t="s">
        <v>170</v>
      </c>
      <c r="C57" s="1">
        <v>2007</v>
      </c>
      <c r="D57" s="1" t="s">
        <v>433</v>
      </c>
      <c r="E57" s="1" t="s">
        <v>419</v>
      </c>
    </row>
    <row r="58" spans="1:5">
      <c r="A58" s="1" t="s">
        <v>169</v>
      </c>
      <c r="B58" s="1" t="s">
        <v>170</v>
      </c>
      <c r="C58" s="1">
        <v>2008</v>
      </c>
      <c r="D58" s="1" t="s">
        <v>459</v>
      </c>
      <c r="E58" s="1" t="s">
        <v>416</v>
      </c>
    </row>
    <row r="59" spans="1:5">
      <c r="A59" s="1" t="s">
        <v>169</v>
      </c>
      <c r="B59" s="1" t="s">
        <v>170</v>
      </c>
      <c r="C59" s="1">
        <v>2008</v>
      </c>
      <c r="D59" s="1" t="s">
        <v>460</v>
      </c>
      <c r="E59" s="1" t="s">
        <v>434</v>
      </c>
    </row>
    <row r="60" spans="1:5">
      <c r="A60" s="1" t="s">
        <v>169</v>
      </c>
      <c r="B60" s="1" t="s">
        <v>170</v>
      </c>
      <c r="C60" s="1">
        <v>2008</v>
      </c>
      <c r="D60" s="1" t="s">
        <v>463</v>
      </c>
      <c r="E60" s="1" t="s">
        <v>421</v>
      </c>
    </row>
    <row r="61" spans="1:5">
      <c r="A61" s="1" t="s">
        <v>169</v>
      </c>
      <c r="B61" s="1" t="s">
        <v>170</v>
      </c>
      <c r="C61" s="1">
        <v>2008</v>
      </c>
      <c r="D61" s="1" t="s">
        <v>461</v>
      </c>
      <c r="E61" s="1" t="s">
        <v>424</v>
      </c>
    </row>
    <row r="62" spans="1:5">
      <c r="A62" s="1" t="s">
        <v>169</v>
      </c>
      <c r="B62" s="1" t="s">
        <v>170</v>
      </c>
      <c r="C62" s="1">
        <v>2008</v>
      </c>
      <c r="D62" s="1" t="s">
        <v>457</v>
      </c>
      <c r="E62" s="1" t="s">
        <v>427</v>
      </c>
    </row>
    <row r="63" spans="1:5">
      <c r="A63" s="1" t="s">
        <v>169</v>
      </c>
      <c r="B63" s="1" t="s">
        <v>170</v>
      </c>
      <c r="C63" s="1">
        <v>2008</v>
      </c>
      <c r="D63" s="1" t="s">
        <v>464</v>
      </c>
      <c r="E63" s="1" t="s">
        <v>419</v>
      </c>
    </row>
    <row r="64" spans="1:5">
      <c r="A64" s="1" t="s">
        <v>169</v>
      </c>
      <c r="B64" s="1" t="s">
        <v>170</v>
      </c>
      <c r="C64" s="1">
        <v>2008</v>
      </c>
      <c r="D64" s="1" t="s">
        <v>465</v>
      </c>
      <c r="E64" s="1" t="s">
        <v>419</v>
      </c>
    </row>
    <row r="65" spans="1:9">
      <c r="A65" s="1" t="s">
        <v>169</v>
      </c>
      <c r="B65" s="1" t="s">
        <v>170</v>
      </c>
      <c r="C65" s="1">
        <v>2009</v>
      </c>
      <c r="D65" s="1" t="s">
        <v>459</v>
      </c>
      <c r="E65" s="1" t="s">
        <v>416</v>
      </c>
      <c r="I65" s="1" t="s">
        <v>466</v>
      </c>
    </row>
    <row r="66" spans="1:9">
      <c r="A66" s="1" t="s">
        <v>169</v>
      </c>
      <c r="B66" s="1" t="s">
        <v>170</v>
      </c>
      <c r="C66" s="1">
        <v>2009</v>
      </c>
      <c r="D66" s="1" t="s">
        <v>460</v>
      </c>
      <c r="E66" s="1" t="s">
        <v>434</v>
      </c>
      <c r="I66" s="1" t="s">
        <v>466</v>
      </c>
    </row>
    <row r="67" spans="1:9">
      <c r="A67" s="1" t="s">
        <v>169</v>
      </c>
      <c r="B67" s="1" t="s">
        <v>170</v>
      </c>
      <c r="C67" s="1">
        <v>2009</v>
      </c>
      <c r="D67" s="1" t="s">
        <v>463</v>
      </c>
      <c r="E67" s="1" t="s">
        <v>421</v>
      </c>
      <c r="I67" s="1" t="s">
        <v>466</v>
      </c>
    </row>
    <row r="68" spans="1:9">
      <c r="A68" s="1" t="s">
        <v>169</v>
      </c>
      <c r="B68" s="1" t="s">
        <v>170</v>
      </c>
      <c r="C68" s="1">
        <v>2009</v>
      </c>
      <c r="D68" s="1" t="s">
        <v>461</v>
      </c>
      <c r="E68" s="1" t="s">
        <v>424</v>
      </c>
      <c r="I68" s="1" t="s">
        <v>466</v>
      </c>
    </row>
    <row r="69" spans="1:9">
      <c r="A69" s="1" t="s">
        <v>169</v>
      </c>
      <c r="B69" s="1" t="s">
        <v>170</v>
      </c>
      <c r="C69" s="1">
        <v>2009</v>
      </c>
      <c r="D69" s="1" t="s">
        <v>465</v>
      </c>
      <c r="E69" s="1" t="s">
        <v>427</v>
      </c>
      <c r="I69" s="1" t="s">
        <v>466</v>
      </c>
    </row>
    <row r="70" spans="1:9">
      <c r="A70" s="1" t="s">
        <v>169</v>
      </c>
      <c r="B70" s="1" t="s">
        <v>170</v>
      </c>
      <c r="C70" s="1">
        <v>2009</v>
      </c>
      <c r="D70" s="1" t="s">
        <v>464</v>
      </c>
      <c r="E70" s="1" t="s">
        <v>419</v>
      </c>
      <c r="I70" s="1" t="s">
        <v>466</v>
      </c>
    </row>
    <row r="71" spans="1:9">
      <c r="A71" s="1" t="s">
        <v>169</v>
      </c>
      <c r="B71" s="1" t="s">
        <v>170</v>
      </c>
      <c r="C71" s="1">
        <v>2009</v>
      </c>
      <c r="D71" s="1" t="s">
        <v>467</v>
      </c>
      <c r="E71" s="1" t="s">
        <v>419</v>
      </c>
      <c r="I71" s="1" t="s">
        <v>466</v>
      </c>
    </row>
    <row r="72" spans="1:9">
      <c r="A72" s="1" t="s">
        <v>169</v>
      </c>
      <c r="B72" s="1" t="s">
        <v>170</v>
      </c>
      <c r="C72" s="1">
        <v>2010</v>
      </c>
      <c r="D72" s="1" t="s">
        <v>464</v>
      </c>
      <c r="E72" s="1" t="s">
        <v>416</v>
      </c>
    </row>
    <row r="73" spans="1:9">
      <c r="A73" s="1" t="s">
        <v>169</v>
      </c>
      <c r="B73" s="1" t="s">
        <v>170</v>
      </c>
      <c r="C73" s="1">
        <v>2010</v>
      </c>
      <c r="D73" s="1" t="s">
        <v>460</v>
      </c>
      <c r="E73" s="1" t="s">
        <v>434</v>
      </c>
    </row>
    <row r="74" spans="1:9">
      <c r="A74" s="1" t="s">
        <v>169</v>
      </c>
      <c r="B74" s="1" t="s">
        <v>170</v>
      </c>
      <c r="C74" s="1">
        <v>2010</v>
      </c>
      <c r="D74" s="1" t="s">
        <v>463</v>
      </c>
      <c r="E74" s="1" t="s">
        <v>421</v>
      </c>
    </row>
    <row r="75" spans="1:9">
      <c r="A75" s="1" t="s">
        <v>169</v>
      </c>
      <c r="B75" s="1" t="s">
        <v>170</v>
      </c>
      <c r="C75" s="1">
        <v>2010</v>
      </c>
      <c r="D75" s="1" t="s">
        <v>461</v>
      </c>
      <c r="E75" s="1" t="s">
        <v>424</v>
      </c>
    </row>
    <row r="76" spans="1:9">
      <c r="A76" s="1" t="s">
        <v>169</v>
      </c>
      <c r="B76" s="1" t="s">
        <v>170</v>
      </c>
      <c r="C76" s="1">
        <v>2010</v>
      </c>
      <c r="D76" s="1" t="s">
        <v>465</v>
      </c>
      <c r="E76" s="1" t="s">
        <v>427</v>
      </c>
    </row>
    <row r="77" spans="1:9">
      <c r="A77" s="1" t="s">
        <v>169</v>
      </c>
      <c r="B77" s="1" t="s">
        <v>170</v>
      </c>
      <c r="C77" s="1">
        <v>2010</v>
      </c>
      <c r="D77" s="1" t="s">
        <v>433</v>
      </c>
      <c r="E77" s="1" t="s">
        <v>419</v>
      </c>
    </row>
    <row r="78" spans="1:9">
      <c r="A78" s="1" t="s">
        <v>169</v>
      </c>
      <c r="B78" s="1" t="s">
        <v>170</v>
      </c>
      <c r="C78" s="1">
        <v>2010</v>
      </c>
      <c r="D78" s="1" t="s">
        <v>467</v>
      </c>
      <c r="E78" s="1" t="s">
        <v>419</v>
      </c>
    </row>
    <row r="79" spans="1:9">
      <c r="A79" s="1" t="s">
        <v>169</v>
      </c>
      <c r="B79" s="1" t="s">
        <v>170</v>
      </c>
      <c r="C79" s="1">
        <v>2012</v>
      </c>
      <c r="D79" s="1" t="s">
        <v>464</v>
      </c>
      <c r="E79" s="1" t="s">
        <v>416</v>
      </c>
    </row>
    <row r="80" spans="1:9">
      <c r="A80" s="1" t="s">
        <v>169</v>
      </c>
      <c r="B80" s="1" t="s">
        <v>170</v>
      </c>
      <c r="C80" s="1">
        <v>2012</v>
      </c>
      <c r="D80" s="1" t="s">
        <v>460</v>
      </c>
      <c r="E80" s="1" t="s">
        <v>434</v>
      </c>
    </row>
    <row r="81" spans="1:5">
      <c r="A81" s="1" t="s">
        <v>169</v>
      </c>
      <c r="B81" s="1" t="s">
        <v>170</v>
      </c>
      <c r="C81" s="1">
        <v>2012</v>
      </c>
      <c r="D81" s="1" t="s">
        <v>463</v>
      </c>
      <c r="E81" s="1" t="s">
        <v>421</v>
      </c>
    </row>
    <row r="82" spans="1:5">
      <c r="A82" s="1" t="s">
        <v>169</v>
      </c>
      <c r="B82" s="1" t="s">
        <v>170</v>
      </c>
      <c r="C82" s="1">
        <v>2012</v>
      </c>
      <c r="D82" s="1" t="s">
        <v>461</v>
      </c>
      <c r="E82" s="1" t="s">
        <v>424</v>
      </c>
    </row>
    <row r="83" spans="1:5">
      <c r="A83" s="1" t="s">
        <v>169</v>
      </c>
      <c r="B83" s="1" t="s">
        <v>170</v>
      </c>
      <c r="C83" s="1">
        <v>2012</v>
      </c>
      <c r="D83" s="1" t="s">
        <v>465</v>
      </c>
      <c r="E83" s="1" t="s">
        <v>427</v>
      </c>
    </row>
    <row r="84" spans="1:5">
      <c r="A84" s="1" t="s">
        <v>169</v>
      </c>
      <c r="B84" s="1" t="s">
        <v>170</v>
      </c>
      <c r="C84" s="1">
        <v>2012</v>
      </c>
      <c r="D84" s="1" t="s">
        <v>467</v>
      </c>
      <c r="E84" s="1" t="s">
        <v>419</v>
      </c>
    </row>
    <row r="85" spans="1:5">
      <c r="A85" s="1" t="s">
        <v>169</v>
      </c>
      <c r="B85" s="1" t="s">
        <v>170</v>
      </c>
      <c r="C85" s="1">
        <v>2012</v>
      </c>
      <c r="D85" s="1" t="s">
        <v>468</v>
      </c>
      <c r="E85" s="1" t="s">
        <v>419</v>
      </c>
    </row>
    <row r="86" spans="1:5">
      <c r="A86" s="1" t="s">
        <v>169</v>
      </c>
      <c r="B86" s="1" t="s">
        <v>170</v>
      </c>
      <c r="C86" s="1">
        <v>2013</v>
      </c>
      <c r="D86" s="1" t="s">
        <v>464</v>
      </c>
      <c r="E86" s="1" t="s">
        <v>416</v>
      </c>
    </row>
    <row r="87" spans="1:5">
      <c r="A87" s="1" t="s">
        <v>169</v>
      </c>
      <c r="B87" s="1" t="s">
        <v>170</v>
      </c>
      <c r="C87" s="1">
        <v>2013</v>
      </c>
      <c r="D87" s="1" t="s">
        <v>460</v>
      </c>
      <c r="E87" s="1" t="s">
        <v>434</v>
      </c>
    </row>
    <row r="88" spans="1:5">
      <c r="A88" s="1" t="s">
        <v>169</v>
      </c>
      <c r="B88" s="1" t="s">
        <v>170</v>
      </c>
      <c r="C88" s="1">
        <v>2013</v>
      </c>
      <c r="D88" s="1" t="s">
        <v>463</v>
      </c>
      <c r="E88" s="1" t="s">
        <v>421</v>
      </c>
    </row>
    <row r="89" spans="1:5">
      <c r="A89" s="1" t="s">
        <v>169</v>
      </c>
      <c r="B89" s="1" t="s">
        <v>170</v>
      </c>
      <c r="C89" s="1">
        <v>2013</v>
      </c>
      <c r="D89" s="1" t="s">
        <v>461</v>
      </c>
      <c r="E89" s="1" t="s">
        <v>424</v>
      </c>
    </row>
    <row r="90" spans="1:5">
      <c r="A90" s="1" t="s">
        <v>169</v>
      </c>
      <c r="B90" s="1" t="s">
        <v>170</v>
      </c>
      <c r="C90" s="1">
        <v>2013</v>
      </c>
      <c r="D90" s="1" t="s">
        <v>465</v>
      </c>
      <c r="E90" s="1" t="s">
        <v>427</v>
      </c>
    </row>
    <row r="91" spans="1:5">
      <c r="A91" s="1" t="s">
        <v>169</v>
      </c>
      <c r="B91" s="1" t="s">
        <v>170</v>
      </c>
      <c r="C91" s="1">
        <v>2013</v>
      </c>
      <c r="D91" s="1" t="s">
        <v>468</v>
      </c>
      <c r="E91" s="1" t="s">
        <v>419</v>
      </c>
    </row>
    <row r="92" spans="1:5">
      <c r="A92" s="1" t="s">
        <v>169</v>
      </c>
      <c r="B92" s="1" t="s">
        <v>170</v>
      </c>
      <c r="C92" s="1">
        <v>2013</v>
      </c>
      <c r="D92" s="1" t="s">
        <v>433</v>
      </c>
      <c r="E92" s="1" t="s">
        <v>419</v>
      </c>
    </row>
    <row r="93" spans="1:5">
      <c r="A93" s="1" t="s">
        <v>169</v>
      </c>
      <c r="B93" s="1" t="s">
        <v>170</v>
      </c>
      <c r="C93" s="1">
        <v>2017</v>
      </c>
      <c r="D93" s="1" t="s">
        <v>469</v>
      </c>
      <c r="E93" s="1" t="s">
        <v>416</v>
      </c>
    </row>
    <row r="94" spans="1:5">
      <c r="A94" s="1" t="s">
        <v>169</v>
      </c>
      <c r="B94" s="1" t="s">
        <v>170</v>
      </c>
      <c r="C94" s="1">
        <v>2017</v>
      </c>
      <c r="D94" s="1" t="s">
        <v>465</v>
      </c>
      <c r="E94" s="1" t="s">
        <v>434</v>
      </c>
    </row>
    <row r="95" spans="1:5">
      <c r="A95" s="1" t="s">
        <v>169</v>
      </c>
      <c r="B95" s="1" t="s">
        <v>170</v>
      </c>
      <c r="C95" s="1">
        <v>2017</v>
      </c>
      <c r="D95" s="1" t="s">
        <v>470</v>
      </c>
      <c r="E95" s="1" t="s">
        <v>421</v>
      </c>
    </row>
    <row r="96" spans="1:5">
      <c r="A96" s="1" t="s">
        <v>169</v>
      </c>
      <c r="B96" s="1" t="s">
        <v>170</v>
      </c>
      <c r="C96" s="1">
        <v>2017</v>
      </c>
      <c r="D96" s="1" t="s">
        <v>471</v>
      </c>
      <c r="E96" s="1" t="s">
        <v>424</v>
      </c>
    </row>
    <row r="97" spans="1:5">
      <c r="A97" s="1" t="s">
        <v>169</v>
      </c>
      <c r="B97" s="1" t="s">
        <v>170</v>
      </c>
      <c r="C97" s="1">
        <v>2017</v>
      </c>
      <c r="D97" s="1" t="s">
        <v>472</v>
      </c>
      <c r="E97" s="1" t="s">
        <v>427</v>
      </c>
    </row>
    <row r="98" spans="1:5">
      <c r="A98" s="1" t="s">
        <v>169</v>
      </c>
      <c r="B98" s="1" t="s">
        <v>170</v>
      </c>
      <c r="C98" s="1">
        <v>2017</v>
      </c>
      <c r="D98" s="1" t="s">
        <v>473</v>
      </c>
      <c r="E98" s="1" t="s">
        <v>419</v>
      </c>
    </row>
    <row r="99" spans="1:5">
      <c r="A99" s="1" t="s">
        <v>169</v>
      </c>
      <c r="B99" s="1" t="s">
        <v>170</v>
      </c>
      <c r="C99" s="1">
        <v>2017</v>
      </c>
      <c r="D99" s="1" t="s">
        <v>474</v>
      </c>
      <c r="E99" s="1" t="s">
        <v>419</v>
      </c>
    </row>
    <row r="100" spans="1:5">
      <c r="A100" s="1" t="s">
        <v>169</v>
      </c>
      <c r="B100" s="1" t="s">
        <v>170</v>
      </c>
      <c r="C100" s="1">
        <v>2019</v>
      </c>
      <c r="D100" s="1" t="s">
        <v>470</v>
      </c>
      <c r="E100" s="1" t="s">
        <v>416</v>
      </c>
    </row>
    <row r="101" spans="1:5">
      <c r="A101" s="1" t="s">
        <v>169</v>
      </c>
      <c r="B101" s="1" t="s">
        <v>170</v>
      </c>
      <c r="C101" s="1">
        <v>2019</v>
      </c>
      <c r="D101" s="1" t="s">
        <v>465</v>
      </c>
      <c r="E101" s="1" t="s">
        <v>434</v>
      </c>
    </row>
    <row r="102" spans="1:5">
      <c r="A102" s="1" t="s">
        <v>169</v>
      </c>
      <c r="B102" s="1" t="s">
        <v>170</v>
      </c>
      <c r="C102" s="1">
        <v>2019</v>
      </c>
      <c r="D102" s="1" t="s">
        <v>471</v>
      </c>
      <c r="E102" s="1" t="s">
        <v>424</v>
      </c>
    </row>
    <row r="103" spans="1:5">
      <c r="A103" s="1" t="s">
        <v>169</v>
      </c>
      <c r="B103" s="1" t="s">
        <v>170</v>
      </c>
      <c r="C103" s="1">
        <v>2019</v>
      </c>
      <c r="D103" s="1" t="s">
        <v>472</v>
      </c>
      <c r="E103" s="1" t="s">
        <v>427</v>
      </c>
    </row>
    <row r="104" spans="1:5">
      <c r="A104" s="1" t="s">
        <v>169</v>
      </c>
      <c r="B104" s="1" t="s">
        <v>170</v>
      </c>
      <c r="C104" s="1">
        <v>2019</v>
      </c>
      <c r="D104" s="1" t="s">
        <v>473</v>
      </c>
      <c r="E104" s="1" t="s">
        <v>419</v>
      </c>
    </row>
    <row r="105" spans="1:5">
      <c r="A105" s="1" t="s">
        <v>169</v>
      </c>
      <c r="B105" s="1" t="s">
        <v>170</v>
      </c>
      <c r="C105" s="1">
        <v>2019</v>
      </c>
      <c r="D105" s="1" t="s">
        <v>475</v>
      </c>
      <c r="E105" s="1" t="s">
        <v>419</v>
      </c>
    </row>
    <row r="106" spans="1:5">
      <c r="A106" s="1" t="s">
        <v>169</v>
      </c>
      <c r="B106" s="1" t="s">
        <v>170</v>
      </c>
      <c r="C106" s="1">
        <v>2019</v>
      </c>
      <c r="D106" s="1" t="s">
        <v>433</v>
      </c>
      <c r="E106" s="1" t="s">
        <v>421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25"/>
  <sheetViews>
    <sheetView topLeftCell="F1" workbookViewId="0">
      <selection activeCell="U25" sqref="U25"/>
    </sheetView>
  </sheetViews>
  <sheetFormatPr defaultColWidth="8.85546875" defaultRowHeight="14.45"/>
  <cols>
    <col min="1" max="1" width="10.140625" style="1" bestFit="1" customWidth="1"/>
    <col min="2" max="16384" width="8.85546875" style="1"/>
  </cols>
  <sheetData>
    <row r="1" spans="1:21">
      <c r="A1" s="2" t="s">
        <v>149</v>
      </c>
      <c r="B1" s="2" t="s">
        <v>150</v>
      </c>
      <c r="C1" s="2" t="s">
        <v>151</v>
      </c>
      <c r="D1" s="2" t="s">
        <v>158</v>
      </c>
      <c r="E1" s="2" t="s">
        <v>152</v>
      </c>
      <c r="F1" s="2" t="s">
        <v>476</v>
      </c>
      <c r="G1" s="4" t="s">
        <v>477</v>
      </c>
      <c r="H1" s="4" t="s">
        <v>478</v>
      </c>
      <c r="I1" s="2" t="s">
        <v>479</v>
      </c>
      <c r="J1" s="2" t="s">
        <v>480</v>
      </c>
      <c r="K1" s="2" t="s">
        <v>481</v>
      </c>
      <c r="L1" s="2" t="s">
        <v>482</v>
      </c>
      <c r="M1" s="2" t="s">
        <v>483</v>
      </c>
      <c r="N1" s="2" t="s">
        <v>484</v>
      </c>
      <c r="O1" s="2" t="s">
        <v>485</v>
      </c>
      <c r="P1" s="2" t="s">
        <v>486</v>
      </c>
      <c r="Q1" s="2" t="s">
        <v>487</v>
      </c>
      <c r="R1" s="2" t="s">
        <v>488</v>
      </c>
      <c r="S1" s="2" t="s">
        <v>489</v>
      </c>
      <c r="T1" s="2" t="s">
        <v>490</v>
      </c>
      <c r="U1" s="2" t="s">
        <v>168</v>
      </c>
    </row>
    <row r="2" spans="1:21">
      <c r="A2" s="1" t="s">
        <v>169</v>
      </c>
      <c r="B2" s="1" t="s">
        <v>170</v>
      </c>
      <c r="C2" s="1">
        <v>1991</v>
      </c>
      <c r="D2" s="1">
        <v>1984</v>
      </c>
      <c r="E2" s="1" t="s">
        <v>322</v>
      </c>
      <c r="F2" s="1" t="s">
        <v>491</v>
      </c>
      <c r="G2" s="1" t="s">
        <v>179</v>
      </c>
      <c r="H2" s="1" t="s">
        <v>492</v>
      </c>
      <c r="I2" s="1" t="s">
        <v>493</v>
      </c>
      <c r="J2" s="1">
        <v>50</v>
      </c>
      <c r="K2" s="1">
        <v>4228200</v>
      </c>
      <c r="L2" s="1">
        <f>44+33+68+138+17</f>
        <v>300</v>
      </c>
      <c r="O2" s="1">
        <v>5</v>
      </c>
      <c r="P2" s="1" t="s">
        <v>494</v>
      </c>
      <c r="R2" s="1">
        <v>82000</v>
      </c>
      <c r="S2" s="1">
        <v>1200</v>
      </c>
      <c r="T2" s="1">
        <v>55</v>
      </c>
      <c r="U2" s="1" t="s">
        <v>495</v>
      </c>
    </row>
    <row r="3" spans="1:21">
      <c r="A3" s="1" t="s">
        <v>169</v>
      </c>
      <c r="B3" s="1" t="s">
        <v>170</v>
      </c>
      <c r="C3" s="1">
        <v>1991</v>
      </c>
      <c r="D3" s="1">
        <v>1984</v>
      </c>
      <c r="E3" s="1" t="s">
        <v>314</v>
      </c>
      <c r="F3" s="1" t="s">
        <v>491</v>
      </c>
      <c r="G3" s="1" t="s">
        <v>179</v>
      </c>
      <c r="H3" s="1" t="s">
        <v>492</v>
      </c>
      <c r="I3" s="1" t="s">
        <v>493</v>
      </c>
      <c r="J3" s="1">
        <v>50</v>
      </c>
      <c r="N3" s="1">
        <v>24</v>
      </c>
      <c r="O3" s="1">
        <v>3</v>
      </c>
      <c r="P3" s="1" t="s">
        <v>494</v>
      </c>
      <c r="Q3" s="1">
        <v>555000</v>
      </c>
      <c r="R3" s="1">
        <v>100000</v>
      </c>
      <c r="S3" s="1">
        <v>1100</v>
      </c>
      <c r="T3" s="1">
        <v>80</v>
      </c>
      <c r="U3" s="1" t="s">
        <v>496</v>
      </c>
    </row>
    <row r="4" spans="1:21">
      <c r="A4" s="1" t="s">
        <v>169</v>
      </c>
      <c r="B4" s="1" t="s">
        <v>170</v>
      </c>
      <c r="C4" s="1">
        <v>1993</v>
      </c>
      <c r="D4" s="1">
        <v>1984</v>
      </c>
      <c r="E4" s="1" t="s">
        <v>322</v>
      </c>
      <c r="F4" s="1" t="s">
        <v>491</v>
      </c>
      <c r="G4" s="1" t="s">
        <v>179</v>
      </c>
      <c r="H4" s="1" t="s">
        <v>492</v>
      </c>
      <c r="I4" s="1" t="s">
        <v>493</v>
      </c>
      <c r="J4" s="1">
        <v>50</v>
      </c>
      <c r="K4" s="1">
        <v>4590557</v>
      </c>
      <c r="L4" s="1">
        <f>20+22+65+146+7</f>
        <v>260</v>
      </c>
      <c r="O4" s="1">
        <v>5</v>
      </c>
      <c r="P4" s="1" t="s">
        <v>494</v>
      </c>
      <c r="R4" s="1">
        <v>84000</v>
      </c>
      <c r="S4" s="1">
        <v>1200</v>
      </c>
    </row>
    <row r="5" spans="1:21">
      <c r="A5" s="1" t="s">
        <v>169</v>
      </c>
      <c r="B5" s="1" t="s">
        <v>170</v>
      </c>
      <c r="C5" s="1">
        <v>1993</v>
      </c>
      <c r="D5" s="1">
        <v>1984</v>
      </c>
      <c r="E5" s="1" t="s">
        <v>314</v>
      </c>
      <c r="F5" s="1" t="s">
        <v>491</v>
      </c>
      <c r="G5" s="1" t="s">
        <v>179</v>
      </c>
      <c r="H5" s="1" t="s">
        <v>492</v>
      </c>
      <c r="I5" s="1" t="s">
        <v>493</v>
      </c>
      <c r="J5" s="1">
        <v>50</v>
      </c>
      <c r="N5" s="1">
        <v>24</v>
      </c>
      <c r="O5" s="1">
        <v>3</v>
      </c>
      <c r="P5" s="1" t="s">
        <v>494</v>
      </c>
      <c r="Q5" s="1">
        <v>551570</v>
      </c>
      <c r="R5" s="1">
        <v>100000</v>
      </c>
      <c r="S5" s="1">
        <v>1100</v>
      </c>
      <c r="T5" s="1">
        <v>80</v>
      </c>
      <c r="U5" s="1" t="s">
        <v>497</v>
      </c>
    </row>
    <row r="6" spans="1:21">
      <c r="A6" s="1" t="s">
        <v>169</v>
      </c>
      <c r="B6" s="1" t="s">
        <v>170</v>
      </c>
      <c r="C6" s="1">
        <v>1995</v>
      </c>
      <c r="D6" s="1">
        <v>1984</v>
      </c>
      <c r="E6" s="1" t="s">
        <v>322</v>
      </c>
      <c r="F6" s="1" t="s">
        <v>491</v>
      </c>
      <c r="G6" s="1" t="s">
        <v>179</v>
      </c>
      <c r="H6" s="1" t="s">
        <v>492</v>
      </c>
      <c r="I6" s="1" t="s">
        <v>493</v>
      </c>
      <c r="J6" s="1">
        <v>50</v>
      </c>
      <c r="O6" s="1">
        <v>5</v>
      </c>
      <c r="P6" s="1" t="s">
        <v>494</v>
      </c>
      <c r="Q6" s="1">
        <v>555000</v>
      </c>
      <c r="R6" s="1">
        <v>82000</v>
      </c>
      <c r="S6" s="1">
        <v>1200</v>
      </c>
    </row>
    <row r="7" spans="1:21">
      <c r="A7" s="1" t="s">
        <v>169</v>
      </c>
      <c r="B7" s="1" t="s">
        <v>170</v>
      </c>
      <c r="C7" s="1">
        <v>1995</v>
      </c>
      <c r="D7" s="1">
        <v>1984</v>
      </c>
      <c r="E7" s="1" t="s">
        <v>314</v>
      </c>
      <c r="F7" s="1" t="s">
        <v>491</v>
      </c>
      <c r="G7" s="1" t="s">
        <v>179</v>
      </c>
      <c r="H7" s="1" t="s">
        <v>492</v>
      </c>
      <c r="I7" s="1" t="s">
        <v>493</v>
      </c>
      <c r="J7" s="1">
        <v>50</v>
      </c>
      <c r="N7" s="1">
        <v>24</v>
      </c>
      <c r="O7" s="1">
        <v>3</v>
      </c>
      <c r="P7" s="1" t="s">
        <v>494</v>
      </c>
      <c r="Q7" s="1">
        <v>555000</v>
      </c>
      <c r="S7" s="1">
        <v>1100</v>
      </c>
      <c r="T7" s="1">
        <v>80</v>
      </c>
    </row>
    <row r="8" spans="1:21">
      <c r="A8" s="1" t="s">
        <v>169</v>
      </c>
      <c r="B8" s="1" t="s">
        <v>170</v>
      </c>
      <c r="C8" s="1">
        <v>1998</v>
      </c>
      <c r="D8" s="1">
        <v>1984</v>
      </c>
      <c r="E8" s="1" t="s">
        <v>322</v>
      </c>
      <c r="F8" s="1" t="s">
        <v>491</v>
      </c>
      <c r="G8" s="1" t="s">
        <v>179</v>
      </c>
      <c r="H8" s="1" t="s">
        <v>492</v>
      </c>
      <c r="I8" s="1" t="s">
        <v>493</v>
      </c>
      <c r="J8" s="1">
        <v>50</v>
      </c>
      <c r="O8" s="1">
        <v>5</v>
      </c>
      <c r="P8" s="1" t="s">
        <v>494</v>
      </c>
      <c r="R8" s="1">
        <v>82000</v>
      </c>
      <c r="S8" s="1">
        <v>1200</v>
      </c>
    </row>
    <row r="9" spans="1:21">
      <c r="A9" s="1" t="s">
        <v>169</v>
      </c>
      <c r="B9" s="1" t="s">
        <v>170</v>
      </c>
      <c r="C9" s="1">
        <v>1998</v>
      </c>
      <c r="D9" s="1">
        <v>1984</v>
      </c>
      <c r="E9" s="1" t="s">
        <v>314</v>
      </c>
      <c r="F9" s="1" t="s">
        <v>491</v>
      </c>
      <c r="G9" s="1" t="s">
        <v>179</v>
      </c>
      <c r="H9" s="1" t="s">
        <v>492</v>
      </c>
      <c r="I9" s="1" t="s">
        <v>493</v>
      </c>
      <c r="J9" s="1">
        <v>50</v>
      </c>
      <c r="N9" s="1">
        <v>24</v>
      </c>
      <c r="O9" s="1">
        <v>3</v>
      </c>
      <c r="P9" s="1" t="s">
        <v>494</v>
      </c>
      <c r="Q9" s="1">
        <v>555000</v>
      </c>
      <c r="S9" s="1">
        <v>1100</v>
      </c>
      <c r="T9" s="1">
        <v>80</v>
      </c>
      <c r="U9" s="1" t="s">
        <v>498</v>
      </c>
    </row>
    <row r="10" spans="1:21">
      <c r="A10" s="1" t="s">
        <v>169</v>
      </c>
      <c r="B10" s="1" t="s">
        <v>170</v>
      </c>
      <c r="C10" s="1">
        <v>2002</v>
      </c>
      <c r="D10" s="1">
        <v>1984</v>
      </c>
      <c r="E10" s="1" t="s">
        <v>322</v>
      </c>
      <c r="F10" s="1" t="s">
        <v>491</v>
      </c>
      <c r="G10" s="1" t="s">
        <v>179</v>
      </c>
      <c r="H10" s="1" t="s">
        <v>492</v>
      </c>
      <c r="I10" s="1" t="s">
        <v>493</v>
      </c>
      <c r="J10" s="1">
        <v>50</v>
      </c>
      <c r="L10" s="1">
        <f>43+26+183+19</f>
        <v>271</v>
      </c>
      <c r="O10" s="1">
        <v>5</v>
      </c>
      <c r="P10" s="1" t="s">
        <v>494</v>
      </c>
      <c r="R10" s="1">
        <v>83000</v>
      </c>
      <c r="S10" s="1">
        <v>1200</v>
      </c>
    </row>
    <row r="11" spans="1:21">
      <c r="A11" s="1" t="s">
        <v>169</v>
      </c>
      <c r="B11" s="1" t="s">
        <v>170</v>
      </c>
      <c r="C11" s="1">
        <v>2002</v>
      </c>
      <c r="D11" s="1">
        <v>1984</v>
      </c>
      <c r="E11" s="1" t="s">
        <v>314</v>
      </c>
      <c r="F11" s="1" t="s">
        <v>491</v>
      </c>
      <c r="G11" s="1" t="s">
        <v>179</v>
      </c>
      <c r="H11" s="1" t="s">
        <v>492</v>
      </c>
      <c r="I11" s="1" t="s">
        <v>493</v>
      </c>
      <c r="J11" s="1">
        <v>50</v>
      </c>
      <c r="N11" s="1">
        <v>24</v>
      </c>
      <c r="O11" s="1">
        <v>3</v>
      </c>
      <c r="P11" s="1" t="s">
        <v>494</v>
      </c>
      <c r="Q11" s="1">
        <v>550000</v>
      </c>
      <c r="R11" s="1">
        <v>130000</v>
      </c>
      <c r="S11" s="1">
        <v>1100</v>
      </c>
      <c r="T11" s="1">
        <v>80</v>
      </c>
      <c r="U11" s="1" t="s">
        <v>499</v>
      </c>
    </row>
    <row r="12" spans="1:21">
      <c r="A12" s="1" t="s">
        <v>169</v>
      </c>
      <c r="B12" s="1" t="s">
        <v>170</v>
      </c>
      <c r="C12" s="1">
        <v>2003</v>
      </c>
      <c r="D12" s="1">
        <v>1984</v>
      </c>
      <c r="E12" s="1" t="s">
        <v>322</v>
      </c>
      <c r="F12" s="1" t="s">
        <v>491</v>
      </c>
      <c r="G12" s="1" t="s">
        <v>179</v>
      </c>
      <c r="H12" s="1" t="s">
        <v>492</v>
      </c>
      <c r="I12" s="1" t="s">
        <v>493</v>
      </c>
      <c r="J12" s="1">
        <v>50</v>
      </c>
      <c r="O12" s="1">
        <v>5</v>
      </c>
      <c r="P12" s="1" t="s">
        <v>494</v>
      </c>
      <c r="Q12" s="1">
        <v>130000</v>
      </c>
      <c r="R12" s="1">
        <v>83000</v>
      </c>
      <c r="S12" s="1">
        <v>1200</v>
      </c>
    </row>
    <row r="13" spans="1:21">
      <c r="A13" s="1" t="s">
        <v>169</v>
      </c>
      <c r="B13" s="1" t="s">
        <v>170</v>
      </c>
      <c r="C13" s="1">
        <v>2003</v>
      </c>
      <c r="D13" s="1">
        <v>1984</v>
      </c>
      <c r="E13" s="1" t="s">
        <v>314</v>
      </c>
      <c r="F13" s="1" t="s">
        <v>491</v>
      </c>
      <c r="G13" s="1" t="s">
        <v>179</v>
      </c>
      <c r="H13" s="1" t="s">
        <v>492</v>
      </c>
      <c r="I13" s="1" t="s">
        <v>493</v>
      </c>
      <c r="J13" s="1">
        <v>50</v>
      </c>
      <c r="N13" s="1">
        <v>24</v>
      </c>
      <c r="O13" s="1">
        <v>3</v>
      </c>
      <c r="P13" s="1" t="s">
        <v>494</v>
      </c>
      <c r="Q13" s="1">
        <v>550000</v>
      </c>
      <c r="R13" s="1">
        <v>130000</v>
      </c>
      <c r="S13" s="1">
        <v>1400</v>
      </c>
      <c r="T13" s="1">
        <v>80</v>
      </c>
      <c r="U13" s="1" t="s">
        <v>500</v>
      </c>
    </row>
    <row r="14" spans="1:21">
      <c r="A14" s="1" t="s">
        <v>169</v>
      </c>
      <c r="B14" s="1" t="s">
        <v>170</v>
      </c>
      <c r="C14" s="1">
        <v>2005</v>
      </c>
      <c r="D14" s="1">
        <v>1984</v>
      </c>
      <c r="E14" s="1" t="s">
        <v>322</v>
      </c>
      <c r="F14" s="1" t="s">
        <v>491</v>
      </c>
      <c r="G14" s="1" t="s">
        <v>179</v>
      </c>
      <c r="H14" s="1" t="s">
        <v>492</v>
      </c>
      <c r="I14" s="1" t="s">
        <v>493</v>
      </c>
      <c r="J14" s="1">
        <v>50</v>
      </c>
      <c r="L14" s="1">
        <f>38+24+14+190</f>
        <v>266</v>
      </c>
      <c r="O14" s="1">
        <v>5</v>
      </c>
      <c r="P14" s="1" t="s">
        <v>494</v>
      </c>
      <c r="R14" s="1">
        <v>83000</v>
      </c>
      <c r="S14" s="1">
        <v>1200</v>
      </c>
    </row>
    <row r="15" spans="1:21">
      <c r="A15" s="1" t="s">
        <v>169</v>
      </c>
      <c r="B15" s="1" t="s">
        <v>170</v>
      </c>
      <c r="C15" s="1">
        <v>2005</v>
      </c>
      <c r="D15" s="1">
        <v>1984</v>
      </c>
      <c r="E15" s="1" t="s">
        <v>314</v>
      </c>
      <c r="F15" s="1" t="s">
        <v>491</v>
      </c>
      <c r="G15" s="1" t="s">
        <v>179</v>
      </c>
      <c r="H15" s="1" t="s">
        <v>492</v>
      </c>
      <c r="I15" s="1" t="s">
        <v>493</v>
      </c>
      <c r="J15" s="1">
        <v>50</v>
      </c>
      <c r="N15" s="1">
        <v>24</v>
      </c>
      <c r="O15" s="1">
        <v>3</v>
      </c>
      <c r="P15" s="1" t="s">
        <v>494</v>
      </c>
      <c r="Q15" s="1">
        <v>550000</v>
      </c>
      <c r="S15" s="1">
        <v>1400</v>
      </c>
      <c r="T15" s="1">
        <v>80</v>
      </c>
      <c r="U15" s="1" t="s">
        <v>501</v>
      </c>
    </row>
    <row r="16" spans="1:21">
      <c r="A16" s="1" t="s">
        <v>169</v>
      </c>
      <c r="B16" s="1" t="s">
        <v>170</v>
      </c>
      <c r="C16" s="1">
        <v>2007</v>
      </c>
      <c r="D16" s="1">
        <v>1984</v>
      </c>
      <c r="E16" s="1" t="s">
        <v>322</v>
      </c>
      <c r="F16" s="1" t="s">
        <v>491</v>
      </c>
      <c r="G16" s="1" t="s">
        <v>179</v>
      </c>
      <c r="H16" s="1" t="s">
        <v>492</v>
      </c>
      <c r="I16" s="1" t="s">
        <v>493</v>
      </c>
      <c r="J16" s="1">
        <v>50</v>
      </c>
      <c r="L16" s="1">
        <v>274</v>
      </c>
      <c r="O16" s="1">
        <v>5</v>
      </c>
      <c r="P16" s="1" t="s">
        <v>494</v>
      </c>
      <c r="R16" s="1">
        <v>83000</v>
      </c>
      <c r="S16" s="1">
        <v>1200</v>
      </c>
    </row>
    <row r="17" spans="1:21">
      <c r="A17" s="1" t="s">
        <v>169</v>
      </c>
      <c r="B17" s="1" t="s">
        <v>170</v>
      </c>
      <c r="C17" s="1">
        <v>2007</v>
      </c>
      <c r="D17" s="1">
        <v>1984</v>
      </c>
      <c r="E17" s="1" t="s">
        <v>314</v>
      </c>
      <c r="F17" s="1" t="s">
        <v>491</v>
      </c>
      <c r="G17" s="1" t="s">
        <v>179</v>
      </c>
      <c r="H17" s="1" t="s">
        <v>492</v>
      </c>
      <c r="I17" s="1" t="s">
        <v>493</v>
      </c>
      <c r="J17" s="1">
        <v>50</v>
      </c>
      <c r="N17" s="1">
        <v>24</v>
      </c>
      <c r="O17" s="1">
        <v>3</v>
      </c>
      <c r="P17" s="1" t="s">
        <v>494</v>
      </c>
      <c r="Q17" s="1">
        <v>550000</v>
      </c>
      <c r="S17" s="1">
        <v>1400</v>
      </c>
    </row>
    <row r="18" spans="1:21">
      <c r="A18" s="1" t="s">
        <v>169</v>
      </c>
      <c r="B18" s="1" t="s">
        <v>170</v>
      </c>
      <c r="C18" s="1">
        <v>2008</v>
      </c>
      <c r="D18" s="1">
        <v>1984</v>
      </c>
      <c r="E18" s="1" t="s">
        <v>322</v>
      </c>
      <c r="F18" s="1" t="s">
        <v>491</v>
      </c>
      <c r="G18" s="1" t="s">
        <v>179</v>
      </c>
      <c r="H18" s="1" t="s">
        <v>492</v>
      </c>
      <c r="I18" s="1" t="s">
        <v>493</v>
      </c>
      <c r="J18" s="1">
        <v>60</v>
      </c>
      <c r="L18" s="1">
        <v>289</v>
      </c>
      <c r="O18" s="1">
        <v>5</v>
      </c>
      <c r="P18" s="1" t="s">
        <v>494</v>
      </c>
      <c r="R18" s="1">
        <v>83000</v>
      </c>
      <c r="S18" s="1">
        <v>990</v>
      </c>
      <c r="U18" s="1" t="s">
        <v>502</v>
      </c>
    </row>
    <row r="19" spans="1:21">
      <c r="A19" s="1" t="s">
        <v>169</v>
      </c>
      <c r="B19" s="1" t="s">
        <v>170</v>
      </c>
      <c r="C19" s="1">
        <v>2008</v>
      </c>
      <c r="D19" s="1">
        <v>1984</v>
      </c>
      <c r="E19" s="1" t="s">
        <v>314</v>
      </c>
      <c r="F19" s="1" t="s">
        <v>491</v>
      </c>
      <c r="G19" s="1" t="s">
        <v>179</v>
      </c>
      <c r="H19" s="1" t="s">
        <v>492</v>
      </c>
      <c r="I19" s="1" t="s">
        <v>493</v>
      </c>
      <c r="J19" s="1">
        <v>60</v>
      </c>
      <c r="N19" s="1">
        <v>24</v>
      </c>
      <c r="O19" s="1">
        <v>3</v>
      </c>
      <c r="P19" s="1" t="s">
        <v>494</v>
      </c>
      <c r="Q19" s="1">
        <v>550000</v>
      </c>
      <c r="S19" s="1">
        <v>1400</v>
      </c>
    </row>
    <row r="20" spans="1:21">
      <c r="A20" s="1" t="s">
        <v>169</v>
      </c>
      <c r="B20" s="1" t="s">
        <v>170</v>
      </c>
      <c r="C20" s="1">
        <v>2013</v>
      </c>
      <c r="D20" s="1">
        <v>1984</v>
      </c>
      <c r="E20" s="1" t="s">
        <v>322</v>
      </c>
      <c r="F20" s="1" t="s">
        <v>491</v>
      </c>
      <c r="G20" s="1" t="s">
        <v>179</v>
      </c>
      <c r="H20" s="1" t="s">
        <v>492</v>
      </c>
      <c r="I20" s="1" t="s">
        <v>493</v>
      </c>
      <c r="J20" s="1">
        <v>60</v>
      </c>
      <c r="O20" s="1">
        <v>5</v>
      </c>
      <c r="P20" s="1" t="s">
        <v>494</v>
      </c>
      <c r="R20" s="1">
        <v>81000</v>
      </c>
      <c r="S20" s="1">
        <v>1000</v>
      </c>
    </row>
    <row r="21" spans="1:21">
      <c r="A21" s="1" t="s">
        <v>169</v>
      </c>
      <c r="B21" s="1" t="s">
        <v>170</v>
      </c>
      <c r="C21" s="1">
        <v>2013</v>
      </c>
      <c r="D21" s="1">
        <v>1984</v>
      </c>
      <c r="E21" s="1" t="s">
        <v>314</v>
      </c>
      <c r="F21" s="1" t="s">
        <v>491</v>
      </c>
      <c r="G21" s="1" t="s">
        <v>179</v>
      </c>
      <c r="H21" s="1" t="s">
        <v>492</v>
      </c>
      <c r="I21" s="1" t="s">
        <v>493</v>
      </c>
      <c r="J21" s="1">
        <v>60</v>
      </c>
      <c r="N21" s="1">
        <v>24</v>
      </c>
      <c r="O21" s="1">
        <v>3</v>
      </c>
      <c r="P21" s="1" t="s">
        <v>494</v>
      </c>
      <c r="Q21" s="1">
        <v>550000</v>
      </c>
      <c r="S21" s="1">
        <v>1234</v>
      </c>
    </row>
    <row r="22" spans="1:21">
      <c r="A22" s="1" t="s">
        <v>169</v>
      </c>
      <c r="B22" s="1" t="s">
        <v>170</v>
      </c>
      <c r="C22" s="1">
        <v>2017</v>
      </c>
      <c r="D22" s="1">
        <v>1984</v>
      </c>
      <c r="E22" s="1" t="s">
        <v>322</v>
      </c>
      <c r="F22" s="1" t="s">
        <v>491</v>
      </c>
      <c r="G22" s="1" t="s">
        <v>179</v>
      </c>
      <c r="H22" s="1" t="s">
        <v>503</v>
      </c>
      <c r="I22" s="1" t="s">
        <v>493</v>
      </c>
      <c r="J22" s="1">
        <v>60</v>
      </c>
      <c r="L22" s="1">
        <v>307</v>
      </c>
      <c r="O22" s="1">
        <v>5</v>
      </c>
      <c r="P22" s="1" t="s">
        <v>494</v>
      </c>
      <c r="R22" s="1">
        <v>81000</v>
      </c>
      <c r="S22" s="1">
        <v>1000</v>
      </c>
      <c r="T22" s="1">
        <v>930</v>
      </c>
    </row>
    <row r="23" spans="1:21">
      <c r="A23" s="1" t="s">
        <v>169</v>
      </c>
      <c r="B23" s="1" t="s">
        <v>170</v>
      </c>
      <c r="C23" s="1">
        <v>2017</v>
      </c>
      <c r="D23" s="1">
        <v>1984</v>
      </c>
      <c r="E23" s="1" t="s">
        <v>314</v>
      </c>
      <c r="F23" s="1" t="s">
        <v>491</v>
      </c>
      <c r="G23" s="1" t="s">
        <v>179</v>
      </c>
      <c r="H23" s="1" t="s">
        <v>503</v>
      </c>
      <c r="I23" s="1" t="s">
        <v>493</v>
      </c>
      <c r="J23" s="1">
        <v>60</v>
      </c>
      <c r="N23" s="1">
        <v>24</v>
      </c>
      <c r="O23" s="1">
        <v>3</v>
      </c>
      <c r="P23" s="1" t="s">
        <v>494</v>
      </c>
      <c r="Q23" s="1">
        <f>81000+29000</f>
        <v>110000</v>
      </c>
      <c r="S23" s="1">
        <v>1234</v>
      </c>
      <c r="U23" s="1" t="s">
        <v>504</v>
      </c>
    </row>
    <row r="24" spans="1:21">
      <c r="A24" s="1" t="s">
        <v>169</v>
      </c>
      <c r="B24" s="1" t="s">
        <v>170</v>
      </c>
      <c r="C24" s="1">
        <v>2019</v>
      </c>
      <c r="D24" s="1">
        <v>1984</v>
      </c>
      <c r="E24" s="1" t="s">
        <v>322</v>
      </c>
      <c r="F24" s="1" t="s">
        <v>491</v>
      </c>
      <c r="G24" s="1" t="s">
        <v>179</v>
      </c>
      <c r="H24" s="1" t="s">
        <v>505</v>
      </c>
      <c r="I24" s="1" t="s">
        <v>493</v>
      </c>
      <c r="J24" s="1">
        <v>60</v>
      </c>
      <c r="L24" s="1">
        <v>300</v>
      </c>
      <c r="O24" s="1">
        <v>5</v>
      </c>
      <c r="P24" s="1" t="s">
        <v>494</v>
      </c>
      <c r="R24" s="1">
        <v>81000</v>
      </c>
      <c r="S24" s="1">
        <v>1000</v>
      </c>
      <c r="T24" s="1">
        <v>964</v>
      </c>
      <c r="U24" s="1" t="s">
        <v>506</v>
      </c>
    </row>
    <row r="25" spans="1:21">
      <c r="A25" s="1" t="s">
        <v>169</v>
      </c>
      <c r="B25" s="1" t="s">
        <v>170</v>
      </c>
      <c r="C25" s="1">
        <v>2019</v>
      </c>
      <c r="D25" s="1">
        <v>1984</v>
      </c>
      <c r="E25" s="1" t="s">
        <v>314</v>
      </c>
      <c r="F25" s="1" t="s">
        <v>491</v>
      </c>
      <c r="G25" s="1" t="s">
        <v>179</v>
      </c>
      <c r="H25" s="1" t="s">
        <v>505</v>
      </c>
      <c r="I25" s="1" t="s">
        <v>493</v>
      </c>
      <c r="J25" s="1">
        <v>60</v>
      </c>
      <c r="N25" s="1">
        <v>24</v>
      </c>
      <c r="O25" s="1">
        <v>3</v>
      </c>
      <c r="P25" s="1" t="s">
        <v>494</v>
      </c>
      <c r="S25" s="1">
        <v>1220</v>
      </c>
      <c r="U25" s="1" t="s">
        <v>504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Duke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Patterson</dc:creator>
  <cp:keywords/>
  <dc:description/>
  <cp:lastModifiedBy>Walker Grimshaw</cp:lastModifiedBy>
  <cp:revision/>
  <dcterms:created xsi:type="dcterms:W3CDTF">2019-08-01T16:52:11Z</dcterms:created>
  <dcterms:modified xsi:type="dcterms:W3CDTF">2019-12-29T22:21:32Z</dcterms:modified>
  <cp:category/>
  <cp:contentStatus/>
</cp:coreProperties>
</file>